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hidePivotFieldList="1"/>
  <bookViews>
    <workbookView xWindow="690" yWindow="150" windowWidth="11625" windowHeight="11985" tabRatio="602"/>
  </bookViews>
  <sheets>
    <sheet name="Funding Data" sheetId="8" r:id="rId1"/>
    <sheet name="Distrib pivot table" sheetId="51" r:id="rId2"/>
    <sheet name="Amounts Pivot Table" sheetId="55" r:id="rId3"/>
    <sheet name="77. Distrib by purpose (sum)" sheetId="52" r:id="rId4"/>
    <sheet name="78. Distrib by purpose (detail)" sheetId="53" r:id="rId5"/>
    <sheet name="79. Distrib by source" sheetId="21" r:id="rId6"/>
    <sheet name="80.-96. Amounts per FTE" sheetId="22" r:id="rId7"/>
    <sheet name="SFA Data for Highlights" sheetId="59" r:id="rId8"/>
  </sheets>
  <externalReferences>
    <externalReference r:id="rId9"/>
  </externalReferences>
  <definedNames>
    <definedName name="\a">#N/A</definedName>
    <definedName name="\c">#N/A</definedName>
    <definedName name="\s">#N/A</definedName>
    <definedName name="\x">#N/A</definedName>
    <definedName name="\z">#N/A</definedName>
    <definedName name="_Order1" hidden="1">255</definedName>
    <definedName name="NEWYEAR">#REF!</definedName>
    <definedName name="_xlnm.Print_Area" localSheetId="3">'77. Distrib by purpose (sum)'!$A$1:$T$22</definedName>
    <definedName name="_xlnm.Print_Area" localSheetId="4">'78. Distrib by purpose (detail)'!$A$5:$T$59</definedName>
    <definedName name="_xlnm.Print_Area" localSheetId="5">'79. Distrib by source'!$R$1:$AG$34</definedName>
    <definedName name="_xlnm.Print_Area" localSheetId="6">'80.-96. Amounts per FTE'!$A$1:$K$550</definedName>
    <definedName name="_xlnm.Print_Area" localSheetId="2">'Amounts Pivot Table'!$C$6:$W$629</definedName>
    <definedName name="_xlnm.Print_Area" localSheetId="1">'Distrib pivot table'!$E$4:$T$144</definedName>
    <definedName name="_xlnm.Print_Area" localSheetId="7">'SFA Data for Highlights'!$A$1:$T$140</definedName>
    <definedName name="_xlnm.Print_Titles" localSheetId="4">'78. Distrib by purpose (detail)'!$1:$4</definedName>
    <definedName name="_xlnm.Print_Titles" localSheetId="2">'Amounts Pivot Table'!$A:$B,'Amounts Pivot Table'!$3:$5</definedName>
    <definedName name="_xlnm.Print_Titles" localSheetId="1">'Distrib pivot table'!$A:$D,'Distrib pivot table'!$1:$3</definedName>
    <definedName name="_xlnm.Print_Titles" localSheetId="0">'Funding Data'!#REF!</definedName>
  </definedNames>
  <calcPr calcId="125725"/>
  <pivotCaches>
    <pivotCache cacheId="17" r:id="rId10"/>
  </pivotCaches>
</workbook>
</file>

<file path=xl/calcChain.xml><?xml version="1.0" encoding="utf-8"?>
<calcChain xmlns="http://schemas.openxmlformats.org/spreadsheetml/2006/main">
  <c r="I793" i="8"/>
  <c r="I791"/>
  <c r="I790"/>
  <c r="I758"/>
  <c r="I752"/>
  <c r="I749"/>
  <c r="I747"/>
  <c r="I741"/>
  <c r="I738"/>
  <c r="I730"/>
  <c r="I729"/>
  <c r="I719"/>
  <c r="I385"/>
  <c r="I192"/>
  <c r="G145"/>
  <c r="G9"/>
  <c r="M526" i="22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25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493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61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29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396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62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29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296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64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32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71"/>
  <c r="M170"/>
  <c r="M156"/>
  <c r="M155"/>
  <c r="M154"/>
  <c r="M153"/>
  <c r="M151"/>
  <c r="M150"/>
  <c r="M149"/>
  <c r="M148"/>
  <c r="M146"/>
  <c r="M145"/>
  <c r="M144"/>
  <c r="M143"/>
  <c r="M141"/>
  <c r="M140"/>
  <c r="M139"/>
  <c r="M138"/>
  <c r="M124"/>
  <c r="M123"/>
  <c r="M122"/>
  <c r="M121"/>
  <c r="M119"/>
  <c r="M118"/>
  <c r="M117"/>
  <c r="M116"/>
  <c r="M114"/>
  <c r="M113"/>
  <c r="M112"/>
  <c r="M111"/>
  <c r="M109"/>
  <c r="M108"/>
  <c r="M107"/>
  <c r="M106"/>
  <c r="M92"/>
  <c r="M91"/>
  <c r="M90"/>
  <c r="M89"/>
  <c r="M87"/>
  <c r="M86"/>
  <c r="M85"/>
  <c r="M84"/>
  <c r="M82"/>
  <c r="M81"/>
  <c r="M80"/>
  <c r="M79"/>
  <c r="M77"/>
  <c r="M76"/>
  <c r="M75"/>
  <c r="M74"/>
  <c r="M60"/>
  <c r="M59"/>
  <c r="M58"/>
  <c r="M57"/>
  <c r="M55"/>
  <c r="M54"/>
  <c r="M53"/>
  <c r="M52"/>
  <c r="M50"/>
  <c r="M49"/>
  <c r="M48"/>
  <c r="M47"/>
  <c r="M45"/>
  <c r="M44"/>
  <c r="M43"/>
  <c r="M42"/>
  <c r="M27"/>
  <c r="M26"/>
  <c r="M25"/>
  <c r="M24"/>
  <c r="M22"/>
  <c r="M21"/>
  <c r="M20"/>
  <c r="M19"/>
  <c r="M17"/>
  <c r="M16"/>
  <c r="M15"/>
  <c r="M14"/>
  <c r="M200" l="1"/>
  <c r="M169"/>
  <c r="M168"/>
  <c r="M137"/>
  <c r="M136"/>
  <c r="M105"/>
  <c r="M104"/>
  <c r="M73"/>
  <c r="M72"/>
  <c r="M41"/>
  <c r="M40"/>
  <c r="M12"/>
  <c r="M11"/>
  <c r="M10"/>
  <c r="M9"/>
  <c r="M7"/>
  <c r="X3300" i="8"/>
  <c r="X3301"/>
  <c r="X3302"/>
  <c r="X3303"/>
  <c r="X3304"/>
  <c r="X3305"/>
  <c r="X3306"/>
  <c r="S3308"/>
  <c r="AG3308" s="1"/>
  <c r="R3308"/>
  <c r="AF3308" s="1"/>
  <c r="S3307"/>
  <c r="AG3307" s="1"/>
  <c r="R3307"/>
  <c r="AF3307" s="1"/>
  <c r="S3306"/>
  <c r="AG3306" s="1"/>
  <c r="R3306"/>
  <c r="AF3306" s="1"/>
  <c r="G3280"/>
  <c r="G3246"/>
  <c r="G3235"/>
  <c r="G3224"/>
  <c r="G3208"/>
  <c r="AG3294"/>
  <c r="R3294"/>
  <c r="AF3294" s="1"/>
  <c r="AG3293"/>
  <c r="R3293"/>
  <c r="AF3293" s="1"/>
  <c r="AG3292"/>
  <c r="R3292"/>
  <c r="AF3292" s="1"/>
  <c r="AG3289"/>
  <c r="R3289"/>
  <c r="AF3289" s="1"/>
  <c r="AG3288"/>
  <c r="R3288"/>
  <c r="AF3288" s="1"/>
  <c r="AG3287"/>
  <c r="R3287"/>
  <c r="AF3287" s="1"/>
  <c r="AG3284"/>
  <c r="R3284"/>
  <c r="AF3284" s="1"/>
  <c r="AG3283"/>
  <c r="R3283"/>
  <c r="AF3283" s="1"/>
  <c r="AG3282"/>
  <c r="R3282"/>
  <c r="AF3282" s="1"/>
  <c r="AG3278"/>
  <c r="R3278"/>
  <c r="AF3278" s="1"/>
  <c r="AG3277"/>
  <c r="R3277"/>
  <c r="AF3277" s="1"/>
  <c r="AG3276"/>
  <c r="R3276"/>
  <c r="AF3276" s="1"/>
  <c r="AG3273"/>
  <c r="R3273"/>
  <c r="AF3273" s="1"/>
  <c r="AG3272"/>
  <c r="R3272"/>
  <c r="AF3272" s="1"/>
  <c r="AG3271"/>
  <c r="R3271"/>
  <c r="AF3271" s="1"/>
  <c r="AG3270"/>
  <c r="R3270"/>
  <c r="AF3270" s="1"/>
  <c r="AG3267"/>
  <c r="R3267"/>
  <c r="AF3267" s="1"/>
  <c r="AG3266"/>
  <c r="R3266"/>
  <c r="AF3266" s="1"/>
  <c r="AG3263"/>
  <c r="R3263"/>
  <c r="AF3263" s="1"/>
  <c r="AG3262"/>
  <c r="R3262"/>
  <c r="AF3262" s="1"/>
  <c r="AG3261"/>
  <c r="R3261"/>
  <c r="AF3261" s="1"/>
  <c r="AG3259"/>
  <c r="R3259"/>
  <c r="AF3259" s="1"/>
  <c r="AG3258"/>
  <c r="R3258"/>
  <c r="AF3258" s="1"/>
  <c r="AG3257"/>
  <c r="R3257"/>
  <c r="AF3257" s="1"/>
  <c r="AG3255"/>
  <c r="R3255"/>
  <c r="AF3255" s="1"/>
  <c r="AG3254"/>
  <c r="R3254"/>
  <c r="AF3254" s="1"/>
  <c r="AG3253"/>
  <c r="R3253"/>
  <c r="AF3253" s="1"/>
  <c r="AA3251"/>
  <c r="X3251"/>
  <c r="S3251"/>
  <c r="AG3251" s="1"/>
  <c r="R3251"/>
  <c r="AF3251" s="1"/>
  <c r="Q3251"/>
  <c r="N3251"/>
  <c r="AG3250"/>
  <c r="R3250"/>
  <c r="AF3250" s="1"/>
  <c r="AG3249"/>
  <c r="R3249"/>
  <c r="AF3249" s="1"/>
  <c r="AG3248"/>
  <c r="R3248"/>
  <c r="AF3248" s="1"/>
  <c r="AA3234"/>
  <c r="X3234"/>
  <c r="S3234"/>
  <c r="AG3234" s="1"/>
  <c r="R3234"/>
  <c r="AF3234" s="1"/>
  <c r="Q3234"/>
  <c r="N3234"/>
  <c r="AG3240"/>
  <c r="R3240"/>
  <c r="AF3240" s="1"/>
  <c r="AG3229"/>
  <c r="R3229"/>
  <c r="AF3229" s="1"/>
  <c r="AA3388"/>
  <c r="AA3387"/>
  <c r="AA3386"/>
  <c r="AA3385"/>
  <c r="AA3384"/>
  <c r="AA3383"/>
  <c r="AA3382"/>
  <c r="AA3381"/>
  <c r="AA3380"/>
  <c r="AA3379"/>
  <c r="AA3378"/>
  <c r="AA3377"/>
  <c r="AA3376"/>
  <c r="AA3375"/>
  <c r="AA3374"/>
  <c r="AA3373"/>
  <c r="AA3372"/>
  <c r="AA3371"/>
  <c r="AA3370"/>
  <c r="AA3369"/>
  <c r="AA3368"/>
  <c r="AA3367"/>
  <c r="AA3366"/>
  <c r="AA3365"/>
  <c r="AA3364"/>
  <c r="AA3363"/>
  <c r="AA3362"/>
  <c r="AA3361"/>
  <c r="AA3360"/>
  <c r="AA3359"/>
  <c r="AA3358"/>
  <c r="AA3357"/>
  <c r="AA3356"/>
  <c r="AA3355"/>
  <c r="AA3354"/>
  <c r="AA3353"/>
  <c r="AA3352"/>
  <c r="AA3351"/>
  <c r="AA3350"/>
  <c r="AA3349"/>
  <c r="AA3348"/>
  <c r="AA3347"/>
  <c r="AA3346"/>
  <c r="AA3345"/>
  <c r="AA3344"/>
  <c r="AA3343"/>
  <c r="AA3342"/>
  <c r="AA3341"/>
  <c r="AA3340"/>
  <c r="AA3339"/>
  <c r="AA3338"/>
  <c r="AA3337"/>
  <c r="AA3336"/>
  <c r="AA3335"/>
  <c r="AA3334"/>
  <c r="AA3333"/>
  <c r="AA3332"/>
  <c r="AA3331"/>
  <c r="AA3330"/>
  <c r="AA3329"/>
  <c r="AA3328"/>
  <c r="AA3327"/>
  <c r="AA3326"/>
  <c r="AA3325"/>
  <c r="AA3324"/>
  <c r="AA3323"/>
  <c r="AA3322"/>
  <c r="AA3321"/>
  <c r="AA3320"/>
  <c r="AA3319"/>
  <c r="AA3318"/>
  <c r="AA3317"/>
  <c r="AA3316"/>
  <c r="AA3315"/>
  <c r="AA3314"/>
  <c r="AA3313"/>
  <c r="AA3312"/>
  <c r="AA3311"/>
  <c r="AA3310"/>
  <c r="AA3309"/>
  <c r="AA3305"/>
  <c r="AA3304"/>
  <c r="AA3303"/>
  <c r="AA3302"/>
  <c r="AA3301"/>
  <c r="AA3300"/>
  <c r="AA3299"/>
  <c r="AA3298"/>
  <c r="AA3297"/>
  <c r="AA3295"/>
  <c r="AA3290"/>
  <c r="AA3285"/>
  <c r="AA3280"/>
  <c r="AA3279"/>
  <c r="AA3274"/>
  <c r="AA3268"/>
  <c r="AA3264"/>
  <c r="AA3260"/>
  <c r="AA3256"/>
  <c r="AA3246"/>
  <c r="AA3245"/>
  <c r="AA3243"/>
  <c r="AA3242"/>
  <c r="AA3241"/>
  <c r="AA3238"/>
  <c r="AA3237"/>
  <c r="AA3236"/>
  <c r="AA3235"/>
  <c r="AA3233"/>
  <c r="AA3232"/>
  <c r="AA3231"/>
  <c r="AA3230"/>
  <c r="AA3228"/>
  <c r="AA3227"/>
  <c r="AA3226"/>
  <c r="AA3225"/>
  <c r="AA3224"/>
  <c r="AA3223"/>
  <c r="AA3222"/>
  <c r="AA3221"/>
  <c r="AA3220"/>
  <c r="AA3219"/>
  <c r="AA3218"/>
  <c r="AA3217"/>
  <c r="AA3216"/>
  <c r="AA3215"/>
  <c r="AA3214"/>
  <c r="AA3213"/>
  <c r="AA3212"/>
  <c r="AA3211"/>
  <c r="AA3210"/>
  <c r="AA3209"/>
  <c r="AA3208"/>
  <c r="AA3207"/>
  <c r="AA3206"/>
  <c r="AA3205"/>
  <c r="AA3204"/>
  <c r="AA3203"/>
  <c r="AA3202"/>
  <c r="AA3201"/>
  <c r="AA3200"/>
  <c r="AA3199"/>
  <c r="AA3198"/>
  <c r="AA3197"/>
  <c r="AA3196"/>
  <c r="AA3195"/>
  <c r="AA3194"/>
  <c r="AA3193"/>
  <c r="AA3192"/>
  <c r="AA3191"/>
  <c r="AA3190"/>
  <c r="AA3189"/>
  <c r="AA3188"/>
  <c r="AA3187"/>
  <c r="AA3186"/>
  <c r="AA3185"/>
  <c r="AA3184"/>
  <c r="AA3183"/>
  <c r="AA3182"/>
  <c r="AA3181"/>
  <c r="AA3180"/>
  <c r="AA3179"/>
  <c r="AA3178"/>
  <c r="AA3177"/>
  <c r="AA3176"/>
  <c r="AA3175"/>
  <c r="AA3174"/>
  <c r="AA3173"/>
  <c r="AA3172"/>
  <c r="AA3171"/>
  <c r="AA3170"/>
  <c r="AA3169"/>
  <c r="AA3168"/>
  <c r="AA3167"/>
  <c r="AA3166"/>
  <c r="AA3165"/>
  <c r="AA3164"/>
  <c r="AA3163"/>
  <c r="AA3162"/>
  <c r="AA3161"/>
  <c r="AA3160"/>
  <c r="AA3159"/>
  <c r="AA3158"/>
  <c r="AA3157"/>
  <c r="AA3156"/>
  <c r="AA3155"/>
  <c r="AA3154"/>
  <c r="AA3153"/>
  <c r="AA3152"/>
  <c r="AA3151"/>
  <c r="AA3150"/>
  <c r="AA3149"/>
  <c r="AA3148"/>
  <c r="AA3147"/>
  <c r="AA3146"/>
  <c r="AA3145"/>
  <c r="AA3144"/>
  <c r="AA3143"/>
  <c r="AA3142"/>
  <c r="AA3141"/>
  <c r="AA3140"/>
  <c r="AA3139"/>
  <c r="AA3138"/>
  <c r="AA3137"/>
  <c r="AA3136"/>
  <c r="AA3135"/>
  <c r="AA3134"/>
  <c r="AA3133"/>
  <c r="AA3132"/>
  <c r="AA3131"/>
  <c r="AA3130"/>
  <c r="AA3129"/>
  <c r="AA3128"/>
  <c r="AA3127"/>
  <c r="AA3126"/>
  <c r="AA3125"/>
  <c r="AA3124"/>
  <c r="AA3123"/>
  <c r="AA3122"/>
  <c r="AA3121"/>
  <c r="AA3120"/>
  <c r="AA3119"/>
  <c r="AA3118"/>
  <c r="AA3117"/>
  <c r="AA3116"/>
  <c r="AA3115"/>
  <c r="AA3114"/>
  <c r="AA3113"/>
  <c r="AA3112"/>
  <c r="AA3111"/>
  <c r="AA3110"/>
  <c r="AA3109"/>
  <c r="AA3108"/>
  <c r="AA3107"/>
  <c r="AA3106"/>
  <c r="AA3105"/>
  <c r="AA3104"/>
  <c r="AA3103"/>
  <c r="AA3102"/>
  <c r="AA3101"/>
  <c r="AA3100"/>
  <c r="AA3099"/>
  <c r="AA3098"/>
  <c r="AA3097"/>
  <c r="AA3096"/>
  <c r="AA3095"/>
  <c r="AA3094"/>
  <c r="AA3093"/>
  <c r="AA3092"/>
  <c r="AA3091"/>
  <c r="AA3090"/>
  <c r="AA3089"/>
  <c r="AA3088"/>
  <c r="AA3087"/>
  <c r="AA3086"/>
  <c r="AA3085"/>
  <c r="AA3084"/>
  <c r="AA3083"/>
  <c r="AA3082"/>
  <c r="AA3081"/>
  <c r="AA3080"/>
  <c r="AA3079"/>
  <c r="AA3078"/>
  <c r="AA3077"/>
  <c r="AA3076"/>
  <c r="AA3075"/>
  <c r="AA3074"/>
  <c r="AA3073"/>
  <c r="AA3072"/>
  <c r="AA3071"/>
  <c r="AA3070"/>
  <c r="AA3069"/>
  <c r="AA3068"/>
  <c r="AA3067"/>
  <c r="AA3066"/>
  <c r="AA3065"/>
  <c r="AA3064"/>
  <c r="AA3063"/>
  <c r="AA3062"/>
  <c r="AA3061"/>
  <c r="AA3060"/>
  <c r="AA3059"/>
  <c r="AA3058"/>
  <c r="AA3057"/>
  <c r="AA3056"/>
  <c r="AA3055"/>
  <c r="AA3054"/>
  <c r="AA3053"/>
  <c r="AA3052"/>
  <c r="AA3051"/>
  <c r="AA3050"/>
  <c r="AA3049"/>
  <c r="AA3048"/>
  <c r="AA3047"/>
  <c r="AA3046"/>
  <c r="AA3045"/>
  <c r="AA3044"/>
  <c r="AA3043"/>
  <c r="AA3042"/>
  <c r="AA3041"/>
  <c r="AA3040"/>
  <c r="AA3039"/>
  <c r="AA3038"/>
  <c r="AA3037"/>
  <c r="AA3036"/>
  <c r="AA3035"/>
  <c r="AA3034"/>
  <c r="AA3033"/>
  <c r="AA3032"/>
  <c r="AA3031"/>
  <c r="AA3030"/>
  <c r="AA3029"/>
  <c r="AA3028"/>
  <c r="AA3027"/>
  <c r="AA3026"/>
  <c r="AA3025"/>
  <c r="AA3024"/>
  <c r="AA3023"/>
  <c r="AA3022"/>
  <c r="AA3021"/>
  <c r="AA3020"/>
  <c r="AA3019"/>
  <c r="AA3018"/>
  <c r="AA3017"/>
  <c r="AA3016"/>
  <c r="AA3015"/>
  <c r="AA3014"/>
  <c r="AA3013"/>
  <c r="AA3012"/>
  <c r="AA3011"/>
  <c r="AA3010"/>
  <c r="AA3009"/>
  <c r="AA3008"/>
  <c r="AA3007"/>
  <c r="AA3006"/>
  <c r="AA3005"/>
  <c r="AA3004"/>
  <c r="AA3003"/>
  <c r="AA3002"/>
  <c r="AA3001"/>
  <c r="AA3000"/>
  <c r="AA2999"/>
  <c r="AA2998"/>
  <c r="AA2997"/>
  <c r="AA2996"/>
  <c r="AA2995"/>
  <c r="AA2994"/>
  <c r="AA2993"/>
  <c r="AA2992"/>
  <c r="AA2991"/>
  <c r="AA2990"/>
  <c r="AA2989"/>
  <c r="AA2988"/>
  <c r="AA2987"/>
  <c r="AA2986"/>
  <c r="AA2985"/>
  <c r="AA2984"/>
  <c r="AA2983"/>
  <c r="AA2982"/>
  <c r="AA2981"/>
  <c r="AA2980"/>
  <c r="AA2979"/>
  <c r="AA2978"/>
  <c r="AA2977"/>
  <c r="AA2976"/>
  <c r="AA2975"/>
  <c r="AA2974"/>
  <c r="AA2973"/>
  <c r="AA2972"/>
  <c r="AA2971"/>
  <c r="AA2970"/>
  <c r="AA2969"/>
  <c r="AA2968"/>
  <c r="AA2967"/>
  <c r="AA2966"/>
  <c r="AA2965"/>
  <c r="AA2964"/>
  <c r="AA2963"/>
  <c r="AA2962"/>
  <c r="AA2961"/>
  <c r="AA2960"/>
  <c r="AA2959"/>
  <c r="AA2958"/>
  <c r="AA2957"/>
  <c r="AA2956"/>
  <c r="AA2955"/>
  <c r="AA2954"/>
  <c r="AA2953"/>
  <c r="AA2952"/>
  <c r="AA2951"/>
  <c r="AA2950"/>
  <c r="AA2949"/>
  <c r="AA2948"/>
  <c r="AA2947"/>
  <c r="AA2946"/>
  <c r="AA2945"/>
  <c r="AA2944"/>
  <c r="AA2943"/>
  <c r="AA2942"/>
  <c r="AA2941"/>
  <c r="AA2940"/>
  <c r="AA2939"/>
  <c r="AA2938"/>
  <c r="AA2937"/>
  <c r="AA2936"/>
  <c r="AA2935"/>
  <c r="AA2934"/>
  <c r="AA2933"/>
  <c r="AA2932"/>
  <c r="AA2931"/>
  <c r="AA2930"/>
  <c r="AA2929"/>
  <c r="AA2928"/>
  <c r="AA2927"/>
  <c r="AA2926"/>
  <c r="AA2925"/>
  <c r="AA2924"/>
  <c r="AA2923"/>
  <c r="AA2922"/>
  <c r="AA2921"/>
  <c r="AA2920"/>
  <c r="AA2919"/>
  <c r="AA2918"/>
  <c r="AA2917"/>
  <c r="AA2916"/>
  <c r="AA2915"/>
  <c r="AA2914"/>
  <c r="AA2913"/>
  <c r="AA2912"/>
  <c r="AA2911"/>
  <c r="AA2910"/>
  <c r="AA2909"/>
  <c r="AA2908"/>
  <c r="AA2907"/>
  <c r="AA2906"/>
  <c r="AA2905"/>
  <c r="AA2904"/>
  <c r="AA2903"/>
  <c r="AA2902"/>
  <c r="AA2901"/>
  <c r="AA2900"/>
  <c r="AA2899"/>
  <c r="AA2898"/>
  <c r="AA2897"/>
  <c r="AA2896"/>
  <c r="AA2895"/>
  <c r="AA2894"/>
  <c r="AA2893"/>
  <c r="AA2892"/>
  <c r="AA2891"/>
  <c r="AA2890"/>
  <c r="AA2889"/>
  <c r="AA2888"/>
  <c r="AA2887"/>
  <c r="AA2886"/>
  <c r="AA2885"/>
  <c r="AA2884"/>
  <c r="AA2883"/>
  <c r="AA2882"/>
  <c r="AA2881"/>
  <c r="AA2880"/>
  <c r="AA2879"/>
  <c r="AA2878"/>
  <c r="AA2877"/>
  <c r="AA2876"/>
  <c r="AA2875"/>
  <c r="AA2874"/>
  <c r="AA2873"/>
  <c r="AA2872"/>
  <c r="AA2871"/>
  <c r="AA2870"/>
  <c r="AA2869"/>
  <c r="AA2868"/>
  <c r="AA2867"/>
  <c r="AA2866"/>
  <c r="AA2865"/>
  <c r="AA2864"/>
  <c r="AA2863"/>
  <c r="AA2862"/>
  <c r="AA2861"/>
  <c r="AA2860"/>
  <c r="AA2859"/>
  <c r="AA2858"/>
  <c r="AA2857"/>
  <c r="AA2856"/>
  <c r="AA2855"/>
  <c r="AA2854"/>
  <c r="AA2853"/>
  <c r="AA2852"/>
  <c r="AA2851"/>
  <c r="AA2850"/>
  <c r="AA2849"/>
  <c r="AA2848"/>
  <c r="AA2847"/>
  <c r="AA2846"/>
  <c r="AA2845"/>
  <c r="AA2844"/>
  <c r="AA2843"/>
  <c r="AA2842"/>
  <c r="AA2841"/>
  <c r="AA2840"/>
  <c r="AA2839"/>
  <c r="AA2838"/>
  <c r="AA2837"/>
  <c r="AA2836"/>
  <c r="AA2835"/>
  <c r="AA2834"/>
  <c r="AA2833"/>
  <c r="AA2832"/>
  <c r="AA2831"/>
  <c r="AA2830"/>
  <c r="AA2829"/>
  <c r="AA2828"/>
  <c r="AA2827"/>
  <c r="AA2826"/>
  <c r="AA2825"/>
  <c r="AA2824"/>
  <c r="AA2823"/>
  <c r="AA2822"/>
  <c r="AA2821"/>
  <c r="AA2820"/>
  <c r="AA2819"/>
  <c r="AA2818"/>
  <c r="AA2817"/>
  <c r="AA2816"/>
  <c r="AA2815"/>
  <c r="AA2814"/>
  <c r="AA2813"/>
  <c r="AA2812"/>
  <c r="AA2811"/>
  <c r="AA2810"/>
  <c r="AA2809"/>
  <c r="AA2808"/>
  <c r="AA2807"/>
  <c r="AA2806"/>
  <c r="AA2805"/>
  <c r="AA2804"/>
  <c r="AA2803"/>
  <c r="AA2802"/>
  <c r="AA2801"/>
  <c r="AA2800"/>
  <c r="AA2799"/>
  <c r="AA2798"/>
  <c r="AA2797"/>
  <c r="AA2796"/>
  <c r="AA2795"/>
  <c r="AA2794"/>
  <c r="AA2793"/>
  <c r="AA2792"/>
  <c r="AA2791"/>
  <c r="AA2790"/>
  <c r="AA2789"/>
  <c r="AA2788"/>
  <c r="AA2787"/>
  <c r="AA2786"/>
  <c r="AA2785"/>
  <c r="AA2784"/>
  <c r="AA2783"/>
  <c r="AA2782"/>
  <c r="AA2781"/>
  <c r="AA2780"/>
  <c r="AA2779"/>
  <c r="AA2778"/>
  <c r="AA2777"/>
  <c r="AA2776"/>
  <c r="AA2775"/>
  <c r="AA2774"/>
  <c r="AA2773"/>
  <c r="AA2772"/>
  <c r="AA2771"/>
  <c r="AA2770"/>
  <c r="AA2769"/>
  <c r="AA2768"/>
  <c r="AA2767"/>
  <c r="AA2766"/>
  <c r="AA2765"/>
  <c r="AA2764"/>
  <c r="AA2763"/>
  <c r="AA2762"/>
  <c r="AA2761"/>
  <c r="AA2760"/>
  <c r="AA2759"/>
  <c r="AA2758"/>
  <c r="AA2757"/>
  <c r="AA2756"/>
  <c r="AA2755"/>
  <c r="AA2754"/>
  <c r="AA2753"/>
  <c r="AA2752"/>
  <c r="AA2751"/>
  <c r="AA2750"/>
  <c r="AA2749"/>
  <c r="AA2748"/>
  <c r="AA2747"/>
  <c r="AA2746"/>
  <c r="AA2745"/>
  <c r="AA2744"/>
  <c r="AA2743"/>
  <c r="AA2742"/>
  <c r="AA2741"/>
  <c r="AA2740"/>
  <c r="AA2739"/>
  <c r="AA2738"/>
  <c r="AA2737"/>
  <c r="AA2736"/>
  <c r="AA2735"/>
  <c r="AA2734"/>
  <c r="AA2733"/>
  <c r="AA2732"/>
  <c r="AA2731"/>
  <c r="AA2730"/>
  <c r="AA2729"/>
  <c r="AA2728"/>
  <c r="AA2727"/>
  <c r="AA2726"/>
  <c r="AA2725"/>
  <c r="AA2724"/>
  <c r="AA2723"/>
  <c r="AA2722"/>
  <c r="AA2721"/>
  <c r="AA2720"/>
  <c r="AA2719"/>
  <c r="AA2718"/>
  <c r="AA2717"/>
  <c r="AA2716"/>
  <c r="AA2715"/>
  <c r="AA2714"/>
  <c r="AA2713"/>
  <c r="AA2712"/>
  <c r="AA2711"/>
  <c r="AA2710"/>
  <c r="AA2709"/>
  <c r="AA2708"/>
  <c r="AA2707"/>
  <c r="AA2706"/>
  <c r="AA2705"/>
  <c r="AA2704"/>
  <c r="AA2703"/>
  <c r="AA2702"/>
  <c r="AA2701"/>
  <c r="AA2700"/>
  <c r="AA2699"/>
  <c r="AA2698"/>
  <c r="AA2697"/>
  <c r="AA2696"/>
  <c r="AA2695"/>
  <c r="AA2694"/>
  <c r="AA2693"/>
  <c r="AA2692"/>
  <c r="AA2691"/>
  <c r="AA2690"/>
  <c r="AA2689"/>
  <c r="AA2688"/>
  <c r="AA2687"/>
  <c r="AA2686"/>
  <c r="AA2685"/>
  <c r="AA2684"/>
  <c r="AA2683"/>
  <c r="AA2682"/>
  <c r="AA2681"/>
  <c r="AA2680"/>
  <c r="AA2679"/>
  <c r="AA2678"/>
  <c r="AA2677"/>
  <c r="AA2676"/>
  <c r="AA2675"/>
  <c r="AA2674"/>
  <c r="AA2673"/>
  <c r="AA2672"/>
  <c r="AA2671"/>
  <c r="AA2670"/>
  <c r="AA2669"/>
  <c r="AA2668"/>
  <c r="AA2667"/>
  <c r="AA2666"/>
  <c r="AA2665"/>
  <c r="AA2664"/>
  <c r="AA2663"/>
  <c r="AA2662"/>
  <c r="AA2661"/>
  <c r="AA2660"/>
  <c r="AA2659"/>
  <c r="AA2658"/>
  <c r="AA2657"/>
  <c r="AA2656"/>
  <c r="AA2655"/>
  <c r="AA2654"/>
  <c r="AA2653"/>
  <c r="AA2652"/>
  <c r="AA2651"/>
  <c r="AA2650"/>
  <c r="AA2649"/>
  <c r="AA2648"/>
  <c r="AA2647"/>
  <c r="AA2646"/>
  <c r="AA2645"/>
  <c r="AA2644"/>
  <c r="AA2643"/>
  <c r="AA2642"/>
  <c r="AA2641"/>
  <c r="AA2640"/>
  <c r="AA2639"/>
  <c r="AA2638"/>
  <c r="AA2637"/>
  <c r="AA2636"/>
  <c r="AA2635"/>
  <c r="AA2634"/>
  <c r="AA2633"/>
  <c r="AA2632"/>
  <c r="AA2631"/>
  <c r="AA2630"/>
  <c r="AA2629"/>
  <c r="AA2628"/>
  <c r="AA2627"/>
  <c r="AA2626"/>
  <c r="AA2625"/>
  <c r="AA2624"/>
  <c r="AA2623"/>
  <c r="AA2622"/>
  <c r="AA2621"/>
  <c r="AA2620"/>
  <c r="AA2619"/>
  <c r="AA2618"/>
  <c r="AA2617"/>
  <c r="AA2616"/>
  <c r="AA2615"/>
  <c r="AA2614"/>
  <c r="AA2613"/>
  <c r="AA2612"/>
  <c r="AA2611"/>
  <c r="AA2610"/>
  <c r="AA2609"/>
  <c r="AA2608"/>
  <c r="AA2607"/>
  <c r="AA2606"/>
  <c r="AA2605"/>
  <c r="AA2604"/>
  <c r="AA2603"/>
  <c r="AA2602"/>
  <c r="AA2601"/>
  <c r="AA2600"/>
  <c r="AA2599"/>
  <c r="AA2598"/>
  <c r="AA2597"/>
  <c r="AA2596"/>
  <c r="AA2595"/>
  <c r="AA2594"/>
  <c r="AA2593"/>
  <c r="AA2592"/>
  <c r="AA2591"/>
  <c r="AA2590"/>
  <c r="AA2589"/>
  <c r="AA2588"/>
  <c r="AA2587"/>
  <c r="AA2586"/>
  <c r="AA2585"/>
  <c r="AA2584"/>
  <c r="AA2583"/>
  <c r="AA2582"/>
  <c r="AA2581"/>
  <c r="AA2580"/>
  <c r="AA2579"/>
  <c r="AA2578"/>
  <c r="AA2577"/>
  <c r="AA2576"/>
  <c r="AA2575"/>
  <c r="AA2574"/>
  <c r="AA2573"/>
  <c r="AA2572"/>
  <c r="AA2571"/>
  <c r="AA2570"/>
  <c r="AA2569"/>
  <c r="AA2568"/>
  <c r="AA2567"/>
  <c r="AA2566"/>
  <c r="AA2565"/>
  <c r="AA2564"/>
  <c r="AA2563"/>
  <c r="AA2562"/>
  <c r="AA2561"/>
  <c r="AA2560"/>
  <c r="AA2559"/>
  <c r="AA2558"/>
  <c r="AA2557"/>
  <c r="AA2556"/>
  <c r="AA2555"/>
  <c r="AA2554"/>
  <c r="AA2553"/>
  <c r="AA2552"/>
  <c r="AA2551"/>
  <c r="AA2550"/>
  <c r="AA2549"/>
  <c r="AA2548"/>
  <c r="AA2547"/>
  <c r="AA2546"/>
  <c r="AA2545"/>
  <c r="AA2544"/>
  <c r="AA2543"/>
  <c r="AA2542"/>
  <c r="AA2541"/>
  <c r="AA2540"/>
  <c r="AA2539"/>
  <c r="AA2538"/>
  <c r="AA2537"/>
  <c r="AA2536"/>
  <c r="AA2535"/>
  <c r="AA2534"/>
  <c r="AA2533"/>
  <c r="AA2532"/>
  <c r="AA2531"/>
  <c r="AA2530"/>
  <c r="AA2529"/>
  <c r="AA2528"/>
  <c r="AA2527"/>
  <c r="AA2526"/>
  <c r="AA2525"/>
  <c r="AA2524"/>
  <c r="AA2523"/>
  <c r="AA2522"/>
  <c r="AA2521"/>
  <c r="AA2520"/>
  <c r="AA2519"/>
  <c r="AA2518"/>
  <c r="AA2517"/>
  <c r="AA2516"/>
  <c r="AA2515"/>
  <c r="AA2514"/>
  <c r="AA2513"/>
  <c r="AA2512"/>
  <c r="AA2511"/>
  <c r="AA2510"/>
  <c r="AA2509"/>
  <c r="AA2508"/>
  <c r="AA2507"/>
  <c r="AA2506"/>
  <c r="AA2505"/>
  <c r="AA2504"/>
  <c r="AA2503"/>
  <c r="AA2502"/>
  <c r="AA2501"/>
  <c r="AA2500"/>
  <c r="AA2499"/>
  <c r="AA2498"/>
  <c r="AA2497"/>
  <c r="AA2496"/>
  <c r="AA2495"/>
  <c r="AA2494"/>
  <c r="AA2493"/>
  <c r="AA2492"/>
  <c r="AA2491"/>
  <c r="AA2490"/>
  <c r="AA2489"/>
  <c r="AA2488"/>
  <c r="AA2487"/>
  <c r="AA2486"/>
  <c r="AA2485"/>
  <c r="AA2484"/>
  <c r="AA2483"/>
  <c r="AA2482"/>
  <c r="AA2481"/>
  <c r="AA2480"/>
  <c r="AA2479"/>
  <c r="AA2478"/>
  <c r="AA2477"/>
  <c r="AA2476"/>
  <c r="AA2475"/>
  <c r="AA2474"/>
  <c r="AA2473"/>
  <c r="AA2472"/>
  <c r="AA2471"/>
  <c r="AA2470"/>
  <c r="AA2469"/>
  <c r="AA2468"/>
  <c r="AA2467"/>
  <c r="AA2466"/>
  <c r="AA2465"/>
  <c r="AA2464"/>
  <c r="AA2463"/>
  <c r="AA2462"/>
  <c r="AA2461"/>
  <c r="AA2460"/>
  <c r="AA2459"/>
  <c r="AA2458"/>
  <c r="AA2457"/>
  <c r="AA2456"/>
  <c r="AA2455"/>
  <c r="AA2454"/>
  <c r="AA2453"/>
  <c r="AA2452"/>
  <c r="AA2451"/>
  <c r="AA2450"/>
  <c r="AA2449"/>
  <c r="AA2448"/>
  <c r="AA2447"/>
  <c r="AA2446"/>
  <c r="AA2445"/>
  <c r="AA2444"/>
  <c r="AA2443"/>
  <c r="AA2442"/>
  <c r="AA2441"/>
  <c r="AA2440"/>
  <c r="AA2439"/>
  <c r="AA2438"/>
  <c r="AA2437"/>
  <c r="AA2436"/>
  <c r="AA2435"/>
  <c r="AA2434"/>
  <c r="AA2433"/>
  <c r="AA2432"/>
  <c r="AA2431"/>
  <c r="AA2430"/>
  <c r="AA2429"/>
  <c r="AA2428"/>
  <c r="AA2427"/>
  <c r="AA2426"/>
  <c r="AA2425"/>
  <c r="AA2424"/>
  <c r="AA2423"/>
  <c r="AA2422"/>
  <c r="AA2421"/>
  <c r="AA2420"/>
  <c r="AA2419"/>
  <c r="AA2418"/>
  <c r="AA2417"/>
  <c r="AA2416"/>
  <c r="AA2415"/>
  <c r="AA2414"/>
  <c r="AA2413"/>
  <c r="AA2412"/>
  <c r="AA2411"/>
  <c r="AA2410"/>
  <c r="AA2409"/>
  <c r="AA2408"/>
  <c r="AA2407"/>
  <c r="AA2406"/>
  <c r="AA2405"/>
  <c r="AA2404"/>
  <c r="AA2403"/>
  <c r="AA2402"/>
  <c r="AA2401"/>
  <c r="AA2400"/>
  <c r="AA2399"/>
  <c r="AA2398"/>
  <c r="AA2397"/>
  <c r="AA2396"/>
  <c r="AA2395"/>
  <c r="AA2394"/>
  <c r="AA2393"/>
  <c r="AA2392"/>
  <c r="AA2391"/>
  <c r="AA2390"/>
  <c r="AA2389"/>
  <c r="AA2388"/>
  <c r="AA2387"/>
  <c r="AA2386"/>
  <c r="AA2385"/>
  <c r="AA2384"/>
  <c r="AA2383"/>
  <c r="AA2382"/>
  <c r="AA2381"/>
  <c r="AA2380"/>
  <c r="AA2379"/>
  <c r="AA2378"/>
  <c r="AA2377"/>
  <c r="AA2376"/>
  <c r="AA2375"/>
  <c r="AA2374"/>
  <c r="AA2373"/>
  <c r="AA2372"/>
  <c r="AA2371"/>
  <c r="AA2370"/>
  <c r="AA2369"/>
  <c r="AA2368"/>
  <c r="AA2367"/>
  <c r="AA2366"/>
  <c r="AA2365"/>
  <c r="AA2364"/>
  <c r="AA2363"/>
  <c r="AA2362"/>
  <c r="AA2361"/>
  <c r="AA2360"/>
  <c r="AA2359"/>
  <c r="AA2358"/>
  <c r="AA2357"/>
  <c r="AA2356"/>
  <c r="AA2355"/>
  <c r="AA2354"/>
  <c r="AA2353"/>
  <c r="AA2352"/>
  <c r="AA2351"/>
  <c r="AA2350"/>
  <c r="AA2349"/>
  <c r="AA2348"/>
  <c r="AA2347"/>
  <c r="AA2346"/>
  <c r="AA2345"/>
  <c r="AA2344"/>
  <c r="AA2343"/>
  <c r="AA2342"/>
  <c r="AA2341"/>
  <c r="AA2340"/>
  <c r="AA2339"/>
  <c r="AA2338"/>
  <c r="AA2337"/>
  <c r="AA2336"/>
  <c r="AA2335"/>
  <c r="AA2334"/>
  <c r="AA2333"/>
  <c r="AA2332"/>
  <c r="AA2331"/>
  <c r="AA2330"/>
  <c r="AA2329"/>
  <c r="AA2328"/>
  <c r="AA2327"/>
  <c r="AA2326"/>
  <c r="AA2325"/>
  <c r="AA2324"/>
  <c r="AA2323"/>
  <c r="AA2322"/>
  <c r="AA2321"/>
  <c r="AA2320"/>
  <c r="AA2319"/>
  <c r="AA2318"/>
  <c r="AA2317"/>
  <c r="AA2316"/>
  <c r="AA2315"/>
  <c r="AA2314"/>
  <c r="AA2313"/>
  <c r="AA2312"/>
  <c r="AA2311"/>
  <c r="AA2310"/>
  <c r="AA2309"/>
  <c r="AA2308"/>
  <c r="AA2307"/>
  <c r="AA2306"/>
  <c r="AA2305"/>
  <c r="AA2304"/>
  <c r="AA2303"/>
  <c r="AA2302"/>
  <c r="AA2301"/>
  <c r="AA2300"/>
  <c r="AA2299"/>
  <c r="AA2298"/>
  <c r="AA2297"/>
  <c r="AA2296"/>
  <c r="AA2295"/>
  <c r="AA2294"/>
  <c r="AA2293"/>
  <c r="AA2292"/>
  <c r="AA2291"/>
  <c r="AA2290"/>
  <c r="AA2289"/>
  <c r="AA2288"/>
  <c r="AA2287"/>
  <c r="AA2286"/>
  <c r="AA2285"/>
  <c r="AA2284"/>
  <c r="AA2283"/>
  <c r="AA2282"/>
  <c r="AA2281"/>
  <c r="AA2280"/>
  <c r="AA2279"/>
  <c r="AA2278"/>
  <c r="AA2277"/>
  <c r="AA2276"/>
  <c r="AA2275"/>
  <c r="AA2274"/>
  <c r="AA2273"/>
  <c r="AA2272"/>
  <c r="AA2271"/>
  <c r="AA2270"/>
  <c r="AA2269"/>
  <c r="AA2268"/>
  <c r="AA2267"/>
  <c r="AA2266"/>
  <c r="AA2265"/>
  <c r="AA2264"/>
  <c r="AA2263"/>
  <c r="AA2262"/>
  <c r="AA2261"/>
  <c r="AA2260"/>
  <c r="AA2259"/>
  <c r="AA2258"/>
  <c r="AA2257"/>
  <c r="AA2256"/>
  <c r="AA2255"/>
  <c r="AA2254"/>
  <c r="AA2253"/>
  <c r="AA2252"/>
  <c r="AA2251"/>
  <c r="AA2250"/>
  <c r="AA2249"/>
  <c r="AA2248"/>
  <c r="AA2247"/>
  <c r="AA2246"/>
  <c r="AA2245"/>
  <c r="AA2244"/>
  <c r="AA2243"/>
  <c r="AA2242"/>
  <c r="AA2241"/>
  <c r="AA2240"/>
  <c r="AA2239"/>
  <c r="AA2238"/>
  <c r="AA2237"/>
  <c r="AA2236"/>
  <c r="AA2235"/>
  <c r="AA2234"/>
  <c r="AA2233"/>
  <c r="AA2232"/>
  <c r="AA2231"/>
  <c r="AA2230"/>
  <c r="AA2229"/>
  <c r="AA2228"/>
  <c r="AA2227"/>
  <c r="AA2226"/>
  <c r="AA2225"/>
  <c r="AA2224"/>
  <c r="AA2223"/>
  <c r="AA2222"/>
  <c r="AA2221"/>
  <c r="AA2220"/>
  <c r="AA2219"/>
  <c r="AA2218"/>
  <c r="AA2217"/>
  <c r="AA2216"/>
  <c r="AA2215"/>
  <c r="AA2214"/>
  <c r="AA2213"/>
  <c r="AA2212"/>
  <c r="AA2211"/>
  <c r="AA2210"/>
  <c r="AA2209"/>
  <c r="AA2208"/>
  <c r="AA2207"/>
  <c r="AA2206"/>
  <c r="AA2205"/>
  <c r="AA2204"/>
  <c r="AA2203"/>
  <c r="AA2202"/>
  <c r="AA2201"/>
  <c r="AA2200"/>
  <c r="AA2199"/>
  <c r="AA2198"/>
  <c r="AA2197"/>
  <c r="AA2196"/>
  <c r="AA2195"/>
  <c r="AA2194"/>
  <c r="AA2193"/>
  <c r="AA2192"/>
  <c r="AA2191"/>
  <c r="AA2190"/>
  <c r="AA2189"/>
  <c r="AA2188"/>
  <c r="AA2187"/>
  <c r="AA2186"/>
  <c r="AA2185"/>
  <c r="AA2184"/>
  <c r="AA2183"/>
  <c r="AA2182"/>
  <c r="AA2181"/>
  <c r="AA2180"/>
  <c r="AA2179"/>
  <c r="AA2178"/>
  <c r="AA2177"/>
  <c r="AA2176"/>
  <c r="AA2175"/>
  <c r="AA2174"/>
  <c r="AA2173"/>
  <c r="AA2172"/>
  <c r="AA2171"/>
  <c r="AA2170"/>
  <c r="AA2169"/>
  <c r="AA2168"/>
  <c r="AA2167"/>
  <c r="AA2166"/>
  <c r="AA2165"/>
  <c r="AA2164"/>
  <c r="AA2163"/>
  <c r="AA2162"/>
  <c r="AA2161"/>
  <c r="AA2160"/>
  <c r="AA2159"/>
  <c r="AA2158"/>
  <c r="AA2157"/>
  <c r="AA2156"/>
  <c r="AA2155"/>
  <c r="AA2154"/>
  <c r="AA2153"/>
  <c r="AA2152"/>
  <c r="AA2151"/>
  <c r="AA2150"/>
  <c r="AA2149"/>
  <c r="AA2148"/>
  <c r="AA2147"/>
  <c r="AA2146"/>
  <c r="AA2145"/>
  <c r="AA2144"/>
  <c r="AA2143"/>
  <c r="AA2142"/>
  <c r="AA2141"/>
  <c r="AA2140"/>
  <c r="AA2139"/>
  <c r="AA2138"/>
  <c r="AA2137"/>
  <c r="AA2136"/>
  <c r="AA2135"/>
  <c r="AA2134"/>
  <c r="AA2133"/>
  <c r="AA2132"/>
  <c r="AA2131"/>
  <c r="AA2130"/>
  <c r="AA2129"/>
  <c r="AA2128"/>
  <c r="AA2127"/>
  <c r="AA2126"/>
  <c r="AA2125"/>
  <c r="AA2124"/>
  <c r="AA2123"/>
  <c r="AA2122"/>
  <c r="AA2121"/>
  <c r="AA2120"/>
  <c r="AA2119"/>
  <c r="AA2118"/>
  <c r="AA2117"/>
  <c r="AA2116"/>
  <c r="AA2115"/>
  <c r="AA2114"/>
  <c r="AA2113"/>
  <c r="AA2112"/>
  <c r="AA2111"/>
  <c r="AA2110"/>
  <c r="AA2109"/>
  <c r="AA2108"/>
  <c r="AA2107"/>
  <c r="AA2106"/>
  <c r="AA2105"/>
  <c r="AA2104"/>
  <c r="AA2103"/>
  <c r="AA2102"/>
  <c r="AA2101"/>
  <c r="AA2100"/>
  <c r="AA2099"/>
  <c r="AA2098"/>
  <c r="AA2097"/>
  <c r="AA2096"/>
  <c r="AA2095"/>
  <c r="AA2094"/>
  <c r="AA2093"/>
  <c r="AA2092"/>
  <c r="AA2091"/>
  <c r="AA2090"/>
  <c r="AA2089"/>
  <c r="AA2088"/>
  <c r="AA2087"/>
  <c r="AA2086"/>
  <c r="AA2085"/>
  <c r="AA2084"/>
  <c r="AA2083"/>
  <c r="AA2082"/>
  <c r="AA2081"/>
  <c r="AA2080"/>
  <c r="AA2079"/>
  <c r="AA2078"/>
  <c r="AA2077"/>
  <c r="AA2076"/>
  <c r="AA2075"/>
  <c r="AA2074"/>
  <c r="AA2073"/>
  <c r="AA2072"/>
  <c r="AA2071"/>
  <c r="AA2070"/>
  <c r="AA2069"/>
  <c r="AA2068"/>
  <c r="AA2067"/>
  <c r="AA2066"/>
  <c r="AA2065"/>
  <c r="AA2064"/>
  <c r="AA2063"/>
  <c r="AA2062"/>
  <c r="AA2061"/>
  <c r="AA2060"/>
  <c r="AA2059"/>
  <c r="AA2058"/>
  <c r="AA2057"/>
  <c r="AA2056"/>
  <c r="AA2055"/>
  <c r="AA2054"/>
  <c r="AA2053"/>
  <c r="AA2052"/>
  <c r="AA2051"/>
  <c r="AA2050"/>
  <c r="AA2049"/>
  <c r="AA2048"/>
  <c r="AA2047"/>
  <c r="AA2046"/>
  <c r="AA2045"/>
  <c r="AA2044"/>
  <c r="AA2043"/>
  <c r="AA2042"/>
  <c r="AA2041"/>
  <c r="AA2040"/>
  <c r="AA2039"/>
  <c r="AA2038"/>
  <c r="AA2037"/>
  <c r="AA2036"/>
  <c r="AA2035"/>
  <c r="AA2034"/>
  <c r="AA2033"/>
  <c r="AA2032"/>
  <c r="AA2031"/>
  <c r="AA2030"/>
  <c r="AA2029"/>
  <c r="AA2028"/>
  <c r="AA2027"/>
  <c r="AA2026"/>
  <c r="AA2025"/>
  <c r="AA2024"/>
  <c r="AA2023"/>
  <c r="AA2022"/>
  <c r="AA2021"/>
  <c r="AA2020"/>
  <c r="AA2019"/>
  <c r="AA2018"/>
  <c r="AA2017"/>
  <c r="AA2016"/>
  <c r="AA2015"/>
  <c r="AA2014"/>
  <c r="AA2013"/>
  <c r="AA2012"/>
  <c r="AA2011"/>
  <c r="AA2010"/>
  <c r="AA2009"/>
  <c r="AA2008"/>
  <c r="AA2007"/>
  <c r="AA2006"/>
  <c r="AA2005"/>
  <c r="AA2004"/>
  <c r="AA2003"/>
  <c r="AA2002"/>
  <c r="AA2001"/>
  <c r="AA2000"/>
  <c r="AA1999"/>
  <c r="AA1998"/>
  <c r="AA1997"/>
  <c r="AA1996"/>
  <c r="AA1995"/>
  <c r="AA1994"/>
  <c r="AA1993"/>
  <c r="AA1992"/>
  <c r="AA1991"/>
  <c r="AA1990"/>
  <c r="AA1989"/>
  <c r="AA1988"/>
  <c r="AA1987"/>
  <c r="AA1986"/>
  <c r="AA1985"/>
  <c r="AA1984"/>
  <c r="AA1983"/>
  <c r="AA1982"/>
  <c r="AA1981"/>
  <c r="AA1980"/>
  <c r="AA1979"/>
  <c r="AA1978"/>
  <c r="AA1977"/>
  <c r="AA1976"/>
  <c r="AA1975"/>
  <c r="AA1974"/>
  <c r="AA1973"/>
  <c r="AA1972"/>
  <c r="AA1971"/>
  <c r="AA1970"/>
  <c r="AA1969"/>
  <c r="AA1968"/>
  <c r="AA1967"/>
  <c r="AA1966"/>
  <c r="AA1965"/>
  <c r="AA1964"/>
  <c r="AA1963"/>
  <c r="AA1962"/>
  <c r="AA1961"/>
  <c r="AA1960"/>
  <c r="AA1959"/>
  <c r="AA1958"/>
  <c r="AA1957"/>
  <c r="AA1956"/>
  <c r="AA1955"/>
  <c r="AA1954"/>
  <c r="AA1953"/>
  <c r="AA1952"/>
  <c r="AA1951"/>
  <c r="AA1950"/>
  <c r="AA1949"/>
  <c r="AA1948"/>
  <c r="AA1947"/>
  <c r="AA1946"/>
  <c r="AA1945"/>
  <c r="AA1944"/>
  <c r="AA1943"/>
  <c r="AA1942"/>
  <c r="AA1941"/>
  <c r="AA1940"/>
  <c r="AA1939"/>
  <c r="AA1938"/>
  <c r="AA1937"/>
  <c r="AA1936"/>
  <c r="AA1935"/>
  <c r="AA1934"/>
  <c r="AA1933"/>
  <c r="AA1932"/>
  <c r="AA1931"/>
  <c r="AA1930"/>
  <c r="AA1929"/>
  <c r="AA1928"/>
  <c r="AA1927"/>
  <c r="AA1926"/>
  <c r="AA1925"/>
  <c r="AA1924"/>
  <c r="AA1923"/>
  <c r="AA1922"/>
  <c r="AA1921"/>
  <c r="AA1920"/>
  <c r="AA1919"/>
  <c r="AA1918"/>
  <c r="AA1917"/>
  <c r="AA1916"/>
  <c r="AA1915"/>
  <c r="AA1914"/>
  <c r="AA1913"/>
  <c r="AA1912"/>
  <c r="AA1911"/>
  <c r="AA1910"/>
  <c r="AA1909"/>
  <c r="AA1908"/>
  <c r="AA1907"/>
  <c r="AA1906"/>
  <c r="AA1905"/>
  <c r="AA1904"/>
  <c r="AA1903"/>
  <c r="AA1902"/>
  <c r="AA1901"/>
  <c r="AA1900"/>
  <c r="AA1899"/>
  <c r="AA1898"/>
  <c r="AA1897"/>
  <c r="AA1896"/>
  <c r="AA1895"/>
  <c r="AA1894"/>
  <c r="AA1893"/>
  <c r="AA1892"/>
  <c r="AA1891"/>
  <c r="AA1890"/>
  <c r="AA1889"/>
  <c r="AA1888"/>
  <c r="AA1887"/>
  <c r="AA1886"/>
  <c r="AA1885"/>
  <c r="AA1884"/>
  <c r="AA1883"/>
  <c r="AA1882"/>
  <c r="AA1881"/>
  <c r="AA1880"/>
  <c r="AA1879"/>
  <c r="AA1878"/>
  <c r="AA1877"/>
  <c r="AA1876"/>
  <c r="AA1875"/>
  <c r="AA1874"/>
  <c r="AA1873"/>
  <c r="AA1872"/>
  <c r="AA1871"/>
  <c r="AA1870"/>
  <c r="AA1869"/>
  <c r="AA1868"/>
  <c r="AA1867"/>
  <c r="AA1866"/>
  <c r="AA1865"/>
  <c r="AA1864"/>
  <c r="AA1863"/>
  <c r="AA1862"/>
  <c r="AA1861"/>
  <c r="AA1860"/>
  <c r="AA1859"/>
  <c r="AA1858"/>
  <c r="AA1857"/>
  <c r="AA1856"/>
  <c r="AA1855"/>
  <c r="AA1854"/>
  <c r="AA1853"/>
  <c r="AA1852"/>
  <c r="AA1851"/>
  <c r="AA1850"/>
  <c r="AA1849"/>
  <c r="AA1848"/>
  <c r="AA1847"/>
  <c r="AA1846"/>
  <c r="AA1845"/>
  <c r="AA1844"/>
  <c r="AA1843"/>
  <c r="AA1842"/>
  <c r="AA1841"/>
  <c r="AA1840"/>
  <c r="AA1839"/>
  <c r="AA1838"/>
  <c r="AA1837"/>
  <c r="AA1836"/>
  <c r="AA1835"/>
  <c r="AA1834"/>
  <c r="AA1833"/>
  <c r="AA1832"/>
  <c r="AA1831"/>
  <c r="AA1830"/>
  <c r="AA1829"/>
  <c r="AA1828"/>
  <c r="AA1827"/>
  <c r="AA1826"/>
  <c r="AA1825"/>
  <c r="AA1824"/>
  <c r="AA1823"/>
  <c r="AA1822"/>
  <c r="AA1821"/>
  <c r="AA1820"/>
  <c r="AA1819"/>
  <c r="AA1818"/>
  <c r="AA1817"/>
  <c r="AA1816"/>
  <c r="AA1815"/>
  <c r="AA1814"/>
  <c r="AA1813"/>
  <c r="AA1812"/>
  <c r="AA1811"/>
  <c r="AA1810"/>
  <c r="AA1809"/>
  <c r="AA1808"/>
  <c r="AA1807"/>
  <c r="AA1806"/>
  <c r="AA1805"/>
  <c r="AA1804"/>
  <c r="AA1803"/>
  <c r="AA1802"/>
  <c r="AA1801"/>
  <c r="AA1800"/>
  <c r="AA1799"/>
  <c r="AA1798"/>
  <c r="AA1797"/>
  <c r="AA1796"/>
  <c r="AA1795"/>
  <c r="AA1794"/>
  <c r="AA1793"/>
  <c r="AA1792"/>
  <c r="AA1791"/>
  <c r="AA1790"/>
  <c r="AA1789"/>
  <c r="AA1788"/>
  <c r="AA1787"/>
  <c r="AA1786"/>
  <c r="AA1785"/>
  <c r="AA1784"/>
  <c r="AA1783"/>
  <c r="AA1782"/>
  <c r="AA1781"/>
  <c r="AA1780"/>
  <c r="AA1779"/>
  <c r="AA1778"/>
  <c r="AA1777"/>
  <c r="AA1776"/>
  <c r="AA1775"/>
  <c r="AA1774"/>
  <c r="AA1773"/>
  <c r="AA1772"/>
  <c r="AA1771"/>
  <c r="AA1770"/>
  <c r="AA1769"/>
  <c r="AA1768"/>
  <c r="AA1767"/>
  <c r="AA1766"/>
  <c r="AA1765"/>
  <c r="AA1764"/>
  <c r="AA1763"/>
  <c r="AA1762"/>
  <c r="AA1761"/>
  <c r="AA1760"/>
  <c r="AA1759"/>
  <c r="AA1758"/>
  <c r="AA1757"/>
  <c r="AA1756"/>
  <c r="AA1755"/>
  <c r="AA1754"/>
  <c r="AA1753"/>
  <c r="AA1752"/>
  <c r="AA1751"/>
  <c r="AA1750"/>
  <c r="AA1749"/>
  <c r="AA1748"/>
  <c r="AA1747"/>
  <c r="AA1746"/>
  <c r="AA1745"/>
  <c r="AA1744"/>
  <c r="AA1743"/>
  <c r="AA1742"/>
  <c r="AA1741"/>
  <c r="AA1740"/>
  <c r="AA1739"/>
  <c r="AA1738"/>
  <c r="AA1737"/>
  <c r="AA1736"/>
  <c r="AA1735"/>
  <c r="AA1734"/>
  <c r="AA1733"/>
  <c r="AA1732"/>
  <c r="AA1731"/>
  <c r="AA1730"/>
  <c r="AA1729"/>
  <c r="AA1728"/>
  <c r="AA1727"/>
  <c r="AA1726"/>
  <c r="AA1725"/>
  <c r="AA1724"/>
  <c r="AA1723"/>
  <c r="AA1722"/>
  <c r="AA1720"/>
  <c r="AA1719"/>
  <c r="AA1718"/>
  <c r="AA1717"/>
  <c r="AA1716"/>
  <c r="AA1715"/>
  <c r="AA1714"/>
  <c r="AA1713"/>
  <c r="AA1712"/>
  <c r="AA1711"/>
  <c r="AA1710"/>
  <c r="AA1709"/>
  <c r="AA1708"/>
  <c r="AA1707"/>
  <c r="AA1706"/>
  <c r="AA1705"/>
  <c r="AA1704"/>
  <c r="AA1703"/>
  <c r="AA1702"/>
  <c r="AA1701"/>
  <c r="AA1700"/>
  <c r="AA1699"/>
  <c r="AA1698"/>
  <c r="AA1697"/>
  <c r="AA1696"/>
  <c r="AA1695"/>
  <c r="AA1694"/>
  <c r="AA1693"/>
  <c r="AA1692"/>
  <c r="AA1691"/>
  <c r="AA1690"/>
  <c r="AA1689"/>
  <c r="AA1688"/>
  <c r="AA1687"/>
  <c r="AA1686"/>
  <c r="AA1685"/>
  <c r="AA1684"/>
  <c r="AA1683"/>
  <c r="AA1682"/>
  <c r="AA1681"/>
  <c r="AA1680"/>
  <c r="AA1679"/>
  <c r="AA1678"/>
  <c r="AA1677"/>
  <c r="AA1676"/>
  <c r="AA1675"/>
  <c r="AA1674"/>
  <c r="AA1673"/>
  <c r="AA1672"/>
  <c r="AA1671"/>
  <c r="AA1670"/>
  <c r="AA1669"/>
  <c r="AA1668"/>
  <c r="AA1667"/>
  <c r="AA1666"/>
  <c r="AA1665"/>
  <c r="AA1664"/>
  <c r="AA1663"/>
  <c r="AA1662"/>
  <c r="AA1661"/>
  <c r="AA1660"/>
  <c r="AA1659"/>
  <c r="AA1658"/>
  <c r="AA1657"/>
  <c r="AA1656"/>
  <c r="AA1655"/>
  <c r="AA1654"/>
  <c r="AA1653"/>
  <c r="AA1652"/>
  <c r="AA1651"/>
  <c r="AA1650"/>
  <c r="AA1649"/>
  <c r="AA1648"/>
  <c r="AA1647"/>
  <c r="AA1646"/>
  <c r="AA1645"/>
  <c r="AA1644"/>
  <c r="AA1643"/>
  <c r="AA1642"/>
  <c r="AA1641"/>
  <c r="AA1640"/>
  <c r="AA1639"/>
  <c r="AA1638"/>
  <c r="AA1637"/>
  <c r="AA1636"/>
  <c r="AA1635"/>
  <c r="AA1634"/>
  <c r="AA1633"/>
  <c r="AA1632"/>
  <c r="AA1631"/>
  <c r="AA1630"/>
  <c r="AA1629"/>
  <c r="AA1628"/>
  <c r="AA1627"/>
  <c r="AA1626"/>
  <c r="AA1625"/>
  <c r="AA1624"/>
  <c r="AA1623"/>
  <c r="AA1622"/>
  <c r="AA1621"/>
  <c r="AA1620"/>
  <c r="AA1619"/>
  <c r="AA1618"/>
  <c r="AA1617"/>
  <c r="AA1616"/>
  <c r="AA1615"/>
  <c r="AA1614"/>
  <c r="AA1613"/>
  <c r="AA1612"/>
  <c r="AA1611"/>
  <c r="AA1610"/>
  <c r="AA1609"/>
  <c r="AA1608"/>
  <c r="AA1607"/>
  <c r="AA1606"/>
  <c r="AA1605"/>
  <c r="AA1604"/>
  <c r="AA1603"/>
  <c r="AA1602"/>
  <c r="AA1601"/>
  <c r="AA1600"/>
  <c r="AA1599"/>
  <c r="AA1598"/>
  <c r="AA1597"/>
  <c r="AA1596"/>
  <c r="AA1595"/>
  <c r="AA1594"/>
  <c r="AA1593"/>
  <c r="AA1592"/>
  <c r="AA1591"/>
  <c r="AA1590"/>
  <c r="AA1589"/>
  <c r="AA1588"/>
  <c r="AA1587"/>
  <c r="AA1586"/>
  <c r="AA1585"/>
  <c r="AA1584"/>
  <c r="AA1583"/>
  <c r="AA1582"/>
  <c r="AA1581"/>
  <c r="AA1580"/>
  <c r="AA1579"/>
  <c r="AA1578"/>
  <c r="AA1577"/>
  <c r="AA1576"/>
  <c r="AA1575"/>
  <c r="AA1574"/>
  <c r="AA1573"/>
  <c r="AA1572"/>
  <c r="AA1571"/>
  <c r="AA1570"/>
  <c r="AA1569"/>
  <c r="AA1568"/>
  <c r="AA1567"/>
  <c r="AA1566"/>
  <c r="AA1565"/>
  <c r="AA1564"/>
  <c r="AA1563"/>
  <c r="AA1562"/>
  <c r="AA1561"/>
  <c r="AA1560"/>
  <c r="AA1559"/>
  <c r="AA1558"/>
  <c r="AA1557"/>
  <c r="AA1556"/>
  <c r="AA1555"/>
  <c r="AA1554"/>
  <c r="AA1553"/>
  <c r="AA1552"/>
  <c r="AA1551"/>
  <c r="AA1550"/>
  <c r="AA1549"/>
  <c r="AA1548"/>
  <c r="AA1547"/>
  <c r="AA1546"/>
  <c r="AA1545"/>
  <c r="AA1544"/>
  <c r="AA1543"/>
  <c r="AA1542"/>
  <c r="AA1541"/>
  <c r="AA1540"/>
  <c r="AA1539"/>
  <c r="AA1538"/>
  <c r="AA1537"/>
  <c r="AA1536"/>
  <c r="AA1535"/>
  <c r="AA1534"/>
  <c r="AA1533"/>
  <c r="AA1532"/>
  <c r="AA1531"/>
  <c r="AA1530"/>
  <c r="AA1529"/>
  <c r="AA1528"/>
  <c r="AA1527"/>
  <c r="AA1526"/>
  <c r="AA1525"/>
  <c r="AA1524"/>
  <c r="AA1523"/>
  <c r="AA1522"/>
  <c r="AA1521"/>
  <c r="AA1520"/>
  <c r="AA1519"/>
  <c r="AA1518"/>
  <c r="AA1517"/>
  <c r="AA1516"/>
  <c r="AA1515"/>
  <c r="AA1514"/>
  <c r="AA1513"/>
  <c r="AA1512"/>
  <c r="AA1511"/>
  <c r="AA1510"/>
  <c r="AA1509"/>
  <c r="AA1508"/>
  <c r="AA1507"/>
  <c r="AA1506"/>
  <c r="AA1505"/>
  <c r="AA1504"/>
  <c r="AA1503"/>
  <c r="AA1502"/>
  <c r="AA1501"/>
  <c r="AA1500"/>
  <c r="AA1499"/>
  <c r="AA1498"/>
  <c r="AA1497"/>
  <c r="AA1496"/>
  <c r="AA1495"/>
  <c r="AA1494"/>
  <c r="AA1493"/>
  <c r="AA1492"/>
  <c r="AA1491"/>
  <c r="AA1490"/>
  <c r="AA1489"/>
  <c r="AA1488"/>
  <c r="AA1487"/>
  <c r="AA1486"/>
  <c r="AA1485"/>
  <c r="AA1484"/>
  <c r="AA1483"/>
  <c r="AA1482"/>
  <c r="AA1481"/>
  <c r="AA1480"/>
  <c r="AA1479"/>
  <c r="AA1478"/>
  <c r="AA1477"/>
  <c r="AA1476"/>
  <c r="AA1475"/>
  <c r="AA1474"/>
  <c r="AA1473"/>
  <c r="AA1472"/>
  <c r="AA1471"/>
  <c r="AA1470"/>
  <c r="AA1469"/>
  <c r="AA1468"/>
  <c r="AA1467"/>
  <c r="AA1466"/>
  <c r="AA1465"/>
  <c r="AA1464"/>
  <c r="AA1463"/>
  <c r="AA1462"/>
  <c r="AA1461"/>
  <c r="AA1460"/>
  <c r="AA1459"/>
  <c r="AA1458"/>
  <c r="AA1457"/>
  <c r="AA1456"/>
  <c r="AA1455"/>
  <c r="AA1454"/>
  <c r="AA1453"/>
  <c r="AA1452"/>
  <c r="AA1451"/>
  <c r="AA1450"/>
  <c r="AA1449"/>
  <c r="AA1448"/>
  <c r="AA1447"/>
  <c r="AA1446"/>
  <c r="AA1445"/>
  <c r="AA1444"/>
  <c r="AA1443"/>
  <c r="AA1442"/>
  <c r="AA1441"/>
  <c r="AA1440"/>
  <c r="AA1439"/>
  <c r="AA1438"/>
  <c r="AA1437"/>
  <c r="AA1436"/>
  <c r="AA1435"/>
  <c r="AA1434"/>
  <c r="AA1433"/>
  <c r="AA1432"/>
  <c r="AA1431"/>
  <c r="AA1430"/>
  <c r="AA1429"/>
  <c r="AA1428"/>
  <c r="AA1427"/>
  <c r="AA1426"/>
  <c r="AA1425"/>
  <c r="AA1424"/>
  <c r="AA1423"/>
  <c r="AA1422"/>
  <c r="AA1421"/>
  <c r="AA1420"/>
  <c r="AA1419"/>
  <c r="AA1418"/>
  <c r="AA1417"/>
  <c r="AA1416"/>
  <c r="AA1415"/>
  <c r="AA1414"/>
  <c r="AA1413"/>
  <c r="AA1412"/>
  <c r="AA1411"/>
  <c r="AA1410"/>
  <c r="AA1409"/>
  <c r="AA1408"/>
  <c r="AA1407"/>
  <c r="AA1406"/>
  <c r="AA1405"/>
  <c r="AA1404"/>
  <c r="AA1403"/>
  <c r="AA1402"/>
  <c r="AA1401"/>
  <c r="AA1400"/>
  <c r="AA1399"/>
  <c r="AA1398"/>
  <c r="AA1397"/>
  <c r="AA1396"/>
  <c r="AA1395"/>
  <c r="AA1394"/>
  <c r="AA1393"/>
  <c r="AA1392"/>
  <c r="AA1391"/>
  <c r="AA1390"/>
  <c r="AA1389"/>
  <c r="AA1388"/>
  <c r="AA1387"/>
  <c r="AA1386"/>
  <c r="AA1385"/>
  <c r="AA1384"/>
  <c r="AA1383"/>
  <c r="AA1382"/>
  <c r="AA1381"/>
  <c r="AA1380"/>
  <c r="AA1379"/>
  <c r="AA1378"/>
  <c r="AA1377"/>
  <c r="AA1376"/>
  <c r="AA1375"/>
  <c r="AA1374"/>
  <c r="AA1373"/>
  <c r="AA1372"/>
  <c r="AA1371"/>
  <c r="AA1370"/>
  <c r="AA1369"/>
  <c r="AA1368"/>
  <c r="AA1367"/>
  <c r="AA1366"/>
  <c r="AA1365"/>
  <c r="AA1364"/>
  <c r="AA1363"/>
  <c r="AA1362"/>
  <c r="AA1361"/>
  <c r="AA1360"/>
  <c r="AA1359"/>
  <c r="AA1358"/>
  <c r="AA1357"/>
  <c r="AA1356"/>
  <c r="AA1355"/>
  <c r="AA1354"/>
  <c r="AA1353"/>
  <c r="AA1352"/>
  <c r="AA1351"/>
  <c r="AA1350"/>
  <c r="AA1349"/>
  <c r="AA1348"/>
  <c r="AA1347"/>
  <c r="AA1346"/>
  <c r="AA1345"/>
  <c r="AA1344"/>
  <c r="AA1343"/>
  <c r="AA1342"/>
  <c r="AA1341"/>
  <c r="AA1340"/>
  <c r="AA1339"/>
  <c r="AA1338"/>
  <c r="AA1337"/>
  <c r="AA1336"/>
  <c r="AA1335"/>
  <c r="AA1334"/>
  <c r="AA1333"/>
  <c r="AA1332"/>
  <c r="AA1331"/>
  <c r="AA1330"/>
  <c r="AA1329"/>
  <c r="AA1328"/>
  <c r="AA1327"/>
  <c r="AA1326"/>
  <c r="AA1325"/>
  <c r="AA1324"/>
  <c r="AA1323"/>
  <c r="AA1322"/>
  <c r="AA1321"/>
  <c r="AA1320"/>
  <c r="AA1319"/>
  <c r="AA1318"/>
  <c r="AA1317"/>
  <c r="AA1316"/>
  <c r="AA1315"/>
  <c r="AA1314"/>
  <c r="AA1313"/>
  <c r="AA1312"/>
  <c r="AA1311"/>
  <c r="AA1310"/>
  <c r="AA1309"/>
  <c r="AA1308"/>
  <c r="AA1307"/>
  <c r="AA1306"/>
  <c r="AA1305"/>
  <c r="AA1304"/>
  <c r="AA1303"/>
  <c r="AA1302"/>
  <c r="AA1301"/>
  <c r="AA1300"/>
  <c r="AA1299"/>
  <c r="AA1298"/>
  <c r="AA1297"/>
  <c r="AA1296"/>
  <c r="AA1295"/>
  <c r="AA1294"/>
  <c r="AA1293"/>
  <c r="AA1292"/>
  <c r="AA1291"/>
  <c r="AA1290"/>
  <c r="AA1289"/>
  <c r="AA1288"/>
  <c r="AA1287"/>
  <c r="AA1286"/>
  <c r="AA1285"/>
  <c r="AA1284"/>
  <c r="AA1283"/>
  <c r="AA1282"/>
  <c r="AA1281"/>
  <c r="AA1280"/>
  <c r="AA1279"/>
  <c r="AA1278"/>
  <c r="AA1277"/>
  <c r="AA1276"/>
  <c r="AA1275"/>
  <c r="AA1274"/>
  <c r="AA1273"/>
  <c r="AA1272"/>
  <c r="AA1271"/>
  <c r="AA1270"/>
  <c r="AA1269"/>
  <c r="AA1268"/>
  <c r="AA1267"/>
  <c r="AA1266"/>
  <c r="AA1265"/>
  <c r="AA1264"/>
  <c r="AA1263"/>
  <c r="AA1262"/>
  <c r="AA1261"/>
  <c r="AA1260"/>
  <c r="AA1259"/>
  <c r="AA1258"/>
  <c r="AA1257"/>
  <c r="AA1256"/>
  <c r="AA1255"/>
  <c r="AA1254"/>
  <c r="AA1253"/>
  <c r="AA1252"/>
  <c r="AA1251"/>
  <c r="AA1250"/>
  <c r="AA1249"/>
  <c r="AA1248"/>
  <c r="AA1247"/>
  <c r="AA1246"/>
  <c r="AA1245"/>
  <c r="AA1244"/>
  <c r="AA1243"/>
  <c r="AA1242"/>
  <c r="AA1241"/>
  <c r="AA1240"/>
  <c r="AA1239"/>
  <c r="AA1238"/>
  <c r="AA1237"/>
  <c r="AA1236"/>
  <c r="AA1235"/>
  <c r="AA1234"/>
  <c r="AA1233"/>
  <c r="AA1232"/>
  <c r="AA1231"/>
  <c r="AA1230"/>
  <c r="AA1229"/>
  <c r="AA1228"/>
  <c r="AA1227"/>
  <c r="AA1226"/>
  <c r="AA1225"/>
  <c r="AA1224"/>
  <c r="AA1223"/>
  <c r="AA1222"/>
  <c r="AA1221"/>
  <c r="AA1220"/>
  <c r="AA1219"/>
  <c r="AA1218"/>
  <c r="AA1217"/>
  <c r="AA1216"/>
  <c r="AA1215"/>
  <c r="AA1214"/>
  <c r="AA1213"/>
  <c r="AA1212"/>
  <c r="AA1211"/>
  <c r="AA1210"/>
  <c r="AA1209"/>
  <c r="AA1208"/>
  <c r="AA1207"/>
  <c r="AA1206"/>
  <c r="AA1205"/>
  <c r="AA1204"/>
  <c r="AA1203"/>
  <c r="AA1202"/>
  <c r="AA1201"/>
  <c r="AA1200"/>
  <c r="AA1199"/>
  <c r="AA1198"/>
  <c r="AA1197"/>
  <c r="AA1196"/>
  <c r="AA1195"/>
  <c r="AA1194"/>
  <c r="AA1193"/>
  <c r="AA1192"/>
  <c r="AA1191"/>
  <c r="AA1190"/>
  <c r="AA1189"/>
  <c r="AA1188"/>
  <c r="AA1187"/>
  <c r="AA1186"/>
  <c r="AA1185"/>
  <c r="AA1184"/>
  <c r="AA1183"/>
  <c r="AA1182"/>
  <c r="AA1181"/>
  <c r="AA1180"/>
  <c r="AA1179"/>
  <c r="AA1178"/>
  <c r="AA1177"/>
  <c r="AA1176"/>
  <c r="AA1175"/>
  <c r="AA1174"/>
  <c r="AA1173"/>
  <c r="AA1172"/>
  <c r="AA1171"/>
  <c r="AA1170"/>
  <c r="AA1169"/>
  <c r="AA1168"/>
  <c r="AA1167"/>
  <c r="AA1166"/>
  <c r="AA1165"/>
  <c r="AA1164"/>
  <c r="AA1163"/>
  <c r="AA1162"/>
  <c r="AA1161"/>
  <c r="AA1160"/>
  <c r="AA1159"/>
  <c r="AA1158"/>
  <c r="AA1157"/>
  <c r="AA1156"/>
  <c r="AA1155"/>
  <c r="AA1154"/>
  <c r="AA1153"/>
  <c r="AA1152"/>
  <c r="AA1151"/>
  <c r="AA1150"/>
  <c r="AA1149"/>
  <c r="AA1148"/>
  <c r="AA1147"/>
  <c r="AA1146"/>
  <c r="AA1145"/>
  <c r="AA1144"/>
  <c r="AA1143"/>
  <c r="AA1142"/>
  <c r="AA1141"/>
  <c r="AA1140"/>
  <c r="AA1139"/>
  <c r="AA1138"/>
  <c r="AA1137"/>
  <c r="AA1136"/>
  <c r="AA1135"/>
  <c r="AA1134"/>
  <c r="AA1133"/>
  <c r="AA1132"/>
  <c r="AA1131"/>
  <c r="AA1130"/>
  <c r="AA1129"/>
  <c r="AA1128"/>
  <c r="AA1127"/>
  <c r="AA1126"/>
  <c r="AA1125"/>
  <c r="AA1124"/>
  <c r="AA1123"/>
  <c r="AA1122"/>
  <c r="AA1121"/>
  <c r="AA1120"/>
  <c r="AA1119"/>
  <c r="AA1118"/>
  <c r="AA1117"/>
  <c r="AA1116"/>
  <c r="AA1115"/>
  <c r="AA1114"/>
  <c r="AA1113"/>
  <c r="AA1112"/>
  <c r="AA1111"/>
  <c r="AA1110"/>
  <c r="AA1109"/>
  <c r="AA1108"/>
  <c r="AA1107"/>
  <c r="AA1106"/>
  <c r="AA1105"/>
  <c r="AA1104"/>
  <c r="AA1103"/>
  <c r="AA1102"/>
  <c r="AA1101"/>
  <c r="AA1100"/>
  <c r="AA1099"/>
  <c r="AA1098"/>
  <c r="AA1097"/>
  <c r="AA1096"/>
  <c r="AA1095"/>
  <c r="AA1094"/>
  <c r="AA1093"/>
  <c r="AA1092"/>
  <c r="AA1091"/>
  <c r="AA1090"/>
  <c r="AA1089"/>
  <c r="AA1088"/>
  <c r="AA1087"/>
  <c r="AA1086"/>
  <c r="AA1085"/>
  <c r="AA1084"/>
  <c r="AA1083"/>
  <c r="AA1082"/>
  <c r="AA1081"/>
  <c r="AA1080"/>
  <c r="AA1079"/>
  <c r="AA1078"/>
  <c r="AA1077"/>
  <c r="AA1076"/>
  <c r="AA1075"/>
  <c r="AA1074"/>
  <c r="AA1073"/>
  <c r="AA1072"/>
  <c r="AA1071"/>
  <c r="AA1070"/>
  <c r="AA1069"/>
  <c r="AA1068"/>
  <c r="AA1067"/>
  <c r="AA1066"/>
  <c r="AA1065"/>
  <c r="AA1064"/>
  <c r="AA1063"/>
  <c r="AA1062"/>
  <c r="AA1061"/>
  <c r="AA1060"/>
  <c r="AA1059"/>
  <c r="AA1058"/>
  <c r="AA1057"/>
  <c r="AA1056"/>
  <c r="AA1055"/>
  <c r="AA1054"/>
  <c r="AA1053"/>
  <c r="AA1052"/>
  <c r="AA1051"/>
  <c r="AA1050"/>
  <c r="AA1049"/>
  <c r="AA1048"/>
  <c r="AA1047"/>
  <c r="AA1046"/>
  <c r="AA1045"/>
  <c r="AA1043"/>
  <c r="AA1042"/>
  <c r="AA1041"/>
  <c r="AA1040"/>
  <c r="AA1039"/>
  <c r="AA1038"/>
  <c r="AA1037"/>
  <c r="AA1036"/>
  <c r="AA1035"/>
  <c r="AA1034"/>
  <c r="AA1033"/>
  <c r="AA1032"/>
  <c r="AA1031"/>
  <c r="AA1030"/>
  <c r="AA1029"/>
  <c r="AA1028"/>
  <c r="AA1027"/>
  <c r="AA1026"/>
  <c r="AA1025"/>
  <c r="AA1024"/>
  <c r="AA1023"/>
  <c r="AA1022"/>
  <c r="AA1021"/>
  <c r="AA1020"/>
  <c r="AA1019"/>
  <c r="AA1018"/>
  <c r="AA1017"/>
  <c r="AA1016"/>
  <c r="AA1015"/>
  <c r="AA1014"/>
  <c r="AA1013"/>
  <c r="AA1012"/>
  <c r="AA1011"/>
  <c r="AA1010"/>
  <c r="AA1009"/>
  <c r="AA1008"/>
  <c r="AA1007"/>
  <c r="AA1006"/>
  <c r="AA1005"/>
  <c r="AA1004"/>
  <c r="AA1003"/>
  <c r="AA1002"/>
  <c r="AA1001"/>
  <c r="AA1000"/>
  <c r="AA999"/>
  <c r="AA998"/>
  <c r="AA997"/>
  <c r="AA996"/>
  <c r="AA995"/>
  <c r="AA994"/>
  <c r="AA993"/>
  <c r="AA992"/>
  <c r="AA991"/>
  <c r="AA990"/>
  <c r="AA989"/>
  <c r="AA988"/>
  <c r="AA987"/>
  <c r="AA986"/>
  <c r="AA985"/>
  <c r="AA984"/>
  <c r="AA983"/>
  <c r="AA982"/>
  <c r="AA981"/>
  <c r="AA980"/>
  <c r="AA979"/>
  <c r="AA978"/>
  <c r="AA977"/>
  <c r="AA976"/>
  <c r="AA975"/>
  <c r="AA974"/>
  <c r="AA973"/>
  <c r="AA972"/>
  <c r="AA971"/>
  <c r="AA970"/>
  <c r="AA969"/>
  <c r="AA968"/>
  <c r="AA967"/>
  <c r="AA966"/>
  <c r="AA965"/>
  <c r="AA964"/>
  <c r="AA963"/>
  <c r="AA962"/>
  <c r="AA961"/>
  <c r="AA960"/>
  <c r="AA959"/>
  <c r="AA958"/>
  <c r="AA957"/>
  <c r="AA956"/>
  <c r="AA955"/>
  <c r="AA954"/>
  <c r="AA953"/>
  <c r="AA952"/>
  <c r="AA951"/>
  <c r="AA950"/>
  <c r="AA949"/>
  <c r="AA948"/>
  <c r="AA947"/>
  <c r="AA946"/>
  <c r="AA945"/>
  <c r="AA944"/>
  <c r="AA943"/>
  <c r="AA942"/>
  <c r="AA941"/>
  <c r="AA940"/>
  <c r="AA939"/>
  <c r="AA938"/>
  <c r="AA937"/>
  <c r="AA936"/>
  <c r="AA935"/>
  <c r="AA934"/>
  <c r="AA933"/>
  <c r="AA932"/>
  <c r="AA931"/>
  <c r="AA930"/>
  <c r="AA929"/>
  <c r="AA928"/>
  <c r="AA927"/>
  <c r="AA926"/>
  <c r="AA925"/>
  <c r="AA924"/>
  <c r="AA923"/>
  <c r="AA922"/>
  <c r="AA921"/>
  <c r="AA920"/>
  <c r="AA919"/>
  <c r="AA918"/>
  <c r="AA917"/>
  <c r="AA916"/>
  <c r="AA915"/>
  <c r="AA914"/>
  <c r="AA913"/>
  <c r="AA912"/>
  <c r="AA911"/>
  <c r="AA910"/>
  <c r="AA909"/>
  <c r="AA908"/>
  <c r="AA907"/>
  <c r="AA906"/>
  <c r="AA905"/>
  <c r="AA904"/>
  <c r="AA903"/>
  <c r="AA902"/>
  <c r="AA901"/>
  <c r="AA900"/>
  <c r="AA899"/>
  <c r="AA898"/>
  <c r="AA897"/>
  <c r="AA896"/>
  <c r="AA895"/>
  <c r="AA894"/>
  <c r="AA893"/>
  <c r="AA892"/>
  <c r="AA891"/>
  <c r="AA890"/>
  <c r="AA889"/>
  <c r="AA888"/>
  <c r="AA887"/>
  <c r="AA886"/>
  <c r="AA885"/>
  <c r="AA884"/>
  <c r="AA883"/>
  <c r="AA882"/>
  <c r="AA881"/>
  <c r="AA880"/>
  <c r="AA879"/>
  <c r="AA878"/>
  <c r="AA877"/>
  <c r="AA876"/>
  <c r="AA875"/>
  <c r="AA874"/>
  <c r="AA873"/>
  <c r="AA872"/>
  <c r="AA871"/>
  <c r="AA870"/>
  <c r="AA869"/>
  <c r="AA868"/>
  <c r="AA867"/>
  <c r="AA866"/>
  <c r="AA865"/>
  <c r="AA864"/>
  <c r="AA863"/>
  <c r="AA862"/>
  <c r="AA861"/>
  <c r="AA860"/>
  <c r="AA859"/>
  <c r="AA858"/>
  <c r="AA857"/>
  <c r="AA856"/>
  <c r="AA855"/>
  <c r="AA854"/>
  <c r="AA853"/>
  <c r="AA852"/>
  <c r="AA851"/>
  <c r="AA850"/>
  <c r="AA849"/>
  <c r="AA848"/>
  <c r="AA847"/>
  <c r="AA846"/>
  <c r="AA845"/>
  <c r="AA844"/>
  <c r="AA843"/>
  <c r="AA842"/>
  <c r="AA841"/>
  <c r="AA840"/>
  <c r="AA839"/>
  <c r="AA838"/>
  <c r="AA837"/>
  <c r="AA836"/>
  <c r="AA835"/>
  <c r="AA834"/>
  <c r="AA833"/>
  <c r="AA832"/>
  <c r="AA831"/>
  <c r="AA830"/>
  <c r="AA829"/>
  <c r="AA828"/>
  <c r="AA827"/>
  <c r="AA826"/>
  <c r="AA825"/>
  <c r="AA824"/>
  <c r="AA823"/>
  <c r="AA822"/>
  <c r="AA821"/>
  <c r="AA820"/>
  <c r="AA819"/>
  <c r="AA818"/>
  <c r="AA817"/>
  <c r="AA816"/>
  <c r="AA815"/>
  <c r="AA814"/>
  <c r="AA813"/>
  <c r="AA812"/>
  <c r="AA811"/>
  <c r="AA810"/>
  <c r="AA809"/>
  <c r="AA808"/>
  <c r="AA807"/>
  <c r="AA806"/>
  <c r="AA805"/>
  <c r="AA804"/>
  <c r="AA803"/>
  <c r="AA802"/>
  <c r="AA801"/>
  <c r="AA800"/>
  <c r="AA799"/>
  <c r="AA798"/>
  <c r="AA797"/>
  <c r="AA796"/>
  <c r="AA795"/>
  <c r="AA794"/>
  <c r="AA793"/>
  <c r="AA792"/>
  <c r="AA791"/>
  <c r="AA790"/>
  <c r="AA789"/>
  <c r="AA788"/>
  <c r="AA787"/>
  <c r="AA786"/>
  <c r="AA785"/>
  <c r="AA784"/>
  <c r="AA783"/>
  <c r="AA782"/>
  <c r="AA781"/>
  <c r="AA780"/>
  <c r="AA779"/>
  <c r="AA778"/>
  <c r="AA777"/>
  <c r="AA776"/>
  <c r="AA775"/>
  <c r="AA774"/>
  <c r="AA773"/>
  <c r="AA772"/>
  <c r="AA771"/>
  <c r="AA770"/>
  <c r="AA769"/>
  <c r="AA768"/>
  <c r="AA719"/>
  <c r="AA718"/>
  <c r="AA717"/>
  <c r="AA716"/>
  <c r="AA715"/>
  <c r="AA714"/>
  <c r="AA767"/>
  <c r="AA766"/>
  <c r="AA765"/>
  <c r="AA764"/>
  <c r="AA763"/>
  <c r="AA762"/>
  <c r="AA761"/>
  <c r="AA760"/>
  <c r="AA759"/>
  <c r="AA758"/>
  <c r="AA757"/>
  <c r="AA756"/>
  <c r="AA755"/>
  <c r="AA754"/>
  <c r="AA753"/>
  <c r="AA752"/>
  <c r="AA751"/>
  <c r="AA750"/>
  <c r="AA749"/>
  <c r="AA748"/>
  <c r="AA747"/>
  <c r="AA746"/>
  <c r="AA745"/>
  <c r="AA744"/>
  <c r="AA743"/>
  <c r="AA742"/>
  <c r="AA741"/>
  <c r="AA740"/>
  <c r="AA739"/>
  <c r="AA738"/>
  <c r="AA737"/>
  <c r="AA736"/>
  <c r="AA735"/>
  <c r="AA734"/>
  <c r="AA733"/>
  <c r="AA732"/>
  <c r="AA731"/>
  <c r="AA730"/>
  <c r="AA729"/>
  <c r="AA728"/>
  <c r="AA727"/>
  <c r="AA726"/>
  <c r="AA725"/>
  <c r="AA724"/>
  <c r="AA723"/>
  <c r="AA722"/>
  <c r="AA721"/>
  <c r="AA720"/>
  <c r="AA713"/>
  <c r="AA712"/>
  <c r="AA711"/>
  <c r="AA710"/>
  <c r="AA709"/>
  <c r="AA708"/>
  <c r="AA707"/>
  <c r="AA706"/>
  <c r="AA705"/>
  <c r="AA704"/>
  <c r="AA703"/>
  <c r="AA702"/>
  <c r="AA701"/>
  <c r="AA700"/>
  <c r="AA699"/>
  <c r="AA698"/>
  <c r="AA697"/>
  <c r="AA696"/>
  <c r="AA695"/>
  <c r="AA694"/>
  <c r="AA693"/>
  <c r="AA692"/>
  <c r="AA691"/>
  <c r="AA690"/>
  <c r="AA689"/>
  <c r="AA688"/>
  <c r="AA687"/>
  <c r="AA686"/>
  <c r="AA685"/>
  <c r="AA684"/>
  <c r="AA683"/>
  <c r="AA682"/>
  <c r="AA681"/>
  <c r="AA680"/>
  <c r="AA679"/>
  <c r="AA678"/>
  <c r="AA677"/>
  <c r="AA676"/>
  <c r="AA675"/>
  <c r="AA674"/>
  <c r="AA673"/>
  <c r="AA672"/>
  <c r="AA671"/>
  <c r="AA670"/>
  <c r="AA669"/>
  <c r="AA668"/>
  <c r="AA667"/>
  <c r="AA666"/>
  <c r="AA665"/>
  <c r="AA664"/>
  <c r="AA663"/>
  <c r="AA662"/>
  <c r="AA661"/>
  <c r="AA660"/>
  <c r="AA659"/>
  <c r="AA658"/>
  <c r="AA657"/>
  <c r="AA656"/>
  <c r="AA655"/>
  <c r="AA654"/>
  <c r="AA653"/>
  <c r="AA652"/>
  <c r="AA651"/>
  <c r="AA650"/>
  <c r="AA649"/>
  <c r="AA648"/>
  <c r="AA647"/>
  <c r="AA646"/>
  <c r="AA645"/>
  <c r="AA644"/>
  <c r="AA643"/>
  <c r="AA642"/>
  <c r="AA641"/>
  <c r="AA640"/>
  <c r="AA639"/>
  <c r="AA638"/>
  <c r="AA637"/>
  <c r="AA636"/>
  <c r="AA635"/>
  <c r="AA634"/>
  <c r="AA633"/>
  <c r="AA632"/>
  <c r="AA631"/>
  <c r="AA630"/>
  <c r="AA629"/>
  <c r="AA628"/>
  <c r="AA627"/>
  <c r="AA626"/>
  <c r="AA625"/>
  <c r="AA624"/>
  <c r="AA623"/>
  <c r="AA622"/>
  <c r="AA621"/>
  <c r="AA620"/>
  <c r="AA619"/>
  <c r="AA618"/>
  <c r="AA617"/>
  <c r="AA616"/>
  <c r="AA615"/>
  <c r="AA614"/>
  <c r="AA613"/>
  <c r="AA612"/>
  <c r="AA611"/>
  <c r="AA610"/>
  <c r="AA609"/>
  <c r="AA608"/>
  <c r="AA607"/>
  <c r="AA606"/>
  <c r="AA605"/>
  <c r="AA604"/>
  <c r="AA603"/>
  <c r="AA602"/>
  <c r="AA601"/>
  <c r="AA600"/>
  <c r="AA599"/>
  <c r="AA598"/>
  <c r="AA597"/>
  <c r="AA596"/>
  <c r="AA595"/>
  <c r="AA594"/>
  <c r="AA593"/>
  <c r="AA592"/>
  <c r="AA591"/>
  <c r="AA590"/>
  <c r="AA589"/>
  <c r="AA588"/>
  <c r="AA587"/>
  <c r="AA586"/>
  <c r="AA585"/>
  <c r="AA584"/>
  <c r="AA583"/>
  <c r="AA582"/>
  <c r="AA581"/>
  <c r="AA580"/>
  <c r="AA579"/>
  <c r="AA578"/>
  <c r="AA577"/>
  <c r="AA576"/>
  <c r="AA575"/>
  <c r="AA574"/>
  <c r="AA573"/>
  <c r="AA572"/>
  <c r="AA571"/>
  <c r="AA570"/>
  <c r="AA569"/>
  <c r="AA568"/>
  <c r="AA567"/>
  <c r="AA566"/>
  <c r="AA565"/>
  <c r="AA564"/>
  <c r="AA563"/>
  <c r="AA562"/>
  <c r="AA561"/>
  <c r="AA560"/>
  <c r="AA559"/>
  <c r="AA558"/>
  <c r="AA557"/>
  <c r="AA556"/>
  <c r="AA555"/>
  <c r="AA554"/>
  <c r="AA553"/>
  <c r="AA552"/>
  <c r="AA551"/>
  <c r="AA550"/>
  <c r="AA549"/>
  <c r="AA548"/>
  <c r="AA547"/>
  <c r="AA546"/>
  <c r="AA545"/>
  <c r="AA544"/>
  <c r="AA543"/>
  <c r="AA542"/>
  <c r="AA541"/>
  <c r="AA540"/>
  <c r="AA539"/>
  <c r="AA538"/>
  <c r="AA537"/>
  <c r="AA536"/>
  <c r="AA535"/>
  <c r="AA534"/>
  <c r="AA533"/>
  <c r="AA532"/>
  <c r="AA531"/>
  <c r="AA530"/>
  <c r="AA529"/>
  <c r="AA528"/>
  <c r="AA527"/>
  <c r="AA526"/>
  <c r="AA525"/>
  <c r="AA524"/>
  <c r="AA523"/>
  <c r="AA522"/>
  <c r="AA521"/>
  <c r="AA520"/>
  <c r="AA519"/>
  <c r="AA518"/>
  <c r="AA517"/>
  <c r="AA516"/>
  <c r="AA515"/>
  <c r="AA514"/>
  <c r="AA513"/>
  <c r="AA512"/>
  <c r="AA511"/>
  <c r="AA510"/>
  <c r="AA509"/>
  <c r="AA508"/>
  <c r="AA507"/>
  <c r="AA506"/>
  <c r="AA505"/>
  <c r="AA504"/>
  <c r="AA503"/>
  <c r="AA502"/>
  <c r="AA501"/>
  <c r="AA500"/>
  <c r="AA499"/>
  <c r="AA498"/>
  <c r="AA497"/>
  <c r="AA496"/>
  <c r="AA495"/>
  <c r="AA494"/>
  <c r="AA493"/>
  <c r="AA492"/>
  <c r="AA491"/>
  <c r="AA490"/>
  <c r="AA489"/>
  <c r="AA488"/>
  <c r="AA487"/>
  <c r="AA486"/>
  <c r="AA485"/>
  <c r="AA484"/>
  <c r="AA483"/>
  <c r="AA482"/>
  <c r="AA481"/>
  <c r="AA480"/>
  <c r="AA479"/>
  <c r="AA478"/>
  <c r="AA477"/>
  <c r="AA476"/>
  <c r="AA475"/>
  <c r="AA474"/>
  <c r="AA473"/>
  <c r="AA472"/>
  <c r="AA471"/>
  <c r="AA470"/>
  <c r="AA469"/>
  <c r="AA468"/>
  <c r="AA467"/>
  <c r="AA466"/>
  <c r="AA465"/>
  <c r="AA464"/>
  <c r="AA463"/>
  <c r="AA462"/>
  <c r="AA461"/>
  <c r="AA460"/>
  <c r="AA459"/>
  <c r="AA458"/>
  <c r="AA457"/>
  <c r="AA456"/>
  <c r="AA455"/>
  <c r="AA454"/>
  <c r="AA453"/>
  <c r="AA452"/>
  <c r="AA451"/>
  <c r="AA450"/>
  <c r="AA449"/>
  <c r="AA448"/>
  <c r="AA447"/>
  <c r="AA446"/>
  <c r="AA445"/>
  <c r="AA444"/>
  <c r="AA443"/>
  <c r="AA442"/>
  <c r="AA441"/>
  <c r="AA440"/>
  <c r="AA439"/>
  <c r="AA438"/>
  <c r="AA437"/>
  <c r="AA436"/>
  <c r="AA435"/>
  <c r="AA434"/>
  <c r="AA433"/>
  <c r="AA432"/>
  <c r="AA431"/>
  <c r="AA430"/>
  <c r="AA429"/>
  <c r="AA428"/>
  <c r="AA427"/>
  <c r="AA426"/>
  <c r="AA425"/>
  <c r="AA424"/>
  <c r="AA423"/>
  <c r="AA422"/>
  <c r="AA421"/>
  <c r="AA420"/>
  <c r="AA419"/>
  <c r="AA418"/>
  <c r="AA417"/>
  <c r="AA416"/>
  <c r="AA415"/>
  <c r="AA414"/>
  <c r="AA413"/>
  <c r="AA412"/>
  <c r="AA411"/>
  <c r="AA410"/>
  <c r="AA409"/>
  <c r="AA408"/>
  <c r="AA407"/>
  <c r="AA406"/>
  <c r="AA405"/>
  <c r="AA404"/>
  <c r="AA403"/>
  <c r="AA402"/>
  <c r="AA401"/>
  <c r="AA400"/>
  <c r="AA399"/>
  <c r="AA398"/>
  <c r="AA397"/>
  <c r="AA396"/>
  <c r="AA395"/>
  <c r="AA394"/>
  <c r="AA393"/>
  <c r="AA392"/>
  <c r="AA391"/>
  <c r="AA390"/>
  <c r="AA389"/>
  <c r="AA388"/>
  <c r="AA387"/>
  <c r="AA386"/>
  <c r="AA385"/>
  <c r="AA384"/>
  <c r="AA383"/>
  <c r="AA382"/>
  <c r="AA381"/>
  <c r="AA380"/>
  <c r="AA379"/>
  <c r="AA378"/>
  <c r="AA377"/>
  <c r="AA376"/>
  <c r="AA375"/>
  <c r="AA374"/>
  <c r="AA373"/>
  <c r="AA372"/>
  <c r="AA371"/>
  <c r="AA370"/>
  <c r="AA369"/>
  <c r="AA368"/>
  <c r="AA367"/>
  <c r="AA366"/>
  <c r="AA365"/>
  <c r="AA364"/>
  <c r="AA363"/>
  <c r="AA362"/>
  <c r="AA361"/>
  <c r="AA360"/>
  <c r="AA359"/>
  <c r="AA358"/>
  <c r="AA357"/>
  <c r="AA356"/>
  <c r="AA355"/>
  <c r="AA354"/>
  <c r="AA353"/>
  <c r="AA352"/>
  <c r="AA351"/>
  <c r="AA350"/>
  <c r="AA349"/>
  <c r="AA348"/>
  <c r="AA347"/>
  <c r="AA346"/>
  <c r="AA345"/>
  <c r="AA344"/>
  <c r="AA343"/>
  <c r="AA342"/>
  <c r="AA341"/>
  <c r="AA340"/>
  <c r="AA339"/>
  <c r="AA338"/>
  <c r="AA337"/>
  <c r="AA336"/>
  <c r="AA335"/>
  <c r="AA334"/>
  <c r="AA333"/>
  <c r="AA332"/>
  <c r="AA331"/>
  <c r="AA330"/>
  <c r="AA329"/>
  <c r="AA328"/>
  <c r="AA327"/>
  <c r="AA326"/>
  <c r="AA325"/>
  <c r="AA324"/>
  <c r="AA323"/>
  <c r="AA322"/>
  <c r="AA321"/>
  <c r="AA320"/>
  <c r="AA319"/>
  <c r="AA318"/>
  <c r="AA317"/>
  <c r="AA316"/>
  <c r="AA315"/>
  <c r="AA314"/>
  <c r="AA313"/>
  <c r="AA312"/>
  <c r="AA311"/>
  <c r="AA310"/>
  <c r="AA309"/>
  <c r="AA308"/>
  <c r="AA307"/>
  <c r="AA306"/>
  <c r="AA305"/>
  <c r="AA304"/>
  <c r="AA303"/>
  <c r="AA302"/>
  <c r="AA301"/>
  <c r="AA300"/>
  <c r="AA299"/>
  <c r="AA298"/>
  <c r="AA297"/>
  <c r="AA296"/>
  <c r="AA295"/>
  <c r="AA294"/>
  <c r="AA293"/>
  <c r="AA292"/>
  <c r="AA291"/>
  <c r="AA290"/>
  <c r="AA289"/>
  <c r="AA288"/>
  <c r="AA287"/>
  <c r="AA286"/>
  <c r="AA285"/>
  <c r="AA284"/>
  <c r="AA283"/>
  <c r="AA282"/>
  <c r="AA281"/>
  <c r="AA280"/>
  <c r="AA279"/>
  <c r="AA278"/>
  <c r="AA277"/>
  <c r="AA276"/>
  <c r="AA275"/>
  <c r="AA274"/>
  <c r="AA273"/>
  <c r="AA272"/>
  <c r="AA271"/>
  <c r="AA270"/>
  <c r="AA269"/>
  <c r="AA268"/>
  <c r="AA267"/>
  <c r="AA266"/>
  <c r="AA265"/>
  <c r="AA264"/>
  <c r="AA263"/>
  <c r="AA262"/>
  <c r="AA261"/>
  <c r="AA260"/>
  <c r="AA259"/>
  <c r="AA258"/>
  <c r="AA257"/>
  <c r="AA256"/>
  <c r="AA255"/>
  <c r="AA254"/>
  <c r="AA253"/>
  <c r="AA252"/>
  <c r="AA251"/>
  <c r="AA250"/>
  <c r="AA249"/>
  <c r="AA248"/>
  <c r="AA247"/>
  <c r="AA246"/>
  <c r="AA245"/>
  <c r="AA244"/>
  <c r="AA243"/>
  <c r="AA242"/>
  <c r="AA241"/>
  <c r="AA240"/>
  <c r="AA239"/>
  <c r="AA238"/>
  <c r="AA237"/>
  <c r="AA236"/>
  <c r="AA235"/>
  <c r="AA234"/>
  <c r="AA233"/>
  <c r="AA232"/>
  <c r="AA231"/>
  <c r="AA230"/>
  <c r="AA229"/>
  <c r="AA228"/>
  <c r="AA227"/>
  <c r="AA226"/>
  <c r="AA225"/>
  <c r="AA224"/>
  <c r="AA223"/>
  <c r="AA222"/>
  <c r="AA221"/>
  <c r="AA220"/>
  <c r="AA219"/>
  <c r="AA218"/>
  <c r="AA217"/>
  <c r="AA216"/>
  <c r="AA215"/>
  <c r="AA214"/>
  <c r="AA213"/>
  <c r="AA212"/>
  <c r="AA211"/>
  <c r="AA210"/>
  <c r="AA209"/>
  <c r="AA208"/>
  <c r="AA207"/>
  <c r="AA206"/>
  <c r="AA205"/>
  <c r="AA204"/>
  <c r="AA203"/>
  <c r="AA202"/>
  <c r="AA201"/>
  <c r="AA200"/>
  <c r="AA199"/>
  <c r="AA198"/>
  <c r="AA197"/>
  <c r="AA196"/>
  <c r="AA195"/>
  <c r="AA194"/>
  <c r="AA193"/>
  <c r="AA192"/>
  <c r="AA191"/>
  <c r="AA190"/>
  <c r="AA189"/>
  <c r="AA188"/>
  <c r="AA187"/>
  <c r="AA186"/>
  <c r="AA185"/>
  <c r="AA184"/>
  <c r="AA183"/>
  <c r="AA182"/>
  <c r="AA181"/>
  <c r="AA180"/>
  <c r="AA179"/>
  <c r="AA178"/>
  <c r="AA177"/>
  <c r="AA176"/>
  <c r="AA175"/>
  <c r="AA174"/>
  <c r="AA173"/>
  <c r="AA172"/>
  <c r="AA171"/>
  <c r="AA170"/>
  <c r="AA169"/>
  <c r="AA168"/>
  <c r="AA167"/>
  <c r="AA166"/>
  <c r="AA165"/>
  <c r="AA164"/>
  <c r="AA163"/>
  <c r="AA162"/>
  <c r="AA161"/>
  <c r="AA160"/>
  <c r="AA159"/>
  <c r="AA158"/>
  <c r="AA157"/>
  <c r="AA15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AA10"/>
  <c r="X3388"/>
  <c r="X3387"/>
  <c r="X3386"/>
  <c r="X3385"/>
  <c r="X3384"/>
  <c r="X3383"/>
  <c r="X3382"/>
  <c r="X3381"/>
  <c r="X3380"/>
  <c r="X3379"/>
  <c r="X3378"/>
  <c r="X3377"/>
  <c r="X3376"/>
  <c r="X3375"/>
  <c r="X3374"/>
  <c r="X3373"/>
  <c r="X3372"/>
  <c r="X3371"/>
  <c r="X3370"/>
  <c r="X3369"/>
  <c r="X3368"/>
  <c r="X3367"/>
  <c r="X3366"/>
  <c r="X3365"/>
  <c r="X3364"/>
  <c r="X3363"/>
  <c r="X3362"/>
  <c r="X3361"/>
  <c r="X3360"/>
  <c r="X3359"/>
  <c r="X3358"/>
  <c r="X3357"/>
  <c r="X3356"/>
  <c r="X3355"/>
  <c r="X3354"/>
  <c r="X3353"/>
  <c r="X3352"/>
  <c r="X3351"/>
  <c r="X3350"/>
  <c r="X3349"/>
  <c r="X3348"/>
  <c r="X3347"/>
  <c r="X3346"/>
  <c r="X3345"/>
  <c r="X3344"/>
  <c r="X3343"/>
  <c r="X3342"/>
  <c r="X3341"/>
  <c r="X3340"/>
  <c r="X3339"/>
  <c r="X3338"/>
  <c r="X3337"/>
  <c r="X3336"/>
  <c r="X3335"/>
  <c r="X3334"/>
  <c r="X3333"/>
  <c r="X3332"/>
  <c r="X3331"/>
  <c r="X3330"/>
  <c r="X3329"/>
  <c r="X3328"/>
  <c r="X3327"/>
  <c r="X3326"/>
  <c r="X3325"/>
  <c r="X3324"/>
  <c r="X3323"/>
  <c r="X3322"/>
  <c r="X3321"/>
  <c r="X3320"/>
  <c r="X3319"/>
  <c r="X3318"/>
  <c r="X3317"/>
  <c r="X3316"/>
  <c r="X3315"/>
  <c r="X3314"/>
  <c r="X3313"/>
  <c r="X3312"/>
  <c r="X3311"/>
  <c r="X3310"/>
  <c r="X3309"/>
  <c r="X3299"/>
  <c r="X3298"/>
  <c r="X3297"/>
  <c r="X3295"/>
  <c r="X3290"/>
  <c r="X3285"/>
  <c r="X3280"/>
  <c r="X3279"/>
  <c r="X3274"/>
  <c r="X3268"/>
  <c r="X3264"/>
  <c r="X3260"/>
  <c r="X3256"/>
  <c r="X3246"/>
  <c r="X3245"/>
  <c r="X3243"/>
  <c r="X3242"/>
  <c r="X3241"/>
  <c r="X3238"/>
  <c r="X3237"/>
  <c r="X3236"/>
  <c r="X3235"/>
  <c r="X3233"/>
  <c r="X3232"/>
  <c r="X3231"/>
  <c r="X3230"/>
  <c r="X3228"/>
  <c r="X3227"/>
  <c r="X3226"/>
  <c r="X3225"/>
  <c r="X3224"/>
  <c r="X3223"/>
  <c r="X3222"/>
  <c r="X3221"/>
  <c r="X3220"/>
  <c r="X3219"/>
  <c r="X3218"/>
  <c r="X3217"/>
  <c r="X3216"/>
  <c r="X3215"/>
  <c r="X3214"/>
  <c r="X3213"/>
  <c r="X3212"/>
  <c r="X3211"/>
  <c r="X3210"/>
  <c r="X3209"/>
  <c r="X3208"/>
  <c r="X3207"/>
  <c r="X3206"/>
  <c r="X3205"/>
  <c r="X3204"/>
  <c r="X3203"/>
  <c r="X3202"/>
  <c r="X3201"/>
  <c r="X3200"/>
  <c r="X3199"/>
  <c r="X3198"/>
  <c r="X3197"/>
  <c r="X3196"/>
  <c r="X3195"/>
  <c r="X3194"/>
  <c r="X3193"/>
  <c r="X3192"/>
  <c r="X3191"/>
  <c r="X3190"/>
  <c r="X3189"/>
  <c r="X3188"/>
  <c r="X3187"/>
  <c r="X3186"/>
  <c r="X3185"/>
  <c r="X3184"/>
  <c r="X3183"/>
  <c r="X3182"/>
  <c r="X3181"/>
  <c r="X3180"/>
  <c r="X3179"/>
  <c r="X3178"/>
  <c r="X3177"/>
  <c r="X3176"/>
  <c r="X3175"/>
  <c r="X3174"/>
  <c r="X3173"/>
  <c r="X3172"/>
  <c r="X3171"/>
  <c r="X3170"/>
  <c r="X3169"/>
  <c r="X3168"/>
  <c r="X3167"/>
  <c r="X3166"/>
  <c r="X3165"/>
  <c r="X3164"/>
  <c r="X3163"/>
  <c r="X3162"/>
  <c r="X3161"/>
  <c r="X3160"/>
  <c r="X3159"/>
  <c r="X3158"/>
  <c r="X3157"/>
  <c r="X3156"/>
  <c r="X3155"/>
  <c r="X3154"/>
  <c r="X3153"/>
  <c r="X3152"/>
  <c r="X3151"/>
  <c r="X3150"/>
  <c r="X3149"/>
  <c r="X3148"/>
  <c r="X3147"/>
  <c r="X3146"/>
  <c r="X3145"/>
  <c r="X3144"/>
  <c r="X3143"/>
  <c r="X3142"/>
  <c r="X3141"/>
  <c r="X3140"/>
  <c r="X3139"/>
  <c r="X3138"/>
  <c r="X3137"/>
  <c r="X3136"/>
  <c r="X3135"/>
  <c r="X3134"/>
  <c r="X3133"/>
  <c r="X3132"/>
  <c r="X3131"/>
  <c r="X3130"/>
  <c r="X3129"/>
  <c r="X3128"/>
  <c r="X3127"/>
  <c r="X3126"/>
  <c r="X3125"/>
  <c r="X3124"/>
  <c r="X3123"/>
  <c r="X3122"/>
  <c r="X3121"/>
  <c r="X3120"/>
  <c r="X3119"/>
  <c r="X3118"/>
  <c r="X3117"/>
  <c r="X3116"/>
  <c r="X3115"/>
  <c r="X3114"/>
  <c r="X3113"/>
  <c r="X3112"/>
  <c r="X3111"/>
  <c r="X3110"/>
  <c r="X3109"/>
  <c r="X3108"/>
  <c r="X3107"/>
  <c r="X3106"/>
  <c r="X3105"/>
  <c r="X3104"/>
  <c r="X3103"/>
  <c r="X3102"/>
  <c r="X3101"/>
  <c r="X3100"/>
  <c r="X3099"/>
  <c r="X3098"/>
  <c r="X3097"/>
  <c r="X3096"/>
  <c r="X3095"/>
  <c r="X3094"/>
  <c r="X3093"/>
  <c r="X3092"/>
  <c r="X3091"/>
  <c r="X3090"/>
  <c r="X3089"/>
  <c r="X3088"/>
  <c r="X3087"/>
  <c r="X3086"/>
  <c r="X3085"/>
  <c r="X3084"/>
  <c r="X3083"/>
  <c r="X3082"/>
  <c r="X3081"/>
  <c r="X3080"/>
  <c r="X3079"/>
  <c r="X3078"/>
  <c r="X3077"/>
  <c r="X3076"/>
  <c r="X3075"/>
  <c r="X3074"/>
  <c r="X3073"/>
  <c r="X3072"/>
  <c r="X3071"/>
  <c r="X3070"/>
  <c r="X3069"/>
  <c r="X3068"/>
  <c r="X3067"/>
  <c r="X3066"/>
  <c r="X3065"/>
  <c r="X3064"/>
  <c r="X3063"/>
  <c r="X3062"/>
  <c r="X3061"/>
  <c r="X3060"/>
  <c r="X3059"/>
  <c r="X3058"/>
  <c r="X3057"/>
  <c r="X3056"/>
  <c r="X3055"/>
  <c r="X3054"/>
  <c r="X3053"/>
  <c r="X3052"/>
  <c r="X3051"/>
  <c r="X3050"/>
  <c r="X3049"/>
  <c r="X3048"/>
  <c r="X3047"/>
  <c r="X3046"/>
  <c r="X3045"/>
  <c r="X3044"/>
  <c r="X3043"/>
  <c r="X3042"/>
  <c r="X3041"/>
  <c r="X3040"/>
  <c r="X3039"/>
  <c r="X3038"/>
  <c r="X3037"/>
  <c r="X3036"/>
  <c r="X3035"/>
  <c r="X3034"/>
  <c r="X3033"/>
  <c r="X3032"/>
  <c r="X3031"/>
  <c r="X3030"/>
  <c r="X3029"/>
  <c r="X3028"/>
  <c r="X3027"/>
  <c r="X3026"/>
  <c r="X3025"/>
  <c r="X3024"/>
  <c r="X3023"/>
  <c r="X3022"/>
  <c r="X3021"/>
  <c r="X3020"/>
  <c r="X3019"/>
  <c r="X3018"/>
  <c r="X3017"/>
  <c r="X3016"/>
  <c r="X3015"/>
  <c r="X3014"/>
  <c r="X3013"/>
  <c r="X3012"/>
  <c r="X3011"/>
  <c r="X3010"/>
  <c r="X3009"/>
  <c r="X3008"/>
  <c r="X3007"/>
  <c r="X3006"/>
  <c r="X3005"/>
  <c r="X3004"/>
  <c r="X3003"/>
  <c r="X3002"/>
  <c r="X3001"/>
  <c r="X3000"/>
  <c r="X2999"/>
  <c r="X2998"/>
  <c r="X2997"/>
  <c r="X2996"/>
  <c r="X2995"/>
  <c r="X2994"/>
  <c r="X2993"/>
  <c r="X2992"/>
  <c r="X2991"/>
  <c r="X2990"/>
  <c r="X2989"/>
  <c r="X2988"/>
  <c r="X2987"/>
  <c r="X2986"/>
  <c r="X2985"/>
  <c r="X2984"/>
  <c r="X2983"/>
  <c r="X2982"/>
  <c r="X2981"/>
  <c r="X2980"/>
  <c r="X2979"/>
  <c r="X2978"/>
  <c r="X2977"/>
  <c r="X2976"/>
  <c r="X2975"/>
  <c r="X2974"/>
  <c r="X2973"/>
  <c r="X2972"/>
  <c r="X2971"/>
  <c r="X2970"/>
  <c r="X2969"/>
  <c r="X2968"/>
  <c r="X2967"/>
  <c r="X2966"/>
  <c r="X2965"/>
  <c r="X2964"/>
  <c r="X2963"/>
  <c r="X2962"/>
  <c r="X2961"/>
  <c r="X2960"/>
  <c r="X2959"/>
  <c r="X2958"/>
  <c r="X2957"/>
  <c r="X2956"/>
  <c r="X2955"/>
  <c r="X2954"/>
  <c r="X2953"/>
  <c r="X2952"/>
  <c r="X2951"/>
  <c r="X2950"/>
  <c r="X2949"/>
  <c r="X2948"/>
  <c r="X2947"/>
  <c r="X2946"/>
  <c r="X2945"/>
  <c r="X2944"/>
  <c r="X2943"/>
  <c r="X2942"/>
  <c r="X2941"/>
  <c r="X2940"/>
  <c r="X2939"/>
  <c r="X2938"/>
  <c r="X2937"/>
  <c r="X2936"/>
  <c r="X2935"/>
  <c r="X2934"/>
  <c r="X2933"/>
  <c r="X2932"/>
  <c r="X2931"/>
  <c r="X2930"/>
  <c r="X2929"/>
  <c r="X2928"/>
  <c r="X2927"/>
  <c r="X2926"/>
  <c r="X2925"/>
  <c r="X2924"/>
  <c r="X2923"/>
  <c r="X2922"/>
  <c r="X2921"/>
  <c r="X2920"/>
  <c r="X2919"/>
  <c r="X2918"/>
  <c r="X2917"/>
  <c r="X2916"/>
  <c r="X2915"/>
  <c r="X2914"/>
  <c r="X2913"/>
  <c r="X2912"/>
  <c r="X2911"/>
  <c r="X2910"/>
  <c r="X2909"/>
  <c r="X2908"/>
  <c r="X2907"/>
  <c r="X2906"/>
  <c r="X2905"/>
  <c r="X2904"/>
  <c r="X2903"/>
  <c r="X2902"/>
  <c r="X2901"/>
  <c r="X2900"/>
  <c r="X2899"/>
  <c r="X2898"/>
  <c r="X2897"/>
  <c r="X2896"/>
  <c r="X2895"/>
  <c r="X2894"/>
  <c r="X2893"/>
  <c r="X2892"/>
  <c r="X2891"/>
  <c r="X2890"/>
  <c r="X2889"/>
  <c r="X2888"/>
  <c r="X2887"/>
  <c r="X2886"/>
  <c r="X2885"/>
  <c r="X2884"/>
  <c r="X2883"/>
  <c r="X2882"/>
  <c r="X2881"/>
  <c r="X2880"/>
  <c r="X2879"/>
  <c r="X2878"/>
  <c r="X2877"/>
  <c r="X2876"/>
  <c r="X2875"/>
  <c r="X2874"/>
  <c r="X2873"/>
  <c r="X2872"/>
  <c r="X2871"/>
  <c r="X2870"/>
  <c r="X2869"/>
  <c r="X2868"/>
  <c r="X2867"/>
  <c r="X2866"/>
  <c r="X2865"/>
  <c r="X2864"/>
  <c r="X2863"/>
  <c r="X2862"/>
  <c r="X2861"/>
  <c r="X2860"/>
  <c r="X2859"/>
  <c r="X2858"/>
  <c r="X2857"/>
  <c r="X2856"/>
  <c r="X2855"/>
  <c r="X2854"/>
  <c r="X2853"/>
  <c r="X2852"/>
  <c r="X2851"/>
  <c r="X2850"/>
  <c r="X2849"/>
  <c r="X2848"/>
  <c r="X2847"/>
  <c r="X2846"/>
  <c r="X2845"/>
  <c r="X2844"/>
  <c r="X2843"/>
  <c r="X2842"/>
  <c r="X2841"/>
  <c r="X2840"/>
  <c r="X2839"/>
  <c r="X2838"/>
  <c r="X2837"/>
  <c r="X2836"/>
  <c r="X2835"/>
  <c r="X2834"/>
  <c r="X2833"/>
  <c r="X2832"/>
  <c r="X2831"/>
  <c r="X2830"/>
  <c r="X2829"/>
  <c r="X2828"/>
  <c r="X2827"/>
  <c r="X2826"/>
  <c r="X2825"/>
  <c r="X2824"/>
  <c r="X2823"/>
  <c r="X2822"/>
  <c r="X2821"/>
  <c r="X2820"/>
  <c r="X2819"/>
  <c r="X2818"/>
  <c r="X2817"/>
  <c r="X2816"/>
  <c r="X2815"/>
  <c r="X2814"/>
  <c r="X2813"/>
  <c r="X2812"/>
  <c r="X2811"/>
  <c r="X2810"/>
  <c r="X2809"/>
  <c r="X2808"/>
  <c r="X2807"/>
  <c r="X2806"/>
  <c r="X2805"/>
  <c r="X2804"/>
  <c r="X2803"/>
  <c r="X2802"/>
  <c r="X2801"/>
  <c r="X2800"/>
  <c r="X2799"/>
  <c r="X2798"/>
  <c r="X2797"/>
  <c r="X2796"/>
  <c r="X2795"/>
  <c r="X2794"/>
  <c r="X2793"/>
  <c r="X2792"/>
  <c r="X2791"/>
  <c r="X2790"/>
  <c r="X2789"/>
  <c r="X2788"/>
  <c r="X2787"/>
  <c r="X2786"/>
  <c r="X2785"/>
  <c r="X2784"/>
  <c r="X2783"/>
  <c r="X2782"/>
  <c r="X2781"/>
  <c r="X2780"/>
  <c r="X2779"/>
  <c r="X2778"/>
  <c r="X2777"/>
  <c r="X2776"/>
  <c r="X2775"/>
  <c r="X2774"/>
  <c r="X2773"/>
  <c r="X2772"/>
  <c r="X2771"/>
  <c r="X2770"/>
  <c r="X2769"/>
  <c r="X2768"/>
  <c r="X2767"/>
  <c r="X2766"/>
  <c r="X2765"/>
  <c r="X2764"/>
  <c r="X2763"/>
  <c r="X2762"/>
  <c r="X2761"/>
  <c r="X2760"/>
  <c r="X2759"/>
  <c r="X2758"/>
  <c r="X2757"/>
  <c r="X2756"/>
  <c r="X2755"/>
  <c r="X2754"/>
  <c r="X2753"/>
  <c r="X2752"/>
  <c r="X2751"/>
  <c r="X2750"/>
  <c r="X2749"/>
  <c r="X2748"/>
  <c r="X2747"/>
  <c r="X2746"/>
  <c r="X2745"/>
  <c r="X2744"/>
  <c r="X2743"/>
  <c r="X2742"/>
  <c r="X2741"/>
  <c r="X2740"/>
  <c r="X2739"/>
  <c r="X2738"/>
  <c r="X2737"/>
  <c r="X2736"/>
  <c r="X2735"/>
  <c r="X2734"/>
  <c r="X2733"/>
  <c r="X2732"/>
  <c r="X2731"/>
  <c r="X2730"/>
  <c r="X2729"/>
  <c r="X2728"/>
  <c r="X2727"/>
  <c r="X2726"/>
  <c r="X2725"/>
  <c r="X2724"/>
  <c r="X2723"/>
  <c r="X2722"/>
  <c r="X2721"/>
  <c r="X2720"/>
  <c r="X2719"/>
  <c r="X2718"/>
  <c r="X2717"/>
  <c r="X2716"/>
  <c r="X2715"/>
  <c r="X2714"/>
  <c r="X2713"/>
  <c r="X2712"/>
  <c r="X2711"/>
  <c r="X2710"/>
  <c r="X2709"/>
  <c r="X2708"/>
  <c r="X2707"/>
  <c r="X2706"/>
  <c r="X2705"/>
  <c r="X2704"/>
  <c r="X2703"/>
  <c r="X2702"/>
  <c r="X2701"/>
  <c r="X2700"/>
  <c r="X2699"/>
  <c r="X2698"/>
  <c r="X2697"/>
  <c r="X2696"/>
  <c r="X2695"/>
  <c r="X2694"/>
  <c r="X2693"/>
  <c r="X2692"/>
  <c r="X2691"/>
  <c r="X2690"/>
  <c r="X2689"/>
  <c r="X2688"/>
  <c r="X2687"/>
  <c r="X2686"/>
  <c r="X2685"/>
  <c r="X2684"/>
  <c r="X2683"/>
  <c r="X2682"/>
  <c r="X2681"/>
  <c r="X2680"/>
  <c r="X2679"/>
  <c r="X2678"/>
  <c r="X2677"/>
  <c r="X2676"/>
  <c r="X2675"/>
  <c r="X2674"/>
  <c r="X2673"/>
  <c r="X2672"/>
  <c r="X2671"/>
  <c r="X2670"/>
  <c r="X2669"/>
  <c r="X2668"/>
  <c r="X2667"/>
  <c r="X2666"/>
  <c r="X2665"/>
  <c r="X2664"/>
  <c r="X2663"/>
  <c r="X2662"/>
  <c r="X2661"/>
  <c r="X2660"/>
  <c r="X2659"/>
  <c r="X2658"/>
  <c r="X2657"/>
  <c r="X2656"/>
  <c r="X2655"/>
  <c r="X2654"/>
  <c r="X2653"/>
  <c r="X2652"/>
  <c r="X2651"/>
  <c r="X2650"/>
  <c r="X2649"/>
  <c r="X2648"/>
  <c r="X2647"/>
  <c r="X2646"/>
  <c r="X2645"/>
  <c r="X2644"/>
  <c r="X2643"/>
  <c r="X2642"/>
  <c r="X2641"/>
  <c r="X2640"/>
  <c r="X2639"/>
  <c r="X2638"/>
  <c r="X2637"/>
  <c r="X2636"/>
  <c r="X2635"/>
  <c r="X2634"/>
  <c r="X2633"/>
  <c r="X2632"/>
  <c r="X2631"/>
  <c r="X2630"/>
  <c r="X2629"/>
  <c r="X2628"/>
  <c r="X2627"/>
  <c r="X2626"/>
  <c r="X2625"/>
  <c r="X2624"/>
  <c r="X2623"/>
  <c r="X2622"/>
  <c r="X2621"/>
  <c r="X2620"/>
  <c r="X2619"/>
  <c r="X2618"/>
  <c r="X2617"/>
  <c r="X2616"/>
  <c r="X2615"/>
  <c r="X2614"/>
  <c r="X2613"/>
  <c r="X2612"/>
  <c r="X2611"/>
  <c r="X2610"/>
  <c r="X2609"/>
  <c r="X2608"/>
  <c r="X2607"/>
  <c r="X2606"/>
  <c r="X2605"/>
  <c r="X2604"/>
  <c r="X2603"/>
  <c r="X2602"/>
  <c r="X2601"/>
  <c r="X2600"/>
  <c r="X2599"/>
  <c r="X2598"/>
  <c r="X2597"/>
  <c r="X2596"/>
  <c r="X2595"/>
  <c r="X2594"/>
  <c r="X2593"/>
  <c r="X2592"/>
  <c r="X2591"/>
  <c r="X2590"/>
  <c r="X2589"/>
  <c r="X2588"/>
  <c r="X2587"/>
  <c r="X2586"/>
  <c r="X2585"/>
  <c r="X2584"/>
  <c r="X2583"/>
  <c r="X2582"/>
  <c r="X2581"/>
  <c r="X2580"/>
  <c r="X2579"/>
  <c r="X2578"/>
  <c r="X2577"/>
  <c r="X2576"/>
  <c r="X2575"/>
  <c r="X2574"/>
  <c r="X2573"/>
  <c r="X2572"/>
  <c r="X2571"/>
  <c r="X2570"/>
  <c r="X2569"/>
  <c r="X2568"/>
  <c r="X2567"/>
  <c r="X2566"/>
  <c r="X2565"/>
  <c r="X2564"/>
  <c r="X2563"/>
  <c r="X2562"/>
  <c r="X2561"/>
  <c r="X2560"/>
  <c r="X2559"/>
  <c r="X2558"/>
  <c r="X2557"/>
  <c r="X2556"/>
  <c r="X2555"/>
  <c r="X2554"/>
  <c r="X2553"/>
  <c r="X2552"/>
  <c r="X2551"/>
  <c r="X2550"/>
  <c r="X2549"/>
  <c r="X2548"/>
  <c r="X2547"/>
  <c r="X2546"/>
  <c r="X2545"/>
  <c r="X2544"/>
  <c r="X2543"/>
  <c r="X2542"/>
  <c r="X2541"/>
  <c r="X2540"/>
  <c r="X2539"/>
  <c r="X2538"/>
  <c r="X2537"/>
  <c r="X2536"/>
  <c r="X2535"/>
  <c r="X2534"/>
  <c r="X2533"/>
  <c r="X2532"/>
  <c r="X2531"/>
  <c r="X2530"/>
  <c r="X2529"/>
  <c r="X2528"/>
  <c r="X2527"/>
  <c r="X2526"/>
  <c r="X2525"/>
  <c r="X2524"/>
  <c r="X2523"/>
  <c r="X2522"/>
  <c r="X2521"/>
  <c r="X2520"/>
  <c r="X2519"/>
  <c r="X2518"/>
  <c r="X2517"/>
  <c r="X2516"/>
  <c r="X2515"/>
  <c r="X2514"/>
  <c r="X2513"/>
  <c r="X2512"/>
  <c r="X2511"/>
  <c r="X2510"/>
  <c r="X2509"/>
  <c r="X2508"/>
  <c r="X2507"/>
  <c r="X2506"/>
  <c r="X2505"/>
  <c r="X2504"/>
  <c r="X2503"/>
  <c r="X2502"/>
  <c r="X2501"/>
  <c r="X2500"/>
  <c r="X2499"/>
  <c r="X2498"/>
  <c r="X2497"/>
  <c r="X2496"/>
  <c r="X2495"/>
  <c r="X2494"/>
  <c r="X2493"/>
  <c r="X2492"/>
  <c r="X2491"/>
  <c r="X2490"/>
  <c r="X2489"/>
  <c r="X2488"/>
  <c r="X2487"/>
  <c r="X2486"/>
  <c r="X2485"/>
  <c r="X2484"/>
  <c r="X2483"/>
  <c r="X2482"/>
  <c r="X2481"/>
  <c r="X2480"/>
  <c r="X2479"/>
  <c r="X2478"/>
  <c r="X2477"/>
  <c r="X2476"/>
  <c r="X2475"/>
  <c r="X2474"/>
  <c r="X2473"/>
  <c r="X2472"/>
  <c r="X2471"/>
  <c r="X2470"/>
  <c r="X2469"/>
  <c r="X2468"/>
  <c r="X2467"/>
  <c r="X2466"/>
  <c r="X2465"/>
  <c r="X2464"/>
  <c r="X2463"/>
  <c r="X2462"/>
  <c r="X2461"/>
  <c r="X2460"/>
  <c r="X2459"/>
  <c r="X2458"/>
  <c r="X2457"/>
  <c r="X2456"/>
  <c r="X2455"/>
  <c r="X2454"/>
  <c r="X2453"/>
  <c r="X2452"/>
  <c r="X2451"/>
  <c r="X2450"/>
  <c r="X2449"/>
  <c r="X2448"/>
  <c r="X2447"/>
  <c r="X2446"/>
  <c r="X2445"/>
  <c r="X2444"/>
  <c r="X2443"/>
  <c r="X2442"/>
  <c r="X2441"/>
  <c r="X2440"/>
  <c r="X2439"/>
  <c r="X2438"/>
  <c r="X2437"/>
  <c r="X2436"/>
  <c r="X2435"/>
  <c r="X2434"/>
  <c r="X2433"/>
  <c r="X2432"/>
  <c r="X2431"/>
  <c r="X2430"/>
  <c r="X2429"/>
  <c r="X2428"/>
  <c r="X2427"/>
  <c r="X2426"/>
  <c r="X2425"/>
  <c r="X2424"/>
  <c r="X2423"/>
  <c r="X2422"/>
  <c r="X2421"/>
  <c r="X2420"/>
  <c r="X2419"/>
  <c r="X2418"/>
  <c r="X2417"/>
  <c r="X2416"/>
  <c r="X2415"/>
  <c r="X2414"/>
  <c r="X2413"/>
  <c r="X2412"/>
  <c r="X2411"/>
  <c r="X2410"/>
  <c r="X2409"/>
  <c r="X2408"/>
  <c r="X2407"/>
  <c r="X2406"/>
  <c r="X2405"/>
  <c r="X2404"/>
  <c r="X2403"/>
  <c r="X2402"/>
  <c r="X2401"/>
  <c r="X2400"/>
  <c r="X2399"/>
  <c r="X2398"/>
  <c r="X2397"/>
  <c r="X2396"/>
  <c r="X2395"/>
  <c r="X2394"/>
  <c r="X2393"/>
  <c r="X2392"/>
  <c r="X2391"/>
  <c r="X2390"/>
  <c r="X2389"/>
  <c r="X2388"/>
  <c r="X2387"/>
  <c r="X2386"/>
  <c r="X2385"/>
  <c r="X2384"/>
  <c r="X2383"/>
  <c r="X2382"/>
  <c r="X2381"/>
  <c r="X2380"/>
  <c r="X2379"/>
  <c r="X2378"/>
  <c r="X2377"/>
  <c r="X2376"/>
  <c r="X2375"/>
  <c r="X2374"/>
  <c r="X2373"/>
  <c r="X2372"/>
  <c r="X2371"/>
  <c r="X2370"/>
  <c r="X2369"/>
  <c r="X2368"/>
  <c r="X2367"/>
  <c r="X2366"/>
  <c r="X2365"/>
  <c r="X2364"/>
  <c r="X2363"/>
  <c r="X2362"/>
  <c r="X2361"/>
  <c r="X2360"/>
  <c r="X2359"/>
  <c r="X2358"/>
  <c r="X2357"/>
  <c r="X2356"/>
  <c r="X2355"/>
  <c r="X2354"/>
  <c r="X2353"/>
  <c r="X2352"/>
  <c r="X2351"/>
  <c r="X2350"/>
  <c r="X2349"/>
  <c r="X2348"/>
  <c r="X2347"/>
  <c r="X2346"/>
  <c r="X2345"/>
  <c r="X2344"/>
  <c r="X2343"/>
  <c r="X2342"/>
  <c r="X2341"/>
  <c r="X2340"/>
  <c r="X2339"/>
  <c r="X2338"/>
  <c r="X2337"/>
  <c r="X2336"/>
  <c r="X2335"/>
  <c r="X2334"/>
  <c r="X2333"/>
  <c r="X2332"/>
  <c r="X2331"/>
  <c r="X2330"/>
  <c r="X2329"/>
  <c r="X2328"/>
  <c r="X2327"/>
  <c r="X2326"/>
  <c r="X2325"/>
  <c r="X2324"/>
  <c r="X2323"/>
  <c r="X2322"/>
  <c r="X2321"/>
  <c r="X2320"/>
  <c r="X2319"/>
  <c r="X2318"/>
  <c r="X2317"/>
  <c r="X2316"/>
  <c r="X2315"/>
  <c r="X2314"/>
  <c r="X2313"/>
  <c r="X2312"/>
  <c r="X2311"/>
  <c r="X2310"/>
  <c r="X2309"/>
  <c r="X2308"/>
  <c r="X2307"/>
  <c r="X2306"/>
  <c r="X2305"/>
  <c r="X2304"/>
  <c r="X2303"/>
  <c r="X2302"/>
  <c r="X2301"/>
  <c r="X2300"/>
  <c r="X2299"/>
  <c r="X2298"/>
  <c r="X2297"/>
  <c r="X2296"/>
  <c r="X2295"/>
  <c r="X2294"/>
  <c r="X2293"/>
  <c r="X2292"/>
  <c r="X2291"/>
  <c r="X2290"/>
  <c r="X2289"/>
  <c r="X2288"/>
  <c r="X2287"/>
  <c r="X2286"/>
  <c r="X2285"/>
  <c r="X2284"/>
  <c r="X2283"/>
  <c r="X2282"/>
  <c r="X2281"/>
  <c r="X2280"/>
  <c r="X2279"/>
  <c r="X2278"/>
  <c r="X2277"/>
  <c r="X2276"/>
  <c r="X2275"/>
  <c r="X2274"/>
  <c r="X2273"/>
  <c r="X2272"/>
  <c r="X2271"/>
  <c r="X2270"/>
  <c r="X2269"/>
  <c r="X2268"/>
  <c r="X2267"/>
  <c r="X2266"/>
  <c r="X2265"/>
  <c r="X2264"/>
  <c r="X2263"/>
  <c r="X2262"/>
  <c r="X2261"/>
  <c r="X2260"/>
  <c r="X2259"/>
  <c r="X2258"/>
  <c r="X2257"/>
  <c r="X2256"/>
  <c r="X2255"/>
  <c r="X2254"/>
  <c r="X2253"/>
  <c r="X2252"/>
  <c r="X2251"/>
  <c r="X2250"/>
  <c r="X2249"/>
  <c r="X2248"/>
  <c r="X2247"/>
  <c r="X2246"/>
  <c r="X2245"/>
  <c r="X2244"/>
  <c r="X2243"/>
  <c r="X2242"/>
  <c r="X2241"/>
  <c r="X2240"/>
  <c r="X2239"/>
  <c r="X2238"/>
  <c r="X2237"/>
  <c r="X2236"/>
  <c r="X2235"/>
  <c r="X2234"/>
  <c r="X2233"/>
  <c r="X2232"/>
  <c r="X2231"/>
  <c r="X2230"/>
  <c r="X2229"/>
  <c r="X2228"/>
  <c r="X2227"/>
  <c r="X2226"/>
  <c r="X2225"/>
  <c r="X2224"/>
  <c r="X2223"/>
  <c r="X2222"/>
  <c r="X2221"/>
  <c r="X2220"/>
  <c r="X2219"/>
  <c r="X2218"/>
  <c r="X2217"/>
  <c r="X2216"/>
  <c r="X2215"/>
  <c r="X2214"/>
  <c r="X2213"/>
  <c r="X2212"/>
  <c r="X2211"/>
  <c r="X2210"/>
  <c r="X2209"/>
  <c r="X2208"/>
  <c r="X2207"/>
  <c r="X2206"/>
  <c r="X2205"/>
  <c r="X2204"/>
  <c r="X2203"/>
  <c r="X2202"/>
  <c r="X2201"/>
  <c r="X2200"/>
  <c r="X2199"/>
  <c r="X2198"/>
  <c r="X2197"/>
  <c r="X2196"/>
  <c r="X2195"/>
  <c r="X2194"/>
  <c r="X2193"/>
  <c r="X2192"/>
  <c r="X2191"/>
  <c r="X2190"/>
  <c r="X2189"/>
  <c r="X2188"/>
  <c r="X2187"/>
  <c r="X2186"/>
  <c r="X2185"/>
  <c r="X2184"/>
  <c r="X2183"/>
  <c r="X2182"/>
  <c r="X2181"/>
  <c r="X2180"/>
  <c r="X2179"/>
  <c r="X2178"/>
  <c r="X2177"/>
  <c r="X2176"/>
  <c r="X2175"/>
  <c r="X2174"/>
  <c r="X2173"/>
  <c r="X2172"/>
  <c r="X2171"/>
  <c r="X2170"/>
  <c r="X2169"/>
  <c r="X2168"/>
  <c r="X2167"/>
  <c r="X2166"/>
  <c r="X2165"/>
  <c r="X2164"/>
  <c r="X2163"/>
  <c r="X2162"/>
  <c r="X2161"/>
  <c r="X2160"/>
  <c r="X2159"/>
  <c r="X2158"/>
  <c r="X2157"/>
  <c r="X2156"/>
  <c r="X2155"/>
  <c r="X2154"/>
  <c r="X2153"/>
  <c r="X2152"/>
  <c r="X2151"/>
  <c r="X2150"/>
  <c r="X2149"/>
  <c r="X2148"/>
  <c r="X2147"/>
  <c r="X2146"/>
  <c r="X2145"/>
  <c r="X2144"/>
  <c r="X2143"/>
  <c r="X2142"/>
  <c r="X2141"/>
  <c r="X2140"/>
  <c r="X2139"/>
  <c r="X2138"/>
  <c r="X2137"/>
  <c r="X2136"/>
  <c r="X2135"/>
  <c r="X2134"/>
  <c r="X2133"/>
  <c r="X2132"/>
  <c r="X2131"/>
  <c r="X2130"/>
  <c r="X2129"/>
  <c r="X2128"/>
  <c r="X2127"/>
  <c r="X2126"/>
  <c r="X2125"/>
  <c r="X2124"/>
  <c r="X2123"/>
  <c r="X2122"/>
  <c r="X2121"/>
  <c r="X2120"/>
  <c r="X2119"/>
  <c r="X2118"/>
  <c r="X2117"/>
  <c r="X2116"/>
  <c r="X2115"/>
  <c r="X2114"/>
  <c r="X2113"/>
  <c r="X2112"/>
  <c r="X2111"/>
  <c r="X2110"/>
  <c r="X2109"/>
  <c r="X2108"/>
  <c r="X2107"/>
  <c r="X2106"/>
  <c r="X2105"/>
  <c r="X2104"/>
  <c r="X2103"/>
  <c r="X2102"/>
  <c r="X2101"/>
  <c r="X2100"/>
  <c r="X2099"/>
  <c r="X2098"/>
  <c r="X2097"/>
  <c r="X2096"/>
  <c r="X2095"/>
  <c r="X2094"/>
  <c r="X2093"/>
  <c r="X2092"/>
  <c r="X2091"/>
  <c r="X2090"/>
  <c r="X2089"/>
  <c r="X2088"/>
  <c r="X2087"/>
  <c r="X2086"/>
  <c r="X2085"/>
  <c r="X2084"/>
  <c r="X2083"/>
  <c r="X2082"/>
  <c r="X2081"/>
  <c r="X2080"/>
  <c r="X2079"/>
  <c r="X2078"/>
  <c r="X2077"/>
  <c r="X2076"/>
  <c r="X2075"/>
  <c r="X2074"/>
  <c r="X2073"/>
  <c r="X2072"/>
  <c r="X2071"/>
  <c r="X2070"/>
  <c r="X2069"/>
  <c r="X2068"/>
  <c r="X2067"/>
  <c r="X2066"/>
  <c r="X2065"/>
  <c r="X2064"/>
  <c r="X2063"/>
  <c r="X2062"/>
  <c r="X2061"/>
  <c r="X2060"/>
  <c r="X2059"/>
  <c r="X2058"/>
  <c r="X2057"/>
  <c r="X2056"/>
  <c r="X2055"/>
  <c r="X2054"/>
  <c r="X2053"/>
  <c r="X2052"/>
  <c r="X2051"/>
  <c r="X2050"/>
  <c r="X2049"/>
  <c r="X2048"/>
  <c r="X2047"/>
  <c r="X2046"/>
  <c r="X2045"/>
  <c r="X2044"/>
  <c r="X2043"/>
  <c r="X2042"/>
  <c r="X2041"/>
  <c r="X2040"/>
  <c r="X2039"/>
  <c r="X2038"/>
  <c r="X2037"/>
  <c r="X2036"/>
  <c r="X2035"/>
  <c r="X2034"/>
  <c r="X2033"/>
  <c r="X2032"/>
  <c r="X2031"/>
  <c r="X2030"/>
  <c r="X2029"/>
  <c r="X2028"/>
  <c r="X2027"/>
  <c r="X2026"/>
  <c r="X2025"/>
  <c r="X2024"/>
  <c r="X2023"/>
  <c r="X2022"/>
  <c r="X2021"/>
  <c r="X2020"/>
  <c r="X2019"/>
  <c r="X2018"/>
  <c r="X2017"/>
  <c r="X2016"/>
  <c r="X2015"/>
  <c r="X2014"/>
  <c r="X2013"/>
  <c r="X2012"/>
  <c r="X2011"/>
  <c r="X2010"/>
  <c r="X2009"/>
  <c r="X2008"/>
  <c r="X2007"/>
  <c r="X2006"/>
  <c r="X2005"/>
  <c r="X2004"/>
  <c r="X2003"/>
  <c r="X2002"/>
  <c r="X2001"/>
  <c r="X2000"/>
  <c r="X1999"/>
  <c r="X1998"/>
  <c r="X1997"/>
  <c r="X1996"/>
  <c r="X1995"/>
  <c r="X1994"/>
  <c r="X1993"/>
  <c r="X1992"/>
  <c r="X1991"/>
  <c r="X1990"/>
  <c r="X1989"/>
  <c r="X1988"/>
  <c r="X1987"/>
  <c r="X1986"/>
  <c r="X1985"/>
  <c r="X1984"/>
  <c r="X1983"/>
  <c r="X1982"/>
  <c r="X1981"/>
  <c r="X1980"/>
  <c r="X1979"/>
  <c r="X1978"/>
  <c r="X1977"/>
  <c r="X1976"/>
  <c r="X1975"/>
  <c r="X1974"/>
  <c r="X1973"/>
  <c r="X1972"/>
  <c r="X1971"/>
  <c r="X1970"/>
  <c r="X1969"/>
  <c r="X1968"/>
  <c r="X1967"/>
  <c r="X1966"/>
  <c r="X1965"/>
  <c r="X1964"/>
  <c r="X1963"/>
  <c r="X1962"/>
  <c r="X1961"/>
  <c r="X1960"/>
  <c r="X1959"/>
  <c r="X1958"/>
  <c r="X1957"/>
  <c r="X1956"/>
  <c r="X1955"/>
  <c r="X1954"/>
  <c r="X1953"/>
  <c r="X1952"/>
  <c r="X1951"/>
  <c r="X1950"/>
  <c r="X1949"/>
  <c r="X1948"/>
  <c r="X1947"/>
  <c r="X1946"/>
  <c r="X1945"/>
  <c r="X1944"/>
  <c r="X1943"/>
  <c r="X1942"/>
  <c r="X1941"/>
  <c r="X1940"/>
  <c r="X1939"/>
  <c r="X1938"/>
  <c r="X1937"/>
  <c r="X1936"/>
  <c r="X1935"/>
  <c r="X1934"/>
  <c r="X1933"/>
  <c r="X1932"/>
  <c r="X1931"/>
  <c r="X1930"/>
  <c r="X1929"/>
  <c r="X1928"/>
  <c r="X1927"/>
  <c r="X1926"/>
  <c r="X1925"/>
  <c r="X1924"/>
  <c r="X1923"/>
  <c r="X1922"/>
  <c r="X1921"/>
  <c r="X1920"/>
  <c r="X1919"/>
  <c r="X1918"/>
  <c r="X1917"/>
  <c r="X1916"/>
  <c r="X1915"/>
  <c r="X1914"/>
  <c r="X1913"/>
  <c r="X1912"/>
  <c r="X1911"/>
  <c r="X1910"/>
  <c r="X1909"/>
  <c r="X1908"/>
  <c r="X1907"/>
  <c r="X1906"/>
  <c r="X1905"/>
  <c r="X1904"/>
  <c r="X1903"/>
  <c r="X1902"/>
  <c r="X1901"/>
  <c r="X1900"/>
  <c r="X1899"/>
  <c r="X1898"/>
  <c r="X1897"/>
  <c r="X1896"/>
  <c r="X1895"/>
  <c r="X1894"/>
  <c r="X1893"/>
  <c r="X1892"/>
  <c r="X1891"/>
  <c r="X1890"/>
  <c r="X1889"/>
  <c r="X1888"/>
  <c r="X1887"/>
  <c r="X1886"/>
  <c r="X1885"/>
  <c r="X1884"/>
  <c r="X1883"/>
  <c r="X1882"/>
  <c r="X1881"/>
  <c r="X1880"/>
  <c r="X1879"/>
  <c r="X1878"/>
  <c r="X1877"/>
  <c r="X1876"/>
  <c r="X1875"/>
  <c r="X1874"/>
  <c r="X1873"/>
  <c r="X1872"/>
  <c r="X1871"/>
  <c r="X1870"/>
  <c r="X1869"/>
  <c r="X1868"/>
  <c r="X1867"/>
  <c r="X1866"/>
  <c r="X1865"/>
  <c r="X1864"/>
  <c r="X1863"/>
  <c r="X1862"/>
  <c r="X1861"/>
  <c r="X1860"/>
  <c r="X1859"/>
  <c r="X1858"/>
  <c r="X1857"/>
  <c r="X1856"/>
  <c r="X1855"/>
  <c r="X1854"/>
  <c r="X1853"/>
  <c r="X1852"/>
  <c r="X1851"/>
  <c r="X1850"/>
  <c r="X1849"/>
  <c r="X1848"/>
  <c r="X1847"/>
  <c r="X1846"/>
  <c r="X1845"/>
  <c r="X1844"/>
  <c r="X1843"/>
  <c r="X1842"/>
  <c r="X1841"/>
  <c r="X1840"/>
  <c r="X1839"/>
  <c r="X1838"/>
  <c r="X1837"/>
  <c r="X1836"/>
  <c r="X1835"/>
  <c r="X1834"/>
  <c r="X1833"/>
  <c r="X1832"/>
  <c r="X1831"/>
  <c r="X1830"/>
  <c r="X1829"/>
  <c r="X1828"/>
  <c r="X1827"/>
  <c r="X1826"/>
  <c r="X1825"/>
  <c r="X1824"/>
  <c r="X1823"/>
  <c r="X1822"/>
  <c r="X1821"/>
  <c r="X1820"/>
  <c r="X1819"/>
  <c r="X1818"/>
  <c r="X1817"/>
  <c r="X1816"/>
  <c r="X1815"/>
  <c r="X1814"/>
  <c r="X1813"/>
  <c r="X1812"/>
  <c r="X1811"/>
  <c r="X1810"/>
  <c r="X1809"/>
  <c r="X1808"/>
  <c r="X1807"/>
  <c r="X1806"/>
  <c r="X1805"/>
  <c r="X1804"/>
  <c r="X1803"/>
  <c r="X1802"/>
  <c r="X1801"/>
  <c r="X1800"/>
  <c r="X1799"/>
  <c r="X1798"/>
  <c r="X1797"/>
  <c r="X1796"/>
  <c r="X1795"/>
  <c r="X1794"/>
  <c r="X1793"/>
  <c r="X1792"/>
  <c r="X1791"/>
  <c r="X1790"/>
  <c r="X1789"/>
  <c r="X1788"/>
  <c r="X1787"/>
  <c r="X1786"/>
  <c r="X1785"/>
  <c r="X1784"/>
  <c r="X1783"/>
  <c r="X1782"/>
  <c r="X1781"/>
  <c r="X1780"/>
  <c r="X1779"/>
  <c r="X1778"/>
  <c r="X1777"/>
  <c r="X1776"/>
  <c r="X1775"/>
  <c r="X1774"/>
  <c r="X1773"/>
  <c r="X1772"/>
  <c r="X1771"/>
  <c r="X1770"/>
  <c r="X1769"/>
  <c r="X1768"/>
  <c r="X1767"/>
  <c r="X1766"/>
  <c r="X1765"/>
  <c r="X1764"/>
  <c r="X1763"/>
  <c r="X1762"/>
  <c r="X1761"/>
  <c r="X1760"/>
  <c r="X1759"/>
  <c r="X1758"/>
  <c r="X1757"/>
  <c r="X1756"/>
  <c r="X1755"/>
  <c r="X1754"/>
  <c r="X1753"/>
  <c r="X1752"/>
  <c r="X1751"/>
  <c r="X1750"/>
  <c r="X1749"/>
  <c r="X1748"/>
  <c r="X1747"/>
  <c r="X1746"/>
  <c r="X1745"/>
  <c r="X1744"/>
  <c r="X1743"/>
  <c r="X1742"/>
  <c r="X1741"/>
  <c r="X1740"/>
  <c r="X1739"/>
  <c r="X1738"/>
  <c r="X1737"/>
  <c r="X1736"/>
  <c r="X1735"/>
  <c r="X1734"/>
  <c r="X1733"/>
  <c r="X1732"/>
  <c r="X1731"/>
  <c r="X1730"/>
  <c r="X1729"/>
  <c r="X1728"/>
  <c r="X1727"/>
  <c r="X1726"/>
  <c r="X1725"/>
  <c r="X1724"/>
  <c r="X1723"/>
  <c r="X1722"/>
  <c r="X1720"/>
  <c r="X1719"/>
  <c r="X1718"/>
  <c r="X1717"/>
  <c r="X1716"/>
  <c r="X1715"/>
  <c r="X1714"/>
  <c r="X1713"/>
  <c r="X1712"/>
  <c r="X1711"/>
  <c r="X1710"/>
  <c r="X1709"/>
  <c r="X1708"/>
  <c r="X1707"/>
  <c r="X1706"/>
  <c r="X1705"/>
  <c r="X1704"/>
  <c r="X1703"/>
  <c r="X1702"/>
  <c r="X1701"/>
  <c r="X1700"/>
  <c r="X1699"/>
  <c r="X1698"/>
  <c r="X1697"/>
  <c r="X1696"/>
  <c r="X1695"/>
  <c r="X1694"/>
  <c r="X1693"/>
  <c r="X1692"/>
  <c r="X1691"/>
  <c r="X1690"/>
  <c r="X1689"/>
  <c r="X1688"/>
  <c r="X1687"/>
  <c r="X1686"/>
  <c r="X1685"/>
  <c r="X1684"/>
  <c r="X1683"/>
  <c r="X1682"/>
  <c r="X1681"/>
  <c r="X1680"/>
  <c r="X1679"/>
  <c r="X1678"/>
  <c r="X1677"/>
  <c r="X1676"/>
  <c r="X1675"/>
  <c r="X1674"/>
  <c r="X1673"/>
  <c r="X1672"/>
  <c r="X1671"/>
  <c r="X1670"/>
  <c r="X1669"/>
  <c r="X1668"/>
  <c r="X1667"/>
  <c r="X1666"/>
  <c r="X1665"/>
  <c r="X1664"/>
  <c r="X1663"/>
  <c r="X1662"/>
  <c r="X1661"/>
  <c r="X1660"/>
  <c r="X1659"/>
  <c r="X1658"/>
  <c r="X1657"/>
  <c r="X1656"/>
  <c r="X1655"/>
  <c r="X1654"/>
  <c r="X1653"/>
  <c r="X1652"/>
  <c r="X1651"/>
  <c r="X1650"/>
  <c r="X1649"/>
  <c r="X1648"/>
  <c r="X1647"/>
  <c r="X1646"/>
  <c r="X1645"/>
  <c r="X1644"/>
  <c r="X1643"/>
  <c r="X1642"/>
  <c r="X1641"/>
  <c r="X1640"/>
  <c r="X1639"/>
  <c r="X1638"/>
  <c r="X1637"/>
  <c r="X1636"/>
  <c r="X1635"/>
  <c r="X1634"/>
  <c r="X1633"/>
  <c r="X1632"/>
  <c r="X1631"/>
  <c r="X1630"/>
  <c r="X1629"/>
  <c r="X1628"/>
  <c r="X1627"/>
  <c r="X1626"/>
  <c r="X1625"/>
  <c r="X1624"/>
  <c r="X1623"/>
  <c r="X1622"/>
  <c r="X1621"/>
  <c r="X1620"/>
  <c r="X1619"/>
  <c r="X1618"/>
  <c r="X1617"/>
  <c r="X1616"/>
  <c r="X1615"/>
  <c r="X1614"/>
  <c r="X1613"/>
  <c r="X1612"/>
  <c r="X1611"/>
  <c r="X1610"/>
  <c r="X1609"/>
  <c r="X1608"/>
  <c r="X1607"/>
  <c r="X1606"/>
  <c r="X1605"/>
  <c r="X1604"/>
  <c r="X1603"/>
  <c r="X1602"/>
  <c r="X1601"/>
  <c r="X1600"/>
  <c r="X1599"/>
  <c r="X1598"/>
  <c r="X1597"/>
  <c r="X1596"/>
  <c r="X1595"/>
  <c r="X1594"/>
  <c r="X1593"/>
  <c r="X1592"/>
  <c r="X1591"/>
  <c r="X1590"/>
  <c r="X1589"/>
  <c r="X1588"/>
  <c r="X1587"/>
  <c r="X1586"/>
  <c r="X1585"/>
  <c r="X1584"/>
  <c r="X1583"/>
  <c r="X1582"/>
  <c r="X1581"/>
  <c r="X1580"/>
  <c r="X1579"/>
  <c r="X1578"/>
  <c r="X1577"/>
  <c r="X1576"/>
  <c r="X1575"/>
  <c r="X1574"/>
  <c r="X1573"/>
  <c r="X1572"/>
  <c r="X1571"/>
  <c r="X1570"/>
  <c r="X1569"/>
  <c r="X1568"/>
  <c r="X1567"/>
  <c r="X1566"/>
  <c r="X1565"/>
  <c r="X1564"/>
  <c r="X1563"/>
  <c r="X1562"/>
  <c r="X1561"/>
  <c r="X1560"/>
  <c r="X1559"/>
  <c r="X1558"/>
  <c r="X1557"/>
  <c r="X1556"/>
  <c r="X1555"/>
  <c r="X1554"/>
  <c r="X1553"/>
  <c r="X1552"/>
  <c r="X1551"/>
  <c r="X1550"/>
  <c r="X1549"/>
  <c r="X1548"/>
  <c r="X1547"/>
  <c r="X1546"/>
  <c r="X1545"/>
  <c r="X1544"/>
  <c r="X1543"/>
  <c r="X1542"/>
  <c r="X1541"/>
  <c r="X1540"/>
  <c r="X1539"/>
  <c r="X1538"/>
  <c r="X1537"/>
  <c r="X1536"/>
  <c r="X1535"/>
  <c r="X1534"/>
  <c r="X1533"/>
  <c r="X1532"/>
  <c r="X1531"/>
  <c r="X1530"/>
  <c r="X1529"/>
  <c r="X1528"/>
  <c r="X1527"/>
  <c r="X1526"/>
  <c r="X1525"/>
  <c r="X1524"/>
  <c r="X1523"/>
  <c r="X1522"/>
  <c r="X1521"/>
  <c r="X1520"/>
  <c r="X1519"/>
  <c r="X1518"/>
  <c r="X1517"/>
  <c r="X1516"/>
  <c r="X1515"/>
  <c r="X1514"/>
  <c r="X1513"/>
  <c r="X1512"/>
  <c r="X1511"/>
  <c r="X1510"/>
  <c r="X1509"/>
  <c r="X1508"/>
  <c r="X1507"/>
  <c r="X1506"/>
  <c r="X1505"/>
  <c r="X1504"/>
  <c r="X1503"/>
  <c r="X1502"/>
  <c r="X1501"/>
  <c r="X1500"/>
  <c r="X1499"/>
  <c r="X1498"/>
  <c r="X1497"/>
  <c r="X1496"/>
  <c r="X1495"/>
  <c r="X1494"/>
  <c r="X1493"/>
  <c r="X1492"/>
  <c r="X1491"/>
  <c r="X1490"/>
  <c r="X1489"/>
  <c r="X1488"/>
  <c r="X1487"/>
  <c r="X1486"/>
  <c r="X1485"/>
  <c r="X1484"/>
  <c r="X1483"/>
  <c r="X1482"/>
  <c r="X1481"/>
  <c r="X1480"/>
  <c r="X1479"/>
  <c r="X1478"/>
  <c r="X1477"/>
  <c r="X1476"/>
  <c r="X1475"/>
  <c r="X1474"/>
  <c r="X1473"/>
  <c r="X1472"/>
  <c r="X1471"/>
  <c r="X1470"/>
  <c r="X1469"/>
  <c r="X1468"/>
  <c r="X1467"/>
  <c r="X1466"/>
  <c r="X1465"/>
  <c r="X1464"/>
  <c r="X1463"/>
  <c r="X1462"/>
  <c r="X1461"/>
  <c r="X1460"/>
  <c r="X1459"/>
  <c r="X1458"/>
  <c r="X1457"/>
  <c r="X1456"/>
  <c r="X1455"/>
  <c r="X1454"/>
  <c r="X1453"/>
  <c r="X1452"/>
  <c r="X1451"/>
  <c r="X1450"/>
  <c r="X1449"/>
  <c r="X1448"/>
  <c r="X1447"/>
  <c r="X1446"/>
  <c r="X1445"/>
  <c r="X1444"/>
  <c r="X1443"/>
  <c r="X1442"/>
  <c r="X1441"/>
  <c r="X1440"/>
  <c r="X1439"/>
  <c r="X1438"/>
  <c r="X1437"/>
  <c r="X1436"/>
  <c r="X1435"/>
  <c r="X1434"/>
  <c r="X1433"/>
  <c r="X1432"/>
  <c r="X1431"/>
  <c r="X1430"/>
  <c r="X1429"/>
  <c r="X1428"/>
  <c r="X1427"/>
  <c r="X1426"/>
  <c r="X1425"/>
  <c r="X1424"/>
  <c r="X1423"/>
  <c r="X1422"/>
  <c r="X1421"/>
  <c r="X1420"/>
  <c r="X1419"/>
  <c r="X1418"/>
  <c r="X1417"/>
  <c r="X1416"/>
  <c r="X1415"/>
  <c r="X1414"/>
  <c r="X1413"/>
  <c r="X1412"/>
  <c r="X1411"/>
  <c r="X1410"/>
  <c r="X1409"/>
  <c r="X1408"/>
  <c r="X1407"/>
  <c r="X1406"/>
  <c r="X1405"/>
  <c r="X1404"/>
  <c r="X1403"/>
  <c r="X1402"/>
  <c r="X1401"/>
  <c r="X1400"/>
  <c r="X1399"/>
  <c r="X1398"/>
  <c r="X1397"/>
  <c r="X1396"/>
  <c r="X1395"/>
  <c r="X1394"/>
  <c r="X1393"/>
  <c r="X1392"/>
  <c r="X1391"/>
  <c r="X1390"/>
  <c r="X1389"/>
  <c r="X1388"/>
  <c r="X1387"/>
  <c r="X1386"/>
  <c r="X1385"/>
  <c r="X1384"/>
  <c r="X1383"/>
  <c r="X1382"/>
  <c r="X1381"/>
  <c r="X1380"/>
  <c r="X1379"/>
  <c r="X1378"/>
  <c r="X1377"/>
  <c r="X1376"/>
  <c r="X1375"/>
  <c r="X1374"/>
  <c r="X1373"/>
  <c r="X1372"/>
  <c r="X1371"/>
  <c r="X1370"/>
  <c r="X1369"/>
  <c r="X1368"/>
  <c r="X1367"/>
  <c r="X1366"/>
  <c r="X1365"/>
  <c r="X1364"/>
  <c r="X1363"/>
  <c r="X1362"/>
  <c r="X1361"/>
  <c r="X1360"/>
  <c r="X1359"/>
  <c r="X1358"/>
  <c r="X1357"/>
  <c r="X1356"/>
  <c r="X1355"/>
  <c r="X1354"/>
  <c r="X1353"/>
  <c r="X1352"/>
  <c r="X1351"/>
  <c r="X1350"/>
  <c r="X1349"/>
  <c r="X1348"/>
  <c r="X1347"/>
  <c r="X1346"/>
  <c r="X1345"/>
  <c r="X1344"/>
  <c r="X1343"/>
  <c r="X1342"/>
  <c r="X1341"/>
  <c r="X1340"/>
  <c r="X1339"/>
  <c r="X1338"/>
  <c r="X1337"/>
  <c r="X1336"/>
  <c r="X1335"/>
  <c r="X1334"/>
  <c r="X1333"/>
  <c r="X1332"/>
  <c r="X1331"/>
  <c r="X1330"/>
  <c r="X1329"/>
  <c r="X1328"/>
  <c r="X1327"/>
  <c r="X1326"/>
  <c r="X1325"/>
  <c r="X1324"/>
  <c r="X1323"/>
  <c r="X1322"/>
  <c r="X1321"/>
  <c r="X1320"/>
  <c r="X1319"/>
  <c r="X1318"/>
  <c r="X1317"/>
  <c r="X1316"/>
  <c r="X1315"/>
  <c r="X1314"/>
  <c r="X1313"/>
  <c r="X1312"/>
  <c r="X1311"/>
  <c r="X1310"/>
  <c r="X1309"/>
  <c r="X1308"/>
  <c r="X1307"/>
  <c r="X1306"/>
  <c r="X1305"/>
  <c r="X1304"/>
  <c r="X1303"/>
  <c r="X1302"/>
  <c r="X1301"/>
  <c r="X1300"/>
  <c r="X1299"/>
  <c r="X1298"/>
  <c r="X1297"/>
  <c r="X1296"/>
  <c r="X1295"/>
  <c r="X1294"/>
  <c r="X1293"/>
  <c r="X1292"/>
  <c r="X1291"/>
  <c r="X1290"/>
  <c r="X1289"/>
  <c r="X1288"/>
  <c r="X1287"/>
  <c r="X1286"/>
  <c r="X1285"/>
  <c r="X1284"/>
  <c r="X1283"/>
  <c r="X1282"/>
  <c r="X1281"/>
  <c r="X1280"/>
  <c r="X1279"/>
  <c r="X1278"/>
  <c r="X1277"/>
  <c r="X1276"/>
  <c r="X1275"/>
  <c r="X1274"/>
  <c r="X1273"/>
  <c r="X1272"/>
  <c r="X1271"/>
  <c r="X1270"/>
  <c r="X1269"/>
  <c r="X1268"/>
  <c r="X1267"/>
  <c r="X1266"/>
  <c r="X1265"/>
  <c r="X1264"/>
  <c r="X1263"/>
  <c r="X1262"/>
  <c r="X1261"/>
  <c r="X1260"/>
  <c r="X1259"/>
  <c r="X1258"/>
  <c r="X1257"/>
  <c r="X1256"/>
  <c r="X1255"/>
  <c r="X1254"/>
  <c r="X1253"/>
  <c r="X1252"/>
  <c r="X1251"/>
  <c r="X1250"/>
  <c r="X1249"/>
  <c r="X1248"/>
  <c r="X1247"/>
  <c r="X1246"/>
  <c r="X1245"/>
  <c r="X1244"/>
  <c r="X1243"/>
  <c r="X1242"/>
  <c r="X1241"/>
  <c r="X1240"/>
  <c r="X1239"/>
  <c r="X1238"/>
  <c r="X1237"/>
  <c r="X1236"/>
  <c r="X1235"/>
  <c r="X1234"/>
  <c r="X1233"/>
  <c r="X1232"/>
  <c r="X1231"/>
  <c r="X1230"/>
  <c r="X1229"/>
  <c r="X1228"/>
  <c r="X1227"/>
  <c r="X1226"/>
  <c r="X1225"/>
  <c r="X1224"/>
  <c r="X1223"/>
  <c r="X1222"/>
  <c r="X1221"/>
  <c r="X1220"/>
  <c r="X1219"/>
  <c r="X1218"/>
  <c r="X1217"/>
  <c r="X1216"/>
  <c r="X1215"/>
  <c r="X1214"/>
  <c r="X1213"/>
  <c r="X1212"/>
  <c r="X1211"/>
  <c r="X1210"/>
  <c r="X1209"/>
  <c r="X1208"/>
  <c r="X1207"/>
  <c r="X1206"/>
  <c r="X1205"/>
  <c r="X1204"/>
  <c r="X1203"/>
  <c r="X1202"/>
  <c r="X1201"/>
  <c r="X1200"/>
  <c r="X1199"/>
  <c r="X1198"/>
  <c r="X1197"/>
  <c r="X1196"/>
  <c r="X1195"/>
  <c r="X1194"/>
  <c r="X1193"/>
  <c r="X1192"/>
  <c r="X1191"/>
  <c r="X1190"/>
  <c r="X1189"/>
  <c r="X1188"/>
  <c r="X1187"/>
  <c r="X1186"/>
  <c r="X1185"/>
  <c r="X1184"/>
  <c r="X1183"/>
  <c r="X1182"/>
  <c r="X1181"/>
  <c r="X1180"/>
  <c r="X1179"/>
  <c r="X1178"/>
  <c r="X1177"/>
  <c r="X1176"/>
  <c r="X1175"/>
  <c r="X1174"/>
  <c r="X1173"/>
  <c r="X1172"/>
  <c r="X1171"/>
  <c r="X1170"/>
  <c r="X1169"/>
  <c r="X1168"/>
  <c r="X1167"/>
  <c r="X1166"/>
  <c r="X1165"/>
  <c r="X1164"/>
  <c r="X1163"/>
  <c r="X1162"/>
  <c r="X1161"/>
  <c r="X1160"/>
  <c r="X1159"/>
  <c r="X1158"/>
  <c r="X1157"/>
  <c r="X1156"/>
  <c r="X1155"/>
  <c r="X1154"/>
  <c r="X1153"/>
  <c r="X1152"/>
  <c r="X1151"/>
  <c r="X1150"/>
  <c r="X1149"/>
  <c r="X1148"/>
  <c r="X1147"/>
  <c r="X1146"/>
  <c r="X1145"/>
  <c r="X1144"/>
  <c r="X1143"/>
  <c r="X1142"/>
  <c r="X1141"/>
  <c r="X1140"/>
  <c r="X1139"/>
  <c r="X1138"/>
  <c r="X1137"/>
  <c r="X1136"/>
  <c r="X1135"/>
  <c r="X1134"/>
  <c r="X1133"/>
  <c r="X1132"/>
  <c r="X1131"/>
  <c r="X1130"/>
  <c r="X1129"/>
  <c r="X1128"/>
  <c r="X1127"/>
  <c r="X1126"/>
  <c r="X1125"/>
  <c r="X1124"/>
  <c r="X1123"/>
  <c r="X1122"/>
  <c r="X1121"/>
  <c r="X1120"/>
  <c r="X1119"/>
  <c r="X1118"/>
  <c r="X1117"/>
  <c r="X1116"/>
  <c r="X1115"/>
  <c r="X1114"/>
  <c r="X1113"/>
  <c r="X1112"/>
  <c r="X1111"/>
  <c r="X1110"/>
  <c r="X1109"/>
  <c r="X1108"/>
  <c r="X1107"/>
  <c r="X1106"/>
  <c r="X1105"/>
  <c r="X1104"/>
  <c r="X1103"/>
  <c r="X1102"/>
  <c r="X1101"/>
  <c r="X1100"/>
  <c r="X1099"/>
  <c r="X1098"/>
  <c r="X1097"/>
  <c r="X1096"/>
  <c r="X1095"/>
  <c r="X1094"/>
  <c r="X1093"/>
  <c r="X1092"/>
  <c r="X1091"/>
  <c r="X1090"/>
  <c r="X1089"/>
  <c r="X1088"/>
  <c r="X1087"/>
  <c r="X1086"/>
  <c r="X1085"/>
  <c r="X1084"/>
  <c r="X1083"/>
  <c r="X1082"/>
  <c r="X1081"/>
  <c r="X1080"/>
  <c r="X1079"/>
  <c r="X1078"/>
  <c r="X1077"/>
  <c r="X1076"/>
  <c r="X1075"/>
  <c r="X1074"/>
  <c r="X1073"/>
  <c r="X1072"/>
  <c r="X1071"/>
  <c r="X1070"/>
  <c r="X1069"/>
  <c r="X1068"/>
  <c r="X1067"/>
  <c r="X1066"/>
  <c r="X1065"/>
  <c r="X1064"/>
  <c r="X1063"/>
  <c r="X1062"/>
  <c r="X1061"/>
  <c r="X1060"/>
  <c r="X1059"/>
  <c r="X1058"/>
  <c r="X1057"/>
  <c r="X1056"/>
  <c r="X1055"/>
  <c r="X1054"/>
  <c r="X1053"/>
  <c r="X1052"/>
  <c r="X1051"/>
  <c r="X1050"/>
  <c r="X1049"/>
  <c r="X1048"/>
  <c r="X1047"/>
  <c r="X1046"/>
  <c r="X1045"/>
  <c r="X1044"/>
  <c r="X1043"/>
  <c r="X1042"/>
  <c r="X1041"/>
  <c r="X1040"/>
  <c r="X1039"/>
  <c r="X1038"/>
  <c r="X1037"/>
  <c r="X1036"/>
  <c r="X1035"/>
  <c r="X1034"/>
  <c r="X1033"/>
  <c r="X1032"/>
  <c r="X1031"/>
  <c r="X1030"/>
  <c r="X1029"/>
  <c r="X1028"/>
  <c r="X1027"/>
  <c r="X1026"/>
  <c r="X1025"/>
  <c r="X1024"/>
  <c r="X1023"/>
  <c r="X1022"/>
  <c r="X1021"/>
  <c r="X1020"/>
  <c r="X1019"/>
  <c r="X1018"/>
  <c r="X1017"/>
  <c r="X1016"/>
  <c r="X1015"/>
  <c r="X1014"/>
  <c r="X1013"/>
  <c r="X1012"/>
  <c r="X1011"/>
  <c r="X1010"/>
  <c r="X1009"/>
  <c r="X1008"/>
  <c r="X1007"/>
  <c r="X1006"/>
  <c r="X1005"/>
  <c r="X1004"/>
  <c r="X1003"/>
  <c r="X1002"/>
  <c r="X1001"/>
  <c r="X1000"/>
  <c r="X999"/>
  <c r="X998"/>
  <c r="X997"/>
  <c r="X996"/>
  <c r="X995"/>
  <c r="X994"/>
  <c r="X993"/>
  <c r="X992"/>
  <c r="X991"/>
  <c r="X990"/>
  <c r="X989"/>
  <c r="X988"/>
  <c r="X987"/>
  <c r="X986"/>
  <c r="X985"/>
  <c r="X984"/>
  <c r="X983"/>
  <c r="X982"/>
  <c r="X981"/>
  <c r="X980"/>
  <c r="X979"/>
  <c r="X978"/>
  <c r="X977"/>
  <c r="X976"/>
  <c r="X975"/>
  <c r="X974"/>
  <c r="X973"/>
  <c r="X972"/>
  <c r="X971"/>
  <c r="X970"/>
  <c r="X969"/>
  <c r="X968"/>
  <c r="X967"/>
  <c r="X966"/>
  <c r="X965"/>
  <c r="X964"/>
  <c r="X963"/>
  <c r="X962"/>
  <c r="X961"/>
  <c r="X960"/>
  <c r="X959"/>
  <c r="X958"/>
  <c r="X957"/>
  <c r="X956"/>
  <c r="X955"/>
  <c r="X954"/>
  <c r="X953"/>
  <c r="X952"/>
  <c r="X951"/>
  <c r="X950"/>
  <c r="X949"/>
  <c r="X948"/>
  <c r="X947"/>
  <c r="X946"/>
  <c r="X945"/>
  <c r="X944"/>
  <c r="X943"/>
  <c r="X942"/>
  <c r="X941"/>
  <c r="X940"/>
  <c r="X939"/>
  <c r="X938"/>
  <c r="X937"/>
  <c r="X936"/>
  <c r="X935"/>
  <c r="X934"/>
  <c r="X933"/>
  <c r="X932"/>
  <c r="X931"/>
  <c r="X930"/>
  <c r="X929"/>
  <c r="X928"/>
  <c r="X927"/>
  <c r="X926"/>
  <c r="X925"/>
  <c r="X924"/>
  <c r="X923"/>
  <c r="X922"/>
  <c r="X921"/>
  <c r="X920"/>
  <c r="X919"/>
  <c r="X918"/>
  <c r="X917"/>
  <c r="X916"/>
  <c r="X915"/>
  <c r="X914"/>
  <c r="X913"/>
  <c r="X912"/>
  <c r="X911"/>
  <c r="X910"/>
  <c r="X909"/>
  <c r="X908"/>
  <c r="X907"/>
  <c r="X906"/>
  <c r="X905"/>
  <c r="X904"/>
  <c r="X903"/>
  <c r="X902"/>
  <c r="X901"/>
  <c r="X900"/>
  <c r="X899"/>
  <c r="X898"/>
  <c r="X897"/>
  <c r="X896"/>
  <c r="X895"/>
  <c r="X894"/>
  <c r="X893"/>
  <c r="X892"/>
  <c r="X891"/>
  <c r="X890"/>
  <c r="X889"/>
  <c r="X888"/>
  <c r="X887"/>
  <c r="X886"/>
  <c r="X885"/>
  <c r="X884"/>
  <c r="X883"/>
  <c r="X882"/>
  <c r="X881"/>
  <c r="X880"/>
  <c r="X879"/>
  <c r="X878"/>
  <c r="X877"/>
  <c r="X876"/>
  <c r="X875"/>
  <c r="X874"/>
  <c r="X873"/>
  <c r="X872"/>
  <c r="X871"/>
  <c r="X870"/>
  <c r="X869"/>
  <c r="X868"/>
  <c r="X867"/>
  <c r="X866"/>
  <c r="X865"/>
  <c r="X864"/>
  <c r="X863"/>
  <c r="X862"/>
  <c r="X861"/>
  <c r="X860"/>
  <c r="X859"/>
  <c r="X858"/>
  <c r="X857"/>
  <c r="X856"/>
  <c r="X855"/>
  <c r="X854"/>
  <c r="X853"/>
  <c r="X852"/>
  <c r="X851"/>
  <c r="X850"/>
  <c r="X849"/>
  <c r="X848"/>
  <c r="X847"/>
  <c r="X846"/>
  <c r="X845"/>
  <c r="X844"/>
  <c r="X843"/>
  <c r="X842"/>
  <c r="X841"/>
  <c r="X840"/>
  <c r="X839"/>
  <c r="X838"/>
  <c r="X837"/>
  <c r="X836"/>
  <c r="X835"/>
  <c r="X834"/>
  <c r="X833"/>
  <c r="X832"/>
  <c r="X831"/>
  <c r="X830"/>
  <c r="X829"/>
  <c r="X828"/>
  <c r="X827"/>
  <c r="X826"/>
  <c r="X825"/>
  <c r="X824"/>
  <c r="X823"/>
  <c r="X822"/>
  <c r="X821"/>
  <c r="X820"/>
  <c r="X819"/>
  <c r="X818"/>
  <c r="X817"/>
  <c r="X816"/>
  <c r="X815"/>
  <c r="X814"/>
  <c r="X813"/>
  <c r="X812"/>
  <c r="X811"/>
  <c r="X810"/>
  <c r="X809"/>
  <c r="X808"/>
  <c r="X807"/>
  <c r="X806"/>
  <c r="X805"/>
  <c r="X804"/>
  <c r="X803"/>
  <c r="X802"/>
  <c r="X801"/>
  <c r="X800"/>
  <c r="X799"/>
  <c r="X798"/>
  <c r="X797"/>
  <c r="X796"/>
  <c r="X795"/>
  <c r="X794"/>
  <c r="X793"/>
  <c r="X792"/>
  <c r="X791"/>
  <c r="X790"/>
  <c r="X789"/>
  <c r="X788"/>
  <c r="X787"/>
  <c r="X786"/>
  <c r="X785"/>
  <c r="X784"/>
  <c r="X783"/>
  <c r="X782"/>
  <c r="X781"/>
  <c r="X780"/>
  <c r="X779"/>
  <c r="X778"/>
  <c r="X777"/>
  <c r="X776"/>
  <c r="X775"/>
  <c r="X774"/>
  <c r="X773"/>
  <c r="X772"/>
  <c r="X771"/>
  <c r="X770"/>
  <c r="X769"/>
  <c r="X768"/>
  <c r="X719"/>
  <c r="X718"/>
  <c r="X717"/>
  <c r="X716"/>
  <c r="X715"/>
  <c r="X714"/>
  <c r="X767"/>
  <c r="X766"/>
  <c r="X765"/>
  <c r="X764"/>
  <c r="X763"/>
  <c r="X762"/>
  <c r="X761"/>
  <c r="X760"/>
  <c r="X759"/>
  <c r="X758"/>
  <c r="X757"/>
  <c r="X756"/>
  <c r="X755"/>
  <c r="X754"/>
  <c r="X753"/>
  <c r="X752"/>
  <c r="X751"/>
  <c r="X750"/>
  <c r="X749"/>
  <c r="X748"/>
  <c r="X747"/>
  <c r="X746"/>
  <c r="X745"/>
  <c r="X744"/>
  <c r="X743"/>
  <c r="X742"/>
  <c r="X741"/>
  <c r="X740"/>
  <c r="X739"/>
  <c r="X738"/>
  <c r="X737"/>
  <c r="X736"/>
  <c r="X735"/>
  <c r="X734"/>
  <c r="X733"/>
  <c r="X732"/>
  <c r="X731"/>
  <c r="X730"/>
  <c r="X729"/>
  <c r="X728"/>
  <c r="X727"/>
  <c r="X726"/>
  <c r="X725"/>
  <c r="X724"/>
  <c r="X723"/>
  <c r="X722"/>
  <c r="X721"/>
  <c r="X720"/>
  <c r="X713"/>
  <c r="X712"/>
  <c r="X711"/>
  <c r="X710"/>
  <c r="X709"/>
  <c r="X708"/>
  <c r="X707"/>
  <c r="X706"/>
  <c r="X705"/>
  <c r="X704"/>
  <c r="X703"/>
  <c r="X702"/>
  <c r="X701"/>
  <c r="X700"/>
  <c r="X699"/>
  <c r="X698"/>
  <c r="X697"/>
  <c r="X696"/>
  <c r="X695"/>
  <c r="X694"/>
  <c r="X693"/>
  <c r="X692"/>
  <c r="X691"/>
  <c r="X690"/>
  <c r="X689"/>
  <c r="X688"/>
  <c r="X687"/>
  <c r="X686"/>
  <c r="X685"/>
  <c r="X684"/>
  <c r="X683"/>
  <c r="X682"/>
  <c r="X681"/>
  <c r="X680"/>
  <c r="X679"/>
  <c r="X678"/>
  <c r="X677"/>
  <c r="X676"/>
  <c r="X675"/>
  <c r="X674"/>
  <c r="X673"/>
  <c r="X672"/>
  <c r="X671"/>
  <c r="X670"/>
  <c r="X669"/>
  <c r="X668"/>
  <c r="X667"/>
  <c r="X666"/>
  <c r="X665"/>
  <c r="X664"/>
  <c r="X663"/>
  <c r="X662"/>
  <c r="X661"/>
  <c r="X660"/>
  <c r="X659"/>
  <c r="X658"/>
  <c r="X657"/>
  <c r="X656"/>
  <c r="X655"/>
  <c r="X654"/>
  <c r="X653"/>
  <c r="X652"/>
  <c r="X651"/>
  <c r="X650"/>
  <c r="X649"/>
  <c r="X648"/>
  <c r="X647"/>
  <c r="X646"/>
  <c r="X645"/>
  <c r="X644"/>
  <c r="X643"/>
  <c r="X642"/>
  <c r="X641"/>
  <c r="X640"/>
  <c r="X639"/>
  <c r="X638"/>
  <c r="X637"/>
  <c r="X636"/>
  <c r="X635"/>
  <c r="X634"/>
  <c r="X633"/>
  <c r="X632"/>
  <c r="X631"/>
  <c r="X630"/>
  <c r="X629"/>
  <c r="X628"/>
  <c r="X627"/>
  <c r="X626"/>
  <c r="X625"/>
  <c r="X624"/>
  <c r="X623"/>
  <c r="X622"/>
  <c r="X621"/>
  <c r="X620"/>
  <c r="X619"/>
  <c r="X618"/>
  <c r="X617"/>
  <c r="X616"/>
  <c r="X615"/>
  <c r="X614"/>
  <c r="X613"/>
  <c r="X612"/>
  <c r="X611"/>
  <c r="X610"/>
  <c r="X609"/>
  <c r="X608"/>
  <c r="X607"/>
  <c r="X606"/>
  <c r="X605"/>
  <c r="X604"/>
  <c r="X603"/>
  <c r="X602"/>
  <c r="X601"/>
  <c r="X600"/>
  <c r="X599"/>
  <c r="X598"/>
  <c r="X597"/>
  <c r="X596"/>
  <c r="X595"/>
  <c r="X594"/>
  <c r="X593"/>
  <c r="X592"/>
  <c r="X591"/>
  <c r="X590"/>
  <c r="X589"/>
  <c r="X588"/>
  <c r="X587"/>
  <c r="X586"/>
  <c r="X585"/>
  <c r="X584"/>
  <c r="X583"/>
  <c r="X582"/>
  <c r="X581"/>
  <c r="X580"/>
  <c r="X579"/>
  <c r="X578"/>
  <c r="X577"/>
  <c r="X576"/>
  <c r="X575"/>
  <c r="X574"/>
  <c r="X573"/>
  <c r="X572"/>
  <c r="X571"/>
  <c r="X570"/>
  <c r="X569"/>
  <c r="X568"/>
  <c r="X567"/>
  <c r="X566"/>
  <c r="X565"/>
  <c r="X564"/>
  <c r="X563"/>
  <c r="X562"/>
  <c r="X561"/>
  <c r="X560"/>
  <c r="X559"/>
  <c r="X558"/>
  <c r="X557"/>
  <c r="X556"/>
  <c r="X555"/>
  <c r="X554"/>
  <c r="X553"/>
  <c r="X552"/>
  <c r="X551"/>
  <c r="X550"/>
  <c r="X549"/>
  <c r="X548"/>
  <c r="X547"/>
  <c r="X546"/>
  <c r="X545"/>
  <c r="X544"/>
  <c r="X543"/>
  <c r="X542"/>
  <c r="X541"/>
  <c r="X540"/>
  <c r="X539"/>
  <c r="X538"/>
  <c r="X537"/>
  <c r="X536"/>
  <c r="X535"/>
  <c r="X534"/>
  <c r="X533"/>
  <c r="X532"/>
  <c r="X531"/>
  <c r="X530"/>
  <c r="X529"/>
  <c r="X528"/>
  <c r="X527"/>
  <c r="X526"/>
  <c r="X525"/>
  <c r="X524"/>
  <c r="X523"/>
  <c r="X522"/>
  <c r="X521"/>
  <c r="X520"/>
  <c r="X519"/>
  <c r="X518"/>
  <c r="X517"/>
  <c r="X516"/>
  <c r="X515"/>
  <c r="X514"/>
  <c r="X513"/>
  <c r="X512"/>
  <c r="X511"/>
  <c r="X510"/>
  <c r="X509"/>
  <c r="X508"/>
  <c r="X507"/>
  <c r="X506"/>
  <c r="X505"/>
  <c r="X504"/>
  <c r="X503"/>
  <c r="X502"/>
  <c r="X501"/>
  <c r="X500"/>
  <c r="X499"/>
  <c r="X498"/>
  <c r="X497"/>
  <c r="X496"/>
  <c r="X495"/>
  <c r="X494"/>
  <c r="X493"/>
  <c r="X492"/>
  <c r="X491"/>
  <c r="X490"/>
  <c r="X489"/>
  <c r="X488"/>
  <c r="X487"/>
  <c r="X486"/>
  <c r="X485"/>
  <c r="X484"/>
  <c r="X483"/>
  <c r="X482"/>
  <c r="X481"/>
  <c r="X480"/>
  <c r="X479"/>
  <c r="X478"/>
  <c r="X477"/>
  <c r="X476"/>
  <c r="X475"/>
  <c r="X474"/>
  <c r="X473"/>
  <c r="X472"/>
  <c r="X471"/>
  <c r="X470"/>
  <c r="X469"/>
  <c r="X468"/>
  <c r="X467"/>
  <c r="X466"/>
  <c r="X465"/>
  <c r="X464"/>
  <c r="X463"/>
  <c r="X462"/>
  <c r="X461"/>
  <c r="X460"/>
  <c r="X459"/>
  <c r="X458"/>
  <c r="X457"/>
  <c r="X456"/>
  <c r="X455"/>
  <c r="X454"/>
  <c r="X453"/>
  <c r="X452"/>
  <c r="X451"/>
  <c r="X450"/>
  <c r="X449"/>
  <c r="X448"/>
  <c r="X447"/>
  <c r="X446"/>
  <c r="X445"/>
  <c r="X444"/>
  <c r="X443"/>
  <c r="X442"/>
  <c r="X441"/>
  <c r="X440"/>
  <c r="X439"/>
  <c r="X438"/>
  <c r="X437"/>
  <c r="X436"/>
  <c r="X435"/>
  <c r="X434"/>
  <c r="X433"/>
  <c r="X432"/>
  <c r="X431"/>
  <c r="X430"/>
  <c r="X429"/>
  <c r="X428"/>
  <c r="X427"/>
  <c r="X426"/>
  <c r="X425"/>
  <c r="X424"/>
  <c r="X423"/>
  <c r="X422"/>
  <c r="X421"/>
  <c r="X420"/>
  <c r="X419"/>
  <c r="X418"/>
  <c r="X417"/>
  <c r="X416"/>
  <c r="X415"/>
  <c r="X414"/>
  <c r="X413"/>
  <c r="X412"/>
  <c r="X411"/>
  <c r="X410"/>
  <c r="X409"/>
  <c r="X408"/>
  <c r="X407"/>
  <c r="X406"/>
  <c r="X405"/>
  <c r="X404"/>
  <c r="X403"/>
  <c r="X402"/>
  <c r="X401"/>
  <c r="X400"/>
  <c r="X399"/>
  <c r="X398"/>
  <c r="X397"/>
  <c r="X396"/>
  <c r="X395"/>
  <c r="X394"/>
  <c r="X393"/>
  <c r="X392"/>
  <c r="X391"/>
  <c r="X390"/>
  <c r="X389"/>
  <c r="X388"/>
  <c r="X387"/>
  <c r="X386"/>
  <c r="X385"/>
  <c r="X384"/>
  <c r="X383"/>
  <c r="X382"/>
  <c r="X381"/>
  <c r="X380"/>
  <c r="X379"/>
  <c r="X378"/>
  <c r="X377"/>
  <c r="X376"/>
  <c r="X375"/>
  <c r="X374"/>
  <c r="X373"/>
  <c r="X372"/>
  <c r="X371"/>
  <c r="X370"/>
  <c r="X369"/>
  <c r="X368"/>
  <c r="X367"/>
  <c r="X366"/>
  <c r="X365"/>
  <c r="X364"/>
  <c r="X363"/>
  <c r="X362"/>
  <c r="X361"/>
  <c r="X360"/>
  <c r="X359"/>
  <c r="X358"/>
  <c r="X357"/>
  <c r="X356"/>
  <c r="X355"/>
  <c r="X354"/>
  <c r="X353"/>
  <c r="X352"/>
  <c r="X351"/>
  <c r="X350"/>
  <c r="X349"/>
  <c r="X348"/>
  <c r="X347"/>
  <c r="X346"/>
  <c r="X345"/>
  <c r="X344"/>
  <c r="X343"/>
  <c r="X342"/>
  <c r="X341"/>
  <c r="X340"/>
  <c r="X339"/>
  <c r="X338"/>
  <c r="X337"/>
  <c r="X336"/>
  <c r="X335"/>
  <c r="X334"/>
  <c r="X333"/>
  <c r="X332"/>
  <c r="X331"/>
  <c r="X330"/>
  <c r="X329"/>
  <c r="X328"/>
  <c r="X327"/>
  <c r="X326"/>
  <c r="X325"/>
  <c r="X324"/>
  <c r="X323"/>
  <c r="X322"/>
  <c r="X321"/>
  <c r="X320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S3388"/>
  <c r="AG3388" s="1"/>
  <c r="R3388"/>
  <c r="AF3388" s="1"/>
  <c r="Q3388"/>
  <c r="S3387"/>
  <c r="AG3387" s="1"/>
  <c r="R3387"/>
  <c r="AF3387" s="1"/>
  <c r="Q3387"/>
  <c r="S3386"/>
  <c r="AG3386" s="1"/>
  <c r="R3386"/>
  <c r="AF3386" s="1"/>
  <c r="Q3386"/>
  <c r="S3385"/>
  <c r="AG3385" s="1"/>
  <c r="R3385"/>
  <c r="AF3385" s="1"/>
  <c r="Q3385"/>
  <c r="S3384"/>
  <c r="AG3384" s="1"/>
  <c r="R3384"/>
  <c r="AF3384" s="1"/>
  <c r="Q3384"/>
  <c r="S3383"/>
  <c r="AG3383" s="1"/>
  <c r="R3383"/>
  <c r="AF3383" s="1"/>
  <c r="Q3383"/>
  <c r="S3382"/>
  <c r="AG3382" s="1"/>
  <c r="R3382"/>
  <c r="AF3382" s="1"/>
  <c r="Q3382"/>
  <c r="S3381"/>
  <c r="AG3381" s="1"/>
  <c r="R3381"/>
  <c r="AF3381" s="1"/>
  <c r="Q3381"/>
  <c r="S3380"/>
  <c r="AG3380" s="1"/>
  <c r="R3380"/>
  <c r="AF3380" s="1"/>
  <c r="Q3380"/>
  <c r="S3379"/>
  <c r="AG3379" s="1"/>
  <c r="R3379"/>
  <c r="AF3379" s="1"/>
  <c r="Q3379"/>
  <c r="S3378"/>
  <c r="AG3378" s="1"/>
  <c r="R3378"/>
  <c r="AF3378" s="1"/>
  <c r="Q3378"/>
  <c r="S3377"/>
  <c r="AG3377" s="1"/>
  <c r="R3377"/>
  <c r="AF3377" s="1"/>
  <c r="Q3377"/>
  <c r="S3376"/>
  <c r="AG3376" s="1"/>
  <c r="R3376"/>
  <c r="AF3376" s="1"/>
  <c r="Q3376"/>
  <c r="S3375"/>
  <c r="AG3375" s="1"/>
  <c r="R3375"/>
  <c r="AF3375" s="1"/>
  <c r="Q3375"/>
  <c r="S3374"/>
  <c r="AG3374" s="1"/>
  <c r="R3374"/>
  <c r="AF3374" s="1"/>
  <c r="Q3374"/>
  <c r="S3373"/>
  <c r="AG3373" s="1"/>
  <c r="R3373"/>
  <c r="AF3373" s="1"/>
  <c r="Q3373"/>
  <c r="S3372"/>
  <c r="AG3372" s="1"/>
  <c r="R3372"/>
  <c r="AF3372" s="1"/>
  <c r="Q3372"/>
  <c r="S3371"/>
  <c r="AG3371" s="1"/>
  <c r="R3371"/>
  <c r="AF3371" s="1"/>
  <c r="Q3371"/>
  <c r="S3370"/>
  <c r="AG3370" s="1"/>
  <c r="R3370"/>
  <c r="AF3370" s="1"/>
  <c r="Q3370"/>
  <c r="S3369"/>
  <c r="AG3369" s="1"/>
  <c r="R3369"/>
  <c r="AF3369" s="1"/>
  <c r="Q3369"/>
  <c r="S3368"/>
  <c r="AG3368" s="1"/>
  <c r="R3368"/>
  <c r="AF3368" s="1"/>
  <c r="Q3368"/>
  <c r="S3367"/>
  <c r="AG3367" s="1"/>
  <c r="R3367"/>
  <c r="AF3367" s="1"/>
  <c r="Q3367"/>
  <c r="S3366"/>
  <c r="AG3366" s="1"/>
  <c r="R3366"/>
  <c r="AF3366" s="1"/>
  <c r="Q3366"/>
  <c r="S3365"/>
  <c r="AG3365" s="1"/>
  <c r="R3365"/>
  <c r="AF3365" s="1"/>
  <c r="Q3365"/>
  <c r="S3364"/>
  <c r="AG3364" s="1"/>
  <c r="R3364"/>
  <c r="AF3364" s="1"/>
  <c r="Q3364"/>
  <c r="S3363"/>
  <c r="AG3363" s="1"/>
  <c r="R3363"/>
  <c r="AF3363" s="1"/>
  <c r="Q3363"/>
  <c r="S3362"/>
  <c r="AG3362" s="1"/>
  <c r="R3362"/>
  <c r="AF3362" s="1"/>
  <c r="Q3362"/>
  <c r="S3361"/>
  <c r="AG3361" s="1"/>
  <c r="R3361"/>
  <c r="AF3361" s="1"/>
  <c r="Q3361"/>
  <c r="S3360"/>
  <c r="AG3360" s="1"/>
  <c r="R3360"/>
  <c r="AF3360" s="1"/>
  <c r="Q3360"/>
  <c r="S3359"/>
  <c r="AG3359" s="1"/>
  <c r="R3359"/>
  <c r="AF3359" s="1"/>
  <c r="Q3359"/>
  <c r="S3358"/>
  <c r="AG3358" s="1"/>
  <c r="R3358"/>
  <c r="AF3358" s="1"/>
  <c r="Q3358"/>
  <c r="S3357"/>
  <c r="AG3357" s="1"/>
  <c r="R3357"/>
  <c r="AF3357" s="1"/>
  <c r="Q3357"/>
  <c r="S3356"/>
  <c r="AG3356" s="1"/>
  <c r="R3356"/>
  <c r="AF3356" s="1"/>
  <c r="Q3356"/>
  <c r="S3355"/>
  <c r="AG3355" s="1"/>
  <c r="R3355"/>
  <c r="AF3355" s="1"/>
  <c r="Q3355"/>
  <c r="S3354"/>
  <c r="AG3354" s="1"/>
  <c r="R3354"/>
  <c r="AF3354" s="1"/>
  <c r="Q3354"/>
  <c r="S3353"/>
  <c r="AG3353" s="1"/>
  <c r="R3353"/>
  <c r="AF3353" s="1"/>
  <c r="Q3353"/>
  <c r="S3352"/>
  <c r="AG3352" s="1"/>
  <c r="R3352"/>
  <c r="AF3352" s="1"/>
  <c r="Q3352"/>
  <c r="S3351"/>
  <c r="AG3351" s="1"/>
  <c r="R3351"/>
  <c r="AF3351" s="1"/>
  <c r="Q3351"/>
  <c r="S3350"/>
  <c r="AG3350" s="1"/>
  <c r="R3350"/>
  <c r="AF3350" s="1"/>
  <c r="Q3350"/>
  <c r="S3349"/>
  <c r="AG3349" s="1"/>
  <c r="R3349"/>
  <c r="AF3349" s="1"/>
  <c r="Q3349"/>
  <c r="S3348"/>
  <c r="AG3348" s="1"/>
  <c r="R3348"/>
  <c r="AF3348" s="1"/>
  <c r="Q3348"/>
  <c r="S3347"/>
  <c r="AG3347" s="1"/>
  <c r="R3347"/>
  <c r="AF3347" s="1"/>
  <c r="Q3347"/>
  <c r="S3346"/>
  <c r="AG3346" s="1"/>
  <c r="R3346"/>
  <c r="AF3346" s="1"/>
  <c r="Q3346"/>
  <c r="S3345"/>
  <c r="AG3345" s="1"/>
  <c r="R3345"/>
  <c r="AF3345" s="1"/>
  <c r="Q3345"/>
  <c r="S3344"/>
  <c r="AG3344" s="1"/>
  <c r="R3344"/>
  <c r="AF3344" s="1"/>
  <c r="Q3344"/>
  <c r="S3343"/>
  <c r="AG3343" s="1"/>
  <c r="R3343"/>
  <c r="AF3343" s="1"/>
  <c r="Q3343"/>
  <c r="S3342"/>
  <c r="AG3342" s="1"/>
  <c r="R3342"/>
  <c r="AF3342" s="1"/>
  <c r="Q3342"/>
  <c r="S3341"/>
  <c r="AG3341" s="1"/>
  <c r="R3341"/>
  <c r="AF3341" s="1"/>
  <c r="Q3341"/>
  <c r="S3340"/>
  <c r="AG3340" s="1"/>
  <c r="R3340"/>
  <c r="AF3340" s="1"/>
  <c r="Q3340"/>
  <c r="S3339"/>
  <c r="AG3339" s="1"/>
  <c r="R3339"/>
  <c r="AF3339" s="1"/>
  <c r="Q3339"/>
  <c r="S3338"/>
  <c r="AG3338" s="1"/>
  <c r="R3338"/>
  <c r="AF3338" s="1"/>
  <c r="Q3338"/>
  <c r="S3337"/>
  <c r="AG3337" s="1"/>
  <c r="R3337"/>
  <c r="AF3337" s="1"/>
  <c r="Q3337"/>
  <c r="S3336"/>
  <c r="AG3336" s="1"/>
  <c r="R3336"/>
  <c r="AF3336" s="1"/>
  <c r="Q3336"/>
  <c r="S3335"/>
  <c r="AG3335" s="1"/>
  <c r="R3335"/>
  <c r="AF3335" s="1"/>
  <c r="Q3335"/>
  <c r="S3334"/>
  <c r="AG3334" s="1"/>
  <c r="R3334"/>
  <c r="AF3334" s="1"/>
  <c r="Q3334"/>
  <c r="S3333"/>
  <c r="AG3333" s="1"/>
  <c r="R3333"/>
  <c r="AF3333" s="1"/>
  <c r="Q3333"/>
  <c r="S3332"/>
  <c r="AG3332" s="1"/>
  <c r="R3332"/>
  <c r="AF3332" s="1"/>
  <c r="Q3332"/>
  <c r="S3331"/>
  <c r="AG3331" s="1"/>
  <c r="R3331"/>
  <c r="AF3331" s="1"/>
  <c r="Q3331"/>
  <c r="S3330"/>
  <c r="AG3330" s="1"/>
  <c r="R3330"/>
  <c r="AF3330" s="1"/>
  <c r="Q3330"/>
  <c r="S3329"/>
  <c r="AG3329" s="1"/>
  <c r="R3329"/>
  <c r="AF3329" s="1"/>
  <c r="Q3329"/>
  <c r="S3328"/>
  <c r="AG3328" s="1"/>
  <c r="R3328"/>
  <c r="AF3328" s="1"/>
  <c r="Q3328"/>
  <c r="S3327"/>
  <c r="AG3327" s="1"/>
  <c r="R3327"/>
  <c r="AF3327" s="1"/>
  <c r="Q3327"/>
  <c r="S3326"/>
  <c r="AG3326" s="1"/>
  <c r="R3326"/>
  <c r="AF3326" s="1"/>
  <c r="Q3326"/>
  <c r="S3325"/>
  <c r="AG3325" s="1"/>
  <c r="R3325"/>
  <c r="AF3325" s="1"/>
  <c r="Q3325"/>
  <c r="S3324"/>
  <c r="AG3324" s="1"/>
  <c r="R3324"/>
  <c r="AF3324" s="1"/>
  <c r="Q3324"/>
  <c r="S3323"/>
  <c r="AG3323" s="1"/>
  <c r="R3323"/>
  <c r="AF3323" s="1"/>
  <c r="Q3323"/>
  <c r="S3322"/>
  <c r="R3322"/>
  <c r="AF3322" s="1"/>
  <c r="Q3322"/>
  <c r="S3321"/>
  <c r="AG3321" s="1"/>
  <c r="R3321"/>
  <c r="AF3321" s="1"/>
  <c r="Q3321"/>
  <c r="S3320"/>
  <c r="AG3320" s="1"/>
  <c r="R3320"/>
  <c r="AF3320" s="1"/>
  <c r="Q3320"/>
  <c r="S3319"/>
  <c r="AG3319" s="1"/>
  <c r="R3319"/>
  <c r="AF3319" s="1"/>
  <c r="Q3319"/>
  <c r="S3318"/>
  <c r="AG3318" s="1"/>
  <c r="R3318"/>
  <c r="AF3318" s="1"/>
  <c r="Q3318"/>
  <c r="S3317"/>
  <c r="AG3317" s="1"/>
  <c r="R3317"/>
  <c r="Q3317"/>
  <c r="S3316"/>
  <c r="AG3316" s="1"/>
  <c r="R3316"/>
  <c r="AF3316" s="1"/>
  <c r="Q3316"/>
  <c r="S3315"/>
  <c r="AG3315" s="1"/>
  <c r="R3315"/>
  <c r="AF3315" s="1"/>
  <c r="Q3315"/>
  <c r="S3314"/>
  <c r="AG3314" s="1"/>
  <c r="R3314"/>
  <c r="AF3314" s="1"/>
  <c r="Q3314"/>
  <c r="S3313"/>
  <c r="AG3313" s="1"/>
  <c r="R3313"/>
  <c r="AF3313" s="1"/>
  <c r="Q3313"/>
  <c r="S3312"/>
  <c r="AG3312" s="1"/>
  <c r="R3312"/>
  <c r="AF3312" s="1"/>
  <c r="Q3312"/>
  <c r="S3311"/>
  <c r="AG3311" s="1"/>
  <c r="R3311"/>
  <c r="AF3311" s="1"/>
  <c r="Q3311"/>
  <c r="S3310"/>
  <c r="AG3310" s="1"/>
  <c r="R3310"/>
  <c r="AF3310" s="1"/>
  <c r="Q3310"/>
  <c r="S3309"/>
  <c r="AG3309" s="1"/>
  <c r="R3309"/>
  <c r="AF3309" s="1"/>
  <c r="Q3309"/>
  <c r="S3305"/>
  <c r="AG3305" s="1"/>
  <c r="R3305"/>
  <c r="AF3305" s="1"/>
  <c r="Q3305"/>
  <c r="S3304"/>
  <c r="AG3304" s="1"/>
  <c r="R3304"/>
  <c r="AF3304" s="1"/>
  <c r="Q3304"/>
  <c r="S3303"/>
  <c r="AG3303" s="1"/>
  <c r="R3303"/>
  <c r="AF3303" s="1"/>
  <c r="Q3303"/>
  <c r="S3302"/>
  <c r="AG3302" s="1"/>
  <c r="R3302"/>
  <c r="AF3302" s="1"/>
  <c r="Q3302"/>
  <c r="S3301"/>
  <c r="AG3301" s="1"/>
  <c r="R3301"/>
  <c r="AF3301" s="1"/>
  <c r="Q3301"/>
  <c r="S3300"/>
  <c r="R3300"/>
  <c r="AF3300" s="1"/>
  <c r="Q3300"/>
  <c r="S3299"/>
  <c r="AG3299" s="1"/>
  <c r="R3299"/>
  <c r="AF3299" s="1"/>
  <c r="Q3299"/>
  <c r="S3298"/>
  <c r="AG3298" s="1"/>
  <c r="R3298"/>
  <c r="AF3298" s="1"/>
  <c r="Q3298"/>
  <c r="S3297"/>
  <c r="AG3297" s="1"/>
  <c r="R3297"/>
  <c r="AF3297" s="1"/>
  <c r="Q3297"/>
  <c r="S3295"/>
  <c r="AG3295" s="1"/>
  <c r="R3295"/>
  <c r="AF3295" s="1"/>
  <c r="Q3295"/>
  <c r="S3290"/>
  <c r="AG3290" s="1"/>
  <c r="R3290"/>
  <c r="AF3290" s="1"/>
  <c r="Q3290"/>
  <c r="S3285"/>
  <c r="AG3285" s="1"/>
  <c r="R3285"/>
  <c r="AF3285" s="1"/>
  <c r="Q3285"/>
  <c r="S3280"/>
  <c r="AG3280" s="1"/>
  <c r="R3280"/>
  <c r="AF3280" s="1"/>
  <c r="Q3280"/>
  <c r="R3279"/>
  <c r="AF3279" s="1"/>
  <c r="Q3279"/>
  <c r="S3274"/>
  <c r="AG3274" s="1"/>
  <c r="R3274"/>
  <c r="AF3274" s="1"/>
  <c r="Q3274"/>
  <c r="S3268"/>
  <c r="AG3268" s="1"/>
  <c r="R3268"/>
  <c r="AF3268" s="1"/>
  <c r="Q3268"/>
  <c r="S3264"/>
  <c r="AG3264" s="1"/>
  <c r="R3264"/>
  <c r="AF3264" s="1"/>
  <c r="Q3264"/>
  <c r="S3260"/>
  <c r="AG3260" s="1"/>
  <c r="R3260"/>
  <c r="AF3260" s="1"/>
  <c r="Q3260"/>
  <c r="S3256"/>
  <c r="AG3256" s="1"/>
  <c r="R3256"/>
  <c r="AF3256" s="1"/>
  <c r="Q3256"/>
  <c r="S3246"/>
  <c r="AG3246" s="1"/>
  <c r="R3246"/>
  <c r="AF3246" s="1"/>
  <c r="Q3246"/>
  <c r="S3245"/>
  <c r="AG3245" s="1"/>
  <c r="R3245"/>
  <c r="AF3245" s="1"/>
  <c r="Q3245"/>
  <c r="S3243"/>
  <c r="AG3243" s="1"/>
  <c r="R3243"/>
  <c r="AF3243" s="1"/>
  <c r="Q3243"/>
  <c r="S3242"/>
  <c r="AG3242" s="1"/>
  <c r="R3242"/>
  <c r="AF3242" s="1"/>
  <c r="Q3242"/>
  <c r="S3241"/>
  <c r="AG3241" s="1"/>
  <c r="R3241"/>
  <c r="AF3241" s="1"/>
  <c r="Q3241"/>
  <c r="Q3238"/>
  <c r="R3237"/>
  <c r="AF3237" s="1"/>
  <c r="Q3237"/>
  <c r="S3236"/>
  <c r="AG3236" s="1"/>
  <c r="R3236"/>
  <c r="AF3236" s="1"/>
  <c r="Q3236"/>
  <c r="Q3235"/>
  <c r="S3233"/>
  <c r="AG3233" s="1"/>
  <c r="R3233"/>
  <c r="AF3233" s="1"/>
  <c r="Q3233"/>
  <c r="S3232"/>
  <c r="AG3232" s="1"/>
  <c r="R3232"/>
  <c r="AF3232" s="1"/>
  <c r="Q3232"/>
  <c r="S3231"/>
  <c r="AG3231" s="1"/>
  <c r="R3231"/>
  <c r="AF3231" s="1"/>
  <c r="Q3231"/>
  <c r="S3230"/>
  <c r="R3230"/>
  <c r="AF3230" s="1"/>
  <c r="Q3230"/>
  <c r="R3228"/>
  <c r="AF3228" s="1"/>
  <c r="Q3228"/>
  <c r="S3227"/>
  <c r="AG3227" s="1"/>
  <c r="R3227"/>
  <c r="AF3227" s="1"/>
  <c r="Q3227"/>
  <c r="S3226"/>
  <c r="AG3226" s="1"/>
  <c r="R3226"/>
  <c r="AF3226" s="1"/>
  <c r="Q3226"/>
  <c r="S3225"/>
  <c r="AG3225" s="1"/>
  <c r="R3225"/>
  <c r="AF3225" s="1"/>
  <c r="Q3225"/>
  <c r="R3224"/>
  <c r="AF3224" s="1"/>
  <c r="Q3224"/>
  <c r="S3223"/>
  <c r="AG3223" s="1"/>
  <c r="R3223"/>
  <c r="AF3223" s="1"/>
  <c r="Q3223"/>
  <c r="R3222"/>
  <c r="AF3222" s="1"/>
  <c r="Q3222"/>
  <c r="S3221"/>
  <c r="AG3221" s="1"/>
  <c r="R3221"/>
  <c r="AF3221" s="1"/>
  <c r="Q3221"/>
  <c r="R3220"/>
  <c r="AF3220" s="1"/>
  <c r="Q3220"/>
  <c r="S3219"/>
  <c r="AG3219" s="1"/>
  <c r="R3219"/>
  <c r="AF3219" s="1"/>
  <c r="Q3219"/>
  <c r="S3218"/>
  <c r="AG3218" s="1"/>
  <c r="R3218"/>
  <c r="AF3218" s="1"/>
  <c r="Q3218"/>
  <c r="S3217"/>
  <c r="AG3217" s="1"/>
  <c r="R3217"/>
  <c r="AF3217" s="1"/>
  <c r="Q3217"/>
  <c r="S3216"/>
  <c r="AG3216" s="1"/>
  <c r="R3216"/>
  <c r="AF3216" s="1"/>
  <c r="Q3216"/>
  <c r="S3215"/>
  <c r="AG3215" s="1"/>
  <c r="R3215"/>
  <c r="AF3215" s="1"/>
  <c r="Q3215"/>
  <c r="S3214"/>
  <c r="AG3214" s="1"/>
  <c r="R3214"/>
  <c r="AF3214" s="1"/>
  <c r="Q3214"/>
  <c r="S3213"/>
  <c r="AG3213" s="1"/>
  <c r="R3213"/>
  <c r="AF3213" s="1"/>
  <c r="Q3213"/>
  <c r="S3212"/>
  <c r="AG3212" s="1"/>
  <c r="R3212"/>
  <c r="AF3212" s="1"/>
  <c r="Q3212"/>
  <c r="S3211"/>
  <c r="AG3211" s="1"/>
  <c r="R3211"/>
  <c r="AF3211" s="1"/>
  <c r="Q3211"/>
  <c r="S3210"/>
  <c r="AG3210" s="1"/>
  <c r="R3210"/>
  <c r="AF3210" s="1"/>
  <c r="Q3210"/>
  <c r="S3209"/>
  <c r="AG3209" s="1"/>
  <c r="R3209"/>
  <c r="AF3209" s="1"/>
  <c r="Q3209"/>
  <c r="R3208"/>
  <c r="AF3208" s="1"/>
  <c r="Q3208"/>
  <c r="S3207"/>
  <c r="AG3207" s="1"/>
  <c r="R3207"/>
  <c r="AF3207" s="1"/>
  <c r="Q3207"/>
  <c r="S3206"/>
  <c r="AG3206" s="1"/>
  <c r="R3206"/>
  <c r="AF3206" s="1"/>
  <c r="Q3206"/>
  <c r="S3205"/>
  <c r="AG3205" s="1"/>
  <c r="R3205"/>
  <c r="AF3205" s="1"/>
  <c r="Q3205"/>
  <c r="S3204"/>
  <c r="AG3204" s="1"/>
  <c r="R3204"/>
  <c r="AF3204" s="1"/>
  <c r="Q3204"/>
  <c r="S3203"/>
  <c r="AG3203" s="1"/>
  <c r="R3203"/>
  <c r="AF3203" s="1"/>
  <c r="Q3203"/>
  <c r="S3202"/>
  <c r="AG3202" s="1"/>
  <c r="R3202"/>
  <c r="AF3202" s="1"/>
  <c r="Q3202"/>
  <c r="S3201"/>
  <c r="AG3201" s="1"/>
  <c r="R3201"/>
  <c r="AF3201" s="1"/>
  <c r="Q3201"/>
  <c r="S3200"/>
  <c r="AG3200" s="1"/>
  <c r="R3200"/>
  <c r="AF3200" s="1"/>
  <c r="Q3200"/>
  <c r="S3199"/>
  <c r="AG3199" s="1"/>
  <c r="R3199"/>
  <c r="AF3199" s="1"/>
  <c r="Q3199"/>
  <c r="S3198"/>
  <c r="AG3198" s="1"/>
  <c r="R3198"/>
  <c r="AF3198" s="1"/>
  <c r="Q3198"/>
  <c r="S3197"/>
  <c r="AG3197" s="1"/>
  <c r="R3197"/>
  <c r="AF3197" s="1"/>
  <c r="Q3197"/>
  <c r="S3196"/>
  <c r="AG3196" s="1"/>
  <c r="R3196"/>
  <c r="AF3196" s="1"/>
  <c r="Q3196"/>
  <c r="S3195"/>
  <c r="AG3195" s="1"/>
  <c r="R3195"/>
  <c r="AF3195" s="1"/>
  <c r="Q3195"/>
  <c r="S3194"/>
  <c r="AG3194" s="1"/>
  <c r="R3194"/>
  <c r="AF3194" s="1"/>
  <c r="Q3194"/>
  <c r="S3193"/>
  <c r="AG3193" s="1"/>
  <c r="R3193"/>
  <c r="AF3193" s="1"/>
  <c r="Q3193"/>
  <c r="S3192"/>
  <c r="AG3192" s="1"/>
  <c r="R3192"/>
  <c r="AF3192" s="1"/>
  <c r="Q3192"/>
  <c r="S3191"/>
  <c r="AG3191" s="1"/>
  <c r="R3191"/>
  <c r="AF3191" s="1"/>
  <c r="Q3191"/>
  <c r="S3190"/>
  <c r="AG3190" s="1"/>
  <c r="R3190"/>
  <c r="AF3190" s="1"/>
  <c r="Q3190"/>
  <c r="S3189"/>
  <c r="AG3189" s="1"/>
  <c r="R3189"/>
  <c r="AF3189" s="1"/>
  <c r="Q3189"/>
  <c r="S3188"/>
  <c r="AG3188" s="1"/>
  <c r="R3188"/>
  <c r="AF3188" s="1"/>
  <c r="Q3188"/>
  <c r="S3187"/>
  <c r="AG3187" s="1"/>
  <c r="R3187"/>
  <c r="AF3187" s="1"/>
  <c r="Q3187"/>
  <c r="S3186"/>
  <c r="AG3186" s="1"/>
  <c r="R3186"/>
  <c r="AF3186" s="1"/>
  <c r="Q3186"/>
  <c r="S3185"/>
  <c r="AG3185" s="1"/>
  <c r="R3185"/>
  <c r="AF3185" s="1"/>
  <c r="Q3185"/>
  <c r="S3184"/>
  <c r="AG3184" s="1"/>
  <c r="R3184"/>
  <c r="AF3184" s="1"/>
  <c r="Q3184"/>
  <c r="S3183"/>
  <c r="AG3183" s="1"/>
  <c r="R3183"/>
  <c r="AF3183" s="1"/>
  <c r="Q3183"/>
  <c r="S3182"/>
  <c r="AG3182" s="1"/>
  <c r="R3182"/>
  <c r="AF3182" s="1"/>
  <c r="Q3182"/>
  <c r="S3181"/>
  <c r="AG3181" s="1"/>
  <c r="R3181"/>
  <c r="AF3181" s="1"/>
  <c r="Q3181"/>
  <c r="S3180"/>
  <c r="AG3180" s="1"/>
  <c r="R3180"/>
  <c r="AF3180" s="1"/>
  <c r="Q3180"/>
  <c r="S3179"/>
  <c r="AG3179" s="1"/>
  <c r="R3179"/>
  <c r="AF3179" s="1"/>
  <c r="Q3179"/>
  <c r="S3178"/>
  <c r="AG3178" s="1"/>
  <c r="R3178"/>
  <c r="AF3178" s="1"/>
  <c r="Q3178"/>
  <c r="S3177"/>
  <c r="AG3177" s="1"/>
  <c r="R3177"/>
  <c r="AF3177" s="1"/>
  <c r="Q3177"/>
  <c r="S3176"/>
  <c r="AG3176" s="1"/>
  <c r="R3176"/>
  <c r="AF3176" s="1"/>
  <c r="Q3176"/>
  <c r="S3175"/>
  <c r="AG3175" s="1"/>
  <c r="R3175"/>
  <c r="AF3175" s="1"/>
  <c r="Q3175"/>
  <c r="S3174"/>
  <c r="AG3174" s="1"/>
  <c r="R3174"/>
  <c r="AF3174" s="1"/>
  <c r="Q3174"/>
  <c r="S3173"/>
  <c r="AG3173" s="1"/>
  <c r="R3173"/>
  <c r="AF3173" s="1"/>
  <c r="Q3173"/>
  <c r="S3172"/>
  <c r="AG3172" s="1"/>
  <c r="R3172"/>
  <c r="AF3172" s="1"/>
  <c r="Q3172"/>
  <c r="S3171"/>
  <c r="AG3171" s="1"/>
  <c r="R3171"/>
  <c r="AF3171" s="1"/>
  <c r="Q3171"/>
  <c r="S3170"/>
  <c r="AG3170" s="1"/>
  <c r="R3170"/>
  <c r="AF3170" s="1"/>
  <c r="Q3170"/>
  <c r="S3169"/>
  <c r="AG3169" s="1"/>
  <c r="R3169"/>
  <c r="AF3169" s="1"/>
  <c r="Q3169"/>
  <c r="S3168"/>
  <c r="AG3168" s="1"/>
  <c r="R3168"/>
  <c r="AF3168" s="1"/>
  <c r="Q3168"/>
  <c r="S3167"/>
  <c r="AG3167" s="1"/>
  <c r="R3167"/>
  <c r="AF3167" s="1"/>
  <c r="Q3167"/>
  <c r="S3166"/>
  <c r="AG3166" s="1"/>
  <c r="R3166"/>
  <c r="AF3166" s="1"/>
  <c r="Q3166"/>
  <c r="S3165"/>
  <c r="AG3165" s="1"/>
  <c r="R3165"/>
  <c r="AF3165" s="1"/>
  <c r="Q3165"/>
  <c r="S3164"/>
  <c r="AG3164" s="1"/>
  <c r="R3164"/>
  <c r="AF3164" s="1"/>
  <c r="Q3164"/>
  <c r="S3163"/>
  <c r="AG3163" s="1"/>
  <c r="R3163"/>
  <c r="AF3163" s="1"/>
  <c r="Q3163"/>
  <c r="S3162"/>
  <c r="AG3162" s="1"/>
  <c r="R3162"/>
  <c r="AF3162" s="1"/>
  <c r="Q3162"/>
  <c r="S3161"/>
  <c r="AG3161" s="1"/>
  <c r="R3161"/>
  <c r="AF3161" s="1"/>
  <c r="Q3161"/>
  <c r="S3160"/>
  <c r="AG3160" s="1"/>
  <c r="R3160"/>
  <c r="AF3160" s="1"/>
  <c r="Q3160"/>
  <c r="S3159"/>
  <c r="AG3159" s="1"/>
  <c r="R3159"/>
  <c r="AF3159" s="1"/>
  <c r="Q3159"/>
  <c r="S3158"/>
  <c r="AG3158" s="1"/>
  <c r="R3158"/>
  <c r="AF3158" s="1"/>
  <c r="Q3158"/>
  <c r="S3157"/>
  <c r="AG3157" s="1"/>
  <c r="R3157"/>
  <c r="AF3157" s="1"/>
  <c r="Q3157"/>
  <c r="S3156"/>
  <c r="AG3156" s="1"/>
  <c r="R3156"/>
  <c r="AF3156" s="1"/>
  <c r="Q3156"/>
  <c r="S3155"/>
  <c r="AG3155" s="1"/>
  <c r="R3155"/>
  <c r="AF3155" s="1"/>
  <c r="Q3155"/>
  <c r="S3154"/>
  <c r="AG3154" s="1"/>
  <c r="R3154"/>
  <c r="AF3154" s="1"/>
  <c r="Q3154"/>
  <c r="S3153"/>
  <c r="AG3153" s="1"/>
  <c r="R3153"/>
  <c r="AF3153" s="1"/>
  <c r="Q3153"/>
  <c r="S3152"/>
  <c r="AG3152" s="1"/>
  <c r="R3152"/>
  <c r="AF3152" s="1"/>
  <c r="Q3152"/>
  <c r="S3151"/>
  <c r="AG3151" s="1"/>
  <c r="R3151"/>
  <c r="AF3151" s="1"/>
  <c r="Q3151"/>
  <c r="S3150"/>
  <c r="AG3150" s="1"/>
  <c r="R3150"/>
  <c r="AF3150" s="1"/>
  <c r="Q3150"/>
  <c r="Q3149"/>
  <c r="S3148"/>
  <c r="AG3148" s="1"/>
  <c r="R3148"/>
  <c r="AF3148" s="1"/>
  <c r="Q3148"/>
  <c r="S3147"/>
  <c r="AG3147" s="1"/>
  <c r="R3147"/>
  <c r="AF3147" s="1"/>
  <c r="Q3147"/>
  <c r="S3146"/>
  <c r="AG3146" s="1"/>
  <c r="R3146"/>
  <c r="AF3146" s="1"/>
  <c r="Q3146"/>
  <c r="S3145"/>
  <c r="AG3145" s="1"/>
  <c r="R3145"/>
  <c r="AF3145" s="1"/>
  <c r="Q3145"/>
  <c r="S3144"/>
  <c r="AG3144" s="1"/>
  <c r="R3144"/>
  <c r="AF3144" s="1"/>
  <c r="Q3144"/>
  <c r="S3143"/>
  <c r="AG3143" s="1"/>
  <c r="R3143"/>
  <c r="AF3143" s="1"/>
  <c r="Q3143"/>
  <c r="S3142"/>
  <c r="AG3142" s="1"/>
  <c r="R3142"/>
  <c r="AF3142" s="1"/>
  <c r="Q3142"/>
  <c r="S3141"/>
  <c r="AG3141" s="1"/>
  <c r="R3141"/>
  <c r="AF3141" s="1"/>
  <c r="Q3141"/>
  <c r="S3140"/>
  <c r="AG3140" s="1"/>
  <c r="R3140"/>
  <c r="AF3140" s="1"/>
  <c r="Q3140"/>
  <c r="S3139"/>
  <c r="AG3139" s="1"/>
  <c r="R3139"/>
  <c r="AF3139" s="1"/>
  <c r="Q3139"/>
  <c r="S3138"/>
  <c r="AG3138" s="1"/>
  <c r="R3138"/>
  <c r="AF3138" s="1"/>
  <c r="Q3138"/>
  <c r="S3137"/>
  <c r="AG3137" s="1"/>
  <c r="R3137"/>
  <c r="AF3137" s="1"/>
  <c r="Q3137"/>
  <c r="S3136"/>
  <c r="AG3136" s="1"/>
  <c r="R3136"/>
  <c r="AF3136" s="1"/>
  <c r="Q3136"/>
  <c r="S3135"/>
  <c r="AG3135" s="1"/>
  <c r="R3135"/>
  <c r="AF3135" s="1"/>
  <c r="Q3135"/>
  <c r="S3134"/>
  <c r="AG3134" s="1"/>
  <c r="R3134"/>
  <c r="AF3134" s="1"/>
  <c r="Q3134"/>
  <c r="S3133"/>
  <c r="AG3133" s="1"/>
  <c r="R3133"/>
  <c r="AF3133" s="1"/>
  <c r="Q3133"/>
  <c r="S3132"/>
  <c r="AG3132" s="1"/>
  <c r="R3132"/>
  <c r="AF3132" s="1"/>
  <c r="Q3132"/>
  <c r="S3131"/>
  <c r="AG3131" s="1"/>
  <c r="R3131"/>
  <c r="AF3131" s="1"/>
  <c r="Q3131"/>
  <c r="S3130"/>
  <c r="AG3130" s="1"/>
  <c r="R3130"/>
  <c r="AF3130" s="1"/>
  <c r="Q3130"/>
  <c r="S3129"/>
  <c r="AG3129" s="1"/>
  <c r="R3129"/>
  <c r="AF3129" s="1"/>
  <c r="Q3129"/>
  <c r="S3128"/>
  <c r="AG3128" s="1"/>
  <c r="R3128"/>
  <c r="AF3128" s="1"/>
  <c r="Q3128"/>
  <c r="S3127"/>
  <c r="AG3127" s="1"/>
  <c r="R3127"/>
  <c r="AF3127" s="1"/>
  <c r="Q3127"/>
  <c r="S3126"/>
  <c r="AG3126" s="1"/>
  <c r="R3126"/>
  <c r="AF3126" s="1"/>
  <c r="Q3126"/>
  <c r="S3125"/>
  <c r="AG3125" s="1"/>
  <c r="R3125"/>
  <c r="AF3125" s="1"/>
  <c r="Q3125"/>
  <c r="S3124"/>
  <c r="AG3124" s="1"/>
  <c r="R3124"/>
  <c r="AF3124" s="1"/>
  <c r="Q3124"/>
  <c r="S3123"/>
  <c r="AG3123" s="1"/>
  <c r="R3123"/>
  <c r="AF3123" s="1"/>
  <c r="Q3123"/>
  <c r="S3122"/>
  <c r="AG3122" s="1"/>
  <c r="R3122"/>
  <c r="AF3122" s="1"/>
  <c r="Q3122"/>
  <c r="S3121"/>
  <c r="AG3121" s="1"/>
  <c r="R3121"/>
  <c r="AF3121" s="1"/>
  <c r="Q3121"/>
  <c r="S3120"/>
  <c r="AG3120" s="1"/>
  <c r="R3120"/>
  <c r="AF3120" s="1"/>
  <c r="Q3120"/>
  <c r="S3119"/>
  <c r="AG3119" s="1"/>
  <c r="R3119"/>
  <c r="AF3119" s="1"/>
  <c r="Q3119"/>
  <c r="S3118"/>
  <c r="AG3118" s="1"/>
  <c r="Q3118"/>
  <c r="S3117"/>
  <c r="AG3117" s="1"/>
  <c r="R3117"/>
  <c r="AF3117" s="1"/>
  <c r="Q3117"/>
  <c r="S3116"/>
  <c r="AG3116" s="1"/>
  <c r="R3116"/>
  <c r="AF3116" s="1"/>
  <c r="Q3116"/>
  <c r="S3115"/>
  <c r="AG3115" s="1"/>
  <c r="R3115"/>
  <c r="AF3115" s="1"/>
  <c r="Q3115"/>
  <c r="S3113"/>
  <c r="AG3113" s="1"/>
  <c r="Q3113"/>
  <c r="S3112"/>
  <c r="AG3112" s="1"/>
  <c r="Q3112"/>
  <c r="S3111"/>
  <c r="AG3111" s="1"/>
  <c r="R3111"/>
  <c r="AF3111" s="1"/>
  <c r="Q3111"/>
  <c r="S3110"/>
  <c r="AG3110" s="1"/>
  <c r="Q3110"/>
  <c r="R3109"/>
  <c r="AF3109" s="1"/>
  <c r="Q3109"/>
  <c r="S3108"/>
  <c r="AG3108" s="1"/>
  <c r="R3108"/>
  <c r="AF3108" s="1"/>
  <c r="Q3108"/>
  <c r="S3107"/>
  <c r="R3107"/>
  <c r="Q3107"/>
  <c r="Q3106"/>
  <c r="S3105"/>
  <c r="AG3105" s="1"/>
  <c r="R3105"/>
  <c r="AF3105" s="1"/>
  <c r="Q3105"/>
  <c r="S3103"/>
  <c r="AG3103" s="1"/>
  <c r="Q3103"/>
  <c r="S3102"/>
  <c r="AG3102" s="1"/>
  <c r="R3102"/>
  <c r="AF3102" s="1"/>
  <c r="Q3102"/>
  <c r="S3101"/>
  <c r="AG3101" s="1"/>
  <c r="R3101"/>
  <c r="AF3101" s="1"/>
  <c r="Q3101"/>
  <c r="S3100"/>
  <c r="AG3100" s="1"/>
  <c r="R3100"/>
  <c r="AF3100" s="1"/>
  <c r="Q3100"/>
  <c r="S3099"/>
  <c r="AG3099" s="1"/>
  <c r="R3099"/>
  <c r="AF3099" s="1"/>
  <c r="Q3099"/>
  <c r="S3098"/>
  <c r="AG3098" s="1"/>
  <c r="R3098"/>
  <c r="AF3098" s="1"/>
  <c r="Q3098"/>
  <c r="S3097"/>
  <c r="AG3097" s="1"/>
  <c r="R3097"/>
  <c r="AF3097" s="1"/>
  <c r="Q3097"/>
  <c r="S3096"/>
  <c r="AG3096" s="1"/>
  <c r="R3096"/>
  <c r="AF3096" s="1"/>
  <c r="Q3096"/>
  <c r="S3095"/>
  <c r="AG3095" s="1"/>
  <c r="R3095"/>
  <c r="AF3095" s="1"/>
  <c r="Q3095"/>
  <c r="S3094"/>
  <c r="AG3094" s="1"/>
  <c r="R3094"/>
  <c r="AF3094" s="1"/>
  <c r="Q3094"/>
  <c r="S3093"/>
  <c r="AG3093" s="1"/>
  <c r="R3093"/>
  <c r="AF3093" s="1"/>
  <c r="Q3093"/>
  <c r="S3092"/>
  <c r="AG3092" s="1"/>
  <c r="R3092"/>
  <c r="AF3092" s="1"/>
  <c r="Q3092"/>
  <c r="S3091"/>
  <c r="AG3091" s="1"/>
  <c r="R3091"/>
  <c r="AF3091" s="1"/>
  <c r="Q3091"/>
  <c r="S3090"/>
  <c r="AG3090" s="1"/>
  <c r="R3090"/>
  <c r="AF3090" s="1"/>
  <c r="Q3090"/>
  <c r="S3089"/>
  <c r="AG3089" s="1"/>
  <c r="R3089"/>
  <c r="AF3089" s="1"/>
  <c r="Q3089"/>
  <c r="S3088"/>
  <c r="AG3088" s="1"/>
  <c r="R3088"/>
  <c r="AF3088" s="1"/>
  <c r="Q3088"/>
  <c r="S3087"/>
  <c r="AG3087" s="1"/>
  <c r="R3087"/>
  <c r="AF3087" s="1"/>
  <c r="Q3087"/>
  <c r="S3086"/>
  <c r="AG3086" s="1"/>
  <c r="R3086"/>
  <c r="AF3086" s="1"/>
  <c r="Q3086"/>
  <c r="S3085"/>
  <c r="AG3085" s="1"/>
  <c r="R3085"/>
  <c r="AF3085" s="1"/>
  <c r="Q3085"/>
  <c r="S3084"/>
  <c r="AG3084" s="1"/>
  <c r="R3084"/>
  <c r="AF3084" s="1"/>
  <c r="Q3084"/>
  <c r="S3083"/>
  <c r="AG3083" s="1"/>
  <c r="R3083"/>
  <c r="AF3083" s="1"/>
  <c r="Q3083"/>
  <c r="S3082"/>
  <c r="AG3082" s="1"/>
  <c r="R3082"/>
  <c r="AF3082" s="1"/>
  <c r="Q3082"/>
  <c r="S3081"/>
  <c r="AG3081" s="1"/>
  <c r="R3081"/>
  <c r="AF3081" s="1"/>
  <c r="Q3081"/>
  <c r="S3080"/>
  <c r="AG3080" s="1"/>
  <c r="R3080"/>
  <c r="AF3080" s="1"/>
  <c r="Q3080"/>
  <c r="S3079"/>
  <c r="AG3079" s="1"/>
  <c r="R3079"/>
  <c r="AF3079" s="1"/>
  <c r="Q3079"/>
  <c r="S3078"/>
  <c r="AG3078" s="1"/>
  <c r="R3078"/>
  <c r="AF3078" s="1"/>
  <c r="Q3078"/>
  <c r="S3077"/>
  <c r="AG3077" s="1"/>
  <c r="R3077"/>
  <c r="AF3077" s="1"/>
  <c r="Q3077"/>
  <c r="S3076"/>
  <c r="AG3076" s="1"/>
  <c r="R3076"/>
  <c r="AF3076" s="1"/>
  <c r="Q3076"/>
  <c r="S3075"/>
  <c r="AG3075" s="1"/>
  <c r="R3075"/>
  <c r="AF3075" s="1"/>
  <c r="Q3075"/>
  <c r="S3074"/>
  <c r="AG3074" s="1"/>
  <c r="R3074"/>
  <c r="AF3074" s="1"/>
  <c r="Q3074"/>
  <c r="S3073"/>
  <c r="AG3073" s="1"/>
  <c r="R3073"/>
  <c r="AF3073" s="1"/>
  <c r="Q3073"/>
  <c r="S3072"/>
  <c r="AG3072" s="1"/>
  <c r="R3072"/>
  <c r="AF3072" s="1"/>
  <c r="Q3072"/>
  <c r="S3071"/>
  <c r="AG3071" s="1"/>
  <c r="R3071"/>
  <c r="AF3071" s="1"/>
  <c r="Q3071"/>
  <c r="S3070"/>
  <c r="AG3070" s="1"/>
  <c r="R3070"/>
  <c r="AF3070" s="1"/>
  <c r="Q3070"/>
  <c r="S3069"/>
  <c r="AG3069" s="1"/>
  <c r="R3069"/>
  <c r="AF3069" s="1"/>
  <c r="Q3069"/>
  <c r="S3068"/>
  <c r="AG3068" s="1"/>
  <c r="R3068"/>
  <c r="AF3068" s="1"/>
  <c r="Q3068"/>
  <c r="S3067"/>
  <c r="AG3067" s="1"/>
  <c r="R3067"/>
  <c r="AF3067" s="1"/>
  <c r="Q3067"/>
  <c r="S3066"/>
  <c r="AG3066" s="1"/>
  <c r="R3066"/>
  <c r="AF3066" s="1"/>
  <c r="Q3066"/>
  <c r="S3065"/>
  <c r="AG3065" s="1"/>
  <c r="R3065"/>
  <c r="AF3065" s="1"/>
  <c r="Q3065"/>
  <c r="S3064"/>
  <c r="AG3064" s="1"/>
  <c r="R3064"/>
  <c r="AF3064" s="1"/>
  <c r="Q3064"/>
  <c r="S3063"/>
  <c r="AG3063" s="1"/>
  <c r="R3063"/>
  <c r="AF3063" s="1"/>
  <c r="Q3063"/>
  <c r="S3062"/>
  <c r="AG3062" s="1"/>
  <c r="R3062"/>
  <c r="AF3062" s="1"/>
  <c r="Q3062"/>
  <c r="S3061"/>
  <c r="AG3061" s="1"/>
  <c r="R3061"/>
  <c r="AF3061" s="1"/>
  <c r="Q3061"/>
  <c r="S3060"/>
  <c r="AG3060" s="1"/>
  <c r="R3060"/>
  <c r="AF3060" s="1"/>
  <c r="Q3060"/>
  <c r="S3059"/>
  <c r="AG3059" s="1"/>
  <c r="R3059"/>
  <c r="AF3059" s="1"/>
  <c r="Q3059"/>
  <c r="S3058"/>
  <c r="AG3058" s="1"/>
  <c r="R3058"/>
  <c r="AF3058" s="1"/>
  <c r="Q3058"/>
  <c r="S3057"/>
  <c r="AG3057" s="1"/>
  <c r="R3057"/>
  <c r="AF3057" s="1"/>
  <c r="Q3057"/>
  <c r="S3056"/>
  <c r="AG3056" s="1"/>
  <c r="R3056"/>
  <c r="AF3056" s="1"/>
  <c r="Q3056"/>
  <c r="S3055"/>
  <c r="AG3055" s="1"/>
  <c r="R3055"/>
  <c r="AF3055" s="1"/>
  <c r="Q3055"/>
  <c r="S3054"/>
  <c r="AG3054" s="1"/>
  <c r="R3054"/>
  <c r="AF3054" s="1"/>
  <c r="Q3054"/>
  <c r="S3053"/>
  <c r="AG3053" s="1"/>
  <c r="R3053"/>
  <c r="AF3053" s="1"/>
  <c r="Q3053"/>
  <c r="S3052"/>
  <c r="AG3052" s="1"/>
  <c r="R3052"/>
  <c r="AF3052" s="1"/>
  <c r="Q3052"/>
  <c r="S3051"/>
  <c r="AG3051" s="1"/>
  <c r="R3051"/>
  <c r="AF3051" s="1"/>
  <c r="Q3051"/>
  <c r="S3050"/>
  <c r="AG3050" s="1"/>
  <c r="R3050"/>
  <c r="AF3050" s="1"/>
  <c r="Q3050"/>
  <c r="S3049"/>
  <c r="AG3049" s="1"/>
  <c r="R3049"/>
  <c r="AF3049" s="1"/>
  <c r="Q3049"/>
  <c r="S3048"/>
  <c r="AG3048" s="1"/>
  <c r="R3048"/>
  <c r="AF3048" s="1"/>
  <c r="Q3048"/>
  <c r="S3047"/>
  <c r="AG3047" s="1"/>
  <c r="R3047"/>
  <c r="AF3047" s="1"/>
  <c r="Q3047"/>
  <c r="S3046"/>
  <c r="AG3046" s="1"/>
  <c r="R3046"/>
  <c r="AF3046" s="1"/>
  <c r="Q3046"/>
  <c r="S3045"/>
  <c r="AG3045" s="1"/>
  <c r="R3045"/>
  <c r="AF3045" s="1"/>
  <c r="Q3045"/>
  <c r="S3044"/>
  <c r="AG3044" s="1"/>
  <c r="R3044"/>
  <c r="AF3044" s="1"/>
  <c r="Q3044"/>
  <c r="S3043"/>
  <c r="AG3043" s="1"/>
  <c r="R3043"/>
  <c r="AF3043" s="1"/>
  <c r="Q3043"/>
  <c r="S3042"/>
  <c r="AG3042" s="1"/>
  <c r="R3042"/>
  <c r="AF3042" s="1"/>
  <c r="Q3042"/>
  <c r="S3041"/>
  <c r="AG3041" s="1"/>
  <c r="R3041"/>
  <c r="AF3041" s="1"/>
  <c r="Q3041"/>
  <c r="S3040"/>
  <c r="AG3040" s="1"/>
  <c r="R3040"/>
  <c r="AF3040" s="1"/>
  <c r="Q3040"/>
  <c r="S3039"/>
  <c r="AG3039" s="1"/>
  <c r="R3039"/>
  <c r="AF3039" s="1"/>
  <c r="Q3039"/>
  <c r="S3038"/>
  <c r="AG3038" s="1"/>
  <c r="R3038"/>
  <c r="AF3038" s="1"/>
  <c r="Q3038"/>
  <c r="S3037"/>
  <c r="AG3037" s="1"/>
  <c r="R3037"/>
  <c r="AF3037" s="1"/>
  <c r="Q3037"/>
  <c r="S3036"/>
  <c r="AG3036" s="1"/>
  <c r="R3036"/>
  <c r="AF3036" s="1"/>
  <c r="Q3036"/>
  <c r="S3035"/>
  <c r="AG3035" s="1"/>
  <c r="R3035"/>
  <c r="AF3035" s="1"/>
  <c r="Q3035"/>
  <c r="S3034"/>
  <c r="AG3034" s="1"/>
  <c r="R3034"/>
  <c r="AF3034" s="1"/>
  <c r="Q3034"/>
  <c r="S3033"/>
  <c r="AG3033" s="1"/>
  <c r="R3033"/>
  <c r="AF3033" s="1"/>
  <c r="Q3033"/>
  <c r="S3032"/>
  <c r="AG3032" s="1"/>
  <c r="R3032"/>
  <c r="AF3032" s="1"/>
  <c r="Q3032"/>
  <c r="S3031"/>
  <c r="AG3031" s="1"/>
  <c r="R3031"/>
  <c r="AF3031" s="1"/>
  <c r="Q3031"/>
  <c r="S3030"/>
  <c r="AG3030" s="1"/>
  <c r="R3030"/>
  <c r="AF3030" s="1"/>
  <c r="Q3030"/>
  <c r="S3029"/>
  <c r="AG3029" s="1"/>
  <c r="R3029"/>
  <c r="AF3029" s="1"/>
  <c r="Q3029"/>
  <c r="S3028"/>
  <c r="AG3028" s="1"/>
  <c r="R3028"/>
  <c r="AF3028" s="1"/>
  <c r="Q3028"/>
  <c r="S3027"/>
  <c r="AG3027" s="1"/>
  <c r="R3027"/>
  <c r="AF3027" s="1"/>
  <c r="Q3027"/>
  <c r="S3026"/>
  <c r="AG3026" s="1"/>
  <c r="R3026"/>
  <c r="AF3026" s="1"/>
  <c r="Q3026"/>
  <c r="S3025"/>
  <c r="AG3025" s="1"/>
  <c r="R3025"/>
  <c r="AF3025" s="1"/>
  <c r="Q3025"/>
  <c r="S3024"/>
  <c r="R3024"/>
  <c r="Q3024"/>
  <c r="S3023"/>
  <c r="AG3023" s="1"/>
  <c r="R3023"/>
  <c r="AF3023" s="1"/>
  <c r="Q3023"/>
  <c r="S3022"/>
  <c r="AG3022" s="1"/>
  <c r="R3022"/>
  <c r="AF3022" s="1"/>
  <c r="Q3022"/>
  <c r="S3021"/>
  <c r="AG3021" s="1"/>
  <c r="R3021"/>
  <c r="AF3021" s="1"/>
  <c r="Q3021"/>
  <c r="S3020"/>
  <c r="AG3020" s="1"/>
  <c r="R3020"/>
  <c r="AF3020" s="1"/>
  <c r="Q3020"/>
  <c r="S3019"/>
  <c r="AG3019" s="1"/>
  <c r="R3019"/>
  <c r="AF3019" s="1"/>
  <c r="Q3019"/>
  <c r="S3018"/>
  <c r="AG3018" s="1"/>
  <c r="R3018"/>
  <c r="AF3018" s="1"/>
  <c r="Q3018"/>
  <c r="S3017"/>
  <c r="AG3017" s="1"/>
  <c r="R3017"/>
  <c r="AF3017" s="1"/>
  <c r="Q3017"/>
  <c r="S3016"/>
  <c r="R3016"/>
  <c r="Q3016"/>
  <c r="S3015"/>
  <c r="AG3015" s="1"/>
  <c r="R3015"/>
  <c r="AF3015" s="1"/>
  <c r="Q3015"/>
  <c r="S3014"/>
  <c r="AG3014" s="1"/>
  <c r="R3014"/>
  <c r="AF3014" s="1"/>
  <c r="Q3014"/>
  <c r="S3013"/>
  <c r="AG3013" s="1"/>
  <c r="R3013"/>
  <c r="AF3013" s="1"/>
  <c r="Q3013"/>
  <c r="S3012"/>
  <c r="AG3012" s="1"/>
  <c r="R3012"/>
  <c r="AF3012" s="1"/>
  <c r="Q3012"/>
  <c r="S3011"/>
  <c r="AG3011" s="1"/>
  <c r="R3011"/>
  <c r="AF3011" s="1"/>
  <c r="Q3011"/>
  <c r="S3010"/>
  <c r="AG3010" s="1"/>
  <c r="R3010"/>
  <c r="AF3010" s="1"/>
  <c r="Q3010"/>
  <c r="S3009"/>
  <c r="AG3009" s="1"/>
  <c r="R3009"/>
  <c r="AF3009" s="1"/>
  <c r="Q3009"/>
  <c r="S3008"/>
  <c r="R3008"/>
  <c r="Q3008"/>
  <c r="S3007"/>
  <c r="AG3007" s="1"/>
  <c r="R3007"/>
  <c r="AF3007" s="1"/>
  <c r="Q3007"/>
  <c r="S3006"/>
  <c r="AG3006" s="1"/>
  <c r="R3006"/>
  <c r="AF3006" s="1"/>
  <c r="Q3006"/>
  <c r="S3005"/>
  <c r="AG3005" s="1"/>
  <c r="R3005"/>
  <c r="AF3005" s="1"/>
  <c r="Q3005"/>
  <c r="S3004"/>
  <c r="AG3004" s="1"/>
  <c r="R3004"/>
  <c r="AF3004" s="1"/>
  <c r="Q3004"/>
  <c r="S3003"/>
  <c r="AG3003" s="1"/>
  <c r="R3003"/>
  <c r="AF3003" s="1"/>
  <c r="Q3003"/>
  <c r="S3002"/>
  <c r="AG3002" s="1"/>
  <c r="R3002"/>
  <c r="AF3002" s="1"/>
  <c r="Q3002"/>
  <c r="S3001"/>
  <c r="AG3001" s="1"/>
  <c r="R3001"/>
  <c r="AF3001" s="1"/>
  <c r="Q3001"/>
  <c r="S3000"/>
  <c r="AG3000" s="1"/>
  <c r="R3000"/>
  <c r="AF3000" s="1"/>
  <c r="Q3000"/>
  <c r="S2999"/>
  <c r="AG2999" s="1"/>
  <c r="R2999"/>
  <c r="AF2999" s="1"/>
  <c r="Q2999"/>
  <c r="S2998"/>
  <c r="AG2998" s="1"/>
  <c r="R2998"/>
  <c r="AF2998" s="1"/>
  <c r="Q2998"/>
  <c r="S2997"/>
  <c r="AG2997" s="1"/>
  <c r="R2997"/>
  <c r="AF2997" s="1"/>
  <c r="Q2997"/>
  <c r="S2996"/>
  <c r="AG2996" s="1"/>
  <c r="R2996"/>
  <c r="AF2996" s="1"/>
  <c r="Q2996"/>
  <c r="S2995"/>
  <c r="AG2995" s="1"/>
  <c r="R2995"/>
  <c r="AF2995" s="1"/>
  <c r="Q2995"/>
  <c r="S2994"/>
  <c r="AG2994" s="1"/>
  <c r="R2994"/>
  <c r="AF2994" s="1"/>
  <c r="Q2994"/>
  <c r="S2993"/>
  <c r="AG2993" s="1"/>
  <c r="R2993"/>
  <c r="AF2993" s="1"/>
  <c r="Q2993"/>
  <c r="S2992"/>
  <c r="AG2992" s="1"/>
  <c r="R2992"/>
  <c r="AF2992" s="1"/>
  <c r="Q2992"/>
  <c r="S2991"/>
  <c r="AG2991" s="1"/>
  <c r="R2991"/>
  <c r="AF2991" s="1"/>
  <c r="Q2991"/>
  <c r="S2990"/>
  <c r="AG2990" s="1"/>
  <c r="R2990"/>
  <c r="Q2990"/>
  <c r="S2989"/>
  <c r="AG2989" s="1"/>
  <c r="R2989"/>
  <c r="AF2989" s="1"/>
  <c r="Q2989"/>
  <c r="S2988"/>
  <c r="R2988"/>
  <c r="Q2988"/>
  <c r="S2987"/>
  <c r="R2987"/>
  <c r="Q2987"/>
  <c r="S2986"/>
  <c r="R2986"/>
  <c r="Q2986"/>
  <c r="S2985"/>
  <c r="R2985"/>
  <c r="Q2985"/>
  <c r="S2984"/>
  <c r="R2984"/>
  <c r="Q2984"/>
  <c r="S2983"/>
  <c r="R2983"/>
  <c r="Q2983"/>
  <c r="S2982"/>
  <c r="R2982"/>
  <c r="Q2982"/>
  <c r="S2981"/>
  <c r="R2981"/>
  <c r="Q2981"/>
  <c r="S2980"/>
  <c r="AG2980" s="1"/>
  <c r="R2980"/>
  <c r="AF2980" s="1"/>
  <c r="Q2980"/>
  <c r="S2979"/>
  <c r="AG2979" s="1"/>
  <c r="R2979"/>
  <c r="AF2979" s="1"/>
  <c r="Q2979"/>
  <c r="S2978"/>
  <c r="AG2978" s="1"/>
  <c r="R2978"/>
  <c r="AF2978" s="1"/>
  <c r="Q2978"/>
  <c r="S2977"/>
  <c r="AG2977" s="1"/>
  <c r="R2977"/>
  <c r="AF2977" s="1"/>
  <c r="Q2977"/>
  <c r="S2976"/>
  <c r="AG2976" s="1"/>
  <c r="R2976"/>
  <c r="AF2976" s="1"/>
  <c r="Q2976"/>
  <c r="S2975"/>
  <c r="AG2975" s="1"/>
  <c r="R2975"/>
  <c r="AF2975" s="1"/>
  <c r="Q2975"/>
  <c r="S2974"/>
  <c r="AG2974" s="1"/>
  <c r="R2974"/>
  <c r="AF2974" s="1"/>
  <c r="Q2974"/>
  <c r="S2973"/>
  <c r="AG2973" s="1"/>
  <c r="R2973"/>
  <c r="AF2973" s="1"/>
  <c r="Q2973"/>
  <c r="S2972"/>
  <c r="AG2972" s="1"/>
  <c r="R2972"/>
  <c r="AF2972" s="1"/>
  <c r="Q2972"/>
  <c r="S2971"/>
  <c r="AG2971" s="1"/>
  <c r="R2971"/>
  <c r="AF2971" s="1"/>
  <c r="Q2971"/>
  <c r="S2970"/>
  <c r="AG2970" s="1"/>
  <c r="R2970"/>
  <c r="AF2970" s="1"/>
  <c r="Q2970"/>
  <c r="S2969"/>
  <c r="AG2969" s="1"/>
  <c r="R2969"/>
  <c r="AF2969" s="1"/>
  <c r="Q2969"/>
  <c r="S2968"/>
  <c r="AG2968" s="1"/>
  <c r="R2968"/>
  <c r="AF2968" s="1"/>
  <c r="Q2968"/>
  <c r="S2967"/>
  <c r="AG2967" s="1"/>
  <c r="R2967"/>
  <c r="AF2967" s="1"/>
  <c r="Q2967"/>
  <c r="S2966"/>
  <c r="AG2966" s="1"/>
  <c r="R2966"/>
  <c r="AF2966" s="1"/>
  <c r="Q2966"/>
  <c r="S2965"/>
  <c r="AG2965" s="1"/>
  <c r="R2965"/>
  <c r="AF2965" s="1"/>
  <c r="Q2965"/>
  <c r="S2964"/>
  <c r="AG2964" s="1"/>
  <c r="R2964"/>
  <c r="AF2964" s="1"/>
  <c r="Q2964"/>
  <c r="S2963"/>
  <c r="AG2963" s="1"/>
  <c r="R2963"/>
  <c r="AF2963" s="1"/>
  <c r="Q2963"/>
  <c r="S2962"/>
  <c r="AG2962" s="1"/>
  <c r="R2962"/>
  <c r="AF2962" s="1"/>
  <c r="Q2962"/>
  <c r="S2961"/>
  <c r="AG2961" s="1"/>
  <c r="R2961"/>
  <c r="AF2961" s="1"/>
  <c r="Q2961"/>
  <c r="S2960"/>
  <c r="AG2960" s="1"/>
  <c r="R2960"/>
  <c r="AF2960" s="1"/>
  <c r="Q2960"/>
  <c r="S2959"/>
  <c r="AG2959" s="1"/>
  <c r="R2959"/>
  <c r="AF2959" s="1"/>
  <c r="Q2959"/>
  <c r="S2958"/>
  <c r="AG2958" s="1"/>
  <c r="R2958"/>
  <c r="AF2958" s="1"/>
  <c r="Q2958"/>
  <c r="S2957"/>
  <c r="AG2957" s="1"/>
  <c r="R2957"/>
  <c r="AF2957" s="1"/>
  <c r="Q2957"/>
  <c r="S2956"/>
  <c r="AG2956" s="1"/>
  <c r="R2956"/>
  <c r="AF2956" s="1"/>
  <c r="Q2956"/>
  <c r="S2955"/>
  <c r="AG2955" s="1"/>
  <c r="R2955"/>
  <c r="AF2955" s="1"/>
  <c r="Q2955"/>
  <c r="S2954"/>
  <c r="AG2954" s="1"/>
  <c r="R2954"/>
  <c r="AF2954" s="1"/>
  <c r="Q2954"/>
  <c r="S2953"/>
  <c r="AG2953" s="1"/>
  <c r="R2953"/>
  <c r="AF2953" s="1"/>
  <c r="Q2953"/>
  <c r="S2952"/>
  <c r="AG2952" s="1"/>
  <c r="R2952"/>
  <c r="AF2952" s="1"/>
  <c r="Q2952"/>
  <c r="S2951"/>
  <c r="AG2951" s="1"/>
  <c r="R2951"/>
  <c r="AF2951" s="1"/>
  <c r="Q2951"/>
  <c r="S2950"/>
  <c r="AG2950" s="1"/>
  <c r="R2950"/>
  <c r="AF2950" s="1"/>
  <c r="Q2950"/>
  <c r="S2949"/>
  <c r="AG2949" s="1"/>
  <c r="R2949"/>
  <c r="AF2949" s="1"/>
  <c r="Q2949"/>
  <c r="S2948"/>
  <c r="AG2948" s="1"/>
  <c r="R2948"/>
  <c r="AF2948" s="1"/>
  <c r="Q2948"/>
  <c r="S2947"/>
  <c r="AG2947" s="1"/>
  <c r="R2947"/>
  <c r="AF2947" s="1"/>
  <c r="Q2947"/>
  <c r="S2946"/>
  <c r="AG2946" s="1"/>
  <c r="R2946"/>
  <c r="AF2946" s="1"/>
  <c r="Q2946"/>
  <c r="S2945"/>
  <c r="AG2945" s="1"/>
  <c r="R2945"/>
  <c r="AF2945" s="1"/>
  <c r="Q2945"/>
  <c r="S2944"/>
  <c r="AG2944" s="1"/>
  <c r="R2944"/>
  <c r="AF2944" s="1"/>
  <c r="Q2944"/>
  <c r="S2943"/>
  <c r="AG2943" s="1"/>
  <c r="R2943"/>
  <c r="AF2943" s="1"/>
  <c r="Q2943"/>
  <c r="S2942"/>
  <c r="AG2942" s="1"/>
  <c r="R2942"/>
  <c r="AF2942" s="1"/>
  <c r="Q2942"/>
  <c r="S2941"/>
  <c r="AG2941" s="1"/>
  <c r="R2941"/>
  <c r="AF2941" s="1"/>
  <c r="Q2941"/>
  <c r="S2940"/>
  <c r="AG2940" s="1"/>
  <c r="R2940"/>
  <c r="AF2940" s="1"/>
  <c r="Q2940"/>
  <c r="S2939"/>
  <c r="AG2939" s="1"/>
  <c r="R2939"/>
  <c r="AF2939" s="1"/>
  <c r="Q2939"/>
  <c r="S2938"/>
  <c r="AG2938" s="1"/>
  <c r="R2938"/>
  <c r="AF2938" s="1"/>
  <c r="Q2938"/>
  <c r="S2937"/>
  <c r="AG2937" s="1"/>
  <c r="R2937"/>
  <c r="AF2937" s="1"/>
  <c r="Q2937"/>
  <c r="S2936"/>
  <c r="AG2936" s="1"/>
  <c r="R2936"/>
  <c r="AF2936" s="1"/>
  <c r="Q2936"/>
  <c r="S2935"/>
  <c r="AG2935" s="1"/>
  <c r="R2935"/>
  <c r="AF2935" s="1"/>
  <c r="Q2935"/>
  <c r="S2934"/>
  <c r="AG2934" s="1"/>
  <c r="R2934"/>
  <c r="AF2934" s="1"/>
  <c r="Q2934"/>
  <c r="S2933"/>
  <c r="AG2933" s="1"/>
  <c r="R2933"/>
  <c r="AF2933" s="1"/>
  <c r="Q2933"/>
  <c r="S2932"/>
  <c r="AG2932" s="1"/>
  <c r="R2932"/>
  <c r="AF2932" s="1"/>
  <c r="Q2932"/>
  <c r="S2931"/>
  <c r="AG2931" s="1"/>
  <c r="R2931"/>
  <c r="AF2931" s="1"/>
  <c r="Q2931"/>
  <c r="S2930"/>
  <c r="AG2930" s="1"/>
  <c r="R2930"/>
  <c r="AF2930" s="1"/>
  <c r="Q2930"/>
  <c r="S2929"/>
  <c r="AG2929" s="1"/>
  <c r="R2929"/>
  <c r="AF2929" s="1"/>
  <c r="Q2929"/>
  <c r="S2928"/>
  <c r="AG2928" s="1"/>
  <c r="R2928"/>
  <c r="AF2928" s="1"/>
  <c r="Q2928"/>
  <c r="S2927"/>
  <c r="AG2927" s="1"/>
  <c r="R2927"/>
  <c r="AF2927" s="1"/>
  <c r="Q2927"/>
  <c r="S2926"/>
  <c r="AG2926" s="1"/>
  <c r="R2926"/>
  <c r="AF2926" s="1"/>
  <c r="Q2926"/>
  <c r="S2925"/>
  <c r="AG2925" s="1"/>
  <c r="R2925"/>
  <c r="AF2925" s="1"/>
  <c r="Q2925"/>
  <c r="S2924"/>
  <c r="AG2924" s="1"/>
  <c r="R2924"/>
  <c r="AF2924" s="1"/>
  <c r="Q2924"/>
  <c r="S2923"/>
  <c r="AG2923" s="1"/>
  <c r="R2923"/>
  <c r="AF2923" s="1"/>
  <c r="Q2923"/>
  <c r="S2922"/>
  <c r="AG2922" s="1"/>
  <c r="R2922"/>
  <c r="AF2922" s="1"/>
  <c r="Q2922"/>
  <c r="S2921"/>
  <c r="AG2921" s="1"/>
  <c r="R2921"/>
  <c r="AF2921" s="1"/>
  <c r="Q2921"/>
  <c r="S2920"/>
  <c r="AG2920" s="1"/>
  <c r="R2920"/>
  <c r="AF2920" s="1"/>
  <c r="Q2920"/>
  <c r="S2919"/>
  <c r="AG2919" s="1"/>
  <c r="R2919"/>
  <c r="AF2919" s="1"/>
  <c r="Q2919"/>
  <c r="S2918"/>
  <c r="AG2918" s="1"/>
  <c r="R2918"/>
  <c r="AF2918" s="1"/>
  <c r="Q2918"/>
  <c r="S2917"/>
  <c r="AG2917" s="1"/>
  <c r="R2917"/>
  <c r="AF2917" s="1"/>
  <c r="Q2917"/>
  <c r="S2916"/>
  <c r="AG2916" s="1"/>
  <c r="R2916"/>
  <c r="AF2916" s="1"/>
  <c r="Q2916"/>
  <c r="S2915"/>
  <c r="AG2915" s="1"/>
  <c r="R2915"/>
  <c r="AF2915" s="1"/>
  <c r="Q2915"/>
  <c r="S2914"/>
  <c r="AG2914" s="1"/>
  <c r="R2914"/>
  <c r="AF2914" s="1"/>
  <c r="Q2914"/>
  <c r="S2913"/>
  <c r="AG2913" s="1"/>
  <c r="R2913"/>
  <c r="AF2913" s="1"/>
  <c r="Q2913"/>
  <c r="S2912"/>
  <c r="AG2912" s="1"/>
  <c r="R2912"/>
  <c r="AF2912" s="1"/>
  <c r="Q2912"/>
  <c r="S2911"/>
  <c r="AG2911" s="1"/>
  <c r="R2911"/>
  <c r="AF2911" s="1"/>
  <c r="Q2911"/>
  <c r="S2910"/>
  <c r="AG2910" s="1"/>
  <c r="R2910"/>
  <c r="AF2910" s="1"/>
  <c r="Q2910"/>
  <c r="S2909"/>
  <c r="AG2909" s="1"/>
  <c r="R2909"/>
  <c r="AF2909" s="1"/>
  <c r="Q2909"/>
  <c r="S2908"/>
  <c r="AG2908" s="1"/>
  <c r="R2908"/>
  <c r="AF2908" s="1"/>
  <c r="Q2908"/>
  <c r="S2907"/>
  <c r="AG2907" s="1"/>
  <c r="R2907"/>
  <c r="AF2907" s="1"/>
  <c r="Q2907"/>
  <c r="S2906"/>
  <c r="AG2906" s="1"/>
  <c r="R2906"/>
  <c r="AF2906" s="1"/>
  <c r="Q2906"/>
  <c r="S2905"/>
  <c r="AG2905" s="1"/>
  <c r="R2905"/>
  <c r="AF2905" s="1"/>
  <c r="Q2905"/>
  <c r="S2904"/>
  <c r="AG2904" s="1"/>
  <c r="R2904"/>
  <c r="AF2904" s="1"/>
  <c r="Q2904"/>
  <c r="S2903"/>
  <c r="AG2903" s="1"/>
  <c r="R2903"/>
  <c r="AF2903" s="1"/>
  <c r="Q2903"/>
  <c r="S2902"/>
  <c r="AG2902" s="1"/>
  <c r="R2902"/>
  <c r="AF2902" s="1"/>
  <c r="Q2902"/>
  <c r="S2901"/>
  <c r="AG2901" s="1"/>
  <c r="R2901"/>
  <c r="AF2901" s="1"/>
  <c r="Q2901"/>
  <c r="S2900"/>
  <c r="AG2900" s="1"/>
  <c r="R2900"/>
  <c r="AF2900" s="1"/>
  <c r="Q2900"/>
  <c r="S2899"/>
  <c r="AG2899" s="1"/>
  <c r="R2899"/>
  <c r="AF2899" s="1"/>
  <c r="Q2899"/>
  <c r="S2898"/>
  <c r="AG2898" s="1"/>
  <c r="R2898"/>
  <c r="AF2898" s="1"/>
  <c r="Q2898"/>
  <c r="S2897"/>
  <c r="AG2897" s="1"/>
  <c r="R2897"/>
  <c r="AF2897" s="1"/>
  <c r="Q2897"/>
  <c r="S2896"/>
  <c r="AG2896" s="1"/>
  <c r="R2896"/>
  <c r="AF2896" s="1"/>
  <c r="Q2896"/>
  <c r="S2895"/>
  <c r="AG2895" s="1"/>
  <c r="R2895"/>
  <c r="AF2895" s="1"/>
  <c r="Q2895"/>
  <c r="S2894"/>
  <c r="AG2894" s="1"/>
  <c r="R2894"/>
  <c r="AF2894" s="1"/>
  <c r="Q2894"/>
  <c r="S2893"/>
  <c r="AG2893" s="1"/>
  <c r="R2893"/>
  <c r="AF2893" s="1"/>
  <c r="Q2893"/>
  <c r="S2892"/>
  <c r="AG2892" s="1"/>
  <c r="R2892"/>
  <c r="AF2892" s="1"/>
  <c r="Q2892"/>
  <c r="S2891"/>
  <c r="AG2891" s="1"/>
  <c r="R2891"/>
  <c r="AF2891" s="1"/>
  <c r="Q2891"/>
  <c r="S2890"/>
  <c r="AG2890" s="1"/>
  <c r="R2890"/>
  <c r="AF2890" s="1"/>
  <c r="Q2890"/>
  <c r="S2889"/>
  <c r="AG2889" s="1"/>
  <c r="R2889"/>
  <c r="AF2889" s="1"/>
  <c r="Q2889"/>
  <c r="S2888"/>
  <c r="AG2888" s="1"/>
  <c r="R2888"/>
  <c r="AF2888" s="1"/>
  <c r="Q2888"/>
  <c r="S2887"/>
  <c r="AG2887" s="1"/>
  <c r="R2887"/>
  <c r="AF2887" s="1"/>
  <c r="Q2887"/>
  <c r="S2886"/>
  <c r="AG2886" s="1"/>
  <c r="R2886"/>
  <c r="AF2886" s="1"/>
  <c r="Q2886"/>
  <c r="S2885"/>
  <c r="AG2885" s="1"/>
  <c r="R2885"/>
  <c r="AF2885" s="1"/>
  <c r="Q2885"/>
  <c r="S2884"/>
  <c r="AG2884" s="1"/>
  <c r="R2884"/>
  <c r="AF2884" s="1"/>
  <c r="Q2884"/>
  <c r="S2883"/>
  <c r="AG2883" s="1"/>
  <c r="R2883"/>
  <c r="AF2883" s="1"/>
  <c r="Q2883"/>
  <c r="S2882"/>
  <c r="AG2882" s="1"/>
  <c r="R2882"/>
  <c r="AF2882" s="1"/>
  <c r="Q2882"/>
  <c r="S2881"/>
  <c r="AG2881" s="1"/>
  <c r="R2881"/>
  <c r="AF2881" s="1"/>
  <c r="Q2881"/>
  <c r="S2880"/>
  <c r="AG2880" s="1"/>
  <c r="R2880"/>
  <c r="AF2880" s="1"/>
  <c r="Q2880"/>
  <c r="S2879"/>
  <c r="AG2879" s="1"/>
  <c r="R2879"/>
  <c r="AF2879" s="1"/>
  <c r="Q2879"/>
  <c r="S2878"/>
  <c r="AG2878" s="1"/>
  <c r="R2878"/>
  <c r="AF2878" s="1"/>
  <c r="Q2878"/>
  <c r="S2877"/>
  <c r="AG2877" s="1"/>
  <c r="R2877"/>
  <c r="AF2877" s="1"/>
  <c r="Q2877"/>
  <c r="S2876"/>
  <c r="AG2876" s="1"/>
  <c r="R2876"/>
  <c r="AF2876" s="1"/>
  <c r="Q2876"/>
  <c r="S2875"/>
  <c r="AG2875" s="1"/>
  <c r="R2875"/>
  <c r="AF2875" s="1"/>
  <c r="Q2875"/>
  <c r="S2874"/>
  <c r="AG2874" s="1"/>
  <c r="R2874"/>
  <c r="AF2874" s="1"/>
  <c r="Q2874"/>
  <c r="S2873"/>
  <c r="AG2873" s="1"/>
  <c r="R2873"/>
  <c r="AF2873" s="1"/>
  <c r="Q2873"/>
  <c r="S2872"/>
  <c r="AG2872" s="1"/>
  <c r="R2872"/>
  <c r="AF2872" s="1"/>
  <c r="Q2872"/>
  <c r="S2871"/>
  <c r="AG2871" s="1"/>
  <c r="R2871"/>
  <c r="AF2871" s="1"/>
  <c r="Q2871"/>
  <c r="S2870"/>
  <c r="AG2870" s="1"/>
  <c r="R2870"/>
  <c r="AF2870" s="1"/>
  <c r="Q2870"/>
  <c r="S2869"/>
  <c r="AG2869" s="1"/>
  <c r="R2869"/>
  <c r="AF2869" s="1"/>
  <c r="Q2869"/>
  <c r="S2868"/>
  <c r="AG2868" s="1"/>
  <c r="R2868"/>
  <c r="AF2868" s="1"/>
  <c r="Q2868"/>
  <c r="S2867"/>
  <c r="AG2867" s="1"/>
  <c r="R2867"/>
  <c r="AF2867" s="1"/>
  <c r="Q2867"/>
  <c r="S2866"/>
  <c r="AG2866" s="1"/>
  <c r="R2866"/>
  <c r="AF2866" s="1"/>
  <c r="Q2866"/>
  <c r="S2864"/>
  <c r="AG2864" s="1"/>
  <c r="R2864"/>
  <c r="AF2864" s="1"/>
  <c r="Q2864"/>
  <c r="S2863"/>
  <c r="AG2863" s="1"/>
  <c r="R2863"/>
  <c r="AF2863" s="1"/>
  <c r="Q2863"/>
  <c r="S2862"/>
  <c r="AG2862" s="1"/>
  <c r="R2862"/>
  <c r="AF2862" s="1"/>
  <c r="Q2862"/>
  <c r="S2861"/>
  <c r="AG2861" s="1"/>
  <c r="R2861"/>
  <c r="AF2861" s="1"/>
  <c r="Q2861"/>
  <c r="S2860"/>
  <c r="AG2860" s="1"/>
  <c r="R2860"/>
  <c r="AF2860" s="1"/>
  <c r="Q2860"/>
  <c r="S2859"/>
  <c r="AG2859" s="1"/>
  <c r="R2859"/>
  <c r="AF2859" s="1"/>
  <c r="Q2859"/>
  <c r="S2858"/>
  <c r="AG2858" s="1"/>
  <c r="R2858"/>
  <c r="AF2858" s="1"/>
  <c r="Q2858"/>
  <c r="S2857"/>
  <c r="AG2857" s="1"/>
  <c r="R2857"/>
  <c r="AF2857" s="1"/>
  <c r="Q2857"/>
  <c r="S2856"/>
  <c r="AG2856" s="1"/>
  <c r="R2856"/>
  <c r="AF2856" s="1"/>
  <c r="Q2856"/>
  <c r="S2855"/>
  <c r="AG2855" s="1"/>
  <c r="R2855"/>
  <c r="AF2855" s="1"/>
  <c r="Q2855"/>
  <c r="S2854"/>
  <c r="AG2854" s="1"/>
  <c r="R2854"/>
  <c r="AF2854" s="1"/>
  <c r="Q2854"/>
  <c r="S2853"/>
  <c r="AG2853" s="1"/>
  <c r="R2853"/>
  <c r="AF2853" s="1"/>
  <c r="Q2853"/>
  <c r="S2852"/>
  <c r="AG2852" s="1"/>
  <c r="R2852"/>
  <c r="AF2852" s="1"/>
  <c r="Q2852"/>
  <c r="S2851"/>
  <c r="AG2851" s="1"/>
  <c r="R2851"/>
  <c r="AF2851" s="1"/>
  <c r="Q2851"/>
  <c r="S2850"/>
  <c r="AG2850" s="1"/>
  <c r="R2850"/>
  <c r="AF2850" s="1"/>
  <c r="Q2850"/>
  <c r="S2849"/>
  <c r="AG2849" s="1"/>
  <c r="R2849"/>
  <c r="AF2849" s="1"/>
  <c r="Q2849"/>
  <c r="S2848"/>
  <c r="AG2848" s="1"/>
  <c r="R2848"/>
  <c r="AF2848" s="1"/>
  <c r="Q2848"/>
  <c r="S2847"/>
  <c r="AG2847" s="1"/>
  <c r="R2847"/>
  <c r="AF2847" s="1"/>
  <c r="Q2847"/>
  <c r="S2846"/>
  <c r="AG2846" s="1"/>
  <c r="R2846"/>
  <c r="AF2846" s="1"/>
  <c r="Q2846"/>
  <c r="S2845"/>
  <c r="AG2845" s="1"/>
  <c r="R2845"/>
  <c r="AF2845" s="1"/>
  <c r="Q2845"/>
  <c r="S2844"/>
  <c r="AG2844" s="1"/>
  <c r="R2844"/>
  <c r="AF2844" s="1"/>
  <c r="Q2844"/>
  <c r="S2843"/>
  <c r="AG2843" s="1"/>
  <c r="R2843"/>
  <c r="AF2843" s="1"/>
  <c r="Q2843"/>
  <c r="S2842"/>
  <c r="AG2842" s="1"/>
  <c r="R2842"/>
  <c r="AF2842" s="1"/>
  <c r="Q2842"/>
  <c r="S2841"/>
  <c r="AG2841" s="1"/>
  <c r="R2841"/>
  <c r="AF2841" s="1"/>
  <c r="Q2841"/>
  <c r="S2840"/>
  <c r="AG2840" s="1"/>
  <c r="R2840"/>
  <c r="AF2840" s="1"/>
  <c r="Q2840"/>
  <c r="S2839"/>
  <c r="AG2839" s="1"/>
  <c r="R2839"/>
  <c r="AF2839" s="1"/>
  <c r="Q2839"/>
  <c r="S2838"/>
  <c r="AG2838" s="1"/>
  <c r="R2838"/>
  <c r="AF2838" s="1"/>
  <c r="Q2838"/>
  <c r="S2837"/>
  <c r="AG2837" s="1"/>
  <c r="R2837"/>
  <c r="AF2837" s="1"/>
  <c r="Q2837"/>
  <c r="S2836"/>
  <c r="AG2836" s="1"/>
  <c r="R2836"/>
  <c r="AF2836" s="1"/>
  <c r="Q2836"/>
  <c r="S2835"/>
  <c r="AG2835" s="1"/>
  <c r="R2835"/>
  <c r="AF2835" s="1"/>
  <c r="Q2835"/>
  <c r="S2834"/>
  <c r="AG2834" s="1"/>
  <c r="R2834"/>
  <c r="AF2834" s="1"/>
  <c r="Q2834"/>
  <c r="S2833"/>
  <c r="AG2833" s="1"/>
  <c r="R2833"/>
  <c r="AF2833" s="1"/>
  <c r="Q2833"/>
  <c r="S2832"/>
  <c r="AG2832" s="1"/>
  <c r="R2832"/>
  <c r="AF2832" s="1"/>
  <c r="Q2832"/>
  <c r="S2831"/>
  <c r="AG2831" s="1"/>
  <c r="R2831"/>
  <c r="AF2831" s="1"/>
  <c r="Q2831"/>
  <c r="S2830"/>
  <c r="AG2830" s="1"/>
  <c r="R2830"/>
  <c r="AF2830" s="1"/>
  <c r="Q2830"/>
  <c r="S2829"/>
  <c r="AG2829" s="1"/>
  <c r="R2829"/>
  <c r="AF2829" s="1"/>
  <c r="Q2829"/>
  <c r="S2828"/>
  <c r="AG2828" s="1"/>
  <c r="R2828"/>
  <c r="AF2828" s="1"/>
  <c r="Q2828"/>
  <c r="S2827"/>
  <c r="AG2827" s="1"/>
  <c r="R2827"/>
  <c r="AF2827" s="1"/>
  <c r="Q2827"/>
  <c r="S2826"/>
  <c r="AG2826" s="1"/>
  <c r="R2826"/>
  <c r="AF2826" s="1"/>
  <c r="Q2826"/>
  <c r="S2825"/>
  <c r="AG2825" s="1"/>
  <c r="R2825"/>
  <c r="AF2825" s="1"/>
  <c r="Q2825"/>
  <c r="S2824"/>
  <c r="AG2824" s="1"/>
  <c r="R2824"/>
  <c r="AF2824" s="1"/>
  <c r="Q2824"/>
  <c r="S2823"/>
  <c r="AG2823" s="1"/>
  <c r="R2823"/>
  <c r="AF2823" s="1"/>
  <c r="Q2823"/>
  <c r="S2822"/>
  <c r="AG2822" s="1"/>
  <c r="R2822"/>
  <c r="AF2822" s="1"/>
  <c r="Q2822"/>
  <c r="S2821"/>
  <c r="AG2821" s="1"/>
  <c r="R2821"/>
  <c r="AF2821" s="1"/>
  <c r="Q2821"/>
  <c r="S2820"/>
  <c r="AG2820" s="1"/>
  <c r="R2820"/>
  <c r="AF2820" s="1"/>
  <c r="Q2820"/>
  <c r="S2819"/>
  <c r="AG2819" s="1"/>
  <c r="R2819"/>
  <c r="AF2819" s="1"/>
  <c r="Q2819"/>
  <c r="S2818"/>
  <c r="AG2818" s="1"/>
  <c r="R2818"/>
  <c r="AF2818" s="1"/>
  <c r="Q2818"/>
  <c r="S2817"/>
  <c r="AG2817" s="1"/>
  <c r="R2817"/>
  <c r="AF2817" s="1"/>
  <c r="Q2817"/>
  <c r="S2816"/>
  <c r="AG2816" s="1"/>
  <c r="R2816"/>
  <c r="AF2816" s="1"/>
  <c r="Q2816"/>
  <c r="S2815"/>
  <c r="AG2815" s="1"/>
  <c r="R2815"/>
  <c r="AF2815" s="1"/>
  <c r="Q2815"/>
  <c r="S2814"/>
  <c r="AG2814" s="1"/>
  <c r="R2814"/>
  <c r="AF2814" s="1"/>
  <c r="Q2814"/>
  <c r="S2813"/>
  <c r="AG2813" s="1"/>
  <c r="R2813"/>
  <c r="AF2813" s="1"/>
  <c r="Q2813"/>
  <c r="S2812"/>
  <c r="AG2812" s="1"/>
  <c r="R2812"/>
  <c r="AF2812" s="1"/>
  <c r="Q2812"/>
  <c r="S2811"/>
  <c r="AG2811" s="1"/>
  <c r="R2811"/>
  <c r="AF2811" s="1"/>
  <c r="Q2811"/>
  <c r="S2810"/>
  <c r="AG2810" s="1"/>
  <c r="R2810"/>
  <c r="AF2810" s="1"/>
  <c r="Q2810"/>
  <c r="S2809"/>
  <c r="AG2809" s="1"/>
  <c r="R2809"/>
  <c r="AF2809" s="1"/>
  <c r="Q2809"/>
  <c r="S2808"/>
  <c r="AG2808" s="1"/>
  <c r="R2808"/>
  <c r="AF2808" s="1"/>
  <c r="Q2808"/>
  <c r="S2807"/>
  <c r="AG2807" s="1"/>
  <c r="R2807"/>
  <c r="AF2807" s="1"/>
  <c r="Q2807"/>
  <c r="S2806"/>
  <c r="AG2806" s="1"/>
  <c r="R2806"/>
  <c r="AF2806" s="1"/>
  <c r="Q2806"/>
  <c r="S2805"/>
  <c r="AG2805" s="1"/>
  <c r="R2805"/>
  <c r="AF2805" s="1"/>
  <c r="Q2805"/>
  <c r="S2804"/>
  <c r="AG2804" s="1"/>
  <c r="R2804"/>
  <c r="AF2804" s="1"/>
  <c r="Q2804"/>
  <c r="S2803"/>
  <c r="AG2803" s="1"/>
  <c r="R2803"/>
  <c r="AF2803" s="1"/>
  <c r="Q2803"/>
  <c r="S2802"/>
  <c r="AG2802" s="1"/>
  <c r="R2802"/>
  <c r="AF2802" s="1"/>
  <c r="Q2802"/>
  <c r="S2801"/>
  <c r="AG2801" s="1"/>
  <c r="R2801"/>
  <c r="AF2801" s="1"/>
  <c r="Q2801"/>
  <c r="S2800"/>
  <c r="AG2800" s="1"/>
  <c r="R2800"/>
  <c r="AF2800" s="1"/>
  <c r="Q2800"/>
  <c r="S2799"/>
  <c r="AG2799" s="1"/>
  <c r="R2799"/>
  <c r="AF2799" s="1"/>
  <c r="Q2799"/>
  <c r="S2798"/>
  <c r="AG2798" s="1"/>
  <c r="R2798"/>
  <c r="AF2798" s="1"/>
  <c r="Q2798"/>
  <c r="S2797"/>
  <c r="AG2797" s="1"/>
  <c r="R2797"/>
  <c r="AF2797" s="1"/>
  <c r="Q2797"/>
  <c r="S2796"/>
  <c r="AG2796" s="1"/>
  <c r="R2796"/>
  <c r="AF2796" s="1"/>
  <c r="Q2796"/>
  <c r="S2795"/>
  <c r="AG2795" s="1"/>
  <c r="R2795"/>
  <c r="AF2795" s="1"/>
  <c r="Q2795"/>
  <c r="S2794"/>
  <c r="AG2794" s="1"/>
  <c r="R2794"/>
  <c r="AF2794" s="1"/>
  <c r="Q2794"/>
  <c r="S2793"/>
  <c r="AG2793" s="1"/>
  <c r="R2793"/>
  <c r="AF2793" s="1"/>
  <c r="Q2793"/>
  <c r="S2792"/>
  <c r="AG2792" s="1"/>
  <c r="R2792"/>
  <c r="AF2792" s="1"/>
  <c r="Q2792"/>
  <c r="S2791"/>
  <c r="AG2791" s="1"/>
  <c r="R2791"/>
  <c r="AF2791" s="1"/>
  <c r="Q2791"/>
  <c r="S2790"/>
  <c r="AG2790" s="1"/>
  <c r="R2790"/>
  <c r="AF2790" s="1"/>
  <c r="Q2790"/>
  <c r="S2789"/>
  <c r="AG2789" s="1"/>
  <c r="R2789"/>
  <c r="AF2789" s="1"/>
  <c r="Q2789"/>
  <c r="S2788"/>
  <c r="AG2788" s="1"/>
  <c r="R2788"/>
  <c r="AF2788" s="1"/>
  <c r="Q2788"/>
  <c r="S2787"/>
  <c r="AG2787" s="1"/>
  <c r="R2787"/>
  <c r="AF2787" s="1"/>
  <c r="Q2787"/>
  <c r="S2786"/>
  <c r="AG2786" s="1"/>
  <c r="R2786"/>
  <c r="AF2786" s="1"/>
  <c r="Q2786"/>
  <c r="S2785"/>
  <c r="AG2785" s="1"/>
  <c r="R2785"/>
  <c r="AF2785" s="1"/>
  <c r="Q2785"/>
  <c r="S2784"/>
  <c r="AG2784" s="1"/>
  <c r="R2784"/>
  <c r="AF2784" s="1"/>
  <c r="Q2784"/>
  <c r="S2783"/>
  <c r="AG2783" s="1"/>
  <c r="R2783"/>
  <c r="AF2783" s="1"/>
  <c r="Q2783"/>
  <c r="S2782"/>
  <c r="AG2782" s="1"/>
  <c r="R2782"/>
  <c r="AF2782" s="1"/>
  <c r="Q2782"/>
  <c r="S2781"/>
  <c r="AG2781" s="1"/>
  <c r="R2781"/>
  <c r="AF2781" s="1"/>
  <c r="Q2781"/>
  <c r="S2780"/>
  <c r="AG2780" s="1"/>
  <c r="R2780"/>
  <c r="AF2780" s="1"/>
  <c r="Q2780"/>
  <c r="S2779"/>
  <c r="AG2779" s="1"/>
  <c r="R2779"/>
  <c r="AF2779" s="1"/>
  <c r="Q2779"/>
  <c r="S2778"/>
  <c r="AG2778" s="1"/>
  <c r="R2778"/>
  <c r="AF2778" s="1"/>
  <c r="Q2778"/>
  <c r="S2777"/>
  <c r="AG2777" s="1"/>
  <c r="R2777"/>
  <c r="AF2777" s="1"/>
  <c r="Q2777"/>
  <c r="S2776"/>
  <c r="AG2776" s="1"/>
  <c r="R2776"/>
  <c r="AF2776" s="1"/>
  <c r="Q2776"/>
  <c r="S2775"/>
  <c r="AG2775" s="1"/>
  <c r="R2775"/>
  <c r="AF2775" s="1"/>
  <c r="Q2775"/>
  <c r="S2774"/>
  <c r="AG2774" s="1"/>
  <c r="R2774"/>
  <c r="AF2774" s="1"/>
  <c r="Q2774"/>
  <c r="S2773"/>
  <c r="AG2773" s="1"/>
  <c r="R2773"/>
  <c r="AF2773" s="1"/>
  <c r="Q2773"/>
  <c r="S2772"/>
  <c r="AG2772" s="1"/>
  <c r="R2772"/>
  <c r="AF2772" s="1"/>
  <c r="Q2772"/>
  <c r="S2771"/>
  <c r="AG2771" s="1"/>
  <c r="R2771"/>
  <c r="AF2771" s="1"/>
  <c r="Q2771"/>
  <c r="S2770"/>
  <c r="AG2770" s="1"/>
  <c r="R2770"/>
  <c r="AF2770" s="1"/>
  <c r="Q2770"/>
  <c r="S2769"/>
  <c r="AG2769" s="1"/>
  <c r="R2769"/>
  <c r="Q2769"/>
  <c r="S2768"/>
  <c r="AG2768" s="1"/>
  <c r="R2768"/>
  <c r="AF2768" s="1"/>
  <c r="Q2768"/>
  <c r="S2767"/>
  <c r="AG2767" s="1"/>
  <c r="R2767"/>
  <c r="AF2767" s="1"/>
  <c r="Q2767"/>
  <c r="S2766"/>
  <c r="AG2766" s="1"/>
  <c r="R2766"/>
  <c r="AF2766" s="1"/>
  <c r="Q2766"/>
  <c r="S2765"/>
  <c r="AG2765" s="1"/>
  <c r="R2765"/>
  <c r="AF2765" s="1"/>
  <c r="Q2765"/>
  <c r="S2764"/>
  <c r="AG2764" s="1"/>
  <c r="R2764"/>
  <c r="AF2764" s="1"/>
  <c r="Q2764"/>
  <c r="S2763"/>
  <c r="AG2763" s="1"/>
  <c r="R2763"/>
  <c r="AF2763" s="1"/>
  <c r="Q2763"/>
  <c r="S2762"/>
  <c r="AG2762" s="1"/>
  <c r="R2762"/>
  <c r="AF2762" s="1"/>
  <c r="Q2762"/>
  <c r="S2761"/>
  <c r="AG2761" s="1"/>
  <c r="R2761"/>
  <c r="AF2761" s="1"/>
  <c r="Q2761"/>
  <c r="S2760"/>
  <c r="AG2760" s="1"/>
  <c r="R2760"/>
  <c r="AF2760" s="1"/>
  <c r="Q2760"/>
  <c r="S2759"/>
  <c r="AG2759" s="1"/>
  <c r="R2759"/>
  <c r="AF2759" s="1"/>
  <c r="Q2759"/>
  <c r="S2758"/>
  <c r="AG2758" s="1"/>
  <c r="R2758"/>
  <c r="AF2758" s="1"/>
  <c r="Q2758"/>
  <c r="S2757"/>
  <c r="AG2757" s="1"/>
  <c r="R2757"/>
  <c r="AF2757" s="1"/>
  <c r="Q2757"/>
  <c r="S2756"/>
  <c r="AG2756" s="1"/>
  <c r="R2756"/>
  <c r="AF2756" s="1"/>
  <c r="Q2756"/>
  <c r="S2755"/>
  <c r="AG2755" s="1"/>
  <c r="R2755"/>
  <c r="AF2755" s="1"/>
  <c r="Q2755"/>
  <c r="S2754"/>
  <c r="AG2754" s="1"/>
  <c r="R2754"/>
  <c r="AF2754" s="1"/>
  <c r="Q2754"/>
  <c r="S2753"/>
  <c r="AG2753" s="1"/>
  <c r="R2753"/>
  <c r="AF2753" s="1"/>
  <c r="Q2753"/>
  <c r="S2752"/>
  <c r="AG2752" s="1"/>
  <c r="R2752"/>
  <c r="AF2752" s="1"/>
  <c r="Q2752"/>
  <c r="S2751"/>
  <c r="AG2751" s="1"/>
  <c r="R2751"/>
  <c r="AF2751" s="1"/>
  <c r="Q2751"/>
  <c r="S2750"/>
  <c r="AG2750" s="1"/>
  <c r="R2750"/>
  <c r="AF2750" s="1"/>
  <c r="Q2750"/>
  <c r="S2749"/>
  <c r="AG2749" s="1"/>
  <c r="R2749"/>
  <c r="AF2749" s="1"/>
  <c r="Q2749"/>
  <c r="S2748"/>
  <c r="AG2748" s="1"/>
  <c r="R2748"/>
  <c r="AF2748" s="1"/>
  <c r="Q2748"/>
  <c r="S2747"/>
  <c r="AG2747" s="1"/>
  <c r="R2747"/>
  <c r="AF2747" s="1"/>
  <c r="Q2747"/>
  <c r="S2746"/>
  <c r="AG2746" s="1"/>
  <c r="R2746"/>
  <c r="AF2746" s="1"/>
  <c r="Q2746"/>
  <c r="S2745"/>
  <c r="AG2745" s="1"/>
  <c r="R2745"/>
  <c r="AF2745" s="1"/>
  <c r="Q2745"/>
  <c r="S2744"/>
  <c r="AG2744" s="1"/>
  <c r="R2744"/>
  <c r="AF2744" s="1"/>
  <c r="Q2744"/>
  <c r="S2743"/>
  <c r="AG2743" s="1"/>
  <c r="R2743"/>
  <c r="AF2743" s="1"/>
  <c r="Q2743"/>
  <c r="S2742"/>
  <c r="AG2742" s="1"/>
  <c r="R2742"/>
  <c r="AF2742" s="1"/>
  <c r="Q2742"/>
  <c r="S2741"/>
  <c r="AG2741" s="1"/>
  <c r="R2741"/>
  <c r="AF2741" s="1"/>
  <c r="Q2741"/>
  <c r="S2740"/>
  <c r="AG2740" s="1"/>
  <c r="R2740"/>
  <c r="AF2740" s="1"/>
  <c r="Q2740"/>
  <c r="S2739"/>
  <c r="AG2739" s="1"/>
  <c r="R2739"/>
  <c r="AF2739" s="1"/>
  <c r="Q2739"/>
  <c r="S2738"/>
  <c r="AG2738" s="1"/>
  <c r="R2738"/>
  <c r="AF2738" s="1"/>
  <c r="Q2738"/>
  <c r="S2737"/>
  <c r="AG2737" s="1"/>
  <c r="R2737"/>
  <c r="AF2737" s="1"/>
  <c r="Q2737"/>
  <c r="S2736"/>
  <c r="AG2736" s="1"/>
  <c r="R2736"/>
  <c r="AF2736" s="1"/>
  <c r="Q2736"/>
  <c r="S2735"/>
  <c r="AG2735" s="1"/>
  <c r="R2735"/>
  <c r="AF2735" s="1"/>
  <c r="Q2735"/>
  <c r="S2734"/>
  <c r="AG2734" s="1"/>
  <c r="R2734"/>
  <c r="AF2734" s="1"/>
  <c r="Q2734"/>
  <c r="S2733"/>
  <c r="AG2733" s="1"/>
  <c r="R2733"/>
  <c r="AF2733" s="1"/>
  <c r="Q2733"/>
  <c r="S2732"/>
  <c r="AG2732" s="1"/>
  <c r="R2732"/>
  <c r="AF2732" s="1"/>
  <c r="Q2732"/>
  <c r="S2731"/>
  <c r="AG2731" s="1"/>
  <c r="R2731"/>
  <c r="AF2731" s="1"/>
  <c r="Q2731"/>
  <c r="S2730"/>
  <c r="AG2730" s="1"/>
  <c r="R2730"/>
  <c r="AF2730" s="1"/>
  <c r="Q2730"/>
  <c r="S2729"/>
  <c r="AG2729" s="1"/>
  <c r="R2729"/>
  <c r="AF2729" s="1"/>
  <c r="Q2729"/>
  <c r="S2728"/>
  <c r="AG2728" s="1"/>
  <c r="R2728"/>
  <c r="AF2728" s="1"/>
  <c r="Q2728"/>
  <c r="S2727"/>
  <c r="AG2727" s="1"/>
  <c r="R2727"/>
  <c r="AF2727" s="1"/>
  <c r="Q2727"/>
  <c r="S2726"/>
  <c r="AG2726" s="1"/>
  <c r="R2726"/>
  <c r="AF2726" s="1"/>
  <c r="Q2726"/>
  <c r="S2725"/>
  <c r="AG2725" s="1"/>
  <c r="R2725"/>
  <c r="AF2725" s="1"/>
  <c r="Q2725"/>
  <c r="S2724"/>
  <c r="AG2724" s="1"/>
  <c r="R2724"/>
  <c r="AF2724" s="1"/>
  <c r="Q2724"/>
  <c r="S2723"/>
  <c r="AG2723" s="1"/>
  <c r="R2723"/>
  <c r="AF2723" s="1"/>
  <c r="Q2723"/>
  <c r="S2722"/>
  <c r="AG2722" s="1"/>
  <c r="R2722"/>
  <c r="AF2722" s="1"/>
  <c r="Q2722"/>
  <c r="S2721"/>
  <c r="AG2721" s="1"/>
  <c r="R2721"/>
  <c r="AF2721" s="1"/>
  <c r="Q2721"/>
  <c r="S2720"/>
  <c r="AG2720" s="1"/>
  <c r="R2720"/>
  <c r="AF2720" s="1"/>
  <c r="Q2720"/>
  <c r="S2719"/>
  <c r="AG2719" s="1"/>
  <c r="R2719"/>
  <c r="AF2719" s="1"/>
  <c r="Q2719"/>
  <c r="S2718"/>
  <c r="AG2718" s="1"/>
  <c r="R2718"/>
  <c r="AF2718" s="1"/>
  <c r="Q2718"/>
  <c r="S2717"/>
  <c r="AG2717" s="1"/>
  <c r="R2717"/>
  <c r="AF2717" s="1"/>
  <c r="Q2717"/>
  <c r="S2716"/>
  <c r="AG2716" s="1"/>
  <c r="R2716"/>
  <c r="AF2716" s="1"/>
  <c r="Q2716"/>
  <c r="S2715"/>
  <c r="AG2715" s="1"/>
  <c r="R2715"/>
  <c r="AF2715" s="1"/>
  <c r="Q2715"/>
  <c r="S2714"/>
  <c r="AG2714" s="1"/>
  <c r="R2714"/>
  <c r="AF2714" s="1"/>
  <c r="Q2714"/>
  <c r="S2713"/>
  <c r="AG2713" s="1"/>
  <c r="R2713"/>
  <c r="AF2713" s="1"/>
  <c r="Q2713"/>
  <c r="S2712"/>
  <c r="AG2712" s="1"/>
  <c r="R2712"/>
  <c r="AF2712" s="1"/>
  <c r="Q2712"/>
  <c r="S2711"/>
  <c r="AG2711" s="1"/>
  <c r="R2711"/>
  <c r="AF2711" s="1"/>
  <c r="Q2711"/>
  <c r="S2710"/>
  <c r="AG2710" s="1"/>
  <c r="R2710"/>
  <c r="AF2710" s="1"/>
  <c r="Q2710"/>
  <c r="S2709"/>
  <c r="AG2709" s="1"/>
  <c r="R2709"/>
  <c r="AF2709" s="1"/>
  <c r="Q2709"/>
  <c r="S2708"/>
  <c r="AG2708" s="1"/>
  <c r="R2708"/>
  <c r="AF2708" s="1"/>
  <c r="Q2708"/>
  <c r="S2707"/>
  <c r="AG2707" s="1"/>
  <c r="R2707"/>
  <c r="AF2707" s="1"/>
  <c r="Q2707"/>
  <c r="S2706"/>
  <c r="AG2706" s="1"/>
  <c r="R2706"/>
  <c r="AF2706" s="1"/>
  <c r="Q2706"/>
  <c r="S2705"/>
  <c r="AG2705" s="1"/>
  <c r="R2705"/>
  <c r="AF2705" s="1"/>
  <c r="Q2705"/>
  <c r="S2704"/>
  <c r="AG2704" s="1"/>
  <c r="R2704"/>
  <c r="AF2704" s="1"/>
  <c r="Q2704"/>
  <c r="S2703"/>
  <c r="AG2703" s="1"/>
  <c r="R2703"/>
  <c r="AF2703" s="1"/>
  <c r="Q2703"/>
  <c r="S2702"/>
  <c r="AG2702" s="1"/>
  <c r="R2702"/>
  <c r="AF2702" s="1"/>
  <c r="Q2702"/>
  <c r="S2701"/>
  <c r="AG2701" s="1"/>
  <c r="R2701"/>
  <c r="AF2701" s="1"/>
  <c r="Q2701"/>
  <c r="S2700"/>
  <c r="AG2700" s="1"/>
  <c r="R2700"/>
  <c r="Q2700"/>
  <c r="S2699"/>
  <c r="AG2699" s="1"/>
  <c r="R2699"/>
  <c r="AF2699" s="1"/>
  <c r="Q2699"/>
  <c r="S2698"/>
  <c r="AG2698" s="1"/>
  <c r="R2698"/>
  <c r="AF2698" s="1"/>
  <c r="Q2698"/>
  <c r="S2697"/>
  <c r="AG2697" s="1"/>
  <c r="R2697"/>
  <c r="AF2697" s="1"/>
  <c r="Q2697"/>
  <c r="S2696"/>
  <c r="AG2696" s="1"/>
  <c r="R2696"/>
  <c r="AF2696" s="1"/>
  <c r="Q2696"/>
  <c r="S2695"/>
  <c r="AG2695" s="1"/>
  <c r="R2695"/>
  <c r="AF2695" s="1"/>
  <c r="Q2695"/>
  <c r="S2694"/>
  <c r="AG2694" s="1"/>
  <c r="R2694"/>
  <c r="AF2694" s="1"/>
  <c r="Q2694"/>
  <c r="S2693"/>
  <c r="AG2693" s="1"/>
  <c r="R2693"/>
  <c r="AF2693" s="1"/>
  <c r="Q2693"/>
  <c r="S2692"/>
  <c r="AG2692" s="1"/>
  <c r="R2692"/>
  <c r="AF2692" s="1"/>
  <c r="Q2692"/>
  <c r="S2691"/>
  <c r="AG2691" s="1"/>
  <c r="R2691"/>
  <c r="AF2691" s="1"/>
  <c r="Q2691"/>
  <c r="S2690"/>
  <c r="AG2690" s="1"/>
  <c r="R2690"/>
  <c r="AF2690" s="1"/>
  <c r="Q2690"/>
  <c r="S2689"/>
  <c r="AG2689" s="1"/>
  <c r="R2689"/>
  <c r="AF2689" s="1"/>
  <c r="Q2689"/>
  <c r="S2688"/>
  <c r="AG2688" s="1"/>
  <c r="R2688"/>
  <c r="AF2688" s="1"/>
  <c r="Q2688"/>
  <c r="S2687"/>
  <c r="AG2687" s="1"/>
  <c r="R2687"/>
  <c r="AF2687" s="1"/>
  <c r="Q2687"/>
  <c r="S2686"/>
  <c r="AG2686" s="1"/>
  <c r="R2686"/>
  <c r="AF2686" s="1"/>
  <c r="Q2686"/>
  <c r="S2685"/>
  <c r="AG2685" s="1"/>
  <c r="R2685"/>
  <c r="AF2685" s="1"/>
  <c r="Q2685"/>
  <c r="S2684"/>
  <c r="AG2684" s="1"/>
  <c r="R2684"/>
  <c r="AF2684" s="1"/>
  <c r="Q2684"/>
  <c r="S2683"/>
  <c r="AG2683" s="1"/>
  <c r="R2683"/>
  <c r="AF2683" s="1"/>
  <c r="Q2683"/>
  <c r="S2682"/>
  <c r="AG2682" s="1"/>
  <c r="R2682"/>
  <c r="AF2682" s="1"/>
  <c r="Q2682"/>
  <c r="S2681"/>
  <c r="AG2681" s="1"/>
  <c r="R2681"/>
  <c r="AF2681" s="1"/>
  <c r="Q2681"/>
  <c r="S2680"/>
  <c r="AG2680" s="1"/>
  <c r="R2680"/>
  <c r="AF2680" s="1"/>
  <c r="Q2680"/>
  <c r="S2679"/>
  <c r="AG2679" s="1"/>
  <c r="R2679"/>
  <c r="AF2679" s="1"/>
  <c r="Q2679"/>
  <c r="S2678"/>
  <c r="AG2678" s="1"/>
  <c r="R2678"/>
  <c r="AF2678" s="1"/>
  <c r="Q2678"/>
  <c r="S2677"/>
  <c r="AG2677" s="1"/>
  <c r="R2677"/>
  <c r="AF2677" s="1"/>
  <c r="Q2677"/>
  <c r="S2676"/>
  <c r="AG2676" s="1"/>
  <c r="R2676"/>
  <c r="AF2676" s="1"/>
  <c r="Q2676"/>
  <c r="S2675"/>
  <c r="AG2675" s="1"/>
  <c r="R2675"/>
  <c r="AF2675" s="1"/>
  <c r="Q2675"/>
  <c r="S2674"/>
  <c r="AG2674" s="1"/>
  <c r="R2674"/>
  <c r="AF2674" s="1"/>
  <c r="Q2674"/>
  <c r="S2673"/>
  <c r="AG2673" s="1"/>
  <c r="R2673"/>
  <c r="AF2673" s="1"/>
  <c r="Q2673"/>
  <c r="S2672"/>
  <c r="AG2672" s="1"/>
  <c r="R2672"/>
  <c r="AF2672" s="1"/>
  <c r="Q2672"/>
  <c r="S2671"/>
  <c r="AG2671" s="1"/>
  <c r="R2671"/>
  <c r="AF2671" s="1"/>
  <c r="Q2671"/>
  <c r="S2670"/>
  <c r="AG2670" s="1"/>
  <c r="R2670"/>
  <c r="AF2670" s="1"/>
  <c r="Q2670"/>
  <c r="S2669"/>
  <c r="AG2669" s="1"/>
  <c r="R2669"/>
  <c r="AF2669" s="1"/>
  <c r="Q2669"/>
  <c r="S2668"/>
  <c r="AG2668" s="1"/>
  <c r="R2668"/>
  <c r="AF2668" s="1"/>
  <c r="Q2668"/>
  <c r="S2667"/>
  <c r="AG2667" s="1"/>
  <c r="R2667"/>
  <c r="AF2667" s="1"/>
  <c r="Q2667"/>
  <c r="S2666"/>
  <c r="AG2666" s="1"/>
  <c r="R2666"/>
  <c r="AF2666" s="1"/>
  <c r="Q2666"/>
  <c r="S2665"/>
  <c r="AG2665" s="1"/>
  <c r="R2665"/>
  <c r="AF2665" s="1"/>
  <c r="Q2665"/>
  <c r="S2664"/>
  <c r="AG2664" s="1"/>
  <c r="R2664"/>
  <c r="AF2664" s="1"/>
  <c r="Q2664"/>
  <c r="S2663"/>
  <c r="AG2663" s="1"/>
  <c r="R2663"/>
  <c r="AF2663" s="1"/>
  <c r="Q2663"/>
  <c r="S2662"/>
  <c r="AG2662" s="1"/>
  <c r="R2662"/>
  <c r="AF2662" s="1"/>
  <c r="Q2662"/>
  <c r="S2661"/>
  <c r="AG2661" s="1"/>
  <c r="R2661"/>
  <c r="AF2661" s="1"/>
  <c r="Q2661"/>
  <c r="S2660"/>
  <c r="AG2660" s="1"/>
  <c r="R2660"/>
  <c r="AF2660" s="1"/>
  <c r="Q2660"/>
  <c r="S2659"/>
  <c r="AG2659" s="1"/>
  <c r="R2659"/>
  <c r="AF2659" s="1"/>
  <c r="Q2659"/>
  <c r="S2658"/>
  <c r="AG2658" s="1"/>
  <c r="R2658"/>
  <c r="AF2658" s="1"/>
  <c r="Q2658"/>
  <c r="S2657"/>
  <c r="AG2657" s="1"/>
  <c r="R2657"/>
  <c r="AF2657" s="1"/>
  <c r="Q2657"/>
  <c r="S2656"/>
  <c r="AG2656" s="1"/>
  <c r="R2656"/>
  <c r="AF2656" s="1"/>
  <c r="Q2656"/>
  <c r="S2655"/>
  <c r="AG2655" s="1"/>
  <c r="R2655"/>
  <c r="AF2655" s="1"/>
  <c r="Q2655"/>
  <c r="S2654"/>
  <c r="AG2654" s="1"/>
  <c r="R2654"/>
  <c r="AF2654" s="1"/>
  <c r="Q2654"/>
  <c r="S2653"/>
  <c r="AG2653" s="1"/>
  <c r="R2653"/>
  <c r="AF2653" s="1"/>
  <c r="Q2653"/>
  <c r="S2652"/>
  <c r="AG2652" s="1"/>
  <c r="R2652"/>
  <c r="AF2652" s="1"/>
  <c r="Q2652"/>
  <c r="S2651"/>
  <c r="AG2651" s="1"/>
  <c r="R2651"/>
  <c r="AF2651" s="1"/>
  <c r="Q2651"/>
  <c r="S2650"/>
  <c r="AG2650" s="1"/>
  <c r="R2650"/>
  <c r="AF2650" s="1"/>
  <c r="Q2650"/>
  <c r="S2649"/>
  <c r="AG2649" s="1"/>
  <c r="R2649"/>
  <c r="AF2649" s="1"/>
  <c r="Q2649"/>
  <c r="S2648"/>
  <c r="AG2648" s="1"/>
  <c r="R2648"/>
  <c r="AF2648" s="1"/>
  <c r="Q2648"/>
  <c r="S2647"/>
  <c r="AG2647" s="1"/>
  <c r="R2647"/>
  <c r="AF2647" s="1"/>
  <c r="Q2647"/>
  <c r="S2646"/>
  <c r="AG2646" s="1"/>
  <c r="R2646"/>
  <c r="AF2646" s="1"/>
  <c r="Q2646"/>
  <c r="S2645"/>
  <c r="AG2645" s="1"/>
  <c r="R2645"/>
  <c r="AF2645" s="1"/>
  <c r="Q2645"/>
  <c r="S2644"/>
  <c r="AG2644" s="1"/>
  <c r="R2644"/>
  <c r="AF2644" s="1"/>
  <c r="Q2644"/>
  <c r="S2643"/>
  <c r="AG2643" s="1"/>
  <c r="R2643"/>
  <c r="AF2643" s="1"/>
  <c r="Q2643"/>
  <c r="S2642"/>
  <c r="AG2642" s="1"/>
  <c r="R2642"/>
  <c r="AF2642" s="1"/>
  <c r="Q2642"/>
  <c r="S2641"/>
  <c r="AG2641" s="1"/>
  <c r="R2641"/>
  <c r="AF2641" s="1"/>
  <c r="Q2641"/>
  <c r="R2640"/>
  <c r="AF2640" s="1"/>
  <c r="Q2640"/>
  <c r="S2639"/>
  <c r="AG2639" s="1"/>
  <c r="R2639"/>
  <c r="AF2639" s="1"/>
  <c r="Q2639"/>
  <c r="S2638"/>
  <c r="AG2638" s="1"/>
  <c r="R2638"/>
  <c r="AF2638" s="1"/>
  <c r="Q2638"/>
  <c r="S2637"/>
  <c r="AG2637" s="1"/>
  <c r="R2637"/>
  <c r="AF2637" s="1"/>
  <c r="Q2637"/>
  <c r="S2636"/>
  <c r="AG2636" s="1"/>
  <c r="R2636"/>
  <c r="AF2636" s="1"/>
  <c r="Q2636"/>
  <c r="S2635"/>
  <c r="AG2635" s="1"/>
  <c r="R2635"/>
  <c r="AF2635" s="1"/>
  <c r="Q2635"/>
  <c r="S2634"/>
  <c r="AG2634" s="1"/>
  <c r="R2634"/>
  <c r="AF2634" s="1"/>
  <c r="Q2634"/>
  <c r="R2633"/>
  <c r="AF2633" s="1"/>
  <c r="Q2633"/>
  <c r="S2632"/>
  <c r="AG2632" s="1"/>
  <c r="R2632"/>
  <c r="AF2632" s="1"/>
  <c r="Q2632"/>
  <c r="S2631"/>
  <c r="AG2631" s="1"/>
  <c r="R2631"/>
  <c r="AF2631" s="1"/>
  <c r="Q2631"/>
  <c r="S2630"/>
  <c r="AG2630" s="1"/>
  <c r="R2630"/>
  <c r="AF2630" s="1"/>
  <c r="Q2630"/>
  <c r="S2629"/>
  <c r="AG2629" s="1"/>
  <c r="R2629"/>
  <c r="AF2629" s="1"/>
  <c r="Q2629"/>
  <c r="S2628"/>
  <c r="AG2628" s="1"/>
  <c r="R2628"/>
  <c r="AF2628" s="1"/>
  <c r="Q2628"/>
  <c r="S2627"/>
  <c r="AG2627" s="1"/>
  <c r="R2627"/>
  <c r="AF2627" s="1"/>
  <c r="Q2627"/>
  <c r="S2626"/>
  <c r="AG2626" s="1"/>
  <c r="R2626"/>
  <c r="AF2626" s="1"/>
  <c r="Q2626"/>
  <c r="S2625"/>
  <c r="AG2625" s="1"/>
  <c r="R2625"/>
  <c r="AF2625" s="1"/>
  <c r="Q2625"/>
  <c r="R2624"/>
  <c r="AF2624" s="1"/>
  <c r="Q2624"/>
  <c r="S2623"/>
  <c r="AG2623" s="1"/>
  <c r="R2623"/>
  <c r="AF2623" s="1"/>
  <c r="Q2623"/>
  <c r="S2622"/>
  <c r="AG2622" s="1"/>
  <c r="R2622"/>
  <c r="AF2622" s="1"/>
  <c r="Q2622"/>
  <c r="S2621"/>
  <c r="AG2621" s="1"/>
  <c r="R2621"/>
  <c r="AF2621" s="1"/>
  <c r="Q2621"/>
  <c r="S2620"/>
  <c r="AG2620" s="1"/>
  <c r="R2620"/>
  <c r="AF2620" s="1"/>
  <c r="Q2620"/>
  <c r="S2619"/>
  <c r="AG2619" s="1"/>
  <c r="R2619"/>
  <c r="AF2619" s="1"/>
  <c r="Q2619"/>
  <c r="S2618"/>
  <c r="AG2618" s="1"/>
  <c r="R2618"/>
  <c r="AF2618" s="1"/>
  <c r="Q2618"/>
  <c r="S2617"/>
  <c r="AG2617" s="1"/>
  <c r="R2617"/>
  <c r="AF2617" s="1"/>
  <c r="Q2617"/>
  <c r="S2616"/>
  <c r="AG2616" s="1"/>
  <c r="R2616"/>
  <c r="AF2616" s="1"/>
  <c r="Q2616"/>
  <c r="S2615"/>
  <c r="AG2615" s="1"/>
  <c r="R2615"/>
  <c r="AF2615" s="1"/>
  <c r="Q2615"/>
  <c r="R2614"/>
  <c r="AF2614" s="1"/>
  <c r="Q2614"/>
  <c r="S2613"/>
  <c r="AG2613" s="1"/>
  <c r="R2613"/>
  <c r="AF2613" s="1"/>
  <c r="Q2613"/>
  <c r="S2612"/>
  <c r="AG2612" s="1"/>
  <c r="R2612"/>
  <c r="AF2612" s="1"/>
  <c r="Q2612"/>
  <c r="S2611"/>
  <c r="AG2611" s="1"/>
  <c r="R2611"/>
  <c r="AF2611" s="1"/>
  <c r="Q2611"/>
  <c r="S2610"/>
  <c r="AG2610" s="1"/>
  <c r="R2610"/>
  <c r="AF2610" s="1"/>
  <c r="Q2610"/>
  <c r="S2609"/>
  <c r="AG2609" s="1"/>
  <c r="R2609"/>
  <c r="AF2609" s="1"/>
  <c r="Q2609"/>
  <c r="S2608"/>
  <c r="AG2608" s="1"/>
  <c r="R2608"/>
  <c r="AF2608" s="1"/>
  <c r="Q2608"/>
  <c r="S2607"/>
  <c r="AG2607" s="1"/>
  <c r="R2607"/>
  <c r="AF2607" s="1"/>
  <c r="Q2607"/>
  <c r="S2606"/>
  <c r="AG2606" s="1"/>
  <c r="R2606"/>
  <c r="AF2606" s="1"/>
  <c r="Q2606"/>
  <c r="S2605"/>
  <c r="AG2605" s="1"/>
  <c r="R2605"/>
  <c r="AF2605" s="1"/>
  <c r="Q2605"/>
  <c r="S2604"/>
  <c r="AG2604" s="1"/>
  <c r="R2604"/>
  <c r="AF2604" s="1"/>
  <c r="Q2604"/>
  <c r="S2603"/>
  <c r="AG2603" s="1"/>
  <c r="R2603"/>
  <c r="AF2603" s="1"/>
  <c r="Q2603"/>
  <c r="S2602"/>
  <c r="AG2602" s="1"/>
  <c r="R2602"/>
  <c r="AF2602" s="1"/>
  <c r="Q2602"/>
  <c r="S2601"/>
  <c r="AG2601" s="1"/>
  <c r="R2601"/>
  <c r="AF2601" s="1"/>
  <c r="Q2601"/>
  <c r="S2600"/>
  <c r="AG2600" s="1"/>
  <c r="R2600"/>
  <c r="AF2600" s="1"/>
  <c r="Q2600"/>
  <c r="S2599"/>
  <c r="AG2599" s="1"/>
  <c r="R2599"/>
  <c r="AF2599" s="1"/>
  <c r="Q2599"/>
  <c r="S2598"/>
  <c r="AG2598" s="1"/>
  <c r="R2598"/>
  <c r="AF2598" s="1"/>
  <c r="Q2598"/>
  <c r="S2597"/>
  <c r="AG2597" s="1"/>
  <c r="R2597"/>
  <c r="AF2597" s="1"/>
  <c r="Q2597"/>
  <c r="S2596"/>
  <c r="AG2596" s="1"/>
  <c r="R2596"/>
  <c r="AF2596" s="1"/>
  <c r="Q2596"/>
  <c r="S2595"/>
  <c r="AG2595" s="1"/>
  <c r="R2595"/>
  <c r="AF2595" s="1"/>
  <c r="Q2595"/>
  <c r="S2594"/>
  <c r="AG2594" s="1"/>
  <c r="R2594"/>
  <c r="AF2594" s="1"/>
  <c r="Q2594"/>
  <c r="S2593"/>
  <c r="AG2593" s="1"/>
  <c r="R2593"/>
  <c r="AF2593" s="1"/>
  <c r="Q2593"/>
  <c r="S2592"/>
  <c r="AG2592" s="1"/>
  <c r="R2592"/>
  <c r="AF2592" s="1"/>
  <c r="Q2592"/>
  <c r="S2591"/>
  <c r="AG2591" s="1"/>
  <c r="R2591"/>
  <c r="AF2591" s="1"/>
  <c r="Q2591"/>
  <c r="S2590"/>
  <c r="AG2590" s="1"/>
  <c r="R2590"/>
  <c r="AF2590" s="1"/>
  <c r="Q2590"/>
  <c r="S2589"/>
  <c r="AG2589" s="1"/>
  <c r="R2589"/>
  <c r="AF2589" s="1"/>
  <c r="Q2589"/>
  <c r="S2588"/>
  <c r="AG2588" s="1"/>
  <c r="R2588"/>
  <c r="AF2588" s="1"/>
  <c r="Q2588"/>
  <c r="S2587"/>
  <c r="AG2587" s="1"/>
  <c r="R2587"/>
  <c r="AF2587" s="1"/>
  <c r="Q2587"/>
  <c r="S2586"/>
  <c r="AG2586" s="1"/>
  <c r="R2586"/>
  <c r="AF2586" s="1"/>
  <c r="Q2586"/>
  <c r="S2585"/>
  <c r="AG2585" s="1"/>
  <c r="R2585"/>
  <c r="AF2585" s="1"/>
  <c r="Q2585"/>
  <c r="S2584"/>
  <c r="AG2584" s="1"/>
  <c r="R2584"/>
  <c r="AF2584" s="1"/>
  <c r="Q2584"/>
  <c r="S2583"/>
  <c r="AG2583" s="1"/>
  <c r="R2583"/>
  <c r="AF2583" s="1"/>
  <c r="Q2583"/>
  <c r="S2582"/>
  <c r="AG2582" s="1"/>
  <c r="R2582"/>
  <c r="AF2582" s="1"/>
  <c r="Q2582"/>
  <c r="S2581"/>
  <c r="AG2581" s="1"/>
  <c r="R2581"/>
  <c r="AF2581" s="1"/>
  <c r="Q2581"/>
  <c r="S2580"/>
  <c r="AG2580" s="1"/>
  <c r="R2580"/>
  <c r="AF2580" s="1"/>
  <c r="Q2580"/>
  <c r="S2579"/>
  <c r="AG2579" s="1"/>
  <c r="R2579"/>
  <c r="AF2579" s="1"/>
  <c r="Q2579"/>
  <c r="S2578"/>
  <c r="AG2578" s="1"/>
  <c r="R2578"/>
  <c r="AF2578" s="1"/>
  <c r="Q2578"/>
  <c r="S2577"/>
  <c r="AG2577" s="1"/>
  <c r="R2577"/>
  <c r="AF2577" s="1"/>
  <c r="Q2577"/>
  <c r="S2576"/>
  <c r="AG2576" s="1"/>
  <c r="R2576"/>
  <c r="AF2576" s="1"/>
  <c r="Q2576"/>
  <c r="S2575"/>
  <c r="AG2575" s="1"/>
  <c r="R2575"/>
  <c r="AF2575" s="1"/>
  <c r="Q2575"/>
  <c r="S2574"/>
  <c r="AG2574" s="1"/>
  <c r="R2574"/>
  <c r="AF2574" s="1"/>
  <c r="Q2574"/>
  <c r="S2573"/>
  <c r="AG2573" s="1"/>
  <c r="R2573"/>
  <c r="AF2573" s="1"/>
  <c r="Q2573"/>
  <c r="S2572"/>
  <c r="AG2572" s="1"/>
  <c r="R2572"/>
  <c r="AF2572" s="1"/>
  <c r="Q2572"/>
  <c r="S2571"/>
  <c r="AG2571" s="1"/>
  <c r="R2571"/>
  <c r="AF2571" s="1"/>
  <c r="Q2571"/>
  <c r="S2570"/>
  <c r="AG2570" s="1"/>
  <c r="R2570"/>
  <c r="AF2570" s="1"/>
  <c r="Q2570"/>
  <c r="S2569"/>
  <c r="AG2569" s="1"/>
  <c r="R2569"/>
  <c r="AF2569" s="1"/>
  <c r="Q2569"/>
  <c r="R2568"/>
  <c r="AF2568" s="1"/>
  <c r="Q2568"/>
  <c r="S2567"/>
  <c r="AG2567" s="1"/>
  <c r="R2567"/>
  <c r="AF2567" s="1"/>
  <c r="Q2567"/>
  <c r="S2566"/>
  <c r="AG2566" s="1"/>
  <c r="R2566"/>
  <c r="AF2566" s="1"/>
  <c r="Q2566"/>
  <c r="S2565"/>
  <c r="AG2565" s="1"/>
  <c r="R2565"/>
  <c r="AF2565" s="1"/>
  <c r="Q2565"/>
  <c r="S2564"/>
  <c r="AG2564" s="1"/>
  <c r="R2564"/>
  <c r="AF2564" s="1"/>
  <c r="Q2564"/>
  <c r="S2563"/>
  <c r="AG2563" s="1"/>
  <c r="R2563"/>
  <c r="AF2563" s="1"/>
  <c r="Q2563"/>
  <c r="S2562"/>
  <c r="AG2562" s="1"/>
  <c r="R2562"/>
  <c r="AF2562" s="1"/>
  <c r="Q2562"/>
  <c r="S2561"/>
  <c r="AG2561" s="1"/>
  <c r="R2561"/>
  <c r="AF2561" s="1"/>
  <c r="Q2561"/>
  <c r="S2560"/>
  <c r="AG2560" s="1"/>
  <c r="R2560"/>
  <c r="AF2560" s="1"/>
  <c r="Q2560"/>
  <c r="S2559"/>
  <c r="AG2559" s="1"/>
  <c r="R2559"/>
  <c r="AF2559" s="1"/>
  <c r="Q2559"/>
  <c r="S2558"/>
  <c r="AG2558" s="1"/>
  <c r="R2558"/>
  <c r="AF2558" s="1"/>
  <c r="Q2558"/>
  <c r="S2557"/>
  <c r="AG2557" s="1"/>
  <c r="R2557"/>
  <c r="AF2557" s="1"/>
  <c r="Q2557"/>
  <c r="S2556"/>
  <c r="AG2556" s="1"/>
  <c r="R2556"/>
  <c r="AF2556" s="1"/>
  <c r="Q2556"/>
  <c r="S2555"/>
  <c r="AG2555" s="1"/>
  <c r="R2555"/>
  <c r="AF2555" s="1"/>
  <c r="Q2555"/>
  <c r="S2554"/>
  <c r="AG2554" s="1"/>
  <c r="R2554"/>
  <c r="AF2554" s="1"/>
  <c r="Q2554"/>
  <c r="S2553"/>
  <c r="AG2553" s="1"/>
  <c r="R2553"/>
  <c r="AF2553" s="1"/>
  <c r="Q2553"/>
  <c r="S2552"/>
  <c r="AG2552" s="1"/>
  <c r="R2552"/>
  <c r="AF2552" s="1"/>
  <c r="Q2552"/>
  <c r="S2551"/>
  <c r="AG2551" s="1"/>
  <c r="R2551"/>
  <c r="AF2551" s="1"/>
  <c r="Q2551"/>
  <c r="S2550"/>
  <c r="AG2550" s="1"/>
  <c r="R2550"/>
  <c r="AF2550" s="1"/>
  <c r="Q2550"/>
  <c r="S2549"/>
  <c r="AG2549" s="1"/>
  <c r="R2549"/>
  <c r="AF2549" s="1"/>
  <c r="Q2549"/>
  <c r="S2548"/>
  <c r="AG2548" s="1"/>
  <c r="R2548"/>
  <c r="AF2548" s="1"/>
  <c r="Q2548"/>
  <c r="S2547"/>
  <c r="AG2547" s="1"/>
  <c r="R2547"/>
  <c r="AF2547" s="1"/>
  <c r="Q2547"/>
  <c r="S2546"/>
  <c r="AG2546" s="1"/>
  <c r="R2546"/>
  <c r="AF2546" s="1"/>
  <c r="Q2546"/>
  <c r="S2545"/>
  <c r="AG2545" s="1"/>
  <c r="R2545"/>
  <c r="AF2545" s="1"/>
  <c r="Q2545"/>
  <c r="S2544"/>
  <c r="AG2544" s="1"/>
  <c r="R2544"/>
  <c r="AF2544" s="1"/>
  <c r="Q2544"/>
  <c r="S2543"/>
  <c r="AG2543" s="1"/>
  <c r="R2543"/>
  <c r="AF2543" s="1"/>
  <c r="Q2543"/>
  <c r="S2542"/>
  <c r="AG2542" s="1"/>
  <c r="R2542"/>
  <c r="AF2542" s="1"/>
  <c r="Q2542"/>
  <c r="S2541"/>
  <c r="AG2541" s="1"/>
  <c r="R2541"/>
  <c r="AF2541" s="1"/>
  <c r="Q2541"/>
  <c r="S2540"/>
  <c r="AG2540" s="1"/>
  <c r="R2540"/>
  <c r="AF2540" s="1"/>
  <c r="Q2540"/>
  <c r="S2539"/>
  <c r="AG2539" s="1"/>
  <c r="R2539"/>
  <c r="AF2539" s="1"/>
  <c r="Q2539"/>
  <c r="S2538"/>
  <c r="AG2538" s="1"/>
  <c r="R2538"/>
  <c r="AF2538" s="1"/>
  <c r="Q2538"/>
  <c r="S2537"/>
  <c r="AG2537" s="1"/>
  <c r="R2537"/>
  <c r="AF2537" s="1"/>
  <c r="Q2537"/>
  <c r="S2536"/>
  <c r="AG2536" s="1"/>
  <c r="R2536"/>
  <c r="AF2536" s="1"/>
  <c r="Q2536"/>
  <c r="S2535"/>
  <c r="AG2535" s="1"/>
  <c r="R2535"/>
  <c r="AF2535" s="1"/>
  <c r="Q2535"/>
  <c r="S2534"/>
  <c r="AG2534" s="1"/>
  <c r="R2534"/>
  <c r="AF2534" s="1"/>
  <c r="Q2534"/>
  <c r="R2533"/>
  <c r="AF2533" s="1"/>
  <c r="Q2533"/>
  <c r="R2532"/>
  <c r="AF2532" s="1"/>
  <c r="Q2532"/>
  <c r="S2531"/>
  <c r="AG2531" s="1"/>
  <c r="R2531"/>
  <c r="AF2531" s="1"/>
  <c r="Q2531"/>
  <c r="S2530"/>
  <c r="AG2530" s="1"/>
  <c r="R2530"/>
  <c r="AF2530" s="1"/>
  <c r="Q2530"/>
  <c r="S2529"/>
  <c r="AG2529" s="1"/>
  <c r="R2529"/>
  <c r="AF2529" s="1"/>
  <c r="Q2529"/>
  <c r="S2528"/>
  <c r="AG2528" s="1"/>
  <c r="R2528"/>
  <c r="AF2528" s="1"/>
  <c r="Q2528"/>
  <c r="S2527"/>
  <c r="AG2527" s="1"/>
  <c r="R2527"/>
  <c r="AF2527" s="1"/>
  <c r="Q2527"/>
  <c r="S2526"/>
  <c r="AG2526" s="1"/>
  <c r="R2526"/>
  <c r="AF2526" s="1"/>
  <c r="Q2526"/>
  <c r="S2525"/>
  <c r="AG2525" s="1"/>
  <c r="R2525"/>
  <c r="AF2525" s="1"/>
  <c r="Q2525"/>
  <c r="S2524"/>
  <c r="AG2524" s="1"/>
  <c r="R2524"/>
  <c r="AF2524" s="1"/>
  <c r="Q2524"/>
  <c r="S2523"/>
  <c r="AG2523" s="1"/>
  <c r="R2523"/>
  <c r="AF2523" s="1"/>
  <c r="Q2523"/>
  <c r="S2522"/>
  <c r="AG2522" s="1"/>
  <c r="R2522"/>
  <c r="AF2522" s="1"/>
  <c r="Q2522"/>
  <c r="S2521"/>
  <c r="AG2521" s="1"/>
  <c r="R2521"/>
  <c r="AF2521" s="1"/>
  <c r="Q2521"/>
  <c r="S2520"/>
  <c r="AG2520" s="1"/>
  <c r="R2520"/>
  <c r="AF2520" s="1"/>
  <c r="Q2520"/>
  <c r="S2519"/>
  <c r="AG2519" s="1"/>
  <c r="R2519"/>
  <c r="AF2519" s="1"/>
  <c r="Q2519"/>
  <c r="S2518"/>
  <c r="AG2518" s="1"/>
  <c r="R2518"/>
  <c r="AF2518" s="1"/>
  <c r="Q2518"/>
  <c r="S2517"/>
  <c r="AG2517" s="1"/>
  <c r="R2517"/>
  <c r="AF2517" s="1"/>
  <c r="Q2517"/>
  <c r="S2516"/>
  <c r="AG2516" s="1"/>
  <c r="R2516"/>
  <c r="AF2516" s="1"/>
  <c r="Q2516"/>
  <c r="S2515"/>
  <c r="AG2515" s="1"/>
  <c r="R2515"/>
  <c r="AF2515" s="1"/>
  <c r="Q2515"/>
  <c r="S2514"/>
  <c r="AG2514" s="1"/>
  <c r="R2514"/>
  <c r="AF2514" s="1"/>
  <c r="Q2514"/>
  <c r="S2513"/>
  <c r="AG2513" s="1"/>
  <c r="R2513"/>
  <c r="AF2513" s="1"/>
  <c r="Q2513"/>
  <c r="S2512"/>
  <c r="AG2512" s="1"/>
  <c r="R2512"/>
  <c r="AF2512" s="1"/>
  <c r="Q2512"/>
  <c r="S2511"/>
  <c r="AG2511" s="1"/>
  <c r="R2511"/>
  <c r="AF2511" s="1"/>
  <c r="Q2511"/>
  <c r="S2510"/>
  <c r="AG2510" s="1"/>
  <c r="R2510"/>
  <c r="AF2510" s="1"/>
  <c r="Q2510"/>
  <c r="S2509"/>
  <c r="AG2509" s="1"/>
  <c r="R2509"/>
  <c r="AF2509" s="1"/>
  <c r="Q2509"/>
  <c r="S2508"/>
  <c r="AG2508" s="1"/>
  <c r="R2508"/>
  <c r="AF2508" s="1"/>
  <c r="Q2508"/>
  <c r="S2507"/>
  <c r="AG2507" s="1"/>
  <c r="R2507"/>
  <c r="AF2507" s="1"/>
  <c r="Q2507"/>
  <c r="R2506"/>
  <c r="AF2506" s="1"/>
  <c r="Q2506"/>
  <c r="S2505"/>
  <c r="AG2505" s="1"/>
  <c r="R2505"/>
  <c r="AF2505" s="1"/>
  <c r="Q2505"/>
  <c r="S2504"/>
  <c r="AG2504" s="1"/>
  <c r="R2504"/>
  <c r="AF2504" s="1"/>
  <c r="Q2504"/>
  <c r="S2503"/>
  <c r="AG2503" s="1"/>
  <c r="R2503"/>
  <c r="AF2503" s="1"/>
  <c r="Q2503"/>
  <c r="S2502"/>
  <c r="AG2502" s="1"/>
  <c r="R2502"/>
  <c r="AF2502" s="1"/>
  <c r="Q2502"/>
  <c r="S2501"/>
  <c r="AG2501" s="1"/>
  <c r="R2501"/>
  <c r="AF2501" s="1"/>
  <c r="Q2501"/>
  <c r="S2500"/>
  <c r="AG2500" s="1"/>
  <c r="R2500"/>
  <c r="AF2500" s="1"/>
  <c r="Q2500"/>
  <c r="S2499"/>
  <c r="AG2499" s="1"/>
  <c r="R2499"/>
  <c r="AF2499" s="1"/>
  <c r="Q2499"/>
  <c r="S2498"/>
  <c r="AG2498" s="1"/>
  <c r="R2498"/>
  <c r="AF2498" s="1"/>
  <c r="Q2498"/>
  <c r="S2497"/>
  <c r="AG2497" s="1"/>
  <c r="R2497"/>
  <c r="AF2497" s="1"/>
  <c r="Q2497"/>
  <c r="R2496"/>
  <c r="AF2496" s="1"/>
  <c r="Q2496"/>
  <c r="S2495"/>
  <c r="AG2495" s="1"/>
  <c r="R2495"/>
  <c r="AF2495" s="1"/>
  <c r="Q2495"/>
  <c r="S2494"/>
  <c r="AG2494" s="1"/>
  <c r="R2494"/>
  <c r="AF2494" s="1"/>
  <c r="Q2494"/>
  <c r="S2493"/>
  <c r="AG2493" s="1"/>
  <c r="R2493"/>
  <c r="AF2493" s="1"/>
  <c r="Q2493"/>
  <c r="S2492"/>
  <c r="AG2492" s="1"/>
  <c r="R2492"/>
  <c r="AF2492" s="1"/>
  <c r="Q2492"/>
  <c r="S2491"/>
  <c r="AG2491" s="1"/>
  <c r="R2491"/>
  <c r="AF2491" s="1"/>
  <c r="Q2491"/>
  <c r="S2490"/>
  <c r="AG2490" s="1"/>
  <c r="R2490"/>
  <c r="AF2490" s="1"/>
  <c r="Q2490"/>
  <c r="S2489"/>
  <c r="AG2489" s="1"/>
  <c r="R2489"/>
  <c r="AF2489" s="1"/>
  <c r="Q2489"/>
  <c r="S2488"/>
  <c r="AG2488" s="1"/>
  <c r="R2488"/>
  <c r="AF2488" s="1"/>
  <c r="Q2488"/>
  <c r="S2487"/>
  <c r="AG2487" s="1"/>
  <c r="R2487"/>
  <c r="AF2487" s="1"/>
  <c r="Q2487"/>
  <c r="S2486"/>
  <c r="AG2486" s="1"/>
  <c r="R2486"/>
  <c r="AF2486" s="1"/>
  <c r="Q2486"/>
  <c r="S2485"/>
  <c r="AG2485" s="1"/>
  <c r="R2485"/>
  <c r="AF2485" s="1"/>
  <c r="Q2485"/>
  <c r="R2484"/>
  <c r="AF2484" s="1"/>
  <c r="Q2484"/>
  <c r="S2483"/>
  <c r="AG2483" s="1"/>
  <c r="R2483"/>
  <c r="AF2483" s="1"/>
  <c r="Q2483"/>
  <c r="S2482"/>
  <c r="AG2482" s="1"/>
  <c r="R2482"/>
  <c r="AF2482" s="1"/>
  <c r="Q2482"/>
  <c r="S2481"/>
  <c r="AG2481" s="1"/>
  <c r="R2481"/>
  <c r="AF2481" s="1"/>
  <c r="Q2481"/>
  <c r="S2480"/>
  <c r="AG2480" s="1"/>
  <c r="R2480"/>
  <c r="AF2480" s="1"/>
  <c r="Q2480"/>
  <c r="S2479"/>
  <c r="AG2479" s="1"/>
  <c r="R2479"/>
  <c r="AF2479" s="1"/>
  <c r="Q2479"/>
  <c r="S2478"/>
  <c r="AG2478" s="1"/>
  <c r="R2478"/>
  <c r="AF2478" s="1"/>
  <c r="Q2478"/>
  <c r="S2477"/>
  <c r="AG2477" s="1"/>
  <c r="R2477"/>
  <c r="AF2477" s="1"/>
  <c r="Q2477"/>
  <c r="S2476"/>
  <c r="AG2476" s="1"/>
  <c r="R2476"/>
  <c r="AF2476" s="1"/>
  <c r="Q2476"/>
  <c r="S2475"/>
  <c r="AG2475" s="1"/>
  <c r="R2475"/>
  <c r="AF2475" s="1"/>
  <c r="Q2475"/>
  <c r="S2474"/>
  <c r="AG2474" s="1"/>
  <c r="R2474"/>
  <c r="AF2474" s="1"/>
  <c r="Q2474"/>
  <c r="R2473"/>
  <c r="AF2473" s="1"/>
  <c r="Q2473"/>
  <c r="S2472"/>
  <c r="AG2472" s="1"/>
  <c r="R2472"/>
  <c r="AF2472" s="1"/>
  <c r="Q2472"/>
  <c r="S2471"/>
  <c r="AG2471" s="1"/>
  <c r="R2471"/>
  <c r="AF2471" s="1"/>
  <c r="Q2471"/>
  <c r="S2470"/>
  <c r="AG2470" s="1"/>
  <c r="R2470"/>
  <c r="AF2470" s="1"/>
  <c r="Q2470"/>
  <c r="S2469"/>
  <c r="AG2469" s="1"/>
  <c r="R2469"/>
  <c r="AF2469" s="1"/>
  <c r="Q2469"/>
  <c r="S2468"/>
  <c r="AG2468" s="1"/>
  <c r="R2468"/>
  <c r="AF2468" s="1"/>
  <c r="Q2468"/>
  <c r="S2467"/>
  <c r="AG2467" s="1"/>
  <c r="R2467"/>
  <c r="AF2467" s="1"/>
  <c r="Q2467"/>
  <c r="S2466"/>
  <c r="AG2466" s="1"/>
  <c r="R2466"/>
  <c r="AF2466" s="1"/>
  <c r="Q2466"/>
  <c r="S2465"/>
  <c r="AG2465" s="1"/>
  <c r="R2465"/>
  <c r="AF2465" s="1"/>
  <c r="Q2465"/>
  <c r="S2464"/>
  <c r="AG2464" s="1"/>
  <c r="R2464"/>
  <c r="AF2464" s="1"/>
  <c r="Q2464"/>
  <c r="S2463"/>
  <c r="AG2463" s="1"/>
  <c r="R2463"/>
  <c r="AF2463" s="1"/>
  <c r="Q2463"/>
  <c r="R2462"/>
  <c r="AF2462" s="1"/>
  <c r="Q2462"/>
  <c r="S2461"/>
  <c r="AG2461" s="1"/>
  <c r="R2461"/>
  <c r="AF2461" s="1"/>
  <c r="Q2461"/>
  <c r="S2460"/>
  <c r="AG2460" s="1"/>
  <c r="R2460"/>
  <c r="AF2460" s="1"/>
  <c r="Q2460"/>
  <c r="S2459"/>
  <c r="AG2459" s="1"/>
  <c r="R2459"/>
  <c r="AF2459" s="1"/>
  <c r="Q2459"/>
  <c r="S2458"/>
  <c r="AG2458" s="1"/>
  <c r="R2458"/>
  <c r="AF2458" s="1"/>
  <c r="Q2458"/>
  <c r="S2457"/>
  <c r="AG2457" s="1"/>
  <c r="R2457"/>
  <c r="AF2457" s="1"/>
  <c r="Q2457"/>
  <c r="S2456"/>
  <c r="AG2456" s="1"/>
  <c r="R2456"/>
  <c r="AF2456" s="1"/>
  <c r="Q2456"/>
  <c r="S2455"/>
  <c r="AG2455" s="1"/>
  <c r="R2455"/>
  <c r="AF2455" s="1"/>
  <c r="Q2455"/>
  <c r="S2454"/>
  <c r="AG2454" s="1"/>
  <c r="R2454"/>
  <c r="AF2454" s="1"/>
  <c r="Q2454"/>
  <c r="R2453"/>
  <c r="AF2453" s="1"/>
  <c r="Q2453"/>
  <c r="S2452"/>
  <c r="AG2452" s="1"/>
  <c r="R2452"/>
  <c r="AF2452" s="1"/>
  <c r="Q2452"/>
  <c r="S2451"/>
  <c r="AG2451" s="1"/>
  <c r="R2451"/>
  <c r="AF2451" s="1"/>
  <c r="Q2451"/>
  <c r="S2450"/>
  <c r="AG2450" s="1"/>
  <c r="R2450"/>
  <c r="AF2450" s="1"/>
  <c r="Q2450"/>
  <c r="S2449"/>
  <c r="AG2449" s="1"/>
  <c r="R2449"/>
  <c r="AF2449" s="1"/>
  <c r="Q2449"/>
  <c r="S2448"/>
  <c r="AG2448" s="1"/>
  <c r="R2448"/>
  <c r="AF2448" s="1"/>
  <c r="Q2448"/>
  <c r="S2447"/>
  <c r="AG2447" s="1"/>
  <c r="R2447"/>
  <c r="AF2447" s="1"/>
  <c r="Q2447"/>
  <c r="S2446"/>
  <c r="AG2446" s="1"/>
  <c r="R2446"/>
  <c r="AF2446" s="1"/>
  <c r="Q2446"/>
  <c r="S2445"/>
  <c r="AG2445" s="1"/>
  <c r="R2445"/>
  <c r="AF2445" s="1"/>
  <c r="Q2445"/>
  <c r="R2444"/>
  <c r="AF2444" s="1"/>
  <c r="Q2444"/>
  <c r="S2443"/>
  <c r="AG2443" s="1"/>
  <c r="R2443"/>
  <c r="AF2443" s="1"/>
  <c r="Q2443"/>
  <c r="S2442"/>
  <c r="AG2442" s="1"/>
  <c r="R2442"/>
  <c r="AF2442" s="1"/>
  <c r="Q2442"/>
  <c r="S2441"/>
  <c r="AG2441" s="1"/>
  <c r="R2441"/>
  <c r="AF2441" s="1"/>
  <c r="Q2441"/>
  <c r="S2440"/>
  <c r="AG2440" s="1"/>
  <c r="R2440"/>
  <c r="AF2440" s="1"/>
  <c r="Q2440"/>
  <c r="S2439"/>
  <c r="AG2439" s="1"/>
  <c r="R2439"/>
  <c r="AF2439" s="1"/>
  <c r="Q2439"/>
  <c r="S2438"/>
  <c r="AG2438" s="1"/>
  <c r="R2438"/>
  <c r="AF2438" s="1"/>
  <c r="Q2438"/>
  <c r="S2437"/>
  <c r="AG2437" s="1"/>
  <c r="R2437"/>
  <c r="AF2437" s="1"/>
  <c r="Q2437"/>
  <c r="S2436"/>
  <c r="AG2436" s="1"/>
  <c r="R2436"/>
  <c r="AF2436" s="1"/>
  <c r="Q2436"/>
  <c r="S2435"/>
  <c r="AG2435" s="1"/>
  <c r="R2435"/>
  <c r="AF2435" s="1"/>
  <c r="Q2435"/>
  <c r="S2434"/>
  <c r="AG2434" s="1"/>
  <c r="R2434"/>
  <c r="AF2434" s="1"/>
  <c r="Q2434"/>
  <c r="S2433"/>
  <c r="AG2433" s="1"/>
  <c r="R2433"/>
  <c r="AF2433" s="1"/>
  <c r="Q2433"/>
  <c r="S2432"/>
  <c r="AG2432" s="1"/>
  <c r="R2432"/>
  <c r="AF2432" s="1"/>
  <c r="Q2432"/>
  <c r="S2431"/>
  <c r="AG2431" s="1"/>
  <c r="R2431"/>
  <c r="AF2431" s="1"/>
  <c r="Q2431"/>
  <c r="R2430"/>
  <c r="AF2430" s="1"/>
  <c r="Q2430"/>
  <c r="S2429"/>
  <c r="AG2429" s="1"/>
  <c r="R2429"/>
  <c r="AF2429" s="1"/>
  <c r="Q2429"/>
  <c r="S2428"/>
  <c r="AG2428" s="1"/>
  <c r="R2428"/>
  <c r="AF2428" s="1"/>
  <c r="Q2428"/>
  <c r="S2427"/>
  <c r="AG2427" s="1"/>
  <c r="R2427"/>
  <c r="AF2427" s="1"/>
  <c r="Q2427"/>
  <c r="S2426"/>
  <c r="AG2426" s="1"/>
  <c r="R2426"/>
  <c r="AF2426" s="1"/>
  <c r="Q2426"/>
  <c r="S2425"/>
  <c r="AG2425" s="1"/>
  <c r="R2425"/>
  <c r="AF2425" s="1"/>
  <c r="Q2425"/>
  <c r="S2424"/>
  <c r="AG2424" s="1"/>
  <c r="R2424"/>
  <c r="AF2424" s="1"/>
  <c r="Q2424"/>
  <c r="S2423"/>
  <c r="AG2423" s="1"/>
  <c r="R2423"/>
  <c r="AF2423" s="1"/>
  <c r="Q2423"/>
  <c r="S2422"/>
  <c r="AG2422" s="1"/>
  <c r="R2422"/>
  <c r="AF2422" s="1"/>
  <c r="Q2422"/>
  <c r="S2421"/>
  <c r="AG2421" s="1"/>
  <c r="R2421"/>
  <c r="AF2421" s="1"/>
  <c r="Q2421"/>
  <c r="S2420"/>
  <c r="AG2420" s="1"/>
  <c r="R2420"/>
  <c r="AF2420" s="1"/>
  <c r="Q2420"/>
  <c r="S2419"/>
  <c r="AG2419" s="1"/>
  <c r="R2419"/>
  <c r="AF2419" s="1"/>
  <c r="Q2419"/>
  <c r="S2418"/>
  <c r="AG2418" s="1"/>
  <c r="R2418"/>
  <c r="AF2418" s="1"/>
  <c r="Q2418"/>
  <c r="R2417"/>
  <c r="AF2417" s="1"/>
  <c r="Q2417"/>
  <c r="S2416"/>
  <c r="AG2416" s="1"/>
  <c r="R2416"/>
  <c r="AF2416" s="1"/>
  <c r="Q2416"/>
  <c r="S2415"/>
  <c r="AG2415" s="1"/>
  <c r="R2415"/>
  <c r="AF2415" s="1"/>
  <c r="Q2415"/>
  <c r="S2414"/>
  <c r="AG2414" s="1"/>
  <c r="R2414"/>
  <c r="AF2414" s="1"/>
  <c r="Q2414"/>
  <c r="S2413"/>
  <c r="AG2413" s="1"/>
  <c r="R2413"/>
  <c r="AF2413" s="1"/>
  <c r="Q2413"/>
  <c r="S2412"/>
  <c r="AG2412" s="1"/>
  <c r="R2412"/>
  <c r="AF2412" s="1"/>
  <c r="Q2412"/>
  <c r="S2411"/>
  <c r="AG2411" s="1"/>
  <c r="R2411"/>
  <c r="AF2411" s="1"/>
  <c r="Q2411"/>
  <c r="S2410"/>
  <c r="AG2410" s="1"/>
  <c r="R2410"/>
  <c r="AF2410" s="1"/>
  <c r="Q2410"/>
  <c r="S2409"/>
  <c r="AG2409" s="1"/>
  <c r="R2409"/>
  <c r="AF2409" s="1"/>
  <c r="Q2409"/>
  <c r="S2408"/>
  <c r="AG2408" s="1"/>
  <c r="R2408"/>
  <c r="AF2408" s="1"/>
  <c r="Q2408"/>
  <c r="S2407"/>
  <c r="AG2407" s="1"/>
  <c r="R2407"/>
  <c r="AF2407" s="1"/>
  <c r="Q2407"/>
  <c r="R2406"/>
  <c r="AF2406" s="1"/>
  <c r="Q2406"/>
  <c r="S2405"/>
  <c r="AG2405" s="1"/>
  <c r="R2405"/>
  <c r="AF2405" s="1"/>
  <c r="Q2405"/>
  <c r="S2404"/>
  <c r="AG2404" s="1"/>
  <c r="R2404"/>
  <c r="AF2404" s="1"/>
  <c r="Q2404"/>
  <c r="S2403"/>
  <c r="AG2403" s="1"/>
  <c r="R2403"/>
  <c r="AF2403" s="1"/>
  <c r="Q2403"/>
  <c r="S2402"/>
  <c r="AG2402" s="1"/>
  <c r="R2402"/>
  <c r="AF2402" s="1"/>
  <c r="Q2402"/>
  <c r="S2401"/>
  <c r="AG2401" s="1"/>
  <c r="R2401"/>
  <c r="AF2401" s="1"/>
  <c r="Q2401"/>
  <c r="S2400"/>
  <c r="AG2400" s="1"/>
  <c r="R2400"/>
  <c r="AF2400" s="1"/>
  <c r="Q2400"/>
  <c r="S2399"/>
  <c r="AG2399" s="1"/>
  <c r="R2399"/>
  <c r="AF2399" s="1"/>
  <c r="Q2399"/>
  <c r="S2398"/>
  <c r="AG2398" s="1"/>
  <c r="R2398"/>
  <c r="AF2398" s="1"/>
  <c r="Q2398"/>
  <c r="S2397"/>
  <c r="AG2397" s="1"/>
  <c r="R2397"/>
  <c r="AF2397" s="1"/>
  <c r="Q2397"/>
  <c r="S2396"/>
  <c r="AG2396" s="1"/>
  <c r="R2396"/>
  <c r="AF2396" s="1"/>
  <c r="Q2396"/>
  <c r="S2395"/>
  <c r="AG2395" s="1"/>
  <c r="R2395"/>
  <c r="AF2395" s="1"/>
  <c r="Q2395"/>
  <c r="S2394"/>
  <c r="AG2394" s="1"/>
  <c r="R2394"/>
  <c r="AF2394" s="1"/>
  <c r="Q2394"/>
  <c r="S2393"/>
  <c r="AG2393" s="1"/>
  <c r="R2393"/>
  <c r="AF2393" s="1"/>
  <c r="Q2393"/>
  <c r="S2392"/>
  <c r="AG2392" s="1"/>
  <c r="R2392"/>
  <c r="AF2392" s="1"/>
  <c r="Q2392"/>
  <c r="S2391"/>
  <c r="AG2391" s="1"/>
  <c r="R2391"/>
  <c r="AF2391" s="1"/>
  <c r="Q2391"/>
  <c r="S2390"/>
  <c r="AG2390" s="1"/>
  <c r="R2390"/>
  <c r="AF2390" s="1"/>
  <c r="Q2390"/>
  <c r="S2389"/>
  <c r="AG2389" s="1"/>
  <c r="R2389"/>
  <c r="AF2389" s="1"/>
  <c r="Q2389"/>
  <c r="S2388"/>
  <c r="AG2388" s="1"/>
  <c r="R2388"/>
  <c r="AF2388" s="1"/>
  <c r="Q2388"/>
  <c r="S2387"/>
  <c r="AG2387" s="1"/>
  <c r="R2387"/>
  <c r="AF2387" s="1"/>
  <c r="Q2387"/>
  <c r="S2386"/>
  <c r="AG2386" s="1"/>
  <c r="R2386"/>
  <c r="AF2386" s="1"/>
  <c r="Q2386"/>
  <c r="R2385"/>
  <c r="AF2385" s="1"/>
  <c r="Q2385"/>
  <c r="S2384"/>
  <c r="AG2384" s="1"/>
  <c r="R2384"/>
  <c r="AF2384" s="1"/>
  <c r="Q2384"/>
  <c r="S2383"/>
  <c r="AG2383" s="1"/>
  <c r="R2383"/>
  <c r="AF2383" s="1"/>
  <c r="Q2383"/>
  <c r="S2382"/>
  <c r="AG2382" s="1"/>
  <c r="R2382"/>
  <c r="AF2382" s="1"/>
  <c r="Q2382"/>
  <c r="S2381"/>
  <c r="AG2381" s="1"/>
  <c r="R2381"/>
  <c r="AF2381" s="1"/>
  <c r="Q2381"/>
  <c r="S2380"/>
  <c r="AG2380" s="1"/>
  <c r="R2380"/>
  <c r="AF2380" s="1"/>
  <c r="Q2380"/>
  <c r="S2379"/>
  <c r="AG2379" s="1"/>
  <c r="R2379"/>
  <c r="AF2379" s="1"/>
  <c r="Q2379"/>
  <c r="S2378"/>
  <c r="AG2378" s="1"/>
  <c r="R2378"/>
  <c r="AF2378" s="1"/>
  <c r="Q2378"/>
  <c r="R2377"/>
  <c r="AF2377" s="1"/>
  <c r="Q2377"/>
  <c r="S2376"/>
  <c r="AG2376" s="1"/>
  <c r="R2376"/>
  <c r="AF2376" s="1"/>
  <c r="Q2376"/>
  <c r="S2375"/>
  <c r="AG2375" s="1"/>
  <c r="R2375"/>
  <c r="AF2375" s="1"/>
  <c r="Q2375"/>
  <c r="S2374"/>
  <c r="AG2374" s="1"/>
  <c r="R2374"/>
  <c r="AF2374" s="1"/>
  <c r="Q2374"/>
  <c r="S2373"/>
  <c r="AG2373" s="1"/>
  <c r="R2373"/>
  <c r="AF2373" s="1"/>
  <c r="Q2373"/>
  <c r="S2372"/>
  <c r="AG2372" s="1"/>
  <c r="R2372"/>
  <c r="AF2372" s="1"/>
  <c r="Q2372"/>
  <c r="S2371"/>
  <c r="AG2371" s="1"/>
  <c r="R2371"/>
  <c r="AF2371" s="1"/>
  <c r="Q2371"/>
  <c r="S2370"/>
  <c r="AG2370" s="1"/>
  <c r="R2370"/>
  <c r="AF2370" s="1"/>
  <c r="Q2370"/>
  <c r="S2369"/>
  <c r="AG2369" s="1"/>
  <c r="R2369"/>
  <c r="AF2369" s="1"/>
  <c r="Q2369"/>
  <c r="S2368"/>
  <c r="AG2368" s="1"/>
  <c r="R2368"/>
  <c r="AF2368" s="1"/>
  <c r="Q2368"/>
  <c r="S2367"/>
  <c r="AG2367" s="1"/>
  <c r="R2367"/>
  <c r="AF2367" s="1"/>
  <c r="Q2367"/>
  <c r="S2366"/>
  <c r="AG2366" s="1"/>
  <c r="R2366"/>
  <c r="AF2366" s="1"/>
  <c r="Q2366"/>
  <c r="S2365"/>
  <c r="AG2365" s="1"/>
  <c r="R2365"/>
  <c r="AF2365" s="1"/>
  <c r="Q2365"/>
  <c r="S2364"/>
  <c r="AG2364" s="1"/>
  <c r="R2364"/>
  <c r="AF2364" s="1"/>
  <c r="Q2364"/>
  <c r="S2363"/>
  <c r="AG2363" s="1"/>
  <c r="R2363"/>
  <c r="AF2363" s="1"/>
  <c r="Q2363"/>
  <c r="S2362"/>
  <c r="AG2362" s="1"/>
  <c r="R2362"/>
  <c r="AF2362" s="1"/>
  <c r="Q2362"/>
  <c r="S2361"/>
  <c r="AG2361" s="1"/>
  <c r="R2361"/>
  <c r="AF2361" s="1"/>
  <c r="Q2361"/>
  <c r="S2360"/>
  <c r="AG2360" s="1"/>
  <c r="R2360"/>
  <c r="AF2360" s="1"/>
  <c r="Q2360"/>
  <c r="S2359"/>
  <c r="AG2359" s="1"/>
  <c r="R2359"/>
  <c r="AF2359" s="1"/>
  <c r="Q2359"/>
  <c r="S2358"/>
  <c r="AG2358" s="1"/>
  <c r="R2358"/>
  <c r="AF2358" s="1"/>
  <c r="Q2358"/>
  <c r="S2357"/>
  <c r="AG2357" s="1"/>
  <c r="R2357"/>
  <c r="AF2357" s="1"/>
  <c r="Q2357"/>
  <c r="R2356"/>
  <c r="AF2356" s="1"/>
  <c r="Q2356"/>
  <c r="S2355"/>
  <c r="AG2355" s="1"/>
  <c r="R2355"/>
  <c r="AF2355" s="1"/>
  <c r="Q2355"/>
  <c r="S2354"/>
  <c r="AG2354" s="1"/>
  <c r="R2354"/>
  <c r="AF2354" s="1"/>
  <c r="Q2354"/>
  <c r="S2353"/>
  <c r="AG2353" s="1"/>
  <c r="R2353"/>
  <c r="AF2353" s="1"/>
  <c r="Q2353"/>
  <c r="S2352"/>
  <c r="AG2352" s="1"/>
  <c r="R2352"/>
  <c r="AF2352" s="1"/>
  <c r="Q2352"/>
  <c r="S2351"/>
  <c r="AG2351" s="1"/>
  <c r="R2351"/>
  <c r="AF2351" s="1"/>
  <c r="Q2351"/>
  <c r="S2350"/>
  <c r="AG2350" s="1"/>
  <c r="R2350"/>
  <c r="AF2350" s="1"/>
  <c r="Q2350"/>
  <c r="S2349"/>
  <c r="AG2349" s="1"/>
  <c r="R2349"/>
  <c r="AF2349" s="1"/>
  <c r="Q2349"/>
  <c r="S2348"/>
  <c r="AG2348" s="1"/>
  <c r="R2348"/>
  <c r="AF2348" s="1"/>
  <c r="Q2348"/>
  <c r="S2347"/>
  <c r="AG2347" s="1"/>
  <c r="R2347"/>
  <c r="AF2347" s="1"/>
  <c r="Q2347"/>
  <c r="R2346"/>
  <c r="AF2346" s="1"/>
  <c r="Q2346"/>
  <c r="S2345"/>
  <c r="AG2345" s="1"/>
  <c r="R2345"/>
  <c r="AF2345" s="1"/>
  <c r="Q2345"/>
  <c r="S2344"/>
  <c r="AG2344" s="1"/>
  <c r="R2344"/>
  <c r="AF2344" s="1"/>
  <c r="Q2344"/>
  <c r="S2343"/>
  <c r="AG2343" s="1"/>
  <c r="R2343"/>
  <c r="AF2343" s="1"/>
  <c r="Q2343"/>
  <c r="S2342"/>
  <c r="AG2342" s="1"/>
  <c r="R2342"/>
  <c r="AF2342" s="1"/>
  <c r="Q2342"/>
  <c r="S2341"/>
  <c r="AG2341" s="1"/>
  <c r="R2341"/>
  <c r="AF2341" s="1"/>
  <c r="Q2341"/>
  <c r="S2340"/>
  <c r="AG2340" s="1"/>
  <c r="R2340"/>
  <c r="AF2340" s="1"/>
  <c r="Q2340"/>
  <c r="S2339"/>
  <c r="AG2339" s="1"/>
  <c r="R2339"/>
  <c r="AF2339" s="1"/>
  <c r="Q2339"/>
  <c r="S2338"/>
  <c r="AG2338" s="1"/>
  <c r="R2338"/>
  <c r="AF2338" s="1"/>
  <c r="Q2338"/>
  <c r="S2337"/>
  <c r="AG2337" s="1"/>
  <c r="R2337"/>
  <c r="AF2337" s="1"/>
  <c r="Q2337"/>
  <c r="S2336"/>
  <c r="AG2336" s="1"/>
  <c r="R2336"/>
  <c r="AF2336" s="1"/>
  <c r="Q2336"/>
  <c r="S2335"/>
  <c r="AG2335" s="1"/>
  <c r="R2335"/>
  <c r="AF2335" s="1"/>
  <c r="Q2335"/>
  <c r="S2334"/>
  <c r="AG2334" s="1"/>
  <c r="R2334"/>
  <c r="AF2334" s="1"/>
  <c r="Q2334"/>
  <c r="S2333"/>
  <c r="AG2333" s="1"/>
  <c r="R2333"/>
  <c r="AF2333" s="1"/>
  <c r="Q2333"/>
  <c r="S2332"/>
  <c r="AG2332" s="1"/>
  <c r="R2332"/>
  <c r="AF2332" s="1"/>
  <c r="Q2332"/>
  <c r="S2331"/>
  <c r="AG2331" s="1"/>
  <c r="R2331"/>
  <c r="AF2331" s="1"/>
  <c r="Q2331"/>
  <c r="S2330"/>
  <c r="AG2330" s="1"/>
  <c r="R2330"/>
  <c r="AF2330" s="1"/>
  <c r="Q2330"/>
  <c r="S2329"/>
  <c r="AG2329" s="1"/>
  <c r="R2329"/>
  <c r="AF2329" s="1"/>
  <c r="Q2329"/>
  <c r="S2328"/>
  <c r="AG2328" s="1"/>
  <c r="R2328"/>
  <c r="AF2328" s="1"/>
  <c r="Q2328"/>
  <c r="S2327"/>
  <c r="AG2327" s="1"/>
  <c r="R2327"/>
  <c r="AF2327" s="1"/>
  <c r="Q2327"/>
  <c r="R2326"/>
  <c r="AF2326" s="1"/>
  <c r="Q2326"/>
  <c r="R2325"/>
  <c r="AF2325" s="1"/>
  <c r="Q2325"/>
  <c r="S2324"/>
  <c r="AG2324" s="1"/>
  <c r="R2324"/>
  <c r="AF2324" s="1"/>
  <c r="Q2324"/>
  <c r="R2323"/>
  <c r="AF2323" s="1"/>
  <c r="Q2323"/>
  <c r="R2322"/>
  <c r="AF2322" s="1"/>
  <c r="Q2322"/>
  <c r="S2321"/>
  <c r="AG2321" s="1"/>
  <c r="R2321"/>
  <c r="AF2321" s="1"/>
  <c r="Q2321"/>
  <c r="R2320"/>
  <c r="AF2320" s="1"/>
  <c r="Q2320"/>
  <c r="S2319"/>
  <c r="R2319"/>
  <c r="AF2319" s="1"/>
  <c r="Q2319"/>
  <c r="S2318"/>
  <c r="AG2318" s="1"/>
  <c r="R2318"/>
  <c r="AF2318" s="1"/>
  <c r="Q2318"/>
  <c r="S2317"/>
  <c r="AG2317" s="1"/>
  <c r="R2317"/>
  <c r="AF2317" s="1"/>
  <c r="Q2317"/>
  <c r="R2316"/>
  <c r="AF2316" s="1"/>
  <c r="Q2316"/>
  <c r="S2315"/>
  <c r="AG2315" s="1"/>
  <c r="R2315"/>
  <c r="AF2315" s="1"/>
  <c r="Q2315"/>
  <c r="S2314"/>
  <c r="AG2314" s="1"/>
  <c r="R2314"/>
  <c r="AF2314" s="1"/>
  <c r="Q2314"/>
  <c r="S2313"/>
  <c r="AG2313" s="1"/>
  <c r="R2313"/>
  <c r="AF2313" s="1"/>
  <c r="Q2313"/>
  <c r="S2312"/>
  <c r="AG2312" s="1"/>
  <c r="R2312"/>
  <c r="AF2312" s="1"/>
  <c r="Q2312"/>
  <c r="S2311"/>
  <c r="AG2311" s="1"/>
  <c r="R2311"/>
  <c r="AF2311" s="1"/>
  <c r="Q2311"/>
  <c r="S2310"/>
  <c r="AG2310" s="1"/>
  <c r="R2310"/>
  <c r="AF2310" s="1"/>
  <c r="Q2310"/>
  <c r="S2309"/>
  <c r="AG2309" s="1"/>
  <c r="R2309"/>
  <c r="AF2309" s="1"/>
  <c r="Q2309"/>
  <c r="S2308"/>
  <c r="AG2308" s="1"/>
  <c r="R2308"/>
  <c r="AF2308" s="1"/>
  <c r="Q2308"/>
  <c r="S2307"/>
  <c r="AG2307" s="1"/>
  <c r="R2307"/>
  <c r="AF2307" s="1"/>
  <c r="Q2307"/>
  <c r="S2306"/>
  <c r="AG2306" s="1"/>
  <c r="R2306"/>
  <c r="AF2306" s="1"/>
  <c r="Q2306"/>
  <c r="S2305"/>
  <c r="AG2305" s="1"/>
  <c r="R2305"/>
  <c r="AF2305" s="1"/>
  <c r="Q2305"/>
  <c r="S2304"/>
  <c r="AG2304" s="1"/>
  <c r="R2304"/>
  <c r="AF2304" s="1"/>
  <c r="Q2304"/>
  <c r="S2303"/>
  <c r="AG2303" s="1"/>
  <c r="R2303"/>
  <c r="AF2303" s="1"/>
  <c r="Q2303"/>
  <c r="S2302"/>
  <c r="AG2302" s="1"/>
  <c r="R2302"/>
  <c r="AF2302" s="1"/>
  <c r="Q2302"/>
  <c r="S2301"/>
  <c r="AG2301" s="1"/>
  <c r="R2301"/>
  <c r="AF2301" s="1"/>
  <c r="Q2301"/>
  <c r="S2300"/>
  <c r="AG2300" s="1"/>
  <c r="R2300"/>
  <c r="AF2300" s="1"/>
  <c r="Q2300"/>
  <c r="S2299"/>
  <c r="AG2299" s="1"/>
  <c r="R2299"/>
  <c r="AF2299" s="1"/>
  <c r="Q2299"/>
  <c r="S2298"/>
  <c r="AG2298" s="1"/>
  <c r="R2298"/>
  <c r="AF2298" s="1"/>
  <c r="Q2298"/>
  <c r="S2297"/>
  <c r="AG2297" s="1"/>
  <c r="R2297"/>
  <c r="AF2297" s="1"/>
  <c r="Q2297"/>
  <c r="S2296"/>
  <c r="AG2296" s="1"/>
  <c r="R2296"/>
  <c r="AF2296" s="1"/>
  <c r="Q2296"/>
  <c r="S2295"/>
  <c r="AG2295" s="1"/>
  <c r="R2295"/>
  <c r="AF2295" s="1"/>
  <c r="Q2295"/>
  <c r="S2294"/>
  <c r="AG2294" s="1"/>
  <c r="R2294"/>
  <c r="AF2294" s="1"/>
  <c r="Q2294"/>
  <c r="S2293"/>
  <c r="AG2293" s="1"/>
  <c r="R2293"/>
  <c r="AF2293" s="1"/>
  <c r="Q2293"/>
  <c r="R2292"/>
  <c r="AF2292" s="1"/>
  <c r="Q2292"/>
  <c r="R2291"/>
  <c r="AF2291" s="1"/>
  <c r="Q2291"/>
  <c r="S2290"/>
  <c r="AG2290" s="1"/>
  <c r="R2290"/>
  <c r="AF2290" s="1"/>
  <c r="Q2290"/>
  <c r="S2289"/>
  <c r="AG2289" s="1"/>
  <c r="R2289"/>
  <c r="AF2289" s="1"/>
  <c r="Q2289"/>
  <c r="S2288"/>
  <c r="AG2288" s="1"/>
  <c r="R2288"/>
  <c r="AF2288" s="1"/>
  <c r="Q2288"/>
  <c r="S2287"/>
  <c r="AG2287" s="1"/>
  <c r="R2287"/>
  <c r="AF2287" s="1"/>
  <c r="Q2287"/>
  <c r="S2286"/>
  <c r="AG2286" s="1"/>
  <c r="R2286"/>
  <c r="AF2286" s="1"/>
  <c r="Q2286"/>
  <c r="S2285"/>
  <c r="AG2285" s="1"/>
  <c r="R2285"/>
  <c r="AF2285" s="1"/>
  <c r="Q2285"/>
  <c r="S2284"/>
  <c r="AG2284" s="1"/>
  <c r="R2284"/>
  <c r="AF2284" s="1"/>
  <c r="Q2284"/>
  <c r="S2283"/>
  <c r="AG2283" s="1"/>
  <c r="R2283"/>
  <c r="AF2283" s="1"/>
  <c r="Q2283"/>
  <c r="S2282"/>
  <c r="AG2282" s="1"/>
  <c r="R2282"/>
  <c r="AF2282" s="1"/>
  <c r="Q2282"/>
  <c r="S2281"/>
  <c r="AG2281" s="1"/>
  <c r="R2281"/>
  <c r="AF2281" s="1"/>
  <c r="Q2281"/>
  <c r="S2280"/>
  <c r="AG2280" s="1"/>
  <c r="R2280"/>
  <c r="AF2280" s="1"/>
  <c r="Q2280"/>
  <c r="S2279"/>
  <c r="AG2279" s="1"/>
  <c r="R2279"/>
  <c r="AF2279" s="1"/>
  <c r="Q2279"/>
  <c r="S2278"/>
  <c r="AG2278" s="1"/>
  <c r="R2278"/>
  <c r="AF2278" s="1"/>
  <c r="Q2278"/>
  <c r="S2277"/>
  <c r="AG2277" s="1"/>
  <c r="R2277"/>
  <c r="AF2277" s="1"/>
  <c r="Q2277"/>
  <c r="S2276"/>
  <c r="AG2276" s="1"/>
  <c r="R2276"/>
  <c r="AF2276" s="1"/>
  <c r="Q2276"/>
  <c r="S2275"/>
  <c r="AG2275" s="1"/>
  <c r="R2275"/>
  <c r="AF2275" s="1"/>
  <c r="Q2275"/>
  <c r="S2274"/>
  <c r="AG2274" s="1"/>
  <c r="R2274"/>
  <c r="AF2274" s="1"/>
  <c r="Q2274"/>
  <c r="S2273"/>
  <c r="AG2273" s="1"/>
  <c r="R2273"/>
  <c r="AF2273" s="1"/>
  <c r="Q2273"/>
  <c r="S2272"/>
  <c r="AG2272" s="1"/>
  <c r="R2272"/>
  <c r="AF2272" s="1"/>
  <c r="Q2272"/>
  <c r="S2271"/>
  <c r="AG2271" s="1"/>
  <c r="R2271"/>
  <c r="AF2271" s="1"/>
  <c r="Q2271"/>
  <c r="S2270"/>
  <c r="AG2270" s="1"/>
  <c r="R2270"/>
  <c r="AF2270" s="1"/>
  <c r="Q2270"/>
  <c r="S2269"/>
  <c r="AG2269" s="1"/>
  <c r="R2269"/>
  <c r="AF2269" s="1"/>
  <c r="Q2269"/>
  <c r="S2268"/>
  <c r="AG2268" s="1"/>
  <c r="R2268"/>
  <c r="AF2268" s="1"/>
  <c r="Q2268"/>
  <c r="S2267"/>
  <c r="AG2267" s="1"/>
  <c r="R2267"/>
  <c r="AF2267" s="1"/>
  <c r="Q2267"/>
  <c r="S2266"/>
  <c r="AG2266" s="1"/>
  <c r="R2266"/>
  <c r="AF2266" s="1"/>
  <c r="Q2266"/>
  <c r="S2265"/>
  <c r="AG2265" s="1"/>
  <c r="R2265"/>
  <c r="AF2265" s="1"/>
  <c r="Q2265"/>
  <c r="S2264"/>
  <c r="AG2264" s="1"/>
  <c r="R2264"/>
  <c r="AF2264" s="1"/>
  <c r="Q2264"/>
  <c r="S2263"/>
  <c r="AG2263" s="1"/>
  <c r="R2263"/>
  <c r="AF2263" s="1"/>
  <c r="Q2263"/>
  <c r="S2262"/>
  <c r="AG2262" s="1"/>
  <c r="R2262"/>
  <c r="AF2262" s="1"/>
  <c r="Q2262"/>
  <c r="S2261"/>
  <c r="AG2261" s="1"/>
  <c r="R2261"/>
  <c r="AF2261" s="1"/>
  <c r="Q2261"/>
  <c r="S2260"/>
  <c r="AG2260" s="1"/>
  <c r="R2260"/>
  <c r="AF2260" s="1"/>
  <c r="Q2260"/>
  <c r="S2259"/>
  <c r="AG2259" s="1"/>
  <c r="R2259"/>
  <c r="AF2259" s="1"/>
  <c r="Q2259"/>
  <c r="S2258"/>
  <c r="AG2258" s="1"/>
  <c r="R2258"/>
  <c r="AF2258" s="1"/>
  <c r="Q2258"/>
  <c r="S2257"/>
  <c r="AG2257" s="1"/>
  <c r="R2257"/>
  <c r="AF2257" s="1"/>
  <c r="Q2257"/>
  <c r="S2256"/>
  <c r="AG2256" s="1"/>
  <c r="R2256"/>
  <c r="AF2256" s="1"/>
  <c r="Q2256"/>
  <c r="S2255"/>
  <c r="AG2255" s="1"/>
  <c r="R2255"/>
  <c r="AF2255" s="1"/>
  <c r="Q2255"/>
  <c r="S2254"/>
  <c r="AG2254" s="1"/>
  <c r="R2254"/>
  <c r="AF2254" s="1"/>
  <c r="Q2254"/>
  <c r="S2253"/>
  <c r="AG2253" s="1"/>
  <c r="R2253"/>
  <c r="AF2253" s="1"/>
  <c r="Q2253"/>
  <c r="S2252"/>
  <c r="AG2252" s="1"/>
  <c r="R2252"/>
  <c r="AF2252" s="1"/>
  <c r="Q2252"/>
  <c r="S2251"/>
  <c r="AG2251" s="1"/>
  <c r="R2251"/>
  <c r="AF2251" s="1"/>
  <c r="Q2251"/>
  <c r="S2250"/>
  <c r="AG2250" s="1"/>
  <c r="R2250"/>
  <c r="AF2250" s="1"/>
  <c r="Q2250"/>
  <c r="S2249"/>
  <c r="AG2249" s="1"/>
  <c r="R2249"/>
  <c r="AF2249" s="1"/>
  <c r="Q2249"/>
  <c r="S2248"/>
  <c r="AG2248" s="1"/>
  <c r="R2248"/>
  <c r="AF2248" s="1"/>
  <c r="Q2248"/>
  <c r="S2247"/>
  <c r="AG2247" s="1"/>
  <c r="R2247"/>
  <c r="AF2247" s="1"/>
  <c r="Q2247"/>
  <c r="S2246"/>
  <c r="AG2246" s="1"/>
  <c r="R2246"/>
  <c r="AF2246" s="1"/>
  <c r="Q2246"/>
  <c r="S2245"/>
  <c r="AG2245" s="1"/>
  <c r="R2245"/>
  <c r="AF2245" s="1"/>
  <c r="Q2245"/>
  <c r="S2244"/>
  <c r="AG2244" s="1"/>
  <c r="R2244"/>
  <c r="AF2244" s="1"/>
  <c r="Q2244"/>
  <c r="S2243"/>
  <c r="AG2243" s="1"/>
  <c r="R2243"/>
  <c r="AF2243" s="1"/>
  <c r="Q2243"/>
  <c r="S2242"/>
  <c r="AG2242" s="1"/>
  <c r="R2242"/>
  <c r="AF2242" s="1"/>
  <c r="Q2242"/>
  <c r="S2241"/>
  <c r="AG2241" s="1"/>
  <c r="R2241"/>
  <c r="AF2241" s="1"/>
  <c r="Q2241"/>
  <c r="S2240"/>
  <c r="AG2240" s="1"/>
  <c r="R2240"/>
  <c r="AF2240" s="1"/>
  <c r="Q2240"/>
  <c r="S2239"/>
  <c r="AG2239" s="1"/>
  <c r="R2239"/>
  <c r="AF2239" s="1"/>
  <c r="Q2239"/>
  <c r="S2238"/>
  <c r="AG2238" s="1"/>
  <c r="R2238"/>
  <c r="AF2238" s="1"/>
  <c r="Q2238"/>
  <c r="S2237"/>
  <c r="AG2237" s="1"/>
  <c r="R2237"/>
  <c r="AF2237" s="1"/>
  <c r="Q2237"/>
  <c r="S2236"/>
  <c r="AG2236" s="1"/>
  <c r="R2236"/>
  <c r="AF2236" s="1"/>
  <c r="Q2236"/>
  <c r="S2235"/>
  <c r="AG2235" s="1"/>
  <c r="R2235"/>
  <c r="AF2235" s="1"/>
  <c r="Q2235"/>
  <c r="S2234"/>
  <c r="AG2234" s="1"/>
  <c r="R2234"/>
  <c r="AF2234" s="1"/>
  <c r="Q2234"/>
  <c r="S2233"/>
  <c r="AG2233" s="1"/>
  <c r="R2233"/>
  <c r="AF2233" s="1"/>
  <c r="Q2233"/>
  <c r="S2232"/>
  <c r="AG2232" s="1"/>
  <c r="R2232"/>
  <c r="AF2232" s="1"/>
  <c r="Q2232"/>
  <c r="S2231"/>
  <c r="AG2231" s="1"/>
  <c r="R2231"/>
  <c r="AF2231" s="1"/>
  <c r="Q2231"/>
  <c r="S2230"/>
  <c r="AG2230" s="1"/>
  <c r="R2230"/>
  <c r="AF2230" s="1"/>
  <c r="Q2230"/>
  <c r="S2229"/>
  <c r="AG2229" s="1"/>
  <c r="R2229"/>
  <c r="AF2229" s="1"/>
  <c r="Q2229"/>
  <c r="S2228"/>
  <c r="AG2228" s="1"/>
  <c r="R2228"/>
  <c r="AF2228" s="1"/>
  <c r="Q2228"/>
  <c r="S2227"/>
  <c r="R2227"/>
  <c r="Q2227"/>
  <c r="S2226"/>
  <c r="AG2226" s="1"/>
  <c r="R2226"/>
  <c r="AF2226" s="1"/>
  <c r="Q2226"/>
  <c r="S2225"/>
  <c r="AG2225" s="1"/>
  <c r="R2225"/>
  <c r="AF2225" s="1"/>
  <c r="Q2225"/>
  <c r="S2224"/>
  <c r="AG2224" s="1"/>
  <c r="R2224"/>
  <c r="AF2224" s="1"/>
  <c r="Q2224"/>
  <c r="S2223"/>
  <c r="AG2223" s="1"/>
  <c r="R2223"/>
  <c r="AF2223" s="1"/>
  <c r="Q2223"/>
  <c r="Q2222"/>
  <c r="S2221"/>
  <c r="AG2221" s="1"/>
  <c r="R2221"/>
  <c r="AF2221" s="1"/>
  <c r="Q2221"/>
  <c r="S2220"/>
  <c r="AG2220" s="1"/>
  <c r="R2220"/>
  <c r="AF2220" s="1"/>
  <c r="Q2220"/>
  <c r="S2219"/>
  <c r="AG2219" s="1"/>
  <c r="R2219"/>
  <c r="AF2219" s="1"/>
  <c r="Q2219"/>
  <c r="S2218"/>
  <c r="AG2218" s="1"/>
  <c r="R2218"/>
  <c r="AF2218" s="1"/>
  <c r="Q2218"/>
  <c r="S2217"/>
  <c r="AG2217" s="1"/>
  <c r="R2217"/>
  <c r="AF2217" s="1"/>
  <c r="Q2217"/>
  <c r="S2216"/>
  <c r="AG2216" s="1"/>
  <c r="R2216"/>
  <c r="AF2216" s="1"/>
  <c r="Q2216"/>
  <c r="S2215"/>
  <c r="AG2215" s="1"/>
  <c r="R2215"/>
  <c r="AF2215" s="1"/>
  <c r="Q2215"/>
  <c r="S2214"/>
  <c r="AG2214" s="1"/>
  <c r="R2214"/>
  <c r="AF2214" s="1"/>
  <c r="Q2214"/>
  <c r="S2213"/>
  <c r="AG2213" s="1"/>
  <c r="R2213"/>
  <c r="AF2213" s="1"/>
  <c r="Q2213"/>
  <c r="S2212"/>
  <c r="AG2212" s="1"/>
  <c r="R2212"/>
  <c r="AF2212" s="1"/>
  <c r="Q2212"/>
  <c r="S2211"/>
  <c r="AG2211" s="1"/>
  <c r="R2211"/>
  <c r="AF2211" s="1"/>
  <c r="Q2211"/>
  <c r="S2210"/>
  <c r="AG2210" s="1"/>
  <c r="R2210"/>
  <c r="AF2210" s="1"/>
  <c r="Q2210"/>
  <c r="S2209"/>
  <c r="AG2209" s="1"/>
  <c r="R2209"/>
  <c r="AF2209" s="1"/>
  <c r="Q2209"/>
  <c r="S2208"/>
  <c r="AG2208" s="1"/>
  <c r="R2208"/>
  <c r="AF2208" s="1"/>
  <c r="Q2208"/>
  <c r="S2207"/>
  <c r="AG2207" s="1"/>
  <c r="R2207"/>
  <c r="AF2207" s="1"/>
  <c r="Q2207"/>
  <c r="S2206"/>
  <c r="AG2206" s="1"/>
  <c r="R2206"/>
  <c r="AF2206" s="1"/>
  <c r="Q2206"/>
  <c r="S2205"/>
  <c r="AG2205" s="1"/>
  <c r="R2205"/>
  <c r="AF2205" s="1"/>
  <c r="Q2205"/>
  <c r="S2204"/>
  <c r="AG2204" s="1"/>
  <c r="R2204"/>
  <c r="AF2204" s="1"/>
  <c r="Q2204"/>
  <c r="S2203"/>
  <c r="AG2203" s="1"/>
  <c r="R2203"/>
  <c r="AF2203" s="1"/>
  <c r="Q2203"/>
  <c r="S2202"/>
  <c r="AG2202" s="1"/>
  <c r="R2202"/>
  <c r="AF2202" s="1"/>
  <c r="Q2202"/>
  <c r="S2201"/>
  <c r="AG2201" s="1"/>
  <c r="R2201"/>
  <c r="AF2201" s="1"/>
  <c r="Q2201"/>
  <c r="S2200"/>
  <c r="AG2200" s="1"/>
  <c r="R2200"/>
  <c r="AF2200" s="1"/>
  <c r="Q2200"/>
  <c r="S2199"/>
  <c r="AG2199" s="1"/>
  <c r="Q2199"/>
  <c r="S2198"/>
  <c r="AG2198" s="1"/>
  <c r="R2198"/>
  <c r="AF2198" s="1"/>
  <c r="Q2198"/>
  <c r="S2197"/>
  <c r="AG2197" s="1"/>
  <c r="R2197"/>
  <c r="AF2197" s="1"/>
  <c r="Q2197"/>
  <c r="S2196"/>
  <c r="AG2196" s="1"/>
  <c r="R2196"/>
  <c r="AF2196" s="1"/>
  <c r="Q2196"/>
  <c r="S2195"/>
  <c r="AG2195" s="1"/>
  <c r="R2195"/>
  <c r="AF2195" s="1"/>
  <c r="Q2195"/>
  <c r="S2194"/>
  <c r="AG2194" s="1"/>
  <c r="R2194"/>
  <c r="AF2194" s="1"/>
  <c r="Q2194"/>
  <c r="S2193"/>
  <c r="AG2193" s="1"/>
  <c r="R2193"/>
  <c r="AF2193" s="1"/>
  <c r="Q2193"/>
  <c r="S2192"/>
  <c r="AG2192" s="1"/>
  <c r="R2192"/>
  <c r="AF2192" s="1"/>
  <c r="Q2192"/>
  <c r="S2191"/>
  <c r="AG2191" s="1"/>
  <c r="R2191"/>
  <c r="AF2191" s="1"/>
  <c r="Q2191"/>
  <c r="S2190"/>
  <c r="AG2190" s="1"/>
  <c r="R2190"/>
  <c r="AF2190" s="1"/>
  <c r="Q2190"/>
  <c r="S2189"/>
  <c r="AG2189" s="1"/>
  <c r="R2189"/>
  <c r="AF2189" s="1"/>
  <c r="Q2189"/>
  <c r="S2188"/>
  <c r="AG2188" s="1"/>
  <c r="R2188"/>
  <c r="AF2188" s="1"/>
  <c r="Q2188"/>
  <c r="S2187"/>
  <c r="AG2187" s="1"/>
  <c r="R2187"/>
  <c r="AF2187" s="1"/>
  <c r="Q2187"/>
  <c r="S2186"/>
  <c r="AG2186" s="1"/>
  <c r="R2186"/>
  <c r="AF2186" s="1"/>
  <c r="Q2186"/>
  <c r="S2185"/>
  <c r="AG2185" s="1"/>
  <c r="R2185"/>
  <c r="AF2185" s="1"/>
  <c r="Q2185"/>
  <c r="S2184"/>
  <c r="AG2184" s="1"/>
  <c r="R2184"/>
  <c r="AF2184" s="1"/>
  <c r="Q2184"/>
  <c r="S2183"/>
  <c r="AG2183" s="1"/>
  <c r="R2183"/>
  <c r="AF2183" s="1"/>
  <c r="Q2183"/>
  <c r="S2182"/>
  <c r="AG2182" s="1"/>
  <c r="R2182"/>
  <c r="AF2182" s="1"/>
  <c r="Q2182"/>
  <c r="S2181"/>
  <c r="AG2181" s="1"/>
  <c r="R2181"/>
  <c r="AF2181" s="1"/>
  <c r="Q2181"/>
  <c r="S2180"/>
  <c r="AG2180" s="1"/>
  <c r="R2180"/>
  <c r="AF2180" s="1"/>
  <c r="Q2180"/>
  <c r="Q2179"/>
  <c r="S2178"/>
  <c r="AG2178" s="1"/>
  <c r="R2178"/>
  <c r="AF2178" s="1"/>
  <c r="Q2178"/>
  <c r="S2177"/>
  <c r="AG2177" s="1"/>
  <c r="R2177"/>
  <c r="AF2177" s="1"/>
  <c r="Q2177"/>
  <c r="S2176"/>
  <c r="AG2176" s="1"/>
  <c r="R2176"/>
  <c r="AF2176" s="1"/>
  <c r="Q2176"/>
  <c r="S2175"/>
  <c r="AG2175" s="1"/>
  <c r="R2175"/>
  <c r="AF2175" s="1"/>
  <c r="Q2175"/>
  <c r="S2174"/>
  <c r="AG2174" s="1"/>
  <c r="R2174"/>
  <c r="AF2174" s="1"/>
  <c r="Q2174"/>
  <c r="Q2173"/>
  <c r="S2172"/>
  <c r="AG2172" s="1"/>
  <c r="R2172"/>
  <c r="AF2172" s="1"/>
  <c r="Q2172"/>
  <c r="S2171"/>
  <c r="AG2171" s="1"/>
  <c r="R2171"/>
  <c r="AF2171" s="1"/>
  <c r="Q2171"/>
  <c r="S2170"/>
  <c r="AG2170" s="1"/>
  <c r="R2170"/>
  <c r="AF2170" s="1"/>
  <c r="Q2170"/>
  <c r="S2169"/>
  <c r="AG2169" s="1"/>
  <c r="R2169"/>
  <c r="AF2169" s="1"/>
  <c r="Q2169"/>
  <c r="S2168"/>
  <c r="AG2168" s="1"/>
  <c r="Q2168"/>
  <c r="S2167"/>
  <c r="AG2167" s="1"/>
  <c r="R2167"/>
  <c r="AF2167" s="1"/>
  <c r="Q2167"/>
  <c r="S2166"/>
  <c r="AG2166" s="1"/>
  <c r="R2166"/>
  <c r="AF2166" s="1"/>
  <c r="Q2166"/>
  <c r="S2165"/>
  <c r="AG2165" s="1"/>
  <c r="R2165"/>
  <c r="AF2165" s="1"/>
  <c r="Q2165"/>
  <c r="S2164"/>
  <c r="AG2164" s="1"/>
  <c r="R2164"/>
  <c r="AF2164" s="1"/>
  <c r="Q2164"/>
  <c r="S2163"/>
  <c r="AG2163" s="1"/>
  <c r="Q2163"/>
  <c r="S2162"/>
  <c r="AG2162" s="1"/>
  <c r="R2162"/>
  <c r="AF2162" s="1"/>
  <c r="Q2162"/>
  <c r="S2161"/>
  <c r="AG2161" s="1"/>
  <c r="R2161"/>
  <c r="AF2161" s="1"/>
  <c r="Q2161"/>
  <c r="S2160"/>
  <c r="AG2160" s="1"/>
  <c r="R2160"/>
  <c r="AF2160" s="1"/>
  <c r="Q2160"/>
  <c r="S2159"/>
  <c r="AG2159" s="1"/>
  <c r="R2159"/>
  <c r="AF2159" s="1"/>
  <c r="Q2159"/>
  <c r="S2158"/>
  <c r="AG2158" s="1"/>
  <c r="R2158"/>
  <c r="AF2158" s="1"/>
  <c r="Q2158"/>
  <c r="S2157"/>
  <c r="AG2157" s="1"/>
  <c r="R2157"/>
  <c r="AF2157" s="1"/>
  <c r="Q2157"/>
  <c r="S2156"/>
  <c r="AG2156" s="1"/>
  <c r="R2156"/>
  <c r="AF2156" s="1"/>
  <c r="Q2156"/>
  <c r="S2155"/>
  <c r="AG2155" s="1"/>
  <c r="R2155"/>
  <c r="AF2155" s="1"/>
  <c r="Q2155"/>
  <c r="S2154"/>
  <c r="AG2154" s="1"/>
  <c r="R2154"/>
  <c r="AF2154" s="1"/>
  <c r="Q2154"/>
  <c r="S2153"/>
  <c r="AG2153" s="1"/>
  <c r="R2153"/>
  <c r="AF2153" s="1"/>
  <c r="Q2153"/>
  <c r="S2152"/>
  <c r="AG2152" s="1"/>
  <c r="R2152"/>
  <c r="AF2152" s="1"/>
  <c r="Q2152"/>
  <c r="S2151"/>
  <c r="AG2151" s="1"/>
  <c r="R2151"/>
  <c r="AF2151" s="1"/>
  <c r="Q2151"/>
  <c r="S2150"/>
  <c r="AG2150" s="1"/>
  <c r="R2150"/>
  <c r="AF2150" s="1"/>
  <c r="Q2150"/>
  <c r="S2149"/>
  <c r="AG2149" s="1"/>
  <c r="R2149"/>
  <c r="AF2149" s="1"/>
  <c r="Q2149"/>
  <c r="S2148"/>
  <c r="AG2148" s="1"/>
  <c r="R2148"/>
  <c r="AF2148" s="1"/>
  <c r="Q2148"/>
  <c r="S2147"/>
  <c r="AG2147" s="1"/>
  <c r="R2147"/>
  <c r="AF2147" s="1"/>
  <c r="Q2147"/>
  <c r="S2146"/>
  <c r="AG2146" s="1"/>
  <c r="R2146"/>
  <c r="AF2146" s="1"/>
  <c r="Q2146"/>
  <c r="S2145"/>
  <c r="AG2145" s="1"/>
  <c r="R2145"/>
  <c r="AF2145" s="1"/>
  <c r="Q2145"/>
  <c r="S2144"/>
  <c r="AG2144" s="1"/>
  <c r="R2144"/>
  <c r="AF2144" s="1"/>
  <c r="Q2144"/>
  <c r="S2143"/>
  <c r="AG2143" s="1"/>
  <c r="R2143"/>
  <c r="AF2143" s="1"/>
  <c r="Q2143"/>
  <c r="S2142"/>
  <c r="AG2142" s="1"/>
  <c r="R2142"/>
  <c r="AF2142" s="1"/>
  <c r="Q2142"/>
  <c r="S2141"/>
  <c r="AG2141" s="1"/>
  <c r="R2141"/>
  <c r="AF2141" s="1"/>
  <c r="Q2141"/>
  <c r="S2140"/>
  <c r="AG2140" s="1"/>
  <c r="R2140"/>
  <c r="AF2140" s="1"/>
  <c r="Q2140"/>
  <c r="S2139"/>
  <c r="AG2139" s="1"/>
  <c r="R2139"/>
  <c r="AF2139" s="1"/>
  <c r="Q2139"/>
  <c r="S2138"/>
  <c r="AG2138" s="1"/>
  <c r="R2138"/>
  <c r="AF2138" s="1"/>
  <c r="Q2138"/>
  <c r="S2137"/>
  <c r="AG2137" s="1"/>
  <c r="R2137"/>
  <c r="AF2137" s="1"/>
  <c r="Q2137"/>
  <c r="S2136"/>
  <c r="AG2136" s="1"/>
  <c r="R2136"/>
  <c r="AF2136" s="1"/>
  <c r="Q2136"/>
  <c r="S2135"/>
  <c r="AG2135" s="1"/>
  <c r="R2135"/>
  <c r="AF2135" s="1"/>
  <c r="Q2135"/>
  <c r="S2134"/>
  <c r="AG2134" s="1"/>
  <c r="R2134"/>
  <c r="AF2134" s="1"/>
  <c r="Q2134"/>
  <c r="S2133"/>
  <c r="AG2133" s="1"/>
  <c r="R2133"/>
  <c r="AF2133" s="1"/>
  <c r="Q2133"/>
  <c r="S2132"/>
  <c r="AG2132" s="1"/>
  <c r="R2132"/>
  <c r="AF2132" s="1"/>
  <c r="Q2132"/>
  <c r="S2131"/>
  <c r="AG2131" s="1"/>
  <c r="R2131"/>
  <c r="AF2131" s="1"/>
  <c r="Q2131"/>
  <c r="S2130"/>
  <c r="AG2130" s="1"/>
  <c r="R2130"/>
  <c r="AF2130" s="1"/>
  <c r="Q2130"/>
  <c r="S2129"/>
  <c r="AG2129" s="1"/>
  <c r="R2129"/>
  <c r="AF2129" s="1"/>
  <c r="Q2129"/>
  <c r="S2128"/>
  <c r="AG2128" s="1"/>
  <c r="R2128"/>
  <c r="AF2128" s="1"/>
  <c r="Q2128"/>
  <c r="S2127"/>
  <c r="AG2127" s="1"/>
  <c r="R2127"/>
  <c r="AF2127" s="1"/>
  <c r="Q2127"/>
  <c r="S2126"/>
  <c r="AG2126" s="1"/>
  <c r="R2126"/>
  <c r="AF2126" s="1"/>
  <c r="Q2126"/>
  <c r="S2125"/>
  <c r="AG2125" s="1"/>
  <c r="R2125"/>
  <c r="AF2125" s="1"/>
  <c r="Q2125"/>
  <c r="S2124"/>
  <c r="AG2124" s="1"/>
  <c r="R2124"/>
  <c r="AF2124" s="1"/>
  <c r="Q2124"/>
  <c r="S2123"/>
  <c r="AG2123" s="1"/>
  <c r="R2123"/>
  <c r="AF2123" s="1"/>
  <c r="Q2123"/>
  <c r="S2122"/>
  <c r="AG2122" s="1"/>
  <c r="R2122"/>
  <c r="AF2122" s="1"/>
  <c r="Q2122"/>
  <c r="S2121"/>
  <c r="AG2121" s="1"/>
  <c r="R2121"/>
  <c r="AF2121" s="1"/>
  <c r="Q2121"/>
  <c r="S2120"/>
  <c r="AG2120" s="1"/>
  <c r="R2120"/>
  <c r="AF2120" s="1"/>
  <c r="Q2120"/>
  <c r="S2119"/>
  <c r="AG2119" s="1"/>
  <c r="R2119"/>
  <c r="AF2119" s="1"/>
  <c r="Q2119"/>
  <c r="S2118"/>
  <c r="AG2118" s="1"/>
  <c r="R2118"/>
  <c r="AF2118" s="1"/>
  <c r="Q2118"/>
  <c r="S2117"/>
  <c r="AG2117" s="1"/>
  <c r="R2117"/>
  <c r="AF2117" s="1"/>
  <c r="Q2117"/>
  <c r="S2116"/>
  <c r="AG2116" s="1"/>
  <c r="R2116"/>
  <c r="AF2116" s="1"/>
  <c r="Q2116"/>
  <c r="S2115"/>
  <c r="AG2115" s="1"/>
  <c r="R2115"/>
  <c r="AF2115" s="1"/>
  <c r="Q2115"/>
  <c r="S2114"/>
  <c r="AG2114" s="1"/>
  <c r="R2114"/>
  <c r="AF2114" s="1"/>
  <c r="Q2114"/>
  <c r="S2113"/>
  <c r="AG2113" s="1"/>
  <c r="R2113"/>
  <c r="AF2113" s="1"/>
  <c r="Q2113"/>
  <c r="S2112"/>
  <c r="AG2112" s="1"/>
  <c r="R2112"/>
  <c r="AF2112" s="1"/>
  <c r="Q2112"/>
  <c r="S2111"/>
  <c r="AG2111" s="1"/>
  <c r="R2111"/>
  <c r="AF2111" s="1"/>
  <c r="Q2111"/>
  <c r="S2110"/>
  <c r="AG2110" s="1"/>
  <c r="R2110"/>
  <c r="AF2110" s="1"/>
  <c r="Q2110"/>
  <c r="S2109"/>
  <c r="AG2109" s="1"/>
  <c r="R2109"/>
  <c r="AF2109" s="1"/>
  <c r="Q2109"/>
  <c r="S2108"/>
  <c r="AG2108" s="1"/>
  <c r="R2108"/>
  <c r="AF2108" s="1"/>
  <c r="Q2108"/>
  <c r="S2107"/>
  <c r="AG2107" s="1"/>
  <c r="R2107"/>
  <c r="AF2107" s="1"/>
  <c r="Q2107"/>
  <c r="S2106"/>
  <c r="AG2106" s="1"/>
  <c r="R2106"/>
  <c r="AF2106" s="1"/>
  <c r="Q2106"/>
  <c r="S2105"/>
  <c r="AG2105" s="1"/>
  <c r="R2105"/>
  <c r="AF2105" s="1"/>
  <c r="Q2105"/>
  <c r="S2104"/>
  <c r="AG2104" s="1"/>
  <c r="R2104"/>
  <c r="AF2104" s="1"/>
  <c r="Q2104"/>
  <c r="S2103"/>
  <c r="AG2103" s="1"/>
  <c r="R2103"/>
  <c r="AF2103" s="1"/>
  <c r="Q2103"/>
  <c r="S2102"/>
  <c r="AG2102" s="1"/>
  <c r="R2102"/>
  <c r="AF2102" s="1"/>
  <c r="Q2102"/>
  <c r="S2101"/>
  <c r="AG2101" s="1"/>
  <c r="R2101"/>
  <c r="AF2101" s="1"/>
  <c r="Q2101"/>
  <c r="S2100"/>
  <c r="AG2100" s="1"/>
  <c r="R2100"/>
  <c r="AF2100" s="1"/>
  <c r="Q2100"/>
  <c r="S2099"/>
  <c r="AG2099" s="1"/>
  <c r="R2099"/>
  <c r="AF2099" s="1"/>
  <c r="Q2099"/>
  <c r="S2098"/>
  <c r="AG2098" s="1"/>
  <c r="R2098"/>
  <c r="AF2098" s="1"/>
  <c r="Q2098"/>
  <c r="S2097"/>
  <c r="AG2097" s="1"/>
  <c r="R2097"/>
  <c r="AF2097" s="1"/>
  <c r="Q2097"/>
  <c r="S2096"/>
  <c r="AG2096" s="1"/>
  <c r="R2096"/>
  <c r="AF2096" s="1"/>
  <c r="Q2096"/>
  <c r="S2095"/>
  <c r="AG2095" s="1"/>
  <c r="R2095"/>
  <c r="AF2095" s="1"/>
  <c r="Q2095"/>
  <c r="S2094"/>
  <c r="AG2094" s="1"/>
  <c r="R2094"/>
  <c r="AF2094" s="1"/>
  <c r="Q2094"/>
  <c r="S2093"/>
  <c r="AG2093" s="1"/>
  <c r="R2093"/>
  <c r="AF2093" s="1"/>
  <c r="Q2093"/>
  <c r="S2092"/>
  <c r="AG2092" s="1"/>
  <c r="R2092"/>
  <c r="AF2092" s="1"/>
  <c r="Q2092"/>
  <c r="S2091"/>
  <c r="AG2091" s="1"/>
  <c r="R2091"/>
  <c r="AF2091" s="1"/>
  <c r="Q2091"/>
  <c r="S2090"/>
  <c r="AG2090" s="1"/>
  <c r="R2090"/>
  <c r="AF2090" s="1"/>
  <c r="Q2090"/>
  <c r="S2089"/>
  <c r="AG2089" s="1"/>
  <c r="R2089"/>
  <c r="AF2089" s="1"/>
  <c r="Q2089"/>
  <c r="S2088"/>
  <c r="AG2088" s="1"/>
  <c r="R2088"/>
  <c r="AF2088" s="1"/>
  <c r="Q2088"/>
  <c r="S2087"/>
  <c r="AG2087" s="1"/>
  <c r="R2087"/>
  <c r="AF2087" s="1"/>
  <c r="Q2087"/>
  <c r="S2086"/>
  <c r="AG2086" s="1"/>
  <c r="R2086"/>
  <c r="AF2086" s="1"/>
  <c r="Q2086"/>
  <c r="S2085"/>
  <c r="AG2085" s="1"/>
  <c r="R2085"/>
  <c r="AF2085" s="1"/>
  <c r="Q2085"/>
  <c r="S2084"/>
  <c r="AG2084" s="1"/>
  <c r="R2084"/>
  <c r="AF2084" s="1"/>
  <c r="Q2084"/>
  <c r="S2083"/>
  <c r="AG2083" s="1"/>
  <c r="R2083"/>
  <c r="AF2083" s="1"/>
  <c r="Q2083"/>
  <c r="S2082"/>
  <c r="AG2082" s="1"/>
  <c r="R2082"/>
  <c r="AF2082" s="1"/>
  <c r="Q2082"/>
  <c r="S2081"/>
  <c r="AG2081" s="1"/>
  <c r="R2081"/>
  <c r="AF2081" s="1"/>
  <c r="Q2081"/>
  <c r="S2080"/>
  <c r="AG2080" s="1"/>
  <c r="R2080"/>
  <c r="AF2080" s="1"/>
  <c r="Q2080"/>
  <c r="S2079"/>
  <c r="AG2079" s="1"/>
  <c r="R2079"/>
  <c r="AF2079" s="1"/>
  <c r="Q2079"/>
  <c r="S2078"/>
  <c r="AG2078" s="1"/>
  <c r="R2078"/>
  <c r="AF2078" s="1"/>
  <c r="Q2078"/>
  <c r="S2077"/>
  <c r="AG2077" s="1"/>
  <c r="R2077"/>
  <c r="AF2077" s="1"/>
  <c r="Q2077"/>
  <c r="S2076"/>
  <c r="AG2076" s="1"/>
  <c r="R2076"/>
  <c r="AF2076" s="1"/>
  <c r="Q2076"/>
  <c r="S2075"/>
  <c r="AG2075" s="1"/>
  <c r="R2075"/>
  <c r="AF2075" s="1"/>
  <c r="Q2075"/>
  <c r="S2074"/>
  <c r="AG2074" s="1"/>
  <c r="R2074"/>
  <c r="AF2074" s="1"/>
  <c r="Q2074"/>
  <c r="S2073"/>
  <c r="AG2073" s="1"/>
  <c r="R2073"/>
  <c r="AF2073" s="1"/>
  <c r="Q2073"/>
  <c r="S2072"/>
  <c r="AG2072" s="1"/>
  <c r="R2072"/>
  <c r="AF2072" s="1"/>
  <c r="Q2072"/>
  <c r="S2071"/>
  <c r="AG2071" s="1"/>
  <c r="R2071"/>
  <c r="AF2071" s="1"/>
  <c r="Q2071"/>
  <c r="S2070"/>
  <c r="AG2070" s="1"/>
  <c r="R2070"/>
  <c r="AF2070" s="1"/>
  <c r="Q2070"/>
  <c r="S2069"/>
  <c r="AG2069" s="1"/>
  <c r="R2069"/>
  <c r="AF2069" s="1"/>
  <c r="Q2069"/>
  <c r="S2068"/>
  <c r="AG2068" s="1"/>
  <c r="R2068"/>
  <c r="AF2068" s="1"/>
  <c r="Q2068"/>
  <c r="S2067"/>
  <c r="AG2067" s="1"/>
  <c r="R2067"/>
  <c r="AF2067" s="1"/>
  <c r="Q2067"/>
  <c r="S2066"/>
  <c r="AG2066" s="1"/>
  <c r="R2066"/>
  <c r="AF2066" s="1"/>
  <c r="Q2066"/>
  <c r="S2065"/>
  <c r="AG2065" s="1"/>
  <c r="R2065"/>
  <c r="AF2065" s="1"/>
  <c r="Q2065"/>
  <c r="S2064"/>
  <c r="AG2064" s="1"/>
  <c r="R2064"/>
  <c r="AF2064" s="1"/>
  <c r="Q2064"/>
  <c r="S2063"/>
  <c r="AG2063" s="1"/>
  <c r="R2063"/>
  <c r="AF2063" s="1"/>
  <c r="Q2063"/>
  <c r="S2062"/>
  <c r="AG2062" s="1"/>
  <c r="R2062"/>
  <c r="AF2062" s="1"/>
  <c r="Q2062"/>
  <c r="S2061"/>
  <c r="AG2061" s="1"/>
  <c r="R2061"/>
  <c r="AF2061" s="1"/>
  <c r="Q2061"/>
  <c r="S2060"/>
  <c r="AG2060" s="1"/>
  <c r="R2060"/>
  <c r="AF2060" s="1"/>
  <c r="Q2060"/>
  <c r="S2059"/>
  <c r="AG2059" s="1"/>
  <c r="R2059"/>
  <c r="AF2059" s="1"/>
  <c r="Q2059"/>
  <c r="S2058"/>
  <c r="AG2058" s="1"/>
  <c r="R2058"/>
  <c r="AF2058" s="1"/>
  <c r="Q2058"/>
  <c r="S2057"/>
  <c r="AG2057" s="1"/>
  <c r="R2057"/>
  <c r="AF2057" s="1"/>
  <c r="Q2057"/>
  <c r="S2056"/>
  <c r="AG2056" s="1"/>
  <c r="R2056"/>
  <c r="AF2056" s="1"/>
  <c r="Q2056"/>
  <c r="S2055"/>
  <c r="AG2055" s="1"/>
  <c r="R2055"/>
  <c r="AF2055" s="1"/>
  <c r="Q2055"/>
  <c r="S2054"/>
  <c r="AG2054" s="1"/>
  <c r="R2054"/>
  <c r="AF2054" s="1"/>
  <c r="Q2054"/>
  <c r="S2053"/>
  <c r="AG2053" s="1"/>
  <c r="R2053"/>
  <c r="AF2053" s="1"/>
  <c r="Q2053"/>
  <c r="S2052"/>
  <c r="AG2052" s="1"/>
  <c r="R2052"/>
  <c r="AF2052" s="1"/>
  <c r="Q2052"/>
  <c r="S2051"/>
  <c r="AG2051" s="1"/>
  <c r="R2051"/>
  <c r="AF2051" s="1"/>
  <c r="Q2051"/>
  <c r="S2050"/>
  <c r="AG2050" s="1"/>
  <c r="R2050"/>
  <c r="AF2050" s="1"/>
  <c r="Q2050"/>
  <c r="S2049"/>
  <c r="AG2049" s="1"/>
  <c r="R2049"/>
  <c r="AF2049" s="1"/>
  <c r="Q2049"/>
  <c r="S2048"/>
  <c r="AG2048" s="1"/>
  <c r="R2048"/>
  <c r="AF2048" s="1"/>
  <c r="Q2048"/>
  <c r="S2047"/>
  <c r="AG2047" s="1"/>
  <c r="R2047"/>
  <c r="AF2047" s="1"/>
  <c r="Q2047"/>
  <c r="S2046"/>
  <c r="AG2046" s="1"/>
  <c r="R2046"/>
  <c r="AF2046" s="1"/>
  <c r="Q2046"/>
  <c r="S2045"/>
  <c r="AG2045" s="1"/>
  <c r="R2045"/>
  <c r="AF2045" s="1"/>
  <c r="Q2045"/>
  <c r="S2044"/>
  <c r="AG2044" s="1"/>
  <c r="R2044"/>
  <c r="AF2044" s="1"/>
  <c r="Q2044"/>
  <c r="S2043"/>
  <c r="AG2043" s="1"/>
  <c r="R2043"/>
  <c r="AF2043" s="1"/>
  <c r="Q2043"/>
  <c r="S2042"/>
  <c r="AG2042" s="1"/>
  <c r="R2042"/>
  <c r="AF2042" s="1"/>
  <c r="Q2042"/>
  <c r="S2041"/>
  <c r="AG2041" s="1"/>
  <c r="R2041"/>
  <c r="AF2041" s="1"/>
  <c r="Q2041"/>
  <c r="S2040"/>
  <c r="AG2040" s="1"/>
  <c r="R2040"/>
  <c r="AF2040" s="1"/>
  <c r="Q2040"/>
  <c r="S2039"/>
  <c r="AG2039" s="1"/>
  <c r="R2039"/>
  <c r="AF2039" s="1"/>
  <c r="Q2039"/>
  <c r="S2038"/>
  <c r="AG2038" s="1"/>
  <c r="R2038"/>
  <c r="AF2038" s="1"/>
  <c r="Q2038"/>
  <c r="S2037"/>
  <c r="AG2037" s="1"/>
  <c r="R2037"/>
  <c r="AF2037" s="1"/>
  <c r="Q2037"/>
  <c r="S2036"/>
  <c r="AG2036" s="1"/>
  <c r="R2036"/>
  <c r="AF2036" s="1"/>
  <c r="Q2036"/>
  <c r="S2035"/>
  <c r="AG2035" s="1"/>
  <c r="R2035"/>
  <c r="AF2035" s="1"/>
  <c r="Q2035"/>
  <c r="S2034"/>
  <c r="AG2034" s="1"/>
  <c r="R2034"/>
  <c r="AF2034" s="1"/>
  <c r="Q2034"/>
  <c r="S2033"/>
  <c r="AG2033" s="1"/>
  <c r="R2033"/>
  <c r="AF2033" s="1"/>
  <c r="Q2033"/>
  <c r="S2032"/>
  <c r="AG2032" s="1"/>
  <c r="R2032"/>
  <c r="AF2032" s="1"/>
  <c r="Q2032"/>
  <c r="S2031"/>
  <c r="AG2031" s="1"/>
  <c r="R2031"/>
  <c r="AF2031" s="1"/>
  <c r="Q2031"/>
  <c r="S2030"/>
  <c r="AG2030" s="1"/>
  <c r="R2030"/>
  <c r="AF2030" s="1"/>
  <c r="Q2030"/>
  <c r="S2029"/>
  <c r="AG2029" s="1"/>
  <c r="R2029"/>
  <c r="AF2029" s="1"/>
  <c r="Q2029"/>
  <c r="S2028"/>
  <c r="AG2028" s="1"/>
  <c r="R2028"/>
  <c r="AF2028" s="1"/>
  <c r="Q2028"/>
  <c r="S2027"/>
  <c r="AG2027" s="1"/>
  <c r="R2027"/>
  <c r="AF2027" s="1"/>
  <c r="Q2027"/>
  <c r="S2026"/>
  <c r="AG2026" s="1"/>
  <c r="R2026"/>
  <c r="AF2026" s="1"/>
  <c r="Q2026"/>
  <c r="S2025"/>
  <c r="AG2025" s="1"/>
  <c r="R2025"/>
  <c r="AF2025" s="1"/>
  <c r="Q2025"/>
  <c r="S2024"/>
  <c r="AG2024" s="1"/>
  <c r="R2024"/>
  <c r="AF2024" s="1"/>
  <c r="Q2024"/>
  <c r="S2023"/>
  <c r="AG2023" s="1"/>
  <c r="R2023"/>
  <c r="AF2023" s="1"/>
  <c r="Q2023"/>
  <c r="S2022"/>
  <c r="AG2022" s="1"/>
  <c r="R2022"/>
  <c r="AF2022" s="1"/>
  <c r="Q2022"/>
  <c r="S2021"/>
  <c r="AG2021" s="1"/>
  <c r="R2021"/>
  <c r="AF2021" s="1"/>
  <c r="Q2021"/>
  <c r="S2020"/>
  <c r="AG2020" s="1"/>
  <c r="R2020"/>
  <c r="AF2020" s="1"/>
  <c r="Q2020"/>
  <c r="S2019"/>
  <c r="AG2019" s="1"/>
  <c r="R2019"/>
  <c r="AF2019" s="1"/>
  <c r="Q2019"/>
  <c r="S2018"/>
  <c r="AG2018" s="1"/>
  <c r="R2018"/>
  <c r="AF2018" s="1"/>
  <c r="Q2018"/>
  <c r="S2017"/>
  <c r="AG2017" s="1"/>
  <c r="R2017"/>
  <c r="AF2017" s="1"/>
  <c r="Q2017"/>
  <c r="S2016"/>
  <c r="AG2016" s="1"/>
  <c r="R2016"/>
  <c r="AF2016" s="1"/>
  <c r="Q2016"/>
  <c r="S2015"/>
  <c r="AG2015" s="1"/>
  <c r="R2015"/>
  <c r="AF2015" s="1"/>
  <c r="Q2015"/>
  <c r="S2014"/>
  <c r="AG2014" s="1"/>
  <c r="R2014"/>
  <c r="AF2014" s="1"/>
  <c r="Q2014"/>
  <c r="S2013"/>
  <c r="AG2013" s="1"/>
  <c r="R2013"/>
  <c r="AF2013" s="1"/>
  <c r="Q2013"/>
  <c r="S2012"/>
  <c r="AG2012" s="1"/>
  <c r="R2012"/>
  <c r="AF2012" s="1"/>
  <c r="Q2012"/>
  <c r="S2011"/>
  <c r="AG2011" s="1"/>
  <c r="R2011"/>
  <c r="AF2011" s="1"/>
  <c r="Q2011"/>
  <c r="S2010"/>
  <c r="AG2010" s="1"/>
  <c r="R2010"/>
  <c r="AF2010" s="1"/>
  <c r="Q2010"/>
  <c r="S2009"/>
  <c r="AG2009" s="1"/>
  <c r="R2009"/>
  <c r="AF2009" s="1"/>
  <c r="Q2009"/>
  <c r="S2008"/>
  <c r="AG2008" s="1"/>
  <c r="R2008"/>
  <c r="AF2008" s="1"/>
  <c r="Q2008"/>
  <c r="S2007"/>
  <c r="AG2007" s="1"/>
  <c r="R2007"/>
  <c r="AF2007" s="1"/>
  <c r="Q2007"/>
  <c r="S2006"/>
  <c r="AG2006" s="1"/>
  <c r="R2006"/>
  <c r="AF2006" s="1"/>
  <c r="Q2006"/>
  <c r="S2005"/>
  <c r="AG2005" s="1"/>
  <c r="R2005"/>
  <c r="AF2005" s="1"/>
  <c r="Q2005"/>
  <c r="S2004"/>
  <c r="AG2004" s="1"/>
  <c r="R2004"/>
  <c r="AF2004" s="1"/>
  <c r="Q2004"/>
  <c r="S2003"/>
  <c r="AG2003" s="1"/>
  <c r="R2003"/>
  <c r="AF2003" s="1"/>
  <c r="Q2003"/>
  <c r="S2002"/>
  <c r="AG2002" s="1"/>
  <c r="R2002"/>
  <c r="AF2002" s="1"/>
  <c r="Q2002"/>
  <c r="S2001"/>
  <c r="AG2001" s="1"/>
  <c r="R2001"/>
  <c r="AF2001" s="1"/>
  <c r="Q2001"/>
  <c r="S2000"/>
  <c r="AG2000" s="1"/>
  <c r="R2000"/>
  <c r="AF2000" s="1"/>
  <c r="Q2000"/>
  <c r="S1999"/>
  <c r="AG1999" s="1"/>
  <c r="R1999"/>
  <c r="AF1999" s="1"/>
  <c r="Q1999"/>
  <c r="S1998"/>
  <c r="AG1998" s="1"/>
  <c r="R1998"/>
  <c r="AF1998" s="1"/>
  <c r="Q1998"/>
  <c r="S1997"/>
  <c r="AG1997" s="1"/>
  <c r="R1997"/>
  <c r="AF1997" s="1"/>
  <c r="Q1997"/>
  <c r="S1996"/>
  <c r="AG1996" s="1"/>
  <c r="R1996"/>
  <c r="AF1996" s="1"/>
  <c r="Q1996"/>
  <c r="S1995"/>
  <c r="AG1995" s="1"/>
  <c r="R1995"/>
  <c r="AF1995" s="1"/>
  <c r="Q1995"/>
  <c r="S1994"/>
  <c r="AG1994" s="1"/>
  <c r="R1994"/>
  <c r="AF1994" s="1"/>
  <c r="Q1994"/>
  <c r="S1993"/>
  <c r="AG1993" s="1"/>
  <c r="R1993"/>
  <c r="AF1993" s="1"/>
  <c r="Q1993"/>
  <c r="S1992"/>
  <c r="AG1992" s="1"/>
  <c r="R1992"/>
  <c r="AF1992" s="1"/>
  <c r="Q1992"/>
  <c r="S1991"/>
  <c r="AG1991" s="1"/>
  <c r="R1991"/>
  <c r="AF1991" s="1"/>
  <c r="Q1991"/>
  <c r="S1990"/>
  <c r="AG1990" s="1"/>
  <c r="R1990"/>
  <c r="AF1990" s="1"/>
  <c r="Q1990"/>
  <c r="S1989"/>
  <c r="AG1989" s="1"/>
  <c r="R1989"/>
  <c r="AF1989" s="1"/>
  <c r="Q1989"/>
  <c r="S1988"/>
  <c r="AG1988" s="1"/>
  <c r="R1988"/>
  <c r="AF1988" s="1"/>
  <c r="Q1988"/>
  <c r="S1987"/>
  <c r="AG1987" s="1"/>
  <c r="R1987"/>
  <c r="AF1987" s="1"/>
  <c r="Q1987"/>
  <c r="S1986"/>
  <c r="AG1986" s="1"/>
  <c r="R1986"/>
  <c r="AF1986" s="1"/>
  <c r="Q1986"/>
  <c r="S1985"/>
  <c r="AG1985" s="1"/>
  <c r="R1985"/>
  <c r="AF1985" s="1"/>
  <c r="Q1985"/>
  <c r="S1984"/>
  <c r="AG1984" s="1"/>
  <c r="R1984"/>
  <c r="AF1984" s="1"/>
  <c r="Q1984"/>
  <c r="S1983"/>
  <c r="AG1983" s="1"/>
  <c r="R1983"/>
  <c r="AF1983" s="1"/>
  <c r="Q1983"/>
  <c r="S1982"/>
  <c r="AG1982" s="1"/>
  <c r="R1982"/>
  <c r="AF1982" s="1"/>
  <c r="Q1982"/>
  <c r="S1981"/>
  <c r="AG1981" s="1"/>
  <c r="R1981"/>
  <c r="AF1981" s="1"/>
  <c r="Q1981"/>
  <c r="S1980"/>
  <c r="AG1980" s="1"/>
  <c r="R1980"/>
  <c r="AF1980" s="1"/>
  <c r="Q1980"/>
  <c r="S1979"/>
  <c r="AG1979" s="1"/>
  <c r="R1979"/>
  <c r="AF1979" s="1"/>
  <c r="Q1979"/>
  <c r="S1978"/>
  <c r="AG1978" s="1"/>
  <c r="R1978"/>
  <c r="AF1978" s="1"/>
  <c r="Q1978"/>
  <c r="S1977"/>
  <c r="AG1977" s="1"/>
  <c r="R1977"/>
  <c r="AF1977" s="1"/>
  <c r="Q1977"/>
  <c r="S1976"/>
  <c r="AG1976" s="1"/>
  <c r="R1976"/>
  <c r="AF1976" s="1"/>
  <c r="Q1976"/>
  <c r="S1975"/>
  <c r="AG1975" s="1"/>
  <c r="R1975"/>
  <c r="AF1975" s="1"/>
  <c r="Q1975"/>
  <c r="S1974"/>
  <c r="AG1974" s="1"/>
  <c r="R1974"/>
  <c r="AF1974" s="1"/>
  <c r="Q1974"/>
  <c r="S1973"/>
  <c r="AG1973" s="1"/>
  <c r="R1973"/>
  <c r="AF1973" s="1"/>
  <c r="Q1973"/>
  <c r="S1972"/>
  <c r="AG1972" s="1"/>
  <c r="R1972"/>
  <c r="AF1972" s="1"/>
  <c r="Q1972"/>
  <c r="S1971"/>
  <c r="AG1971" s="1"/>
  <c r="R1971"/>
  <c r="AF1971" s="1"/>
  <c r="Q1971"/>
  <c r="S1970"/>
  <c r="AG1970" s="1"/>
  <c r="R1970"/>
  <c r="AF1970" s="1"/>
  <c r="Q1970"/>
  <c r="S1969"/>
  <c r="AG1969" s="1"/>
  <c r="R1969"/>
  <c r="AF1969" s="1"/>
  <c r="Q1969"/>
  <c r="S1968"/>
  <c r="AG1968" s="1"/>
  <c r="R1968"/>
  <c r="AF1968" s="1"/>
  <c r="Q1968"/>
  <c r="S1967"/>
  <c r="AG1967" s="1"/>
  <c r="R1967"/>
  <c r="AF1967" s="1"/>
  <c r="Q1967"/>
  <c r="S1966"/>
  <c r="AG1966" s="1"/>
  <c r="R1966"/>
  <c r="AF1966" s="1"/>
  <c r="Q1966"/>
  <c r="S1965"/>
  <c r="AG1965" s="1"/>
  <c r="R1965"/>
  <c r="AF1965" s="1"/>
  <c r="Q1965"/>
  <c r="S1964"/>
  <c r="AG1964" s="1"/>
  <c r="R1964"/>
  <c r="AF1964" s="1"/>
  <c r="Q1964"/>
  <c r="S1963"/>
  <c r="AG1963" s="1"/>
  <c r="R1963"/>
  <c r="AF1963" s="1"/>
  <c r="Q1963"/>
  <c r="S1962"/>
  <c r="AG1962" s="1"/>
  <c r="R1962"/>
  <c r="AF1962" s="1"/>
  <c r="Q1962"/>
  <c r="S1961"/>
  <c r="AG1961" s="1"/>
  <c r="R1961"/>
  <c r="AF1961" s="1"/>
  <c r="Q1961"/>
  <c r="S1960"/>
  <c r="AG1960" s="1"/>
  <c r="R1960"/>
  <c r="AF1960" s="1"/>
  <c r="Q1960"/>
  <c r="S1959"/>
  <c r="AG1959" s="1"/>
  <c r="R1959"/>
  <c r="AF1959" s="1"/>
  <c r="Q1959"/>
  <c r="S1958"/>
  <c r="AG1958" s="1"/>
  <c r="R1958"/>
  <c r="AF1958" s="1"/>
  <c r="Q1958"/>
  <c r="S1957"/>
  <c r="AG1957" s="1"/>
  <c r="R1957"/>
  <c r="AF1957" s="1"/>
  <c r="Q1957"/>
  <c r="S1956"/>
  <c r="AG1956" s="1"/>
  <c r="R1956"/>
  <c r="AF1956" s="1"/>
  <c r="Q1956"/>
  <c r="S1955"/>
  <c r="AG1955" s="1"/>
  <c r="R1955"/>
  <c r="AF1955" s="1"/>
  <c r="Q1955"/>
  <c r="S1954"/>
  <c r="AG1954" s="1"/>
  <c r="R1954"/>
  <c r="AF1954" s="1"/>
  <c r="Q1954"/>
  <c r="S1953"/>
  <c r="AG1953" s="1"/>
  <c r="R1953"/>
  <c r="AF1953" s="1"/>
  <c r="Q1953"/>
  <c r="S1952"/>
  <c r="AG1952" s="1"/>
  <c r="R1952"/>
  <c r="AF1952" s="1"/>
  <c r="Q1952"/>
  <c r="S1951"/>
  <c r="AG1951" s="1"/>
  <c r="R1951"/>
  <c r="AF1951" s="1"/>
  <c r="Q1951"/>
  <c r="S1950"/>
  <c r="AG1950" s="1"/>
  <c r="R1950"/>
  <c r="AF1950" s="1"/>
  <c r="Q1950"/>
  <c r="S1949"/>
  <c r="AG1949" s="1"/>
  <c r="R1949"/>
  <c r="AF1949" s="1"/>
  <c r="Q1949"/>
  <c r="S1948"/>
  <c r="AG1948" s="1"/>
  <c r="R1948"/>
  <c r="AF1948" s="1"/>
  <c r="Q1948"/>
  <c r="S1947"/>
  <c r="AG1947" s="1"/>
  <c r="R1947"/>
  <c r="AF1947" s="1"/>
  <c r="Q1947"/>
  <c r="S1946"/>
  <c r="AG1946" s="1"/>
  <c r="R1946"/>
  <c r="AF1946" s="1"/>
  <c r="Q1946"/>
  <c r="S1945"/>
  <c r="AG1945" s="1"/>
  <c r="R1945"/>
  <c r="AF1945" s="1"/>
  <c r="Q1945"/>
  <c r="S1944"/>
  <c r="AG1944" s="1"/>
  <c r="R1944"/>
  <c r="AF1944" s="1"/>
  <c r="Q1944"/>
  <c r="S1943"/>
  <c r="AG1943" s="1"/>
  <c r="R1943"/>
  <c r="AF1943" s="1"/>
  <c r="Q1943"/>
  <c r="S1942"/>
  <c r="AG1942" s="1"/>
  <c r="R1942"/>
  <c r="AF1942" s="1"/>
  <c r="Q1942"/>
  <c r="S1941"/>
  <c r="AG1941" s="1"/>
  <c r="R1941"/>
  <c r="AF1941" s="1"/>
  <c r="Q1941"/>
  <c r="S1940"/>
  <c r="AG1940" s="1"/>
  <c r="R1940"/>
  <c r="AF1940" s="1"/>
  <c r="Q1940"/>
  <c r="S1939"/>
  <c r="AG1939" s="1"/>
  <c r="R1939"/>
  <c r="AF1939" s="1"/>
  <c r="Q1939"/>
  <c r="S1938"/>
  <c r="AG1938" s="1"/>
  <c r="R1938"/>
  <c r="AF1938" s="1"/>
  <c r="Q1938"/>
  <c r="S1937"/>
  <c r="AG1937" s="1"/>
  <c r="R1937"/>
  <c r="AF1937" s="1"/>
  <c r="Q1937"/>
  <c r="S1936"/>
  <c r="AG1936" s="1"/>
  <c r="R1936"/>
  <c r="AF1936" s="1"/>
  <c r="Q1936"/>
  <c r="S1935"/>
  <c r="AG1935" s="1"/>
  <c r="R1935"/>
  <c r="AF1935" s="1"/>
  <c r="Q1935"/>
  <c r="S1934"/>
  <c r="AG1934" s="1"/>
  <c r="R1934"/>
  <c r="AF1934" s="1"/>
  <c r="Q1934"/>
  <c r="S1933"/>
  <c r="AG1933" s="1"/>
  <c r="R1933"/>
  <c r="AF1933" s="1"/>
  <c r="Q1933"/>
  <c r="S1932"/>
  <c r="AG1932" s="1"/>
  <c r="R1932"/>
  <c r="AF1932" s="1"/>
  <c r="Q1932"/>
  <c r="S1931"/>
  <c r="AG1931" s="1"/>
  <c r="R1931"/>
  <c r="AF1931" s="1"/>
  <c r="Q1931"/>
  <c r="S1930"/>
  <c r="AG1930" s="1"/>
  <c r="R1930"/>
  <c r="AF1930" s="1"/>
  <c r="Q1930"/>
  <c r="S1929"/>
  <c r="AG1929" s="1"/>
  <c r="R1929"/>
  <c r="AF1929" s="1"/>
  <c r="Q1929"/>
  <c r="S1928"/>
  <c r="AG1928" s="1"/>
  <c r="R1928"/>
  <c r="AF1928" s="1"/>
  <c r="Q1928"/>
  <c r="S1927"/>
  <c r="AG1927" s="1"/>
  <c r="R1927"/>
  <c r="AF1927" s="1"/>
  <c r="Q1927"/>
  <c r="S1926"/>
  <c r="AG1926" s="1"/>
  <c r="R1926"/>
  <c r="AF1926" s="1"/>
  <c r="Q1926"/>
  <c r="S1925"/>
  <c r="AG1925" s="1"/>
  <c r="R1925"/>
  <c r="AF1925" s="1"/>
  <c r="Q1925"/>
  <c r="S1924"/>
  <c r="AG1924" s="1"/>
  <c r="R1924"/>
  <c r="AF1924" s="1"/>
  <c r="Q1924"/>
  <c r="S1923"/>
  <c r="AG1923" s="1"/>
  <c r="R1923"/>
  <c r="AF1923" s="1"/>
  <c r="Q1923"/>
  <c r="S1922"/>
  <c r="AG1922" s="1"/>
  <c r="R1922"/>
  <c r="AF1922" s="1"/>
  <c r="Q1922"/>
  <c r="S1921"/>
  <c r="AG1921" s="1"/>
  <c r="R1921"/>
  <c r="AF1921" s="1"/>
  <c r="Q1921"/>
  <c r="S1920"/>
  <c r="AG1920" s="1"/>
  <c r="R1920"/>
  <c r="AF1920" s="1"/>
  <c r="Q1920"/>
  <c r="S1919"/>
  <c r="AG1919" s="1"/>
  <c r="R1919"/>
  <c r="AF1919" s="1"/>
  <c r="Q1919"/>
  <c r="S1918"/>
  <c r="AG1918" s="1"/>
  <c r="R1918"/>
  <c r="AF1918" s="1"/>
  <c r="Q1918"/>
  <c r="S1917"/>
  <c r="AG1917" s="1"/>
  <c r="R1917"/>
  <c r="AF1917" s="1"/>
  <c r="Q1917"/>
  <c r="S1916"/>
  <c r="AG1916" s="1"/>
  <c r="R1916"/>
  <c r="AF1916" s="1"/>
  <c r="Q1916"/>
  <c r="S1915"/>
  <c r="AG1915" s="1"/>
  <c r="R1915"/>
  <c r="AF1915" s="1"/>
  <c r="Q1915"/>
  <c r="S1914"/>
  <c r="AG1914" s="1"/>
  <c r="R1914"/>
  <c r="AF1914" s="1"/>
  <c r="Q1914"/>
  <c r="S1913"/>
  <c r="AG1913" s="1"/>
  <c r="R1913"/>
  <c r="AF1913" s="1"/>
  <c r="Q1913"/>
  <c r="S1912"/>
  <c r="AG1912" s="1"/>
  <c r="R1912"/>
  <c r="AF1912" s="1"/>
  <c r="Q1912"/>
  <c r="S1911"/>
  <c r="AG1911" s="1"/>
  <c r="R1911"/>
  <c r="AF1911" s="1"/>
  <c r="Q1911"/>
  <c r="S1910"/>
  <c r="AG1910" s="1"/>
  <c r="R1910"/>
  <c r="AF1910" s="1"/>
  <c r="Q1910"/>
  <c r="S1909"/>
  <c r="AG1909" s="1"/>
  <c r="R1909"/>
  <c r="AF1909" s="1"/>
  <c r="Q1909"/>
  <c r="S1908"/>
  <c r="AG1908" s="1"/>
  <c r="R1908"/>
  <c r="AF1908" s="1"/>
  <c r="Q1908"/>
  <c r="S1907"/>
  <c r="AG1907" s="1"/>
  <c r="R1907"/>
  <c r="AF1907" s="1"/>
  <c r="Q1907"/>
  <c r="S1906"/>
  <c r="AG1906" s="1"/>
  <c r="R1906"/>
  <c r="AF1906" s="1"/>
  <c r="Q1906"/>
  <c r="S1905"/>
  <c r="AG1905" s="1"/>
  <c r="R1905"/>
  <c r="AF1905" s="1"/>
  <c r="Q1905"/>
  <c r="S1904"/>
  <c r="AG1904" s="1"/>
  <c r="R1904"/>
  <c r="AF1904" s="1"/>
  <c r="Q1904"/>
  <c r="S1903"/>
  <c r="AG1903" s="1"/>
  <c r="R1903"/>
  <c r="AF1903" s="1"/>
  <c r="Q1903"/>
  <c r="S1902"/>
  <c r="AG1902" s="1"/>
  <c r="R1902"/>
  <c r="AF1902" s="1"/>
  <c r="Q1902"/>
  <c r="S1901"/>
  <c r="AG1901" s="1"/>
  <c r="R1901"/>
  <c r="AF1901" s="1"/>
  <c r="Q1901"/>
  <c r="S1900"/>
  <c r="AG1900" s="1"/>
  <c r="R1900"/>
  <c r="AF1900" s="1"/>
  <c r="Q1900"/>
  <c r="S1899"/>
  <c r="AG1899" s="1"/>
  <c r="R1899"/>
  <c r="AF1899" s="1"/>
  <c r="Q1899"/>
  <c r="S1898"/>
  <c r="AG1898" s="1"/>
  <c r="R1898"/>
  <c r="AF1898" s="1"/>
  <c r="Q1898"/>
  <c r="S1897"/>
  <c r="AG1897" s="1"/>
  <c r="R1897"/>
  <c r="AF1897" s="1"/>
  <c r="Q1897"/>
  <c r="S1896"/>
  <c r="AG1896" s="1"/>
  <c r="R1896"/>
  <c r="AF1896" s="1"/>
  <c r="Q1896"/>
  <c r="S1895"/>
  <c r="AG1895" s="1"/>
  <c r="R1895"/>
  <c r="AF1895" s="1"/>
  <c r="Q1895"/>
  <c r="S1894"/>
  <c r="AG1894" s="1"/>
  <c r="R1894"/>
  <c r="AF1894" s="1"/>
  <c r="Q1894"/>
  <c r="S1893"/>
  <c r="AG1893" s="1"/>
  <c r="R1893"/>
  <c r="AF1893" s="1"/>
  <c r="Q1893"/>
  <c r="S1892"/>
  <c r="AG1892" s="1"/>
  <c r="R1892"/>
  <c r="AF1892" s="1"/>
  <c r="Q1892"/>
  <c r="S1891"/>
  <c r="AG1891" s="1"/>
  <c r="R1891"/>
  <c r="AF1891" s="1"/>
  <c r="Q1891"/>
  <c r="S1890"/>
  <c r="AG1890" s="1"/>
  <c r="R1890"/>
  <c r="AF1890" s="1"/>
  <c r="Q1890"/>
  <c r="S1889"/>
  <c r="AG1889" s="1"/>
  <c r="R1889"/>
  <c r="AF1889" s="1"/>
  <c r="Q1889"/>
  <c r="S1888"/>
  <c r="AG1888" s="1"/>
  <c r="R1888"/>
  <c r="AF1888" s="1"/>
  <c r="Q1888"/>
  <c r="S1887"/>
  <c r="AG1887" s="1"/>
  <c r="R1887"/>
  <c r="AF1887" s="1"/>
  <c r="Q1887"/>
  <c r="S1886"/>
  <c r="AG1886" s="1"/>
  <c r="R1886"/>
  <c r="AF1886" s="1"/>
  <c r="Q1886"/>
  <c r="S1885"/>
  <c r="AG1885" s="1"/>
  <c r="R1885"/>
  <c r="AF1885" s="1"/>
  <c r="Q1885"/>
  <c r="S1884"/>
  <c r="AG1884" s="1"/>
  <c r="R1884"/>
  <c r="AF1884" s="1"/>
  <c r="Q1884"/>
  <c r="S1883"/>
  <c r="AG1883" s="1"/>
  <c r="R1883"/>
  <c r="AF1883" s="1"/>
  <c r="Q1883"/>
  <c r="S1882"/>
  <c r="AG1882" s="1"/>
  <c r="R1882"/>
  <c r="AF1882" s="1"/>
  <c r="Q1882"/>
  <c r="S1881"/>
  <c r="AG1881" s="1"/>
  <c r="R1881"/>
  <c r="AF1881" s="1"/>
  <c r="Q1881"/>
  <c r="S1880"/>
  <c r="AG1880" s="1"/>
  <c r="R1880"/>
  <c r="AF1880" s="1"/>
  <c r="Q1880"/>
  <c r="S1879"/>
  <c r="AG1879" s="1"/>
  <c r="R1879"/>
  <c r="AF1879" s="1"/>
  <c r="Q1879"/>
  <c r="S1878"/>
  <c r="AG1878" s="1"/>
  <c r="R1878"/>
  <c r="AF1878" s="1"/>
  <c r="Q1878"/>
  <c r="S1877"/>
  <c r="AG1877" s="1"/>
  <c r="R1877"/>
  <c r="AF1877" s="1"/>
  <c r="Q1877"/>
  <c r="S1876"/>
  <c r="AG1876" s="1"/>
  <c r="R1876"/>
  <c r="AF1876" s="1"/>
  <c r="Q1876"/>
  <c r="S1875"/>
  <c r="AG1875" s="1"/>
  <c r="R1875"/>
  <c r="AF1875" s="1"/>
  <c r="Q1875"/>
  <c r="S1874"/>
  <c r="AG1874" s="1"/>
  <c r="R1874"/>
  <c r="AF1874" s="1"/>
  <c r="Q1874"/>
  <c r="S1873"/>
  <c r="AG1873" s="1"/>
  <c r="R1873"/>
  <c r="AF1873" s="1"/>
  <c r="Q1873"/>
  <c r="S1872"/>
  <c r="AG1872" s="1"/>
  <c r="R1872"/>
  <c r="AF1872" s="1"/>
  <c r="Q1872"/>
  <c r="S1871"/>
  <c r="AG1871" s="1"/>
  <c r="R1871"/>
  <c r="AF1871" s="1"/>
  <c r="Q1871"/>
  <c r="S1870"/>
  <c r="AG1870" s="1"/>
  <c r="R1870"/>
  <c r="AF1870" s="1"/>
  <c r="Q1870"/>
  <c r="S1869"/>
  <c r="AG1869" s="1"/>
  <c r="R1869"/>
  <c r="AF1869" s="1"/>
  <c r="Q1869"/>
  <c r="S1868"/>
  <c r="AG1868" s="1"/>
  <c r="R1868"/>
  <c r="AF1868" s="1"/>
  <c r="Q1868"/>
  <c r="S1867"/>
  <c r="AG1867" s="1"/>
  <c r="R1867"/>
  <c r="AF1867" s="1"/>
  <c r="Q1867"/>
  <c r="S1866"/>
  <c r="AG1866" s="1"/>
  <c r="R1866"/>
  <c r="AF1866" s="1"/>
  <c r="Q1866"/>
  <c r="S1865"/>
  <c r="AG1865" s="1"/>
  <c r="R1865"/>
  <c r="AF1865" s="1"/>
  <c r="Q1865"/>
  <c r="S1864"/>
  <c r="AG1864" s="1"/>
  <c r="R1864"/>
  <c r="AF1864" s="1"/>
  <c r="Q1864"/>
  <c r="S1863"/>
  <c r="AG1863" s="1"/>
  <c r="R1863"/>
  <c r="AF1863" s="1"/>
  <c r="Q1863"/>
  <c r="S1862"/>
  <c r="AG1862" s="1"/>
  <c r="R1862"/>
  <c r="AF1862" s="1"/>
  <c r="Q1862"/>
  <c r="S1861"/>
  <c r="AG1861" s="1"/>
  <c r="R1861"/>
  <c r="AF1861" s="1"/>
  <c r="Q1861"/>
  <c r="S1860"/>
  <c r="AG1860" s="1"/>
  <c r="R1860"/>
  <c r="AF1860" s="1"/>
  <c r="Q1860"/>
  <c r="S1859"/>
  <c r="AG1859" s="1"/>
  <c r="R1859"/>
  <c r="AF1859" s="1"/>
  <c r="Q1859"/>
  <c r="S1858"/>
  <c r="AG1858" s="1"/>
  <c r="R1858"/>
  <c r="AF1858" s="1"/>
  <c r="Q1858"/>
  <c r="S1857"/>
  <c r="AG1857" s="1"/>
  <c r="R1857"/>
  <c r="AF1857" s="1"/>
  <c r="Q1857"/>
  <c r="S1856"/>
  <c r="AG1856" s="1"/>
  <c r="R1856"/>
  <c r="AF1856" s="1"/>
  <c r="Q1856"/>
  <c r="S1855"/>
  <c r="AG1855" s="1"/>
  <c r="R1855"/>
  <c r="AF1855" s="1"/>
  <c r="Q1855"/>
  <c r="S1854"/>
  <c r="R1854"/>
  <c r="AF1854" s="1"/>
  <c r="Q1854"/>
  <c r="S1853"/>
  <c r="AG1853" s="1"/>
  <c r="R1853"/>
  <c r="AF1853" s="1"/>
  <c r="Q1853"/>
  <c r="S1852"/>
  <c r="AG1852" s="1"/>
  <c r="R1852"/>
  <c r="AF1852" s="1"/>
  <c r="Q1852"/>
  <c r="S1851"/>
  <c r="AG1851" s="1"/>
  <c r="R1851"/>
  <c r="AF1851" s="1"/>
  <c r="Q1851"/>
  <c r="S1850"/>
  <c r="AG1850" s="1"/>
  <c r="R1850"/>
  <c r="AF1850" s="1"/>
  <c r="Q1850"/>
  <c r="S1849"/>
  <c r="R1849"/>
  <c r="Q1849"/>
  <c r="S1848"/>
  <c r="AG1848" s="1"/>
  <c r="R1848"/>
  <c r="AF1848" s="1"/>
  <c r="Q1848"/>
  <c r="S1847"/>
  <c r="AG1847" s="1"/>
  <c r="R1847"/>
  <c r="AF1847" s="1"/>
  <c r="Q1847"/>
  <c r="S1846"/>
  <c r="AG1846" s="1"/>
  <c r="R1846"/>
  <c r="AF1846" s="1"/>
  <c r="Q1846"/>
  <c r="S1845"/>
  <c r="AG1845" s="1"/>
  <c r="R1845"/>
  <c r="AF1845" s="1"/>
  <c r="Q1845"/>
  <c r="S1844"/>
  <c r="AG1844" s="1"/>
  <c r="R1844"/>
  <c r="AF1844" s="1"/>
  <c r="Q1844"/>
  <c r="S1843"/>
  <c r="AG1843" s="1"/>
  <c r="R1843"/>
  <c r="AF1843" s="1"/>
  <c r="Q1843"/>
  <c r="S1842"/>
  <c r="AG1842" s="1"/>
  <c r="R1842"/>
  <c r="AF1842" s="1"/>
  <c r="Q1842"/>
  <c r="S1841"/>
  <c r="AG1841" s="1"/>
  <c r="R1841"/>
  <c r="AF1841" s="1"/>
  <c r="Q1841"/>
  <c r="S1840"/>
  <c r="AG1840" s="1"/>
  <c r="R1840"/>
  <c r="AF1840" s="1"/>
  <c r="Q1840"/>
  <c r="S1839"/>
  <c r="AG1839" s="1"/>
  <c r="R1839"/>
  <c r="AF1839" s="1"/>
  <c r="Q1839"/>
  <c r="S1838"/>
  <c r="AG1838" s="1"/>
  <c r="R1838"/>
  <c r="AF1838" s="1"/>
  <c r="Q1838"/>
  <c r="S1837"/>
  <c r="AG1837" s="1"/>
  <c r="R1837"/>
  <c r="AF1837" s="1"/>
  <c r="Q1837"/>
  <c r="S1836"/>
  <c r="AG1836" s="1"/>
  <c r="R1836"/>
  <c r="AF1836" s="1"/>
  <c r="Q1836"/>
  <c r="S1835"/>
  <c r="AG1835" s="1"/>
  <c r="R1835"/>
  <c r="AF1835" s="1"/>
  <c r="Q1835"/>
  <c r="S1834"/>
  <c r="AG1834" s="1"/>
  <c r="R1834"/>
  <c r="AF1834" s="1"/>
  <c r="Q1834"/>
  <c r="S1833"/>
  <c r="AG1833" s="1"/>
  <c r="R1833"/>
  <c r="AF1833" s="1"/>
  <c r="Q1833"/>
  <c r="S1832"/>
  <c r="AG1832" s="1"/>
  <c r="R1832"/>
  <c r="AF1832" s="1"/>
  <c r="Q1832"/>
  <c r="S1831"/>
  <c r="AG1831" s="1"/>
  <c r="R1831"/>
  <c r="AF1831" s="1"/>
  <c r="Q1831"/>
  <c r="S1830"/>
  <c r="AG1830" s="1"/>
  <c r="R1830"/>
  <c r="AF1830" s="1"/>
  <c r="Q1830"/>
  <c r="S1829"/>
  <c r="AG1829" s="1"/>
  <c r="R1829"/>
  <c r="AF1829" s="1"/>
  <c r="Q1829"/>
  <c r="S1828"/>
  <c r="AG1828" s="1"/>
  <c r="R1828"/>
  <c r="AF1828" s="1"/>
  <c r="Q1828"/>
  <c r="S1827"/>
  <c r="AG1827" s="1"/>
  <c r="R1827"/>
  <c r="AF1827" s="1"/>
  <c r="Q1827"/>
  <c r="S1826"/>
  <c r="AG1826" s="1"/>
  <c r="R1826"/>
  <c r="AF1826" s="1"/>
  <c r="Q1826"/>
  <c r="S1825"/>
  <c r="AG1825" s="1"/>
  <c r="R1825"/>
  <c r="AF1825" s="1"/>
  <c r="Q1825"/>
  <c r="S1824"/>
  <c r="AG1824" s="1"/>
  <c r="R1824"/>
  <c r="AF1824" s="1"/>
  <c r="Q1824"/>
  <c r="S1823"/>
  <c r="AG1823" s="1"/>
  <c r="R1823"/>
  <c r="AF1823" s="1"/>
  <c r="Q1823"/>
  <c r="S1822"/>
  <c r="AG1822" s="1"/>
  <c r="R1822"/>
  <c r="AF1822" s="1"/>
  <c r="Q1822"/>
  <c r="S1821"/>
  <c r="AG1821" s="1"/>
  <c r="R1821"/>
  <c r="AF1821" s="1"/>
  <c r="Q1821"/>
  <c r="S1820"/>
  <c r="AG1820" s="1"/>
  <c r="R1820"/>
  <c r="AF1820" s="1"/>
  <c r="Q1820"/>
  <c r="S1819"/>
  <c r="AG1819" s="1"/>
  <c r="R1819"/>
  <c r="AF1819" s="1"/>
  <c r="Q1819"/>
  <c r="S1818"/>
  <c r="AG1818" s="1"/>
  <c r="R1818"/>
  <c r="AF1818" s="1"/>
  <c r="Q1818"/>
  <c r="S1817"/>
  <c r="AG1817" s="1"/>
  <c r="R1817"/>
  <c r="AF1817" s="1"/>
  <c r="Q1817"/>
  <c r="S1816"/>
  <c r="AG1816" s="1"/>
  <c r="R1816"/>
  <c r="AF1816" s="1"/>
  <c r="Q1816"/>
  <c r="S1815"/>
  <c r="AG1815" s="1"/>
  <c r="R1815"/>
  <c r="AF1815" s="1"/>
  <c r="Q1815"/>
  <c r="S1814"/>
  <c r="AG1814" s="1"/>
  <c r="R1814"/>
  <c r="AF1814" s="1"/>
  <c r="Q1814"/>
  <c r="S1813"/>
  <c r="AG1813" s="1"/>
  <c r="R1813"/>
  <c r="AF1813" s="1"/>
  <c r="Q1813"/>
  <c r="S1812"/>
  <c r="AG1812" s="1"/>
  <c r="R1812"/>
  <c r="AF1812" s="1"/>
  <c r="Q1812"/>
  <c r="S1811"/>
  <c r="AG1811" s="1"/>
  <c r="R1811"/>
  <c r="AF1811" s="1"/>
  <c r="Q1811"/>
  <c r="S1810"/>
  <c r="AG1810" s="1"/>
  <c r="R1810"/>
  <c r="AF1810" s="1"/>
  <c r="Q1810"/>
  <c r="S1809"/>
  <c r="AG1809" s="1"/>
  <c r="R1809"/>
  <c r="AF1809" s="1"/>
  <c r="Q1809"/>
  <c r="S1808"/>
  <c r="AG1808" s="1"/>
  <c r="R1808"/>
  <c r="AF1808" s="1"/>
  <c r="Q1808"/>
  <c r="S1807"/>
  <c r="AG1807" s="1"/>
  <c r="R1807"/>
  <c r="AF1807" s="1"/>
  <c r="Q1807"/>
  <c r="S1806"/>
  <c r="AG1806" s="1"/>
  <c r="R1806"/>
  <c r="AF1806" s="1"/>
  <c r="Q1806"/>
  <c r="S1805"/>
  <c r="AG1805" s="1"/>
  <c r="R1805"/>
  <c r="AF1805" s="1"/>
  <c r="Q1805"/>
  <c r="S1804"/>
  <c r="AG1804" s="1"/>
  <c r="R1804"/>
  <c r="AF1804" s="1"/>
  <c r="Q1804"/>
  <c r="S1803"/>
  <c r="R1803"/>
  <c r="Q1803"/>
  <c r="S1802"/>
  <c r="AG1802" s="1"/>
  <c r="R1802"/>
  <c r="AF1802" s="1"/>
  <c r="Q1802"/>
  <c r="S1801"/>
  <c r="AG1801" s="1"/>
  <c r="R1801"/>
  <c r="AF1801" s="1"/>
  <c r="Q1801"/>
  <c r="S1800"/>
  <c r="AG1800" s="1"/>
  <c r="R1800"/>
  <c r="AF1800" s="1"/>
  <c r="Q1800"/>
  <c r="S1799"/>
  <c r="AG1799" s="1"/>
  <c r="R1799"/>
  <c r="AF1799" s="1"/>
  <c r="Q1799"/>
  <c r="S1798"/>
  <c r="AG1798" s="1"/>
  <c r="R1798"/>
  <c r="AF1798" s="1"/>
  <c r="Q1798"/>
  <c r="S1797"/>
  <c r="AG1797" s="1"/>
  <c r="R1797"/>
  <c r="AF1797" s="1"/>
  <c r="Q1797"/>
  <c r="S1796"/>
  <c r="AG1796" s="1"/>
  <c r="Q1796"/>
  <c r="S1795"/>
  <c r="AG1795" s="1"/>
  <c r="R1795"/>
  <c r="AF1795" s="1"/>
  <c r="Q1795"/>
  <c r="S1794"/>
  <c r="AG1794" s="1"/>
  <c r="R1794"/>
  <c r="AF1794" s="1"/>
  <c r="Q1794"/>
  <c r="Q1793"/>
  <c r="Q1792"/>
  <c r="Q1791"/>
  <c r="Q1790"/>
  <c r="Q1789"/>
  <c r="Q1788"/>
  <c r="Q1787"/>
  <c r="Q1786"/>
  <c r="Q1785"/>
  <c r="Q1784"/>
  <c r="Q1783"/>
  <c r="Q1782"/>
  <c r="Q1781"/>
  <c r="Q1780"/>
  <c r="Q1779"/>
  <c r="S1778"/>
  <c r="AG1778" s="1"/>
  <c r="R1778"/>
  <c r="AF1778" s="1"/>
  <c r="Q1778"/>
  <c r="S1777"/>
  <c r="AG1777" s="1"/>
  <c r="R1777"/>
  <c r="AF1777" s="1"/>
  <c r="Q1777"/>
  <c r="S1776"/>
  <c r="AG1776" s="1"/>
  <c r="R1776"/>
  <c r="AF1776" s="1"/>
  <c r="Q1776"/>
  <c r="S1775"/>
  <c r="AG1775" s="1"/>
  <c r="R1775"/>
  <c r="AF1775" s="1"/>
  <c r="Q1775"/>
  <c r="S1774"/>
  <c r="AG1774" s="1"/>
  <c r="R1774"/>
  <c r="AF1774" s="1"/>
  <c r="Q1774"/>
  <c r="S1773"/>
  <c r="AG1773" s="1"/>
  <c r="R1773"/>
  <c r="AF1773" s="1"/>
  <c r="Q1773"/>
  <c r="S1772"/>
  <c r="AG1772" s="1"/>
  <c r="R1772"/>
  <c r="AF1772" s="1"/>
  <c r="Q1772"/>
  <c r="S1771"/>
  <c r="AG1771" s="1"/>
  <c r="R1771"/>
  <c r="AF1771" s="1"/>
  <c r="Q1771"/>
  <c r="S1770"/>
  <c r="AG1770" s="1"/>
  <c r="R1770"/>
  <c r="AF1770" s="1"/>
  <c r="Q1770"/>
  <c r="S1769"/>
  <c r="AG1769" s="1"/>
  <c r="R1769"/>
  <c r="AF1769" s="1"/>
  <c r="Q1769"/>
  <c r="S1768"/>
  <c r="AG1768" s="1"/>
  <c r="R1768"/>
  <c r="AF1768" s="1"/>
  <c r="Q1768"/>
  <c r="S1767"/>
  <c r="AG1767" s="1"/>
  <c r="R1767"/>
  <c r="AF1767" s="1"/>
  <c r="Q1767"/>
  <c r="S1766"/>
  <c r="AG1766" s="1"/>
  <c r="R1766"/>
  <c r="AF1766" s="1"/>
  <c r="Q1766"/>
  <c r="S1765"/>
  <c r="AG1765" s="1"/>
  <c r="R1765"/>
  <c r="AF1765" s="1"/>
  <c r="Q1765"/>
  <c r="S1764"/>
  <c r="AG1764" s="1"/>
  <c r="R1764"/>
  <c r="AF1764" s="1"/>
  <c r="Q1764"/>
  <c r="S1763"/>
  <c r="AG1763" s="1"/>
  <c r="R1763"/>
  <c r="AF1763" s="1"/>
  <c r="Q1763"/>
  <c r="S1762"/>
  <c r="AG1762" s="1"/>
  <c r="R1762"/>
  <c r="AF1762" s="1"/>
  <c r="Q1762"/>
  <c r="S1761"/>
  <c r="AG1761" s="1"/>
  <c r="R1761"/>
  <c r="AF1761" s="1"/>
  <c r="Q1761"/>
  <c r="S1760"/>
  <c r="AG1760" s="1"/>
  <c r="R1760"/>
  <c r="AF1760" s="1"/>
  <c r="Q1760"/>
  <c r="S1759"/>
  <c r="AG1759" s="1"/>
  <c r="R1759"/>
  <c r="AF1759" s="1"/>
  <c r="Q1759"/>
  <c r="S1758"/>
  <c r="AG1758" s="1"/>
  <c r="R1758"/>
  <c r="AF1758" s="1"/>
  <c r="Q1758"/>
  <c r="S1757"/>
  <c r="AG1757" s="1"/>
  <c r="R1757"/>
  <c r="AF1757" s="1"/>
  <c r="Q1757"/>
  <c r="S1756"/>
  <c r="AG1756" s="1"/>
  <c r="R1756"/>
  <c r="AF1756" s="1"/>
  <c r="Q1756"/>
  <c r="S1755"/>
  <c r="AG1755" s="1"/>
  <c r="R1755"/>
  <c r="AF1755" s="1"/>
  <c r="Q1755"/>
  <c r="S1754"/>
  <c r="AG1754" s="1"/>
  <c r="R1754"/>
  <c r="AF1754" s="1"/>
  <c r="Q1754"/>
  <c r="S1753"/>
  <c r="AG1753" s="1"/>
  <c r="R1753"/>
  <c r="AF1753" s="1"/>
  <c r="Q1753"/>
  <c r="S1752"/>
  <c r="AG1752" s="1"/>
  <c r="R1752"/>
  <c r="AF1752" s="1"/>
  <c r="Q1752"/>
  <c r="S1751"/>
  <c r="AG1751" s="1"/>
  <c r="R1751"/>
  <c r="AF1751" s="1"/>
  <c r="Q1751"/>
  <c r="S1750"/>
  <c r="AG1750" s="1"/>
  <c r="R1750"/>
  <c r="AF1750" s="1"/>
  <c r="Q1750"/>
  <c r="S1749"/>
  <c r="AG1749" s="1"/>
  <c r="R1749"/>
  <c r="AF1749" s="1"/>
  <c r="Q1749"/>
  <c r="S1748"/>
  <c r="AG1748" s="1"/>
  <c r="R1748"/>
  <c r="AF1748" s="1"/>
  <c r="Q1748"/>
  <c r="S1747"/>
  <c r="AG1747" s="1"/>
  <c r="R1747"/>
  <c r="AF1747" s="1"/>
  <c r="Q1747"/>
  <c r="S1746"/>
  <c r="AG1746" s="1"/>
  <c r="R1746"/>
  <c r="AF1746" s="1"/>
  <c r="Q1746"/>
  <c r="S1745"/>
  <c r="AG1745" s="1"/>
  <c r="R1745"/>
  <c r="AF1745" s="1"/>
  <c r="Q1745"/>
  <c r="S1744"/>
  <c r="AG1744" s="1"/>
  <c r="R1744"/>
  <c r="AF1744" s="1"/>
  <c r="Q1744"/>
  <c r="S1743"/>
  <c r="AG1743" s="1"/>
  <c r="R1743"/>
  <c r="AF1743" s="1"/>
  <c r="Q1743"/>
  <c r="S1742"/>
  <c r="AG1742" s="1"/>
  <c r="R1742"/>
  <c r="AF1742" s="1"/>
  <c r="Q1742"/>
  <c r="S1741"/>
  <c r="AG1741" s="1"/>
  <c r="R1741"/>
  <c r="AF1741" s="1"/>
  <c r="Q1741"/>
  <c r="S1740"/>
  <c r="AG1740" s="1"/>
  <c r="R1740"/>
  <c r="AF1740" s="1"/>
  <c r="Q1740"/>
  <c r="S1739"/>
  <c r="AG1739" s="1"/>
  <c r="R1739"/>
  <c r="AF1739" s="1"/>
  <c r="Q1739"/>
  <c r="S1738"/>
  <c r="AG1738" s="1"/>
  <c r="R1738"/>
  <c r="AF1738" s="1"/>
  <c r="Q1738"/>
  <c r="S1737"/>
  <c r="AG1737" s="1"/>
  <c r="R1737"/>
  <c r="AF1737" s="1"/>
  <c r="Q1737"/>
  <c r="S1736"/>
  <c r="AG1736" s="1"/>
  <c r="R1736"/>
  <c r="AF1736" s="1"/>
  <c r="Q1736"/>
  <c r="S1735"/>
  <c r="AG1735" s="1"/>
  <c r="R1735"/>
  <c r="AF1735" s="1"/>
  <c r="Q1735"/>
  <c r="S1734"/>
  <c r="AG1734" s="1"/>
  <c r="R1734"/>
  <c r="AF1734" s="1"/>
  <c r="Q1734"/>
  <c r="S1733"/>
  <c r="AG1733" s="1"/>
  <c r="R1733"/>
  <c r="AF1733" s="1"/>
  <c r="Q1733"/>
  <c r="S1732"/>
  <c r="AG1732" s="1"/>
  <c r="R1732"/>
  <c r="AF1732" s="1"/>
  <c r="Q1732"/>
  <c r="S1731"/>
  <c r="AG1731" s="1"/>
  <c r="R1731"/>
  <c r="AF1731" s="1"/>
  <c r="Q1731"/>
  <c r="S1730"/>
  <c r="AG1730" s="1"/>
  <c r="R1730"/>
  <c r="AF1730" s="1"/>
  <c r="Q1730"/>
  <c r="S1729"/>
  <c r="AG1729" s="1"/>
  <c r="R1729"/>
  <c r="AF1729" s="1"/>
  <c r="Q1729"/>
  <c r="S1728"/>
  <c r="AG1728" s="1"/>
  <c r="R1728"/>
  <c r="AF1728" s="1"/>
  <c r="Q1728"/>
  <c r="S1727"/>
  <c r="AG1727" s="1"/>
  <c r="R1727"/>
  <c r="AF1727" s="1"/>
  <c r="Q1727"/>
  <c r="S1726"/>
  <c r="AG1726" s="1"/>
  <c r="R1726"/>
  <c r="AF1726" s="1"/>
  <c r="Q1726"/>
  <c r="S1725"/>
  <c r="AG1725" s="1"/>
  <c r="R1725"/>
  <c r="AF1725" s="1"/>
  <c r="Q1725"/>
  <c r="S1724"/>
  <c r="AG1724" s="1"/>
  <c r="R1724"/>
  <c r="AF1724" s="1"/>
  <c r="Q1724"/>
  <c r="S1723"/>
  <c r="AG1723" s="1"/>
  <c r="R1723"/>
  <c r="AF1723" s="1"/>
  <c r="Q1723"/>
  <c r="S1722"/>
  <c r="AG1722" s="1"/>
  <c r="R1722"/>
  <c r="AF1722" s="1"/>
  <c r="Q1722"/>
  <c r="R1721"/>
  <c r="S1720"/>
  <c r="AG1720" s="1"/>
  <c r="R1720"/>
  <c r="AF1720" s="1"/>
  <c r="Q1720"/>
  <c r="S1719"/>
  <c r="AG1719" s="1"/>
  <c r="R1719"/>
  <c r="AF1719" s="1"/>
  <c r="Q1719"/>
  <c r="S1718"/>
  <c r="AG1718" s="1"/>
  <c r="R1718"/>
  <c r="AF1718" s="1"/>
  <c r="Q1718"/>
  <c r="S1717"/>
  <c r="AG1717" s="1"/>
  <c r="R1717"/>
  <c r="AF1717" s="1"/>
  <c r="Q1717"/>
  <c r="S1716"/>
  <c r="AG1716" s="1"/>
  <c r="R1716"/>
  <c r="AF1716" s="1"/>
  <c r="Q1716"/>
  <c r="S1715"/>
  <c r="AG1715" s="1"/>
  <c r="R1715"/>
  <c r="AF1715" s="1"/>
  <c r="Q1715"/>
  <c r="S1714"/>
  <c r="AG1714" s="1"/>
  <c r="R1714"/>
  <c r="AF1714" s="1"/>
  <c r="Q1714"/>
  <c r="S1713"/>
  <c r="AG1713" s="1"/>
  <c r="R1713"/>
  <c r="AF1713" s="1"/>
  <c r="Q1713"/>
  <c r="S1712"/>
  <c r="AG1712" s="1"/>
  <c r="R1712"/>
  <c r="AF1712" s="1"/>
  <c r="Q1712"/>
  <c r="S1711"/>
  <c r="AG1711" s="1"/>
  <c r="R1711"/>
  <c r="AF1711" s="1"/>
  <c r="Q1711"/>
  <c r="S1710"/>
  <c r="AG1710" s="1"/>
  <c r="R1710"/>
  <c r="AF1710" s="1"/>
  <c r="Q1710"/>
  <c r="S1709"/>
  <c r="AG1709" s="1"/>
  <c r="R1709"/>
  <c r="AF1709" s="1"/>
  <c r="Q1709"/>
  <c r="S1708"/>
  <c r="AG1708" s="1"/>
  <c r="R1708"/>
  <c r="AF1708" s="1"/>
  <c r="Q1708"/>
  <c r="S1707"/>
  <c r="AG1707" s="1"/>
  <c r="R1707"/>
  <c r="AF1707" s="1"/>
  <c r="Q1707"/>
  <c r="S1706"/>
  <c r="AG1706" s="1"/>
  <c r="R1706"/>
  <c r="AF1706" s="1"/>
  <c r="Q1706"/>
  <c r="S1705"/>
  <c r="AG1705" s="1"/>
  <c r="R1705"/>
  <c r="AF1705" s="1"/>
  <c r="Q1705"/>
  <c r="S1704"/>
  <c r="AG1704" s="1"/>
  <c r="R1704"/>
  <c r="AF1704" s="1"/>
  <c r="Q1704"/>
  <c r="S1703"/>
  <c r="AG1703" s="1"/>
  <c r="R1703"/>
  <c r="AF1703" s="1"/>
  <c r="Q1703"/>
  <c r="S1702"/>
  <c r="AG1702" s="1"/>
  <c r="R1702"/>
  <c r="AF1702" s="1"/>
  <c r="Q1702"/>
  <c r="S1701"/>
  <c r="AG1701" s="1"/>
  <c r="R1701"/>
  <c r="AF1701" s="1"/>
  <c r="Q1701"/>
  <c r="S1700"/>
  <c r="AG1700" s="1"/>
  <c r="R1700"/>
  <c r="AF1700" s="1"/>
  <c r="Q1700"/>
  <c r="S1699"/>
  <c r="AG1699" s="1"/>
  <c r="R1699"/>
  <c r="AF1699" s="1"/>
  <c r="Q1699"/>
  <c r="S1698"/>
  <c r="AG1698" s="1"/>
  <c r="R1698"/>
  <c r="AF1698" s="1"/>
  <c r="Q1698"/>
  <c r="S1697"/>
  <c r="AG1697" s="1"/>
  <c r="R1697"/>
  <c r="AF1697" s="1"/>
  <c r="Q1697"/>
  <c r="S1696"/>
  <c r="AG1696" s="1"/>
  <c r="R1696"/>
  <c r="AF1696" s="1"/>
  <c r="Q1696"/>
  <c r="S1695"/>
  <c r="AG1695" s="1"/>
  <c r="R1695"/>
  <c r="AF1695" s="1"/>
  <c r="Q1695"/>
  <c r="S1694"/>
  <c r="AG1694" s="1"/>
  <c r="R1694"/>
  <c r="AF1694" s="1"/>
  <c r="Q1694"/>
  <c r="S1693"/>
  <c r="AG1693" s="1"/>
  <c r="R1693"/>
  <c r="AF1693" s="1"/>
  <c r="Q1693"/>
  <c r="S1692"/>
  <c r="AG1692" s="1"/>
  <c r="R1692"/>
  <c r="AF1692" s="1"/>
  <c r="Q1692"/>
  <c r="S1691"/>
  <c r="AG1691" s="1"/>
  <c r="R1691"/>
  <c r="AF1691" s="1"/>
  <c r="Q1691"/>
  <c r="S1690"/>
  <c r="AG1690" s="1"/>
  <c r="R1690"/>
  <c r="AF1690" s="1"/>
  <c r="Q1690"/>
  <c r="S1689"/>
  <c r="AG1689" s="1"/>
  <c r="R1689"/>
  <c r="AF1689" s="1"/>
  <c r="Q1689"/>
  <c r="S1688"/>
  <c r="AG1688" s="1"/>
  <c r="R1688"/>
  <c r="AF1688" s="1"/>
  <c r="Q1688"/>
  <c r="S1687"/>
  <c r="AG1687" s="1"/>
  <c r="R1687"/>
  <c r="AF1687" s="1"/>
  <c r="Q1687"/>
  <c r="S1686"/>
  <c r="AG1686" s="1"/>
  <c r="R1686"/>
  <c r="AF1686" s="1"/>
  <c r="Q1686"/>
  <c r="S1685"/>
  <c r="AG1685" s="1"/>
  <c r="R1685"/>
  <c r="AF1685" s="1"/>
  <c r="Q1685"/>
  <c r="S1684"/>
  <c r="AG1684" s="1"/>
  <c r="R1684"/>
  <c r="AF1684" s="1"/>
  <c r="Q1684"/>
  <c r="S1683"/>
  <c r="AG1683" s="1"/>
  <c r="R1683"/>
  <c r="AF1683" s="1"/>
  <c r="Q1683"/>
  <c r="S1682"/>
  <c r="AG1682" s="1"/>
  <c r="R1682"/>
  <c r="AF1682" s="1"/>
  <c r="Q1682"/>
  <c r="S1681"/>
  <c r="AG1681" s="1"/>
  <c r="R1681"/>
  <c r="AF1681" s="1"/>
  <c r="Q1681"/>
  <c r="S1680"/>
  <c r="AG1680" s="1"/>
  <c r="R1680"/>
  <c r="AF1680" s="1"/>
  <c r="Q1680"/>
  <c r="S1679"/>
  <c r="AG1679" s="1"/>
  <c r="R1679"/>
  <c r="AF1679" s="1"/>
  <c r="Q1679"/>
  <c r="S1678"/>
  <c r="AG1678" s="1"/>
  <c r="R1678"/>
  <c r="AF1678" s="1"/>
  <c r="Q1678"/>
  <c r="S1677"/>
  <c r="AG1677" s="1"/>
  <c r="R1677"/>
  <c r="AF1677" s="1"/>
  <c r="Q1677"/>
  <c r="S1676"/>
  <c r="R1676"/>
  <c r="AF1676" s="1"/>
  <c r="Q1676"/>
  <c r="S1675"/>
  <c r="AG1675" s="1"/>
  <c r="R1675"/>
  <c r="AF1675" s="1"/>
  <c r="Q1675"/>
  <c r="S1674"/>
  <c r="AG1674" s="1"/>
  <c r="R1674"/>
  <c r="AF1674" s="1"/>
  <c r="Q1674"/>
  <c r="S1673"/>
  <c r="R1673"/>
  <c r="AF1673" s="1"/>
  <c r="Q1673"/>
  <c r="S1672"/>
  <c r="AG1672" s="1"/>
  <c r="R1672"/>
  <c r="AF1672" s="1"/>
  <c r="Q1672"/>
  <c r="S1671"/>
  <c r="AG1671" s="1"/>
  <c r="R1671"/>
  <c r="AF1671" s="1"/>
  <c r="Q1671"/>
  <c r="S1670"/>
  <c r="AG1670" s="1"/>
  <c r="R1670"/>
  <c r="AF1670" s="1"/>
  <c r="Q1670"/>
  <c r="S1669"/>
  <c r="AG1669" s="1"/>
  <c r="R1669"/>
  <c r="AF1669" s="1"/>
  <c r="Q1669"/>
  <c r="S1668"/>
  <c r="AG1668" s="1"/>
  <c r="R1668"/>
  <c r="AF1668" s="1"/>
  <c r="Q1668"/>
  <c r="S1667"/>
  <c r="AG1667" s="1"/>
  <c r="R1667"/>
  <c r="AF1667" s="1"/>
  <c r="Q1667"/>
  <c r="S1666"/>
  <c r="R1666"/>
  <c r="AF1666" s="1"/>
  <c r="Q1666"/>
  <c r="S1665"/>
  <c r="AG1665" s="1"/>
  <c r="R1665"/>
  <c r="AF1665" s="1"/>
  <c r="Q1665"/>
  <c r="S1664"/>
  <c r="AG1664" s="1"/>
  <c r="R1664"/>
  <c r="AF1664" s="1"/>
  <c r="Q1664"/>
  <c r="S1663"/>
  <c r="AG1663" s="1"/>
  <c r="R1663"/>
  <c r="AF1663" s="1"/>
  <c r="Q1663"/>
  <c r="S1662"/>
  <c r="AG1662" s="1"/>
  <c r="R1662"/>
  <c r="AF1662" s="1"/>
  <c r="Q1662"/>
  <c r="S1661"/>
  <c r="AG1661" s="1"/>
  <c r="R1661"/>
  <c r="AF1661" s="1"/>
  <c r="Q1661"/>
  <c r="S1660"/>
  <c r="AG1660" s="1"/>
  <c r="R1660"/>
  <c r="AF1660" s="1"/>
  <c r="Q1660"/>
  <c r="S1659"/>
  <c r="AG1659" s="1"/>
  <c r="R1659"/>
  <c r="AF1659" s="1"/>
  <c r="Q1659"/>
  <c r="S1658"/>
  <c r="AG1658" s="1"/>
  <c r="R1658"/>
  <c r="AF1658" s="1"/>
  <c r="Q1658"/>
  <c r="S1657"/>
  <c r="AG1657" s="1"/>
  <c r="R1657"/>
  <c r="AF1657" s="1"/>
  <c r="Q1657"/>
  <c r="S1656"/>
  <c r="AG1656" s="1"/>
  <c r="R1656"/>
  <c r="AF1656" s="1"/>
  <c r="Q1656"/>
  <c r="S1655"/>
  <c r="AG1655" s="1"/>
  <c r="R1655"/>
  <c r="AF1655" s="1"/>
  <c r="Q1655"/>
  <c r="S1654"/>
  <c r="AG1654" s="1"/>
  <c r="R1654"/>
  <c r="AF1654" s="1"/>
  <c r="Q1654"/>
  <c r="S1653"/>
  <c r="AG1653" s="1"/>
  <c r="R1653"/>
  <c r="AF1653" s="1"/>
  <c r="Q1653"/>
  <c r="S1652"/>
  <c r="AG1652" s="1"/>
  <c r="R1652"/>
  <c r="AF1652" s="1"/>
  <c r="Q1652"/>
  <c r="S1651"/>
  <c r="AG1651" s="1"/>
  <c r="R1651"/>
  <c r="AF1651" s="1"/>
  <c r="Q1651"/>
  <c r="S1650"/>
  <c r="AG1650" s="1"/>
  <c r="R1650"/>
  <c r="AF1650" s="1"/>
  <c r="Q1650"/>
  <c r="S1649"/>
  <c r="AG1649" s="1"/>
  <c r="R1649"/>
  <c r="AF1649" s="1"/>
  <c r="Q1649"/>
  <c r="S1648"/>
  <c r="AG1648" s="1"/>
  <c r="R1648"/>
  <c r="AF1648" s="1"/>
  <c r="Q1648"/>
  <c r="S1647"/>
  <c r="AG1647" s="1"/>
  <c r="R1647"/>
  <c r="AF1647" s="1"/>
  <c r="Q1647"/>
  <c r="S1646"/>
  <c r="AG1646" s="1"/>
  <c r="R1646"/>
  <c r="AF1646" s="1"/>
  <c r="Q1646"/>
  <c r="S1645"/>
  <c r="AG1645" s="1"/>
  <c r="R1645"/>
  <c r="AF1645" s="1"/>
  <c r="Q1645"/>
  <c r="S1644"/>
  <c r="R1644"/>
  <c r="AF1644" s="1"/>
  <c r="Q1644"/>
  <c r="S1643"/>
  <c r="AG1643" s="1"/>
  <c r="R1643"/>
  <c r="AF1643" s="1"/>
  <c r="Q1643"/>
  <c r="S1642"/>
  <c r="AG1642" s="1"/>
  <c r="R1642"/>
  <c r="AF1642" s="1"/>
  <c r="Q1642"/>
  <c r="S1641"/>
  <c r="AG1641" s="1"/>
  <c r="R1641"/>
  <c r="AF1641" s="1"/>
  <c r="Q1641"/>
  <c r="S1640"/>
  <c r="AG1640" s="1"/>
  <c r="R1640"/>
  <c r="AF1640" s="1"/>
  <c r="Q1640"/>
  <c r="S1639"/>
  <c r="AG1639" s="1"/>
  <c r="R1639"/>
  <c r="AF1639" s="1"/>
  <c r="Q1639"/>
  <c r="S1638"/>
  <c r="AG1638" s="1"/>
  <c r="R1638"/>
  <c r="AF1638" s="1"/>
  <c r="Q1638"/>
  <c r="S1637"/>
  <c r="R1637"/>
  <c r="AF1637" s="1"/>
  <c r="Q1637"/>
  <c r="S1636"/>
  <c r="AG1636" s="1"/>
  <c r="R1636"/>
  <c r="AF1636" s="1"/>
  <c r="Q1636"/>
  <c r="S1635"/>
  <c r="AG1635" s="1"/>
  <c r="R1635"/>
  <c r="AF1635" s="1"/>
  <c r="Q1635"/>
  <c r="S1634"/>
  <c r="AG1634" s="1"/>
  <c r="R1634"/>
  <c r="AF1634" s="1"/>
  <c r="Q1634"/>
  <c r="S1633"/>
  <c r="AG1633" s="1"/>
  <c r="R1633"/>
  <c r="AF1633" s="1"/>
  <c r="Q1633"/>
  <c r="S1632"/>
  <c r="AG1632" s="1"/>
  <c r="R1632"/>
  <c r="AF1632" s="1"/>
  <c r="Q1632"/>
  <c r="S1631"/>
  <c r="AG1631" s="1"/>
  <c r="R1631"/>
  <c r="AF1631" s="1"/>
  <c r="Q1631"/>
  <c r="S1630"/>
  <c r="AG1630" s="1"/>
  <c r="R1630"/>
  <c r="AF1630" s="1"/>
  <c r="Q1630"/>
  <c r="S1629"/>
  <c r="AG1629" s="1"/>
  <c r="R1629"/>
  <c r="AF1629" s="1"/>
  <c r="Q1629"/>
  <c r="S1628"/>
  <c r="AG1628" s="1"/>
  <c r="R1628"/>
  <c r="AF1628" s="1"/>
  <c r="Q1628"/>
  <c r="S1627"/>
  <c r="AG1627" s="1"/>
  <c r="R1627"/>
  <c r="AF1627" s="1"/>
  <c r="Q1627"/>
  <c r="S1626"/>
  <c r="R1626"/>
  <c r="AF1626" s="1"/>
  <c r="Q1626"/>
  <c r="S1625"/>
  <c r="AG1625" s="1"/>
  <c r="R1625"/>
  <c r="AF1625" s="1"/>
  <c r="Q1625"/>
  <c r="S1624"/>
  <c r="AG1624" s="1"/>
  <c r="R1624"/>
  <c r="AF1624" s="1"/>
  <c r="Q1624"/>
  <c r="S1623"/>
  <c r="R1623"/>
  <c r="AF1623" s="1"/>
  <c r="Q1623"/>
  <c r="S1622"/>
  <c r="AG1622" s="1"/>
  <c r="R1622"/>
  <c r="AF1622" s="1"/>
  <c r="Q1622"/>
  <c r="S1621"/>
  <c r="AG1621" s="1"/>
  <c r="R1621"/>
  <c r="AF1621" s="1"/>
  <c r="Q1621"/>
  <c r="S1620"/>
  <c r="AG1620" s="1"/>
  <c r="R1620"/>
  <c r="AF1620" s="1"/>
  <c r="Q1620"/>
  <c r="S1619"/>
  <c r="AG1619" s="1"/>
  <c r="R1619"/>
  <c r="AF1619" s="1"/>
  <c r="Q1619"/>
  <c r="S1618"/>
  <c r="AG1618" s="1"/>
  <c r="R1618"/>
  <c r="AF1618" s="1"/>
  <c r="Q1618"/>
  <c r="S1617"/>
  <c r="AG1617" s="1"/>
  <c r="R1617"/>
  <c r="AF1617" s="1"/>
  <c r="Q1617"/>
  <c r="S1616"/>
  <c r="AG1616" s="1"/>
  <c r="R1616"/>
  <c r="AF1616" s="1"/>
  <c r="Q1616"/>
  <c r="S1615"/>
  <c r="AG1615" s="1"/>
  <c r="R1615"/>
  <c r="AF1615" s="1"/>
  <c r="Q1615"/>
  <c r="S1614"/>
  <c r="AG1614" s="1"/>
  <c r="R1614"/>
  <c r="AF1614" s="1"/>
  <c r="Q1614"/>
  <c r="S1613"/>
  <c r="AG1613" s="1"/>
  <c r="R1613"/>
  <c r="AF1613" s="1"/>
  <c r="Q1613"/>
  <c r="S1612"/>
  <c r="AG1612" s="1"/>
  <c r="R1612"/>
  <c r="AF1612" s="1"/>
  <c r="Q1612"/>
  <c r="S1611"/>
  <c r="AG1611" s="1"/>
  <c r="R1611"/>
  <c r="AF1611" s="1"/>
  <c r="Q1611"/>
  <c r="S1610"/>
  <c r="AG1610" s="1"/>
  <c r="R1610"/>
  <c r="AF1610" s="1"/>
  <c r="Q1610"/>
  <c r="S1609"/>
  <c r="AG1609" s="1"/>
  <c r="R1609"/>
  <c r="AF1609" s="1"/>
  <c r="Q1609"/>
  <c r="S1608"/>
  <c r="AG1608" s="1"/>
  <c r="R1608"/>
  <c r="AF1608" s="1"/>
  <c r="Q1608"/>
  <c r="S1607"/>
  <c r="AG1607" s="1"/>
  <c r="R1607"/>
  <c r="AF1607" s="1"/>
  <c r="Q1607"/>
  <c r="S1606"/>
  <c r="AG1606" s="1"/>
  <c r="R1606"/>
  <c r="AF1606" s="1"/>
  <c r="Q1606"/>
  <c r="S1605"/>
  <c r="AG1605" s="1"/>
  <c r="R1605"/>
  <c r="AF1605" s="1"/>
  <c r="Q1605"/>
  <c r="S1604"/>
  <c r="AG1604" s="1"/>
  <c r="R1604"/>
  <c r="AF1604" s="1"/>
  <c r="Q1604"/>
  <c r="S1603"/>
  <c r="AG1603" s="1"/>
  <c r="R1603"/>
  <c r="AF1603" s="1"/>
  <c r="Q1603"/>
  <c r="S1602"/>
  <c r="R1602"/>
  <c r="AF1602" s="1"/>
  <c r="Q1602"/>
  <c r="S1601"/>
  <c r="AG1601" s="1"/>
  <c r="R1601"/>
  <c r="AF1601" s="1"/>
  <c r="Q1601"/>
  <c r="S1600"/>
  <c r="AG1600" s="1"/>
  <c r="R1600"/>
  <c r="AF1600" s="1"/>
  <c r="Q1600"/>
  <c r="S1599"/>
  <c r="AG1599" s="1"/>
  <c r="R1599"/>
  <c r="AF1599" s="1"/>
  <c r="Q1599"/>
  <c r="S1598"/>
  <c r="AG1598" s="1"/>
  <c r="R1598"/>
  <c r="AF1598" s="1"/>
  <c r="Q1598"/>
  <c r="S1597"/>
  <c r="AG1597" s="1"/>
  <c r="R1597"/>
  <c r="AF1597" s="1"/>
  <c r="Q1597"/>
  <c r="S1596"/>
  <c r="AG1596" s="1"/>
  <c r="R1596"/>
  <c r="AF1596" s="1"/>
  <c r="Q1596"/>
  <c r="S1595"/>
  <c r="AG1595" s="1"/>
  <c r="R1595"/>
  <c r="AF1595" s="1"/>
  <c r="Q1595"/>
  <c r="S1594"/>
  <c r="AG1594" s="1"/>
  <c r="R1594"/>
  <c r="AF1594" s="1"/>
  <c r="Q1594"/>
  <c r="S1593"/>
  <c r="AG1593" s="1"/>
  <c r="R1593"/>
  <c r="AF1593" s="1"/>
  <c r="Q1593"/>
  <c r="S1592"/>
  <c r="AG1592" s="1"/>
  <c r="R1592"/>
  <c r="AF1592" s="1"/>
  <c r="Q1592"/>
  <c r="S1591"/>
  <c r="AG1591" s="1"/>
  <c r="R1591"/>
  <c r="AF1591" s="1"/>
  <c r="Q1591"/>
  <c r="S1590"/>
  <c r="AG1590" s="1"/>
  <c r="R1590"/>
  <c r="AF1590" s="1"/>
  <c r="Q1590"/>
  <c r="S1589"/>
  <c r="AG1589" s="1"/>
  <c r="R1589"/>
  <c r="AF1589" s="1"/>
  <c r="Q1589"/>
  <c r="S1588"/>
  <c r="R1588"/>
  <c r="AF1588" s="1"/>
  <c r="Q1588"/>
  <c r="S1587"/>
  <c r="AG1587" s="1"/>
  <c r="R1587"/>
  <c r="AF1587" s="1"/>
  <c r="Q1587"/>
  <c r="S1586"/>
  <c r="AG1586" s="1"/>
  <c r="R1586"/>
  <c r="AF1586" s="1"/>
  <c r="Q1586"/>
  <c r="S1585"/>
  <c r="AG1585" s="1"/>
  <c r="R1585"/>
  <c r="AF1585" s="1"/>
  <c r="Q1585"/>
  <c r="S1584"/>
  <c r="AG1584" s="1"/>
  <c r="R1584"/>
  <c r="AF1584" s="1"/>
  <c r="Q1584"/>
  <c r="S1583"/>
  <c r="AG1583" s="1"/>
  <c r="R1583"/>
  <c r="AF1583" s="1"/>
  <c r="Q1583"/>
  <c r="S1582"/>
  <c r="AG1582" s="1"/>
  <c r="R1582"/>
  <c r="AF1582" s="1"/>
  <c r="Q1582"/>
  <c r="S1581"/>
  <c r="AG1581" s="1"/>
  <c r="R1581"/>
  <c r="AF1581" s="1"/>
  <c r="Q1581"/>
  <c r="S1580"/>
  <c r="AG1580" s="1"/>
  <c r="R1580"/>
  <c r="AF1580" s="1"/>
  <c r="Q1580"/>
  <c r="S1579"/>
  <c r="AG1579" s="1"/>
  <c r="R1579"/>
  <c r="AF1579" s="1"/>
  <c r="Q1579"/>
  <c r="S1578"/>
  <c r="AG1578" s="1"/>
  <c r="R1578"/>
  <c r="AF1578" s="1"/>
  <c r="Q1578"/>
  <c r="S1577"/>
  <c r="AG1577" s="1"/>
  <c r="R1577"/>
  <c r="AF1577" s="1"/>
  <c r="Q1577"/>
  <c r="S1576"/>
  <c r="AG1576" s="1"/>
  <c r="R1576"/>
  <c r="AF1576" s="1"/>
  <c r="Q1576"/>
  <c r="S1575"/>
  <c r="AG1575" s="1"/>
  <c r="R1575"/>
  <c r="AF1575" s="1"/>
  <c r="Q1575"/>
  <c r="S1574"/>
  <c r="AG1574" s="1"/>
  <c r="R1574"/>
  <c r="AF1574" s="1"/>
  <c r="Q1574"/>
  <c r="S1573"/>
  <c r="AG1573" s="1"/>
  <c r="R1573"/>
  <c r="AF1573" s="1"/>
  <c r="Q1573"/>
  <c r="S1572"/>
  <c r="AG1572" s="1"/>
  <c r="R1572"/>
  <c r="AF1572" s="1"/>
  <c r="Q1572"/>
  <c r="S1571"/>
  <c r="AG1571" s="1"/>
  <c r="R1571"/>
  <c r="AF1571" s="1"/>
  <c r="Q1571"/>
  <c r="S1570"/>
  <c r="AG1570" s="1"/>
  <c r="R1570"/>
  <c r="AF1570" s="1"/>
  <c r="Q1570"/>
  <c r="S1569"/>
  <c r="R1569"/>
  <c r="AF1569" s="1"/>
  <c r="Q1569"/>
  <c r="S1568"/>
  <c r="AG1568" s="1"/>
  <c r="R1568"/>
  <c r="AF1568" s="1"/>
  <c r="Q1568"/>
  <c r="S1567"/>
  <c r="AG1567" s="1"/>
  <c r="R1567"/>
  <c r="AF1567" s="1"/>
  <c r="Q1567"/>
  <c r="S1566"/>
  <c r="AG1566" s="1"/>
  <c r="R1566"/>
  <c r="AF1566" s="1"/>
  <c r="Q1566"/>
  <c r="S1565"/>
  <c r="AG1565" s="1"/>
  <c r="R1565"/>
  <c r="AF1565" s="1"/>
  <c r="Q1565"/>
  <c r="S1564"/>
  <c r="AG1564" s="1"/>
  <c r="R1564"/>
  <c r="AF1564" s="1"/>
  <c r="Q1564"/>
  <c r="S1563"/>
  <c r="AG1563" s="1"/>
  <c r="R1563"/>
  <c r="AF1563" s="1"/>
  <c r="Q1563"/>
  <c r="S1562"/>
  <c r="AG1562" s="1"/>
  <c r="R1562"/>
  <c r="AF1562" s="1"/>
  <c r="Q1562"/>
  <c r="S1561"/>
  <c r="AG1561" s="1"/>
  <c r="R1561"/>
  <c r="AF1561" s="1"/>
  <c r="Q1561"/>
  <c r="S1560"/>
  <c r="R1560"/>
  <c r="AF1560" s="1"/>
  <c r="Q1560"/>
  <c r="S1559"/>
  <c r="AG1559" s="1"/>
  <c r="R1559"/>
  <c r="AF1559" s="1"/>
  <c r="Q1559"/>
  <c r="S1558"/>
  <c r="AG1558" s="1"/>
  <c r="R1558"/>
  <c r="AF1558" s="1"/>
  <c r="Q1558"/>
  <c r="S1557"/>
  <c r="AG1557" s="1"/>
  <c r="R1557"/>
  <c r="AF1557" s="1"/>
  <c r="Q1557"/>
  <c r="S1556"/>
  <c r="AG1556" s="1"/>
  <c r="R1556"/>
  <c r="AF1556" s="1"/>
  <c r="Q1556"/>
  <c r="S1555"/>
  <c r="AG1555" s="1"/>
  <c r="R1555"/>
  <c r="AF1555" s="1"/>
  <c r="Q1555"/>
  <c r="S1554"/>
  <c r="AG1554" s="1"/>
  <c r="R1554"/>
  <c r="AF1554" s="1"/>
  <c r="Q1554"/>
  <c r="S1553"/>
  <c r="R1553"/>
  <c r="AF1553" s="1"/>
  <c r="Q1553"/>
  <c r="S1552"/>
  <c r="AG1552" s="1"/>
  <c r="R1552"/>
  <c r="AF1552" s="1"/>
  <c r="Q1552"/>
  <c r="S1551"/>
  <c r="AG1551" s="1"/>
  <c r="R1551"/>
  <c r="AF1551" s="1"/>
  <c r="Q1551"/>
  <c r="S1550"/>
  <c r="AG1550" s="1"/>
  <c r="R1550"/>
  <c r="AF1550" s="1"/>
  <c r="Q1550"/>
  <c r="S1549"/>
  <c r="R1549"/>
  <c r="AF1549" s="1"/>
  <c r="Q1549"/>
  <c r="S1548"/>
  <c r="AG1548" s="1"/>
  <c r="R1548"/>
  <c r="AF1548" s="1"/>
  <c r="Q1548"/>
  <c r="S1547"/>
  <c r="AG1547" s="1"/>
  <c r="R1547"/>
  <c r="AF1547" s="1"/>
  <c r="Q1547"/>
  <c r="S1546"/>
  <c r="R1546"/>
  <c r="AF1546" s="1"/>
  <c r="Q1546"/>
  <c r="S1545"/>
  <c r="AG1545" s="1"/>
  <c r="R1545"/>
  <c r="AF1545" s="1"/>
  <c r="Q1545"/>
  <c r="S1544"/>
  <c r="AG1544" s="1"/>
  <c r="R1544"/>
  <c r="AF1544" s="1"/>
  <c r="Q1544"/>
  <c r="S1543"/>
  <c r="AG1543" s="1"/>
  <c r="R1543"/>
  <c r="AF1543" s="1"/>
  <c r="Q1543"/>
  <c r="S1542"/>
  <c r="AG1542" s="1"/>
  <c r="R1542"/>
  <c r="AF1542" s="1"/>
  <c r="Q1542"/>
  <c r="S1541"/>
  <c r="AG1541" s="1"/>
  <c r="R1541"/>
  <c r="AF1541" s="1"/>
  <c r="Q1541"/>
  <c r="S1540"/>
  <c r="AG1540" s="1"/>
  <c r="R1540"/>
  <c r="AF1540" s="1"/>
  <c r="Q1540"/>
  <c r="S1539"/>
  <c r="AG1539" s="1"/>
  <c r="R1539"/>
  <c r="AF1539" s="1"/>
  <c r="Q1539"/>
  <c r="S1538"/>
  <c r="AG1538" s="1"/>
  <c r="R1538"/>
  <c r="AF1538" s="1"/>
  <c r="Q1538"/>
  <c r="S1537"/>
  <c r="R1537"/>
  <c r="AF1537" s="1"/>
  <c r="Q1537"/>
  <c r="S1536"/>
  <c r="AG1536" s="1"/>
  <c r="R1536"/>
  <c r="AF1536" s="1"/>
  <c r="Q1536"/>
  <c r="S1535"/>
  <c r="AG1535" s="1"/>
  <c r="R1535"/>
  <c r="AF1535" s="1"/>
  <c r="Q1535"/>
  <c r="S1534"/>
  <c r="AG1534" s="1"/>
  <c r="R1534"/>
  <c r="AF1534" s="1"/>
  <c r="Q1534"/>
  <c r="S1533"/>
  <c r="AG1533" s="1"/>
  <c r="R1533"/>
  <c r="AF1533" s="1"/>
  <c r="Q1533"/>
  <c r="S1532"/>
  <c r="R1532"/>
  <c r="AF1532" s="1"/>
  <c r="Q1532"/>
  <c r="S1531"/>
  <c r="AG1531" s="1"/>
  <c r="R1531"/>
  <c r="AF1531" s="1"/>
  <c r="Q1531"/>
  <c r="S1530"/>
  <c r="AG1530" s="1"/>
  <c r="R1530"/>
  <c r="AF1530" s="1"/>
  <c r="Q1530"/>
  <c r="S1529"/>
  <c r="R1529"/>
  <c r="AF1529" s="1"/>
  <c r="Q1529"/>
  <c r="S1528"/>
  <c r="AG1528" s="1"/>
  <c r="R1528"/>
  <c r="AF1528" s="1"/>
  <c r="Q1528"/>
  <c r="S1527"/>
  <c r="AG1527" s="1"/>
  <c r="R1527"/>
  <c r="AF1527" s="1"/>
  <c r="Q1527"/>
  <c r="S1526"/>
  <c r="AG1526" s="1"/>
  <c r="R1526"/>
  <c r="AF1526" s="1"/>
  <c r="Q1526"/>
  <c r="S1525"/>
  <c r="AG1525" s="1"/>
  <c r="R1525"/>
  <c r="AF1525" s="1"/>
  <c r="Q1525"/>
  <c r="S1524"/>
  <c r="AG1524" s="1"/>
  <c r="R1524"/>
  <c r="AF1524" s="1"/>
  <c r="Q1524"/>
  <c r="S1523"/>
  <c r="R1523"/>
  <c r="AF1523" s="1"/>
  <c r="Q1523"/>
  <c r="S1522"/>
  <c r="AG1522" s="1"/>
  <c r="R1522"/>
  <c r="AF1522" s="1"/>
  <c r="Q1522"/>
  <c r="S1521"/>
  <c r="AG1521" s="1"/>
  <c r="R1521"/>
  <c r="AF1521" s="1"/>
  <c r="Q1521"/>
  <c r="S1520"/>
  <c r="R1520"/>
  <c r="AF1520" s="1"/>
  <c r="Q1520"/>
  <c r="S1519"/>
  <c r="AG1519" s="1"/>
  <c r="R1519"/>
  <c r="AF1519" s="1"/>
  <c r="Q1519"/>
  <c r="S1518"/>
  <c r="AG1518" s="1"/>
  <c r="R1518"/>
  <c r="AF1518" s="1"/>
  <c r="Q1518"/>
  <c r="S1517"/>
  <c r="AG1517" s="1"/>
  <c r="R1517"/>
  <c r="AF1517" s="1"/>
  <c r="Q1517"/>
  <c r="S1516"/>
  <c r="R1516"/>
  <c r="AF1516" s="1"/>
  <c r="Q1516"/>
  <c r="S1515"/>
  <c r="AG1515" s="1"/>
  <c r="R1515"/>
  <c r="AF1515" s="1"/>
  <c r="Q1515"/>
  <c r="S1514"/>
  <c r="AG1514" s="1"/>
  <c r="R1514"/>
  <c r="AF1514" s="1"/>
  <c r="Q1514"/>
  <c r="S1513"/>
  <c r="R1513"/>
  <c r="AF1513" s="1"/>
  <c r="Q1513"/>
  <c r="S1512"/>
  <c r="AG1512" s="1"/>
  <c r="R1512"/>
  <c r="AF1512" s="1"/>
  <c r="Q1512"/>
  <c r="S1511"/>
  <c r="AG1511" s="1"/>
  <c r="R1511"/>
  <c r="AF1511" s="1"/>
  <c r="Q1511"/>
  <c r="S1510"/>
  <c r="AG1510" s="1"/>
  <c r="R1510"/>
  <c r="AF1510" s="1"/>
  <c r="Q1510"/>
  <c r="S1509"/>
  <c r="AG1509" s="1"/>
  <c r="R1509"/>
  <c r="AF1509" s="1"/>
  <c r="Q1509"/>
  <c r="S1508"/>
  <c r="AG1508" s="1"/>
  <c r="R1508"/>
  <c r="AF1508" s="1"/>
  <c r="Q1508"/>
  <c r="S1507"/>
  <c r="AG1507" s="1"/>
  <c r="R1507"/>
  <c r="AF1507" s="1"/>
  <c r="Q1507"/>
  <c r="S1506"/>
  <c r="AG1506" s="1"/>
  <c r="R1506"/>
  <c r="AF1506" s="1"/>
  <c r="Q1506"/>
  <c r="S1505"/>
  <c r="AG1505" s="1"/>
  <c r="R1505"/>
  <c r="AF1505" s="1"/>
  <c r="Q1505"/>
  <c r="S1504"/>
  <c r="AG1504" s="1"/>
  <c r="R1504"/>
  <c r="AF1504" s="1"/>
  <c r="Q1504"/>
  <c r="S1503"/>
  <c r="AG1503" s="1"/>
  <c r="R1503"/>
  <c r="AF1503" s="1"/>
  <c r="Q1503"/>
  <c r="S1502"/>
  <c r="R1502"/>
  <c r="AF1502" s="1"/>
  <c r="Q1502"/>
  <c r="S1501"/>
  <c r="AG1501" s="1"/>
  <c r="R1501"/>
  <c r="AF1501" s="1"/>
  <c r="Q1501"/>
  <c r="S1500"/>
  <c r="AG1500" s="1"/>
  <c r="R1500"/>
  <c r="AF1500" s="1"/>
  <c r="Q1500"/>
  <c r="S1499"/>
  <c r="R1499"/>
  <c r="AF1499" s="1"/>
  <c r="Q1499"/>
  <c r="S1498"/>
  <c r="AG1498" s="1"/>
  <c r="R1498"/>
  <c r="AF1498" s="1"/>
  <c r="Q1498"/>
  <c r="S1497"/>
  <c r="AG1497" s="1"/>
  <c r="R1497"/>
  <c r="AF1497" s="1"/>
  <c r="Q1497"/>
  <c r="S1496"/>
  <c r="AG1496" s="1"/>
  <c r="R1496"/>
  <c r="AF1496" s="1"/>
  <c r="Q1496"/>
  <c r="S1495"/>
  <c r="AG1495" s="1"/>
  <c r="R1495"/>
  <c r="AF1495" s="1"/>
  <c r="Q1495"/>
  <c r="S1494"/>
  <c r="AG1494" s="1"/>
  <c r="R1494"/>
  <c r="AF1494" s="1"/>
  <c r="Q1494"/>
  <c r="S1493"/>
  <c r="AG1493" s="1"/>
  <c r="R1493"/>
  <c r="AF1493" s="1"/>
  <c r="Q1493"/>
  <c r="S1492"/>
  <c r="R1492"/>
  <c r="AF1492" s="1"/>
  <c r="Q1492"/>
  <c r="S1491"/>
  <c r="AG1491" s="1"/>
  <c r="R1491"/>
  <c r="AF1491" s="1"/>
  <c r="Q1491"/>
  <c r="S1490"/>
  <c r="AG1490" s="1"/>
  <c r="R1490"/>
  <c r="AF1490" s="1"/>
  <c r="Q1490"/>
  <c r="S1489"/>
  <c r="AG1489" s="1"/>
  <c r="R1489"/>
  <c r="AF1489" s="1"/>
  <c r="Q1489"/>
  <c r="S1488"/>
  <c r="AG1488" s="1"/>
  <c r="R1488"/>
  <c r="AF1488" s="1"/>
  <c r="Q1488"/>
  <c r="S1487"/>
  <c r="AG1487" s="1"/>
  <c r="R1487"/>
  <c r="AF1487" s="1"/>
  <c r="Q1487"/>
  <c r="S1486"/>
  <c r="AG1486" s="1"/>
  <c r="R1486"/>
  <c r="AF1486" s="1"/>
  <c r="Q1486"/>
  <c r="S1485"/>
  <c r="AG1485" s="1"/>
  <c r="R1485"/>
  <c r="AF1485" s="1"/>
  <c r="Q1485"/>
  <c r="S1484"/>
  <c r="AG1484" s="1"/>
  <c r="R1484"/>
  <c r="AF1484" s="1"/>
  <c r="Q1484"/>
  <c r="S1483"/>
  <c r="AG1483" s="1"/>
  <c r="R1483"/>
  <c r="AF1483" s="1"/>
  <c r="Q1483"/>
  <c r="S1482"/>
  <c r="AG1482" s="1"/>
  <c r="R1482"/>
  <c r="AF1482" s="1"/>
  <c r="Q1482"/>
  <c r="S1481"/>
  <c r="AG1481" s="1"/>
  <c r="R1481"/>
  <c r="AF1481" s="1"/>
  <c r="Q1481"/>
  <c r="S1480"/>
  <c r="AG1480" s="1"/>
  <c r="R1480"/>
  <c r="AF1480" s="1"/>
  <c r="Q1480"/>
  <c r="S1479"/>
  <c r="AG1479" s="1"/>
  <c r="R1479"/>
  <c r="AF1479" s="1"/>
  <c r="Q1479"/>
  <c r="S1478"/>
  <c r="AG1478" s="1"/>
  <c r="R1478"/>
  <c r="AF1478" s="1"/>
  <c r="Q1478"/>
  <c r="S1477"/>
  <c r="R1477"/>
  <c r="AF1477" s="1"/>
  <c r="Q1477"/>
  <c r="S1476"/>
  <c r="AG1476" s="1"/>
  <c r="R1476"/>
  <c r="Q1476"/>
  <c r="S1475"/>
  <c r="AG1475" s="1"/>
  <c r="R1475"/>
  <c r="AF1475" s="1"/>
  <c r="Q1475"/>
  <c r="S1474"/>
  <c r="AG1474" s="1"/>
  <c r="R1474"/>
  <c r="AF1474" s="1"/>
  <c r="Q1474"/>
  <c r="S1473"/>
  <c r="AG1473" s="1"/>
  <c r="R1473"/>
  <c r="AF1473" s="1"/>
  <c r="Q1473"/>
  <c r="S1472"/>
  <c r="AG1472" s="1"/>
  <c r="R1472"/>
  <c r="AF1472" s="1"/>
  <c r="Q1472"/>
  <c r="S1471"/>
  <c r="AG1471" s="1"/>
  <c r="Q1471"/>
  <c r="S1470"/>
  <c r="AG1470" s="1"/>
  <c r="R1470"/>
  <c r="AF1470" s="1"/>
  <c r="Q1470"/>
  <c r="S1469"/>
  <c r="AG1469" s="1"/>
  <c r="R1469"/>
  <c r="AF1469" s="1"/>
  <c r="Q1469"/>
  <c r="S1468"/>
  <c r="AG1468" s="1"/>
  <c r="R1468"/>
  <c r="AF1468" s="1"/>
  <c r="Q1468"/>
  <c r="S1467"/>
  <c r="AG1467" s="1"/>
  <c r="R1467"/>
  <c r="AF1467" s="1"/>
  <c r="Q1467"/>
  <c r="S1466"/>
  <c r="AG1466" s="1"/>
  <c r="R1466"/>
  <c r="AF1466" s="1"/>
  <c r="Q1466"/>
  <c r="S1465"/>
  <c r="AG1465" s="1"/>
  <c r="R1465"/>
  <c r="AF1465" s="1"/>
  <c r="Q1465"/>
  <c r="S1464"/>
  <c r="AG1464" s="1"/>
  <c r="R1464"/>
  <c r="AF1464" s="1"/>
  <c r="Q1464"/>
  <c r="S1463"/>
  <c r="AG1463" s="1"/>
  <c r="R1463"/>
  <c r="AF1463" s="1"/>
  <c r="Q1463"/>
  <c r="S1462"/>
  <c r="AG1462" s="1"/>
  <c r="R1462"/>
  <c r="AF1462" s="1"/>
  <c r="Q1462"/>
  <c r="S1461"/>
  <c r="AG1461" s="1"/>
  <c r="R1461"/>
  <c r="AF1461" s="1"/>
  <c r="Q1461"/>
  <c r="S1460"/>
  <c r="AG1460" s="1"/>
  <c r="R1460"/>
  <c r="AF1460" s="1"/>
  <c r="Q1460"/>
  <c r="S1459"/>
  <c r="AG1459" s="1"/>
  <c r="R1459"/>
  <c r="AF1459" s="1"/>
  <c r="Q1459"/>
  <c r="S1458"/>
  <c r="AG1458" s="1"/>
  <c r="R1458"/>
  <c r="AF1458" s="1"/>
  <c r="Q1458"/>
  <c r="S1457"/>
  <c r="AG1457" s="1"/>
  <c r="R1457"/>
  <c r="AF1457" s="1"/>
  <c r="Q1457"/>
  <c r="S1456"/>
  <c r="AG1456" s="1"/>
  <c r="R1456"/>
  <c r="AF1456" s="1"/>
  <c r="Q1456"/>
  <c r="S1455"/>
  <c r="AG1455" s="1"/>
  <c r="R1455"/>
  <c r="AF1455" s="1"/>
  <c r="Q1455"/>
  <c r="S1454"/>
  <c r="AG1454" s="1"/>
  <c r="R1454"/>
  <c r="AF1454" s="1"/>
  <c r="Q1454"/>
  <c r="S1453"/>
  <c r="AG1453" s="1"/>
  <c r="R1453"/>
  <c r="AF1453" s="1"/>
  <c r="Q1453"/>
  <c r="S1452"/>
  <c r="AG1452" s="1"/>
  <c r="R1452"/>
  <c r="AF1452" s="1"/>
  <c r="Q1452"/>
  <c r="S1451"/>
  <c r="AG1451" s="1"/>
  <c r="R1451"/>
  <c r="AF1451" s="1"/>
  <c r="Q1451"/>
  <c r="S1450"/>
  <c r="AG1450" s="1"/>
  <c r="R1450"/>
  <c r="AF1450" s="1"/>
  <c r="Q1450"/>
  <c r="S1449"/>
  <c r="AG1449" s="1"/>
  <c r="R1449"/>
  <c r="AF1449" s="1"/>
  <c r="Q1449"/>
  <c r="S1448"/>
  <c r="AG1448" s="1"/>
  <c r="R1448"/>
  <c r="AF1448" s="1"/>
  <c r="Q1448"/>
  <c r="S1447"/>
  <c r="AG1447" s="1"/>
  <c r="R1447"/>
  <c r="AF1447" s="1"/>
  <c r="Q1447"/>
  <c r="S1446"/>
  <c r="AG1446" s="1"/>
  <c r="R1446"/>
  <c r="AF1446" s="1"/>
  <c r="Q1446"/>
  <c r="S1445"/>
  <c r="AG1445" s="1"/>
  <c r="R1445"/>
  <c r="AF1445" s="1"/>
  <c r="Q1445"/>
  <c r="S1444"/>
  <c r="AG1444" s="1"/>
  <c r="R1444"/>
  <c r="AF1444" s="1"/>
  <c r="Q1444"/>
  <c r="S1443"/>
  <c r="AG1443" s="1"/>
  <c r="R1443"/>
  <c r="AF1443" s="1"/>
  <c r="Q1443"/>
  <c r="S1442"/>
  <c r="AG1442" s="1"/>
  <c r="R1442"/>
  <c r="AF1442" s="1"/>
  <c r="Q1442"/>
  <c r="S1441"/>
  <c r="AG1441" s="1"/>
  <c r="R1441"/>
  <c r="AF1441" s="1"/>
  <c r="Q1441"/>
  <c r="S1440"/>
  <c r="AG1440" s="1"/>
  <c r="R1440"/>
  <c r="AF1440" s="1"/>
  <c r="Q1440"/>
  <c r="S1439"/>
  <c r="AG1439" s="1"/>
  <c r="R1439"/>
  <c r="AF1439" s="1"/>
  <c r="Q1439"/>
  <c r="S1438"/>
  <c r="AG1438" s="1"/>
  <c r="R1438"/>
  <c r="AF1438" s="1"/>
  <c r="Q1438"/>
  <c r="S1437"/>
  <c r="AG1437" s="1"/>
  <c r="R1437"/>
  <c r="AF1437" s="1"/>
  <c r="Q1437"/>
  <c r="S1436"/>
  <c r="AG1436" s="1"/>
  <c r="R1436"/>
  <c r="AF1436" s="1"/>
  <c r="Q1436"/>
  <c r="R1435"/>
  <c r="AF1435" s="1"/>
  <c r="Q1435"/>
  <c r="S1434"/>
  <c r="AG1434" s="1"/>
  <c r="R1434"/>
  <c r="AF1434" s="1"/>
  <c r="Q1434"/>
  <c r="S1433"/>
  <c r="AG1433" s="1"/>
  <c r="R1433"/>
  <c r="AF1433" s="1"/>
  <c r="Q1433"/>
  <c r="S1432"/>
  <c r="AG1432" s="1"/>
  <c r="R1432"/>
  <c r="AF1432" s="1"/>
  <c r="Q1432"/>
  <c r="S1431"/>
  <c r="R1431"/>
  <c r="Q1431"/>
  <c r="S1430"/>
  <c r="AG1430" s="1"/>
  <c r="R1430"/>
  <c r="AF1430" s="1"/>
  <c r="Q1430"/>
  <c r="S1429"/>
  <c r="AG1429" s="1"/>
  <c r="R1429"/>
  <c r="AF1429" s="1"/>
  <c r="Q1429"/>
  <c r="S1428"/>
  <c r="AG1428" s="1"/>
  <c r="R1428"/>
  <c r="AF1428" s="1"/>
  <c r="Q1428"/>
  <c r="S1427"/>
  <c r="R1427"/>
  <c r="AF1427" s="1"/>
  <c r="Q1427"/>
  <c r="S1426"/>
  <c r="R1426"/>
  <c r="AF1426" s="1"/>
  <c r="Q1426"/>
  <c r="S1425"/>
  <c r="AG1425" s="1"/>
  <c r="R1425"/>
  <c r="AF1425" s="1"/>
  <c r="Q1425"/>
  <c r="S1424"/>
  <c r="R1424"/>
  <c r="AF1424" s="1"/>
  <c r="Q1424"/>
  <c r="S1423"/>
  <c r="R1423"/>
  <c r="AF1423" s="1"/>
  <c r="Q1423"/>
  <c r="S1422"/>
  <c r="AG1422" s="1"/>
  <c r="R1422"/>
  <c r="AF1422" s="1"/>
  <c r="Q1422"/>
  <c r="S1421"/>
  <c r="AG1421" s="1"/>
  <c r="R1421"/>
  <c r="AF1421" s="1"/>
  <c r="Q1421"/>
  <c r="S1420"/>
  <c r="AG1420" s="1"/>
  <c r="R1420"/>
  <c r="AF1420" s="1"/>
  <c r="Q1420"/>
  <c r="S1419"/>
  <c r="AG1419" s="1"/>
  <c r="R1419"/>
  <c r="AF1419" s="1"/>
  <c r="Q1419"/>
  <c r="S1418"/>
  <c r="AG1418" s="1"/>
  <c r="R1418"/>
  <c r="AF1418" s="1"/>
  <c r="Q1418"/>
  <c r="S1417"/>
  <c r="R1417"/>
  <c r="AF1417" s="1"/>
  <c r="Q1417"/>
  <c r="S1416"/>
  <c r="AG1416" s="1"/>
  <c r="R1416"/>
  <c r="AF1416" s="1"/>
  <c r="Q1416"/>
  <c r="S1415"/>
  <c r="AG1415" s="1"/>
  <c r="R1415"/>
  <c r="AF1415" s="1"/>
  <c r="Q1415"/>
  <c r="S1414"/>
  <c r="R1414"/>
  <c r="AF1414" s="1"/>
  <c r="Q1414"/>
  <c r="S1413"/>
  <c r="AG1413" s="1"/>
  <c r="R1413"/>
  <c r="AF1413" s="1"/>
  <c r="Q1413"/>
  <c r="S1412"/>
  <c r="AG1412" s="1"/>
  <c r="R1412"/>
  <c r="AF1412" s="1"/>
  <c r="Q1412"/>
  <c r="S1411"/>
  <c r="AG1411" s="1"/>
  <c r="R1411"/>
  <c r="AF1411" s="1"/>
  <c r="Q1411"/>
  <c r="S1410"/>
  <c r="AG1410" s="1"/>
  <c r="R1410"/>
  <c r="AF1410" s="1"/>
  <c r="Q1410"/>
  <c r="S1409"/>
  <c r="AG1409" s="1"/>
  <c r="R1409"/>
  <c r="Q1409"/>
  <c r="S1408"/>
  <c r="AG1408" s="1"/>
  <c r="R1408"/>
  <c r="AF1408" s="1"/>
  <c r="Q1408"/>
  <c r="S1407"/>
  <c r="AG1407" s="1"/>
  <c r="R1407"/>
  <c r="Q1407"/>
  <c r="S1406"/>
  <c r="R1406"/>
  <c r="Q1406"/>
  <c r="S1405"/>
  <c r="R1405"/>
  <c r="Q1405"/>
  <c r="S1404"/>
  <c r="AG1404" s="1"/>
  <c r="R1404"/>
  <c r="Q1404"/>
  <c r="S1403"/>
  <c r="AG1403" s="1"/>
  <c r="R1403"/>
  <c r="AF1403" s="1"/>
  <c r="Q1403"/>
  <c r="S1402"/>
  <c r="AG1402" s="1"/>
  <c r="R1402"/>
  <c r="AF1402" s="1"/>
  <c r="Q1402"/>
  <c r="R1401"/>
  <c r="AF1401" s="1"/>
  <c r="Q1401"/>
  <c r="S1400"/>
  <c r="AG1400" s="1"/>
  <c r="R1400"/>
  <c r="AF1400" s="1"/>
  <c r="Q1400"/>
  <c r="S1399"/>
  <c r="AG1399" s="1"/>
  <c r="R1399"/>
  <c r="AF1399" s="1"/>
  <c r="Q1399"/>
  <c r="R1398"/>
  <c r="AF1398" s="1"/>
  <c r="Q1398"/>
  <c r="Q1397"/>
  <c r="S1396"/>
  <c r="AG1396" s="1"/>
  <c r="R1396"/>
  <c r="AF1396" s="1"/>
  <c r="Q1396"/>
  <c r="Q1395"/>
  <c r="Q1394"/>
  <c r="R1393"/>
  <c r="AF1393" s="1"/>
  <c r="Q1393"/>
  <c r="Q1392"/>
  <c r="R1391"/>
  <c r="AF1391" s="1"/>
  <c r="Q1391"/>
  <c r="Q1390"/>
  <c r="S1389"/>
  <c r="AG1389" s="1"/>
  <c r="R1389"/>
  <c r="AF1389" s="1"/>
  <c r="Q1389"/>
  <c r="R1388"/>
  <c r="AF1388" s="1"/>
  <c r="Q1388"/>
  <c r="Q1387"/>
  <c r="S1386"/>
  <c r="AG1386" s="1"/>
  <c r="R1386"/>
  <c r="AF1386" s="1"/>
  <c r="Q1386"/>
  <c r="S1385"/>
  <c r="AG1385" s="1"/>
  <c r="R1385"/>
  <c r="AF1385" s="1"/>
  <c r="Q1385"/>
  <c r="R1384"/>
  <c r="AF1384" s="1"/>
  <c r="Q1384"/>
  <c r="S1383"/>
  <c r="AG1383" s="1"/>
  <c r="R1383"/>
  <c r="AF1383" s="1"/>
  <c r="Q1383"/>
  <c r="S1382"/>
  <c r="AG1382" s="1"/>
  <c r="R1382"/>
  <c r="AF1382" s="1"/>
  <c r="Q1382"/>
  <c r="S1381"/>
  <c r="R1381"/>
  <c r="Q1381"/>
  <c r="S1380"/>
  <c r="R1380"/>
  <c r="Q1380"/>
  <c r="S1379"/>
  <c r="AG1379" s="1"/>
  <c r="Q1379"/>
  <c r="S1378"/>
  <c r="AG1378" s="1"/>
  <c r="R1378"/>
  <c r="AF1378" s="1"/>
  <c r="Q1378"/>
  <c r="S1377"/>
  <c r="AG1377" s="1"/>
  <c r="R1377"/>
  <c r="AF1377" s="1"/>
  <c r="Q1377"/>
  <c r="S1376"/>
  <c r="AG1376" s="1"/>
  <c r="R1376"/>
  <c r="AF1376" s="1"/>
  <c r="Q1376"/>
  <c r="S1375"/>
  <c r="AG1375" s="1"/>
  <c r="R1375"/>
  <c r="AF1375" s="1"/>
  <c r="Q1375"/>
  <c r="S1374"/>
  <c r="AG1374" s="1"/>
  <c r="R1374"/>
  <c r="AF1374" s="1"/>
  <c r="Q1374"/>
  <c r="S1373"/>
  <c r="AG1373" s="1"/>
  <c r="R1373"/>
  <c r="AF1373" s="1"/>
  <c r="Q1373"/>
  <c r="S1372"/>
  <c r="AG1372" s="1"/>
  <c r="R1372"/>
  <c r="AF1372" s="1"/>
  <c r="Q1372"/>
  <c r="S1371"/>
  <c r="AG1371" s="1"/>
  <c r="R1371"/>
  <c r="AF1371" s="1"/>
  <c r="Q1371"/>
  <c r="S1370"/>
  <c r="AG1370" s="1"/>
  <c r="R1370"/>
  <c r="AF1370" s="1"/>
  <c r="Q1370"/>
  <c r="S1369"/>
  <c r="AG1369" s="1"/>
  <c r="R1369"/>
  <c r="AF1369" s="1"/>
  <c r="Q1369"/>
  <c r="S1368"/>
  <c r="AG1368" s="1"/>
  <c r="R1368"/>
  <c r="AF1368" s="1"/>
  <c r="Q1368"/>
  <c r="S1367"/>
  <c r="AG1367" s="1"/>
  <c r="R1367"/>
  <c r="AF1367" s="1"/>
  <c r="Q1367"/>
  <c r="S1366"/>
  <c r="AG1366" s="1"/>
  <c r="R1366"/>
  <c r="AF1366" s="1"/>
  <c r="Q1366"/>
  <c r="S1365"/>
  <c r="AG1365" s="1"/>
  <c r="R1365"/>
  <c r="AF1365" s="1"/>
  <c r="Q1365"/>
  <c r="S1364"/>
  <c r="AG1364" s="1"/>
  <c r="R1364"/>
  <c r="AF1364" s="1"/>
  <c r="Q1364"/>
  <c r="S1363"/>
  <c r="AG1363" s="1"/>
  <c r="R1363"/>
  <c r="AF1363" s="1"/>
  <c r="Q1363"/>
  <c r="S1362"/>
  <c r="AG1362" s="1"/>
  <c r="R1362"/>
  <c r="AF1362" s="1"/>
  <c r="Q1362"/>
  <c r="S1361"/>
  <c r="AG1361" s="1"/>
  <c r="R1361"/>
  <c r="AF1361" s="1"/>
  <c r="Q1361"/>
  <c r="S1360"/>
  <c r="AG1360" s="1"/>
  <c r="R1360"/>
  <c r="AF1360" s="1"/>
  <c r="Q1360"/>
  <c r="S1359"/>
  <c r="AG1359" s="1"/>
  <c r="R1359"/>
  <c r="AF1359" s="1"/>
  <c r="Q1359"/>
  <c r="S1358"/>
  <c r="AG1358" s="1"/>
  <c r="R1358"/>
  <c r="AF1358" s="1"/>
  <c r="Q1358"/>
  <c r="S1357"/>
  <c r="AG1357" s="1"/>
  <c r="R1357"/>
  <c r="AF1357" s="1"/>
  <c r="Q1357"/>
  <c r="S1356"/>
  <c r="AG1356" s="1"/>
  <c r="R1356"/>
  <c r="AF1356" s="1"/>
  <c r="Q1356"/>
  <c r="S1355"/>
  <c r="AG1355" s="1"/>
  <c r="R1355"/>
  <c r="AF1355" s="1"/>
  <c r="Q1355"/>
  <c r="S1354"/>
  <c r="AG1354" s="1"/>
  <c r="R1354"/>
  <c r="AF1354" s="1"/>
  <c r="Q1354"/>
  <c r="S1353"/>
  <c r="AG1353" s="1"/>
  <c r="R1353"/>
  <c r="AF1353" s="1"/>
  <c r="Q1353"/>
  <c r="S1352"/>
  <c r="AG1352" s="1"/>
  <c r="R1352"/>
  <c r="AF1352" s="1"/>
  <c r="Q1352"/>
  <c r="S1351"/>
  <c r="AG1351" s="1"/>
  <c r="R1351"/>
  <c r="AF1351" s="1"/>
  <c r="Q1351"/>
  <c r="S1350"/>
  <c r="AG1350" s="1"/>
  <c r="R1350"/>
  <c r="AF1350" s="1"/>
  <c r="Q1350"/>
  <c r="S1349"/>
  <c r="AG1349" s="1"/>
  <c r="R1349"/>
  <c r="AF1349" s="1"/>
  <c r="Q1349"/>
  <c r="S1348"/>
  <c r="AG1348" s="1"/>
  <c r="R1348"/>
  <c r="AF1348" s="1"/>
  <c r="Q1348"/>
  <c r="S1347"/>
  <c r="AG1347" s="1"/>
  <c r="R1347"/>
  <c r="AF1347" s="1"/>
  <c r="Q1347"/>
  <c r="S1346"/>
  <c r="AG1346" s="1"/>
  <c r="R1346"/>
  <c r="AF1346" s="1"/>
  <c r="Q1346"/>
  <c r="S1345"/>
  <c r="AG1345" s="1"/>
  <c r="R1345"/>
  <c r="AF1345" s="1"/>
  <c r="Q1345"/>
  <c r="S1344"/>
  <c r="AG1344" s="1"/>
  <c r="R1344"/>
  <c r="AF1344" s="1"/>
  <c r="Q1344"/>
  <c r="S1343"/>
  <c r="AG1343" s="1"/>
  <c r="R1343"/>
  <c r="AF1343" s="1"/>
  <c r="Q1343"/>
  <c r="S1342"/>
  <c r="AG1342" s="1"/>
  <c r="R1342"/>
  <c r="AF1342" s="1"/>
  <c r="Q1342"/>
  <c r="S1341"/>
  <c r="AG1341" s="1"/>
  <c r="R1341"/>
  <c r="AF1341" s="1"/>
  <c r="Q1341"/>
  <c r="S1340"/>
  <c r="AG1340" s="1"/>
  <c r="R1340"/>
  <c r="AF1340" s="1"/>
  <c r="Q1340"/>
  <c r="S1339"/>
  <c r="AG1339" s="1"/>
  <c r="R1339"/>
  <c r="AF1339" s="1"/>
  <c r="Q1339"/>
  <c r="S1338"/>
  <c r="AG1338" s="1"/>
  <c r="R1338"/>
  <c r="AF1338" s="1"/>
  <c r="Q1338"/>
  <c r="S1337"/>
  <c r="AG1337" s="1"/>
  <c r="R1337"/>
  <c r="AF1337" s="1"/>
  <c r="Q1337"/>
  <c r="S1336"/>
  <c r="AG1336" s="1"/>
  <c r="R1336"/>
  <c r="AF1336" s="1"/>
  <c r="Q1336"/>
  <c r="S1335"/>
  <c r="AG1335" s="1"/>
  <c r="R1335"/>
  <c r="AF1335" s="1"/>
  <c r="Q1335"/>
  <c r="S1334"/>
  <c r="AG1334" s="1"/>
  <c r="R1334"/>
  <c r="AF1334" s="1"/>
  <c r="Q1334"/>
  <c r="S1333"/>
  <c r="AG1333" s="1"/>
  <c r="R1333"/>
  <c r="AF1333" s="1"/>
  <c r="Q1333"/>
  <c r="S1332"/>
  <c r="AG1332" s="1"/>
  <c r="R1332"/>
  <c r="AF1332" s="1"/>
  <c r="Q1332"/>
  <c r="S1331"/>
  <c r="AG1331" s="1"/>
  <c r="Q1331"/>
  <c r="S1330"/>
  <c r="AG1330" s="1"/>
  <c r="R1330"/>
  <c r="AF1330" s="1"/>
  <c r="Q1330"/>
  <c r="S1329"/>
  <c r="AG1329" s="1"/>
  <c r="R1329"/>
  <c r="AF1329" s="1"/>
  <c r="Q1329"/>
  <c r="S1328"/>
  <c r="AG1328" s="1"/>
  <c r="R1328"/>
  <c r="AF1328" s="1"/>
  <c r="Q1328"/>
  <c r="S1327"/>
  <c r="AG1327" s="1"/>
  <c r="Q1327"/>
  <c r="R1326"/>
  <c r="AF1326" s="1"/>
  <c r="S1325"/>
  <c r="AG1325" s="1"/>
  <c r="R1325"/>
  <c r="AF1325" s="1"/>
  <c r="Q1325"/>
  <c r="S1324"/>
  <c r="AG1324" s="1"/>
  <c r="R1324"/>
  <c r="AF1324" s="1"/>
  <c r="Q1324"/>
  <c r="S1323"/>
  <c r="AG1323" s="1"/>
  <c r="R1323"/>
  <c r="AF1323" s="1"/>
  <c r="Q1323"/>
  <c r="S1322"/>
  <c r="AG1322" s="1"/>
  <c r="Q1322"/>
  <c r="S1321"/>
  <c r="AG1321" s="1"/>
  <c r="Q1321"/>
  <c r="S1320"/>
  <c r="AG1320" s="1"/>
  <c r="Q1320"/>
  <c r="S1319"/>
  <c r="AG1319" s="1"/>
  <c r="R1319"/>
  <c r="AF1319" s="1"/>
  <c r="Q1319"/>
  <c r="S1318"/>
  <c r="AG1318" s="1"/>
  <c r="Q1318"/>
  <c r="S1317"/>
  <c r="AG1317" s="1"/>
  <c r="R1317"/>
  <c r="AF1317" s="1"/>
  <c r="Q1317"/>
  <c r="S1316"/>
  <c r="AG1316" s="1"/>
  <c r="R1316"/>
  <c r="AF1316" s="1"/>
  <c r="Q1316"/>
  <c r="S1315"/>
  <c r="AG1315" s="1"/>
  <c r="R1315"/>
  <c r="AF1315" s="1"/>
  <c r="Q1315"/>
  <c r="S1314"/>
  <c r="AG1314" s="1"/>
  <c r="R1314"/>
  <c r="AF1314" s="1"/>
  <c r="Q1314"/>
  <c r="S1313"/>
  <c r="AG1313" s="1"/>
  <c r="Q1313"/>
  <c r="S1312"/>
  <c r="AG1312" s="1"/>
  <c r="Q1312"/>
  <c r="S1311"/>
  <c r="AG1311" s="1"/>
  <c r="Q1311"/>
  <c r="R1310"/>
  <c r="AF1310" s="1"/>
  <c r="Q1310"/>
  <c r="R1309"/>
  <c r="AF1309" s="1"/>
  <c r="Q1309"/>
  <c r="R1308"/>
  <c r="AF1308" s="1"/>
  <c r="Q1308"/>
  <c r="S1307"/>
  <c r="AG1307" s="1"/>
  <c r="R1307"/>
  <c r="AF1307" s="1"/>
  <c r="Q1307"/>
  <c r="S1306"/>
  <c r="R1306"/>
  <c r="Q1306"/>
  <c r="S1305"/>
  <c r="AG1305" s="1"/>
  <c r="R1305"/>
  <c r="AF1305" s="1"/>
  <c r="Q1305"/>
  <c r="S1304"/>
  <c r="AG1304" s="1"/>
  <c r="Q1304"/>
  <c r="S1303"/>
  <c r="AG1303" s="1"/>
  <c r="R1303"/>
  <c r="AF1303" s="1"/>
  <c r="Q1303"/>
  <c r="S1301"/>
  <c r="AG1301" s="1"/>
  <c r="R1301"/>
  <c r="AF1301" s="1"/>
  <c r="Q1301"/>
  <c r="S1300"/>
  <c r="AG1300" s="1"/>
  <c r="R1300"/>
  <c r="AF1300" s="1"/>
  <c r="Q1300"/>
  <c r="S1299"/>
  <c r="AG1299" s="1"/>
  <c r="R1299"/>
  <c r="AF1299" s="1"/>
  <c r="Q1299"/>
  <c r="S1298"/>
  <c r="AG1298" s="1"/>
  <c r="R1298"/>
  <c r="AF1298" s="1"/>
  <c r="Q1298"/>
  <c r="S1297"/>
  <c r="AG1297" s="1"/>
  <c r="R1297"/>
  <c r="AF1297" s="1"/>
  <c r="Q1297"/>
  <c r="S1296"/>
  <c r="AG1296" s="1"/>
  <c r="R1296"/>
  <c r="AF1296" s="1"/>
  <c r="Q1296"/>
  <c r="S1295"/>
  <c r="AG1295" s="1"/>
  <c r="R1295"/>
  <c r="AF1295" s="1"/>
  <c r="Q1295"/>
  <c r="S1294"/>
  <c r="AG1294" s="1"/>
  <c r="R1294"/>
  <c r="AF1294" s="1"/>
  <c r="Q1294"/>
  <c r="S1293"/>
  <c r="AG1293" s="1"/>
  <c r="R1293"/>
  <c r="AF1293" s="1"/>
  <c r="Q1293"/>
  <c r="S1292"/>
  <c r="AG1292" s="1"/>
  <c r="R1292"/>
  <c r="AF1292" s="1"/>
  <c r="Q1292"/>
  <c r="S1291"/>
  <c r="AG1291" s="1"/>
  <c r="R1291"/>
  <c r="AF1291" s="1"/>
  <c r="Q1291"/>
  <c r="S1290"/>
  <c r="AG1290" s="1"/>
  <c r="R1290"/>
  <c r="AF1290" s="1"/>
  <c r="Q1290"/>
  <c r="S1289"/>
  <c r="AG1289" s="1"/>
  <c r="R1289"/>
  <c r="AF1289" s="1"/>
  <c r="Q1289"/>
  <c r="S1288"/>
  <c r="AG1288" s="1"/>
  <c r="R1288"/>
  <c r="AF1288" s="1"/>
  <c r="Q1288"/>
  <c r="S1287"/>
  <c r="AG1287" s="1"/>
  <c r="R1287"/>
  <c r="AF1287" s="1"/>
  <c r="Q1287"/>
  <c r="S1286"/>
  <c r="AG1286" s="1"/>
  <c r="R1286"/>
  <c r="AF1286" s="1"/>
  <c r="Q1286"/>
  <c r="S1285"/>
  <c r="AG1285" s="1"/>
  <c r="R1285"/>
  <c r="AF1285" s="1"/>
  <c r="Q1285"/>
  <c r="S1284"/>
  <c r="AG1284" s="1"/>
  <c r="R1284"/>
  <c r="AF1284" s="1"/>
  <c r="Q1284"/>
  <c r="S1283"/>
  <c r="AG1283" s="1"/>
  <c r="R1283"/>
  <c r="AF1283" s="1"/>
  <c r="Q1283"/>
  <c r="S1282"/>
  <c r="AG1282" s="1"/>
  <c r="R1282"/>
  <c r="AF1282" s="1"/>
  <c r="Q1282"/>
  <c r="S1281"/>
  <c r="AG1281" s="1"/>
  <c r="R1281"/>
  <c r="AF1281" s="1"/>
  <c r="Q1281"/>
  <c r="S1280"/>
  <c r="AG1280" s="1"/>
  <c r="R1280"/>
  <c r="AF1280" s="1"/>
  <c r="Q1280"/>
  <c r="S1279"/>
  <c r="AG1279" s="1"/>
  <c r="R1279"/>
  <c r="AF1279" s="1"/>
  <c r="Q1279"/>
  <c r="S1278"/>
  <c r="AG1278" s="1"/>
  <c r="R1278"/>
  <c r="AF1278" s="1"/>
  <c r="Q1278"/>
  <c r="S1277"/>
  <c r="AG1277" s="1"/>
  <c r="R1277"/>
  <c r="AF1277" s="1"/>
  <c r="Q1277"/>
  <c r="S1276"/>
  <c r="AG1276" s="1"/>
  <c r="R1276"/>
  <c r="AF1276" s="1"/>
  <c r="Q1276"/>
  <c r="S1275"/>
  <c r="AG1275" s="1"/>
  <c r="R1275"/>
  <c r="AF1275" s="1"/>
  <c r="Q1275"/>
  <c r="S1274"/>
  <c r="AG1274" s="1"/>
  <c r="R1274"/>
  <c r="AF1274" s="1"/>
  <c r="Q1274"/>
  <c r="S1273"/>
  <c r="AG1273" s="1"/>
  <c r="R1273"/>
  <c r="AF1273" s="1"/>
  <c r="Q1273"/>
  <c r="S1272"/>
  <c r="AG1272" s="1"/>
  <c r="R1272"/>
  <c r="AF1272" s="1"/>
  <c r="Q1272"/>
  <c r="S1271"/>
  <c r="AG1271" s="1"/>
  <c r="R1271"/>
  <c r="AF1271" s="1"/>
  <c r="Q1271"/>
  <c r="S1270"/>
  <c r="AG1270" s="1"/>
  <c r="R1270"/>
  <c r="AF1270" s="1"/>
  <c r="Q1270"/>
  <c r="S1269"/>
  <c r="AG1269" s="1"/>
  <c r="R1269"/>
  <c r="AF1269" s="1"/>
  <c r="Q1269"/>
  <c r="S1268"/>
  <c r="AG1268" s="1"/>
  <c r="R1268"/>
  <c r="AF1268" s="1"/>
  <c r="Q1268"/>
  <c r="S1267"/>
  <c r="AG1267" s="1"/>
  <c r="R1267"/>
  <c r="AF1267" s="1"/>
  <c r="Q1267"/>
  <c r="S1266"/>
  <c r="AG1266" s="1"/>
  <c r="R1266"/>
  <c r="AF1266" s="1"/>
  <c r="Q1266"/>
  <c r="S1265"/>
  <c r="AG1265" s="1"/>
  <c r="R1265"/>
  <c r="AF1265" s="1"/>
  <c r="Q1265"/>
  <c r="S1264"/>
  <c r="AG1264" s="1"/>
  <c r="R1264"/>
  <c r="AF1264" s="1"/>
  <c r="Q1264"/>
  <c r="S1263"/>
  <c r="AG1263" s="1"/>
  <c r="R1263"/>
  <c r="AF1263" s="1"/>
  <c r="Q1263"/>
  <c r="S1262"/>
  <c r="AG1262" s="1"/>
  <c r="R1262"/>
  <c r="AF1262" s="1"/>
  <c r="Q1262"/>
  <c r="S1261"/>
  <c r="AG1261" s="1"/>
  <c r="R1261"/>
  <c r="AF1261" s="1"/>
  <c r="Q1261"/>
  <c r="S1260"/>
  <c r="AG1260" s="1"/>
  <c r="R1260"/>
  <c r="AF1260" s="1"/>
  <c r="Q1260"/>
  <c r="S1259"/>
  <c r="AG1259" s="1"/>
  <c r="R1259"/>
  <c r="AF1259" s="1"/>
  <c r="Q1259"/>
  <c r="S1258"/>
  <c r="AG1258" s="1"/>
  <c r="R1258"/>
  <c r="AF1258" s="1"/>
  <c r="Q1258"/>
  <c r="S1257"/>
  <c r="AG1257" s="1"/>
  <c r="R1257"/>
  <c r="AF1257" s="1"/>
  <c r="Q1257"/>
  <c r="S1256"/>
  <c r="AG1256" s="1"/>
  <c r="R1256"/>
  <c r="AF1256" s="1"/>
  <c r="Q1256"/>
  <c r="S1255"/>
  <c r="AG1255" s="1"/>
  <c r="R1255"/>
  <c r="AF1255" s="1"/>
  <c r="Q1255"/>
  <c r="S1254"/>
  <c r="AG1254" s="1"/>
  <c r="R1254"/>
  <c r="AF1254" s="1"/>
  <c r="Q1254"/>
  <c r="S1253"/>
  <c r="AG1253" s="1"/>
  <c r="R1253"/>
  <c r="AF1253" s="1"/>
  <c r="Q1253"/>
  <c r="S1252"/>
  <c r="AG1252" s="1"/>
  <c r="R1252"/>
  <c r="AF1252" s="1"/>
  <c r="Q1252"/>
  <c r="S1251"/>
  <c r="AG1251" s="1"/>
  <c r="R1251"/>
  <c r="AF1251" s="1"/>
  <c r="Q1251"/>
  <c r="S1250"/>
  <c r="AG1250" s="1"/>
  <c r="R1250"/>
  <c r="AF1250" s="1"/>
  <c r="Q1250"/>
  <c r="S1249"/>
  <c r="AG1249" s="1"/>
  <c r="R1249"/>
  <c r="AF1249" s="1"/>
  <c r="Q1249"/>
  <c r="S1248"/>
  <c r="AG1248" s="1"/>
  <c r="R1248"/>
  <c r="AF1248" s="1"/>
  <c r="Q1248"/>
  <c r="S1247"/>
  <c r="AG1247" s="1"/>
  <c r="R1247"/>
  <c r="AF1247" s="1"/>
  <c r="Q1247"/>
  <c r="S1246"/>
  <c r="AG1246" s="1"/>
  <c r="R1246"/>
  <c r="AF1246" s="1"/>
  <c r="Q1246"/>
  <c r="S1245"/>
  <c r="AG1245" s="1"/>
  <c r="R1245"/>
  <c r="AF1245" s="1"/>
  <c r="Q1245"/>
  <c r="S1244"/>
  <c r="AG1244" s="1"/>
  <c r="R1244"/>
  <c r="AF1244" s="1"/>
  <c r="Q1244"/>
  <c r="S1243"/>
  <c r="AG1243" s="1"/>
  <c r="R1243"/>
  <c r="AF1243" s="1"/>
  <c r="Q1243"/>
  <c r="S1242"/>
  <c r="AG1242" s="1"/>
  <c r="R1242"/>
  <c r="AF1242" s="1"/>
  <c r="Q1242"/>
  <c r="S1241"/>
  <c r="AG1241" s="1"/>
  <c r="R1241"/>
  <c r="AF1241" s="1"/>
  <c r="Q1241"/>
  <c r="S1240"/>
  <c r="AG1240" s="1"/>
  <c r="R1240"/>
  <c r="AF1240" s="1"/>
  <c r="Q1240"/>
  <c r="S1239"/>
  <c r="AG1239" s="1"/>
  <c r="R1239"/>
  <c r="AF1239" s="1"/>
  <c r="Q1239"/>
  <c r="S1238"/>
  <c r="AG1238" s="1"/>
  <c r="R1238"/>
  <c r="AF1238" s="1"/>
  <c r="Q1238"/>
  <c r="S1237"/>
  <c r="AG1237" s="1"/>
  <c r="R1237"/>
  <c r="AF1237" s="1"/>
  <c r="Q1237"/>
  <c r="S1236"/>
  <c r="AG1236" s="1"/>
  <c r="R1236"/>
  <c r="AF1236" s="1"/>
  <c r="Q1236"/>
  <c r="S1235"/>
  <c r="AG1235" s="1"/>
  <c r="R1235"/>
  <c r="AF1235" s="1"/>
  <c r="Q1235"/>
  <c r="S1234"/>
  <c r="AG1234" s="1"/>
  <c r="R1234"/>
  <c r="AF1234" s="1"/>
  <c r="Q1234"/>
  <c r="S1233"/>
  <c r="AG1233" s="1"/>
  <c r="R1233"/>
  <c r="AF1233" s="1"/>
  <c r="Q1233"/>
  <c r="S1232"/>
  <c r="AG1232" s="1"/>
  <c r="R1232"/>
  <c r="AF1232" s="1"/>
  <c r="Q1232"/>
  <c r="S1231"/>
  <c r="AG1231" s="1"/>
  <c r="R1231"/>
  <c r="AF1231" s="1"/>
  <c r="Q1231"/>
  <c r="S1230"/>
  <c r="AG1230" s="1"/>
  <c r="R1230"/>
  <c r="AF1230" s="1"/>
  <c r="Q1230"/>
  <c r="S1229"/>
  <c r="AG1229" s="1"/>
  <c r="R1229"/>
  <c r="AF1229" s="1"/>
  <c r="Q1229"/>
  <c r="S1228"/>
  <c r="AG1228" s="1"/>
  <c r="R1228"/>
  <c r="AF1228" s="1"/>
  <c r="Q1228"/>
  <c r="S1227"/>
  <c r="AG1227" s="1"/>
  <c r="R1227"/>
  <c r="AF1227" s="1"/>
  <c r="Q1227"/>
  <c r="S1226"/>
  <c r="AG1226" s="1"/>
  <c r="R1226"/>
  <c r="AF1226" s="1"/>
  <c r="Q1226"/>
  <c r="S1225"/>
  <c r="AG1225" s="1"/>
  <c r="R1225"/>
  <c r="AF1225" s="1"/>
  <c r="Q1225"/>
  <c r="S1224"/>
  <c r="AG1224" s="1"/>
  <c r="R1224"/>
  <c r="AF1224" s="1"/>
  <c r="Q1224"/>
  <c r="S1223"/>
  <c r="AG1223" s="1"/>
  <c r="R1223"/>
  <c r="AF1223" s="1"/>
  <c r="Q1223"/>
  <c r="S1222"/>
  <c r="AG1222" s="1"/>
  <c r="R1222"/>
  <c r="AF1222" s="1"/>
  <c r="Q1222"/>
  <c r="S1221"/>
  <c r="AG1221" s="1"/>
  <c r="R1221"/>
  <c r="AF1221" s="1"/>
  <c r="Q1221"/>
  <c r="S1220"/>
  <c r="AG1220" s="1"/>
  <c r="R1220"/>
  <c r="AF1220" s="1"/>
  <c r="Q1220"/>
  <c r="S1219"/>
  <c r="AG1219" s="1"/>
  <c r="R1219"/>
  <c r="AF1219" s="1"/>
  <c r="Q1219"/>
  <c r="S1218"/>
  <c r="AG1218" s="1"/>
  <c r="R1218"/>
  <c r="AF1218" s="1"/>
  <c r="Q1218"/>
  <c r="Q1217"/>
  <c r="S1216"/>
  <c r="AG1216" s="1"/>
  <c r="R1216"/>
  <c r="AF1216" s="1"/>
  <c r="Q1216"/>
  <c r="S1215"/>
  <c r="AG1215" s="1"/>
  <c r="R1215"/>
  <c r="AF1215" s="1"/>
  <c r="Q1215"/>
  <c r="Q1214"/>
  <c r="S1213"/>
  <c r="AG1213" s="1"/>
  <c r="R1213"/>
  <c r="AF1213" s="1"/>
  <c r="Q1213"/>
  <c r="S1212"/>
  <c r="AG1212" s="1"/>
  <c r="R1212"/>
  <c r="AF1212" s="1"/>
  <c r="Q1212"/>
  <c r="S1211"/>
  <c r="AG1211" s="1"/>
  <c r="R1211"/>
  <c r="AF1211" s="1"/>
  <c r="Q1211"/>
  <c r="S1210"/>
  <c r="AG1210" s="1"/>
  <c r="R1210"/>
  <c r="AF1210" s="1"/>
  <c r="Q1210"/>
  <c r="Q1209"/>
  <c r="S1208"/>
  <c r="AG1208" s="1"/>
  <c r="R1208"/>
  <c r="AF1208" s="1"/>
  <c r="Q1208"/>
  <c r="S1207"/>
  <c r="AG1207" s="1"/>
  <c r="R1207"/>
  <c r="AF1207" s="1"/>
  <c r="Q1207"/>
  <c r="Q1206"/>
  <c r="S1205"/>
  <c r="AG1205" s="1"/>
  <c r="R1205"/>
  <c r="AF1205" s="1"/>
  <c r="Q1205"/>
  <c r="S1204"/>
  <c r="AG1204" s="1"/>
  <c r="R1204"/>
  <c r="AF1204" s="1"/>
  <c r="Q1204"/>
  <c r="Q1203"/>
  <c r="Q1202"/>
  <c r="S1201"/>
  <c r="AG1201" s="1"/>
  <c r="R1201"/>
  <c r="AF1201" s="1"/>
  <c r="Q1201"/>
  <c r="S1200"/>
  <c r="AG1200" s="1"/>
  <c r="R1200"/>
  <c r="AF1200" s="1"/>
  <c r="Q1200"/>
  <c r="S1199"/>
  <c r="AG1199" s="1"/>
  <c r="R1199"/>
  <c r="AF1199" s="1"/>
  <c r="Q1199"/>
  <c r="S1198"/>
  <c r="R1198"/>
  <c r="Q1198"/>
  <c r="S1196"/>
  <c r="AG1196" s="1"/>
  <c r="R1196"/>
  <c r="AF1196" s="1"/>
  <c r="Q1196"/>
  <c r="S1195"/>
  <c r="AG1195" s="1"/>
  <c r="R1195"/>
  <c r="AF1195" s="1"/>
  <c r="Q1195"/>
  <c r="S1194"/>
  <c r="AG1194" s="1"/>
  <c r="R1194"/>
  <c r="AF1194" s="1"/>
  <c r="Q1194"/>
  <c r="S1193"/>
  <c r="AG1193" s="1"/>
  <c r="R1193"/>
  <c r="AF1193" s="1"/>
  <c r="Q1193"/>
  <c r="S1192"/>
  <c r="AG1192" s="1"/>
  <c r="R1192"/>
  <c r="AF1192" s="1"/>
  <c r="Q1192"/>
  <c r="S1191"/>
  <c r="AG1191" s="1"/>
  <c r="R1191"/>
  <c r="AF1191" s="1"/>
  <c r="Q1191"/>
  <c r="S1190"/>
  <c r="AG1190" s="1"/>
  <c r="R1190"/>
  <c r="AF1190" s="1"/>
  <c r="Q1190"/>
  <c r="S1189"/>
  <c r="AG1189" s="1"/>
  <c r="R1189"/>
  <c r="AF1189" s="1"/>
  <c r="Q1189"/>
  <c r="S1188"/>
  <c r="AG1188" s="1"/>
  <c r="R1188"/>
  <c r="AF1188" s="1"/>
  <c r="Q1188"/>
  <c r="S1187"/>
  <c r="AG1187" s="1"/>
  <c r="R1187"/>
  <c r="AF1187" s="1"/>
  <c r="Q1187"/>
  <c r="S1186"/>
  <c r="AG1186" s="1"/>
  <c r="R1186"/>
  <c r="AF1186" s="1"/>
  <c r="Q1186"/>
  <c r="S1185"/>
  <c r="AG1185" s="1"/>
  <c r="R1185"/>
  <c r="AF1185" s="1"/>
  <c r="Q1185"/>
  <c r="S1184"/>
  <c r="AG1184" s="1"/>
  <c r="R1184"/>
  <c r="AF1184" s="1"/>
  <c r="Q1184"/>
  <c r="S1183"/>
  <c r="AG1183" s="1"/>
  <c r="R1183"/>
  <c r="Q1183"/>
  <c r="S1181"/>
  <c r="R1181"/>
  <c r="AF1181" s="1"/>
  <c r="Q1181"/>
  <c r="S1180"/>
  <c r="AG1180" s="1"/>
  <c r="R1180"/>
  <c r="AF1180" s="1"/>
  <c r="Q1180"/>
  <c r="S1179"/>
  <c r="AG1179" s="1"/>
  <c r="R1179"/>
  <c r="AF1179" s="1"/>
  <c r="Q1179"/>
  <c r="R1178"/>
  <c r="AF1178" s="1"/>
  <c r="Q1178"/>
  <c r="S1177"/>
  <c r="AG1177" s="1"/>
  <c r="R1177"/>
  <c r="AF1177" s="1"/>
  <c r="Q1177"/>
  <c r="S1176"/>
  <c r="AG1176" s="1"/>
  <c r="R1176"/>
  <c r="AF1176" s="1"/>
  <c r="Q1176"/>
  <c r="S1175"/>
  <c r="AG1175" s="1"/>
  <c r="R1175"/>
  <c r="AF1175" s="1"/>
  <c r="Q1175"/>
  <c r="S1174"/>
  <c r="AG1174" s="1"/>
  <c r="R1174"/>
  <c r="AF1174" s="1"/>
  <c r="Q1174"/>
  <c r="S1173"/>
  <c r="AG1173" s="1"/>
  <c r="R1173"/>
  <c r="AF1173" s="1"/>
  <c r="Q1173"/>
  <c r="S1172"/>
  <c r="AG1172" s="1"/>
  <c r="R1172"/>
  <c r="AF1172" s="1"/>
  <c r="Q1172"/>
  <c r="S1171"/>
  <c r="AG1171" s="1"/>
  <c r="R1171"/>
  <c r="AF1171" s="1"/>
  <c r="Q1171"/>
  <c r="S1170"/>
  <c r="AG1170" s="1"/>
  <c r="R1170"/>
  <c r="AF1170" s="1"/>
  <c r="Q1170"/>
  <c r="S1169"/>
  <c r="AG1169" s="1"/>
  <c r="R1169"/>
  <c r="AF1169" s="1"/>
  <c r="Q1169"/>
  <c r="S1168"/>
  <c r="AG1168" s="1"/>
  <c r="R1168"/>
  <c r="AF1168" s="1"/>
  <c r="Q1168"/>
  <c r="S1167"/>
  <c r="AG1167" s="1"/>
  <c r="R1167"/>
  <c r="AF1167" s="1"/>
  <c r="Q1167"/>
  <c r="S1166"/>
  <c r="AG1166" s="1"/>
  <c r="R1166"/>
  <c r="AF1166" s="1"/>
  <c r="Q1166"/>
  <c r="S1165"/>
  <c r="AG1165" s="1"/>
  <c r="R1165"/>
  <c r="AF1165" s="1"/>
  <c r="Q1165"/>
  <c r="S1164"/>
  <c r="AG1164" s="1"/>
  <c r="R1164"/>
  <c r="AF1164" s="1"/>
  <c r="Q1164"/>
  <c r="S1163"/>
  <c r="AG1163" s="1"/>
  <c r="R1163"/>
  <c r="AF1163" s="1"/>
  <c r="Q1163"/>
  <c r="S1162"/>
  <c r="AG1162" s="1"/>
  <c r="R1162"/>
  <c r="AF1162" s="1"/>
  <c r="Q1162"/>
  <c r="S1161"/>
  <c r="AG1161" s="1"/>
  <c r="R1161"/>
  <c r="AF1161" s="1"/>
  <c r="Q1161"/>
  <c r="S1160"/>
  <c r="AG1160" s="1"/>
  <c r="R1160"/>
  <c r="AF1160" s="1"/>
  <c r="Q1160"/>
  <c r="S1159"/>
  <c r="AG1159" s="1"/>
  <c r="R1159"/>
  <c r="AF1159" s="1"/>
  <c r="Q1159"/>
  <c r="S1158"/>
  <c r="AG1158" s="1"/>
  <c r="R1158"/>
  <c r="AF1158" s="1"/>
  <c r="Q1158"/>
  <c r="S1157"/>
  <c r="AG1157" s="1"/>
  <c r="R1157"/>
  <c r="AF1157" s="1"/>
  <c r="Q1157"/>
  <c r="S1156"/>
  <c r="AG1156" s="1"/>
  <c r="R1156"/>
  <c r="AF1156" s="1"/>
  <c r="Q1156"/>
  <c r="S1155"/>
  <c r="AG1155" s="1"/>
  <c r="R1155"/>
  <c r="AF1155" s="1"/>
  <c r="Q1155"/>
  <c r="S1154"/>
  <c r="AG1154" s="1"/>
  <c r="R1154"/>
  <c r="AF1154" s="1"/>
  <c r="Q1154"/>
  <c r="S1153"/>
  <c r="AG1153" s="1"/>
  <c r="R1153"/>
  <c r="AF1153" s="1"/>
  <c r="Q1153"/>
  <c r="S1152"/>
  <c r="AG1152" s="1"/>
  <c r="R1152"/>
  <c r="AF1152" s="1"/>
  <c r="Q1152"/>
  <c r="S1151"/>
  <c r="AG1151" s="1"/>
  <c r="R1151"/>
  <c r="AF1151" s="1"/>
  <c r="Q1151"/>
  <c r="S1150"/>
  <c r="AG1150" s="1"/>
  <c r="R1150"/>
  <c r="AF1150" s="1"/>
  <c r="Q1150"/>
  <c r="S1149"/>
  <c r="AG1149" s="1"/>
  <c r="R1149"/>
  <c r="AF1149" s="1"/>
  <c r="Q1149"/>
  <c r="S1148"/>
  <c r="AG1148" s="1"/>
  <c r="R1148"/>
  <c r="AF1148" s="1"/>
  <c r="Q1148"/>
  <c r="S1147"/>
  <c r="AG1147" s="1"/>
  <c r="R1147"/>
  <c r="AF1147" s="1"/>
  <c r="Q1147"/>
  <c r="S1146"/>
  <c r="AG1146" s="1"/>
  <c r="R1146"/>
  <c r="AF1146" s="1"/>
  <c r="Q1146"/>
  <c r="S1145"/>
  <c r="AG1145" s="1"/>
  <c r="R1145"/>
  <c r="AF1145" s="1"/>
  <c r="Q1145"/>
  <c r="S1144"/>
  <c r="AG1144" s="1"/>
  <c r="R1144"/>
  <c r="AF1144" s="1"/>
  <c r="Q1144"/>
  <c r="S1143"/>
  <c r="AG1143" s="1"/>
  <c r="R1143"/>
  <c r="AF1143" s="1"/>
  <c r="Q1143"/>
  <c r="S1142"/>
  <c r="AG1142" s="1"/>
  <c r="R1142"/>
  <c r="AF1142" s="1"/>
  <c r="Q1142"/>
  <c r="S1141"/>
  <c r="AG1141" s="1"/>
  <c r="R1141"/>
  <c r="AF1141" s="1"/>
  <c r="Q1141"/>
  <c r="S1140"/>
  <c r="AG1140" s="1"/>
  <c r="R1140"/>
  <c r="AF1140" s="1"/>
  <c r="Q1140"/>
  <c r="S1139"/>
  <c r="AG1139" s="1"/>
  <c r="R1139"/>
  <c r="AF1139" s="1"/>
  <c r="Q1139"/>
  <c r="S1138"/>
  <c r="AG1138" s="1"/>
  <c r="R1138"/>
  <c r="AF1138" s="1"/>
  <c r="Q1138"/>
  <c r="S1137"/>
  <c r="AG1137" s="1"/>
  <c r="R1137"/>
  <c r="AF1137" s="1"/>
  <c r="Q1137"/>
  <c r="S1136"/>
  <c r="AG1136" s="1"/>
  <c r="R1136"/>
  <c r="AF1136" s="1"/>
  <c r="Q1136"/>
  <c r="S1135"/>
  <c r="AG1135" s="1"/>
  <c r="R1135"/>
  <c r="AF1135" s="1"/>
  <c r="Q1135"/>
  <c r="S1134"/>
  <c r="AG1134" s="1"/>
  <c r="R1134"/>
  <c r="AF1134" s="1"/>
  <c r="Q1134"/>
  <c r="S1133"/>
  <c r="AG1133" s="1"/>
  <c r="R1133"/>
  <c r="AF1133" s="1"/>
  <c r="Q1133"/>
  <c r="S1132"/>
  <c r="AG1132" s="1"/>
  <c r="R1132"/>
  <c r="AF1132" s="1"/>
  <c r="Q1132"/>
  <c r="S1131"/>
  <c r="AG1131" s="1"/>
  <c r="R1131"/>
  <c r="AF1131" s="1"/>
  <c r="Q1131"/>
  <c r="S1130"/>
  <c r="AG1130" s="1"/>
  <c r="R1130"/>
  <c r="AF1130" s="1"/>
  <c r="Q1130"/>
  <c r="S1129"/>
  <c r="AG1129" s="1"/>
  <c r="R1129"/>
  <c r="AF1129" s="1"/>
  <c r="Q1129"/>
  <c r="S1128"/>
  <c r="AG1128" s="1"/>
  <c r="R1128"/>
  <c r="AF1128" s="1"/>
  <c r="Q1128"/>
  <c r="S1127"/>
  <c r="AG1127" s="1"/>
  <c r="R1127"/>
  <c r="AF1127" s="1"/>
  <c r="Q1127"/>
  <c r="S1126"/>
  <c r="AG1126" s="1"/>
  <c r="R1126"/>
  <c r="AF1126" s="1"/>
  <c r="Q1126"/>
  <c r="S1125"/>
  <c r="AG1125" s="1"/>
  <c r="R1125"/>
  <c r="AF1125" s="1"/>
  <c r="Q1125"/>
  <c r="S1124"/>
  <c r="AG1124" s="1"/>
  <c r="R1124"/>
  <c r="AF1124" s="1"/>
  <c r="Q1124"/>
  <c r="S1123"/>
  <c r="AG1123" s="1"/>
  <c r="R1123"/>
  <c r="AF1123" s="1"/>
  <c r="Q1123"/>
  <c r="S1122"/>
  <c r="AG1122" s="1"/>
  <c r="R1122"/>
  <c r="AF1122" s="1"/>
  <c r="Q1122"/>
  <c r="S1121"/>
  <c r="AG1121" s="1"/>
  <c r="R1121"/>
  <c r="AF1121" s="1"/>
  <c r="Q1121"/>
  <c r="S1120"/>
  <c r="AG1120" s="1"/>
  <c r="R1120"/>
  <c r="AF1120" s="1"/>
  <c r="Q1120"/>
  <c r="S1119"/>
  <c r="AG1119" s="1"/>
  <c r="R1119"/>
  <c r="AF1119" s="1"/>
  <c r="Q1119"/>
  <c r="S1118"/>
  <c r="AG1118" s="1"/>
  <c r="R1118"/>
  <c r="AF1118" s="1"/>
  <c r="Q1118"/>
  <c r="S1117"/>
  <c r="AG1117" s="1"/>
  <c r="R1117"/>
  <c r="AF1117" s="1"/>
  <c r="Q1117"/>
  <c r="S1116"/>
  <c r="AG1116" s="1"/>
  <c r="R1116"/>
  <c r="AF1116" s="1"/>
  <c r="Q1116"/>
  <c r="S1115"/>
  <c r="AG1115" s="1"/>
  <c r="R1115"/>
  <c r="AF1115" s="1"/>
  <c r="Q1115"/>
  <c r="S1114"/>
  <c r="AG1114" s="1"/>
  <c r="R1114"/>
  <c r="AF1114" s="1"/>
  <c r="Q1114"/>
  <c r="S1113"/>
  <c r="AG1113" s="1"/>
  <c r="R1113"/>
  <c r="AF1113" s="1"/>
  <c r="Q1113"/>
  <c r="S1112"/>
  <c r="AG1112" s="1"/>
  <c r="R1112"/>
  <c r="AF1112" s="1"/>
  <c r="Q1112"/>
  <c r="S1111"/>
  <c r="AG1111" s="1"/>
  <c r="R1111"/>
  <c r="AF1111" s="1"/>
  <c r="Q1111"/>
  <c r="S1110"/>
  <c r="AG1110" s="1"/>
  <c r="R1110"/>
  <c r="AF1110" s="1"/>
  <c r="Q1110"/>
  <c r="S1109"/>
  <c r="AG1109" s="1"/>
  <c r="R1109"/>
  <c r="AF1109" s="1"/>
  <c r="Q1109"/>
  <c r="S1108"/>
  <c r="AG1108" s="1"/>
  <c r="R1108"/>
  <c r="AF1108" s="1"/>
  <c r="Q1108"/>
  <c r="S1107"/>
  <c r="AG1107" s="1"/>
  <c r="R1107"/>
  <c r="AF1107" s="1"/>
  <c r="Q1107"/>
  <c r="S1106"/>
  <c r="AG1106" s="1"/>
  <c r="R1106"/>
  <c r="AF1106" s="1"/>
  <c r="Q1106"/>
  <c r="S1105"/>
  <c r="AG1105" s="1"/>
  <c r="R1105"/>
  <c r="AF1105" s="1"/>
  <c r="Q1105"/>
  <c r="S1104"/>
  <c r="AG1104" s="1"/>
  <c r="R1104"/>
  <c r="AF1104" s="1"/>
  <c r="Q1104"/>
  <c r="S1103"/>
  <c r="AG1103" s="1"/>
  <c r="R1103"/>
  <c r="AF1103" s="1"/>
  <c r="Q1103"/>
  <c r="S1102"/>
  <c r="AG1102" s="1"/>
  <c r="R1102"/>
  <c r="AF1102" s="1"/>
  <c r="Q1102"/>
  <c r="S1101"/>
  <c r="AG1101" s="1"/>
  <c r="R1101"/>
  <c r="AF1101" s="1"/>
  <c r="Q1101"/>
  <c r="S1100"/>
  <c r="AG1100" s="1"/>
  <c r="R1100"/>
  <c r="AF1100" s="1"/>
  <c r="Q1100"/>
  <c r="S1099"/>
  <c r="AG1099" s="1"/>
  <c r="R1099"/>
  <c r="AF1099" s="1"/>
  <c r="Q1099"/>
  <c r="S1098"/>
  <c r="AG1098" s="1"/>
  <c r="R1098"/>
  <c r="AF1098" s="1"/>
  <c r="Q1098"/>
  <c r="S1097"/>
  <c r="AG1097" s="1"/>
  <c r="R1097"/>
  <c r="AF1097" s="1"/>
  <c r="Q1097"/>
  <c r="S1096"/>
  <c r="AG1096" s="1"/>
  <c r="R1096"/>
  <c r="AF1096" s="1"/>
  <c r="Q1096"/>
  <c r="S1095"/>
  <c r="AG1095" s="1"/>
  <c r="R1095"/>
  <c r="AF1095" s="1"/>
  <c r="Q1095"/>
  <c r="S1094"/>
  <c r="AG1094" s="1"/>
  <c r="R1094"/>
  <c r="AF1094" s="1"/>
  <c r="Q1094"/>
  <c r="S1093"/>
  <c r="AG1093" s="1"/>
  <c r="R1093"/>
  <c r="AF1093" s="1"/>
  <c r="Q1093"/>
  <c r="S1092"/>
  <c r="AG1092" s="1"/>
  <c r="R1092"/>
  <c r="AF1092" s="1"/>
  <c r="Q1092"/>
  <c r="S1091"/>
  <c r="AG1091" s="1"/>
  <c r="R1091"/>
  <c r="AF1091" s="1"/>
  <c r="Q1091"/>
  <c r="S1090"/>
  <c r="AG1090" s="1"/>
  <c r="R1090"/>
  <c r="AF1090" s="1"/>
  <c r="Q1090"/>
  <c r="S1089"/>
  <c r="AG1089" s="1"/>
  <c r="R1089"/>
  <c r="AF1089" s="1"/>
  <c r="Q1089"/>
  <c r="S1088"/>
  <c r="AG1088" s="1"/>
  <c r="R1088"/>
  <c r="AF1088" s="1"/>
  <c r="Q1088"/>
  <c r="S1087"/>
  <c r="AG1087" s="1"/>
  <c r="R1087"/>
  <c r="AF1087" s="1"/>
  <c r="Q1087"/>
  <c r="S1086"/>
  <c r="AG1086" s="1"/>
  <c r="R1086"/>
  <c r="AF1086" s="1"/>
  <c r="Q1086"/>
  <c r="S1085"/>
  <c r="AG1085" s="1"/>
  <c r="R1085"/>
  <c r="AF1085" s="1"/>
  <c r="Q1085"/>
  <c r="S1084"/>
  <c r="AG1084" s="1"/>
  <c r="R1084"/>
  <c r="AF1084" s="1"/>
  <c r="Q1084"/>
  <c r="S1083"/>
  <c r="AG1083" s="1"/>
  <c r="R1083"/>
  <c r="AF1083" s="1"/>
  <c r="Q1083"/>
  <c r="S1082"/>
  <c r="AG1082" s="1"/>
  <c r="R1082"/>
  <c r="AF1082" s="1"/>
  <c r="Q1082"/>
  <c r="S1081"/>
  <c r="AG1081" s="1"/>
  <c r="R1081"/>
  <c r="AF1081" s="1"/>
  <c r="Q1081"/>
  <c r="S1080"/>
  <c r="AG1080" s="1"/>
  <c r="R1080"/>
  <c r="AF1080" s="1"/>
  <c r="Q1080"/>
  <c r="S1079"/>
  <c r="AG1079" s="1"/>
  <c r="R1079"/>
  <c r="AF1079" s="1"/>
  <c r="Q1079"/>
  <c r="S1078"/>
  <c r="AG1078" s="1"/>
  <c r="R1078"/>
  <c r="AF1078" s="1"/>
  <c r="Q1078"/>
  <c r="S1077"/>
  <c r="AG1077" s="1"/>
  <c r="R1077"/>
  <c r="AF1077" s="1"/>
  <c r="Q1077"/>
  <c r="S1076"/>
  <c r="AG1076" s="1"/>
  <c r="R1076"/>
  <c r="AF1076" s="1"/>
  <c r="Q1076"/>
  <c r="S1075"/>
  <c r="AG1075" s="1"/>
  <c r="R1075"/>
  <c r="AF1075" s="1"/>
  <c r="Q1075"/>
  <c r="S1074"/>
  <c r="AG1074" s="1"/>
  <c r="R1074"/>
  <c r="AF1074" s="1"/>
  <c r="Q1074"/>
  <c r="S1073"/>
  <c r="AG1073" s="1"/>
  <c r="R1073"/>
  <c r="AF1073" s="1"/>
  <c r="Q1073"/>
  <c r="S1072"/>
  <c r="AG1072" s="1"/>
  <c r="R1072"/>
  <c r="AF1072" s="1"/>
  <c r="Q1072"/>
  <c r="S1071"/>
  <c r="AG1071" s="1"/>
  <c r="R1071"/>
  <c r="AF1071" s="1"/>
  <c r="Q1071"/>
  <c r="S1070"/>
  <c r="AG1070" s="1"/>
  <c r="R1070"/>
  <c r="AF1070" s="1"/>
  <c r="Q1070"/>
  <c r="S1069"/>
  <c r="AG1069" s="1"/>
  <c r="R1069"/>
  <c r="AF1069" s="1"/>
  <c r="Q1069"/>
  <c r="S1068"/>
  <c r="AG1068" s="1"/>
  <c r="R1068"/>
  <c r="AF1068" s="1"/>
  <c r="Q1068"/>
  <c r="S1067"/>
  <c r="AG1067" s="1"/>
  <c r="R1067"/>
  <c r="AF1067" s="1"/>
  <c r="Q1067"/>
  <c r="S1066"/>
  <c r="AG1066" s="1"/>
  <c r="R1066"/>
  <c r="AF1066" s="1"/>
  <c r="Q1066"/>
  <c r="S1065"/>
  <c r="AG1065" s="1"/>
  <c r="R1065"/>
  <c r="AF1065" s="1"/>
  <c r="Q1065"/>
  <c r="S1064"/>
  <c r="AG1064" s="1"/>
  <c r="R1064"/>
  <c r="AF1064" s="1"/>
  <c r="Q1064"/>
  <c r="S1063"/>
  <c r="AG1063" s="1"/>
  <c r="R1063"/>
  <c r="AF1063" s="1"/>
  <c r="Q1063"/>
  <c r="S1062"/>
  <c r="AG1062" s="1"/>
  <c r="R1062"/>
  <c r="AF1062" s="1"/>
  <c r="Q1062"/>
  <c r="S1061"/>
  <c r="AG1061" s="1"/>
  <c r="R1061"/>
  <c r="AF1061" s="1"/>
  <c r="Q1061"/>
  <c r="S1060"/>
  <c r="AG1060" s="1"/>
  <c r="R1060"/>
  <c r="AF1060" s="1"/>
  <c r="Q1060"/>
  <c r="S1059"/>
  <c r="AG1059" s="1"/>
  <c r="R1059"/>
  <c r="AF1059" s="1"/>
  <c r="Q1059"/>
  <c r="S1058"/>
  <c r="AG1058" s="1"/>
  <c r="R1058"/>
  <c r="AF1058" s="1"/>
  <c r="Q1058"/>
  <c r="S1057"/>
  <c r="AG1057" s="1"/>
  <c r="R1057"/>
  <c r="AF1057" s="1"/>
  <c r="Q1057"/>
  <c r="S1056"/>
  <c r="AG1056" s="1"/>
  <c r="R1056"/>
  <c r="AF1056" s="1"/>
  <c r="Q1056"/>
  <c r="S1055"/>
  <c r="AG1055" s="1"/>
  <c r="R1055"/>
  <c r="AF1055" s="1"/>
  <c r="Q1055"/>
  <c r="S1054"/>
  <c r="AG1054" s="1"/>
  <c r="R1054"/>
  <c r="AF1054" s="1"/>
  <c r="Q1054"/>
  <c r="S1053"/>
  <c r="AG1053" s="1"/>
  <c r="R1053"/>
  <c r="AF1053" s="1"/>
  <c r="Q1053"/>
  <c r="S1052"/>
  <c r="AG1052" s="1"/>
  <c r="R1052"/>
  <c r="AF1052" s="1"/>
  <c r="Q1052"/>
  <c r="S1051"/>
  <c r="AG1051" s="1"/>
  <c r="R1051"/>
  <c r="AF1051" s="1"/>
  <c r="Q1051"/>
  <c r="S1050"/>
  <c r="AG1050" s="1"/>
  <c r="R1050"/>
  <c r="AF1050" s="1"/>
  <c r="Q1050"/>
  <c r="S1049"/>
  <c r="AG1049" s="1"/>
  <c r="R1049"/>
  <c r="AF1049" s="1"/>
  <c r="Q1049"/>
  <c r="S1048"/>
  <c r="AG1048" s="1"/>
  <c r="R1048"/>
  <c r="AF1048" s="1"/>
  <c r="Q1048"/>
  <c r="S1047"/>
  <c r="AG1047" s="1"/>
  <c r="R1047"/>
  <c r="AF1047" s="1"/>
  <c r="Q1047"/>
  <c r="S1046"/>
  <c r="AG1046" s="1"/>
  <c r="R1046"/>
  <c r="AF1046" s="1"/>
  <c r="Q1046"/>
  <c r="S1045"/>
  <c r="AG1045" s="1"/>
  <c r="R1045"/>
  <c r="AF1045" s="1"/>
  <c r="Q1045"/>
  <c r="S1044"/>
  <c r="R1044"/>
  <c r="AF1044" s="1"/>
  <c r="Q1044"/>
  <c r="S1043"/>
  <c r="AG1043" s="1"/>
  <c r="R1043"/>
  <c r="AF1043" s="1"/>
  <c r="Q1043"/>
  <c r="S1042"/>
  <c r="AG1042" s="1"/>
  <c r="R1042"/>
  <c r="AF1042" s="1"/>
  <c r="Q1042"/>
  <c r="S1041"/>
  <c r="AG1041" s="1"/>
  <c r="R1041"/>
  <c r="AF1041" s="1"/>
  <c r="Q1041"/>
  <c r="S1040"/>
  <c r="AG1040" s="1"/>
  <c r="R1040"/>
  <c r="AF1040" s="1"/>
  <c r="Q1040"/>
  <c r="S1039"/>
  <c r="AG1039" s="1"/>
  <c r="R1039"/>
  <c r="AF1039" s="1"/>
  <c r="Q1039"/>
  <c r="S1038"/>
  <c r="AG1038" s="1"/>
  <c r="R1038"/>
  <c r="AF1038" s="1"/>
  <c r="Q1038"/>
  <c r="S1037"/>
  <c r="AG1037" s="1"/>
  <c r="R1037"/>
  <c r="AF1037" s="1"/>
  <c r="Q1037"/>
  <c r="S1036"/>
  <c r="AG1036" s="1"/>
  <c r="R1036"/>
  <c r="AF1036" s="1"/>
  <c r="Q1036"/>
  <c r="S1035"/>
  <c r="AG1035" s="1"/>
  <c r="R1035"/>
  <c r="AF1035" s="1"/>
  <c r="Q1035"/>
  <c r="S1034"/>
  <c r="AG1034" s="1"/>
  <c r="R1034"/>
  <c r="AF1034" s="1"/>
  <c r="Q1034"/>
  <c r="R1033"/>
  <c r="AF1033" s="1"/>
  <c r="Q1033"/>
  <c r="S1032"/>
  <c r="AG1032" s="1"/>
  <c r="R1032"/>
  <c r="AF1032" s="1"/>
  <c r="Q1032"/>
  <c r="S1031"/>
  <c r="AG1031" s="1"/>
  <c r="R1031"/>
  <c r="AF1031" s="1"/>
  <c r="Q1031"/>
  <c r="S1030"/>
  <c r="AG1030" s="1"/>
  <c r="R1030"/>
  <c r="AF1030" s="1"/>
  <c r="Q1030"/>
  <c r="S1029"/>
  <c r="AG1029" s="1"/>
  <c r="R1029"/>
  <c r="AF1029" s="1"/>
  <c r="Q1029"/>
  <c r="S1028"/>
  <c r="AG1028" s="1"/>
  <c r="R1028"/>
  <c r="AF1028" s="1"/>
  <c r="Q1028"/>
  <c r="S1027"/>
  <c r="AG1027" s="1"/>
  <c r="R1027"/>
  <c r="AF1027" s="1"/>
  <c r="Q1027"/>
  <c r="S1026"/>
  <c r="AG1026" s="1"/>
  <c r="R1026"/>
  <c r="AF1026" s="1"/>
  <c r="Q1026"/>
  <c r="S1025"/>
  <c r="AG1025" s="1"/>
  <c r="R1025"/>
  <c r="AF1025" s="1"/>
  <c r="Q1025"/>
  <c r="S1024"/>
  <c r="AG1024" s="1"/>
  <c r="R1024"/>
  <c r="AF1024" s="1"/>
  <c r="Q1024"/>
  <c r="S1023"/>
  <c r="AG1023" s="1"/>
  <c r="R1023"/>
  <c r="AF1023" s="1"/>
  <c r="Q1023"/>
  <c r="S1022"/>
  <c r="AG1022" s="1"/>
  <c r="R1022"/>
  <c r="AF1022" s="1"/>
  <c r="Q1022"/>
  <c r="S1021"/>
  <c r="AG1021" s="1"/>
  <c r="R1021"/>
  <c r="AF1021" s="1"/>
  <c r="Q1021"/>
  <c r="S1020"/>
  <c r="AG1020" s="1"/>
  <c r="R1020"/>
  <c r="AF1020" s="1"/>
  <c r="Q1020"/>
  <c r="S1019"/>
  <c r="AG1019" s="1"/>
  <c r="R1019"/>
  <c r="AF1019" s="1"/>
  <c r="Q1019"/>
  <c r="S1018"/>
  <c r="AG1018" s="1"/>
  <c r="R1018"/>
  <c r="AF1018" s="1"/>
  <c r="Q1018"/>
  <c r="S1017"/>
  <c r="AG1017" s="1"/>
  <c r="R1017"/>
  <c r="AF1017" s="1"/>
  <c r="Q1017"/>
  <c r="S1016"/>
  <c r="AG1016" s="1"/>
  <c r="R1016"/>
  <c r="AF1016" s="1"/>
  <c r="Q1016"/>
  <c r="S1015"/>
  <c r="AG1015" s="1"/>
  <c r="R1015"/>
  <c r="AF1015" s="1"/>
  <c r="Q1015"/>
  <c r="R1014"/>
  <c r="AF1014" s="1"/>
  <c r="Q1014"/>
  <c r="S1013"/>
  <c r="AG1013" s="1"/>
  <c r="R1013"/>
  <c r="AF1013" s="1"/>
  <c r="Q1013"/>
  <c r="S1012"/>
  <c r="AG1012" s="1"/>
  <c r="R1012"/>
  <c r="AF1012" s="1"/>
  <c r="Q1012"/>
  <c r="S1011"/>
  <c r="AG1011" s="1"/>
  <c r="R1011"/>
  <c r="AF1011" s="1"/>
  <c r="Q1011"/>
  <c r="S1010"/>
  <c r="AG1010" s="1"/>
  <c r="R1010"/>
  <c r="AF1010" s="1"/>
  <c r="Q1010"/>
  <c r="S1009"/>
  <c r="AG1009" s="1"/>
  <c r="R1009"/>
  <c r="AF1009" s="1"/>
  <c r="Q1009"/>
  <c r="S1008"/>
  <c r="AG1008" s="1"/>
  <c r="R1008"/>
  <c r="AF1008" s="1"/>
  <c r="Q1008"/>
  <c r="R1007"/>
  <c r="AF1007" s="1"/>
  <c r="Q1007"/>
  <c r="S1006"/>
  <c r="AG1006" s="1"/>
  <c r="R1006"/>
  <c r="AF1006" s="1"/>
  <c r="Q1006"/>
  <c r="S1005"/>
  <c r="AG1005" s="1"/>
  <c r="R1005"/>
  <c r="AF1005" s="1"/>
  <c r="Q1005"/>
  <c r="S1004"/>
  <c r="AG1004" s="1"/>
  <c r="R1004"/>
  <c r="AF1004" s="1"/>
  <c r="Q1004"/>
  <c r="S1003"/>
  <c r="AG1003" s="1"/>
  <c r="R1003"/>
  <c r="AF1003" s="1"/>
  <c r="Q1003"/>
  <c r="S1002"/>
  <c r="AG1002" s="1"/>
  <c r="R1002"/>
  <c r="AF1002" s="1"/>
  <c r="Q1002"/>
  <c r="S1001"/>
  <c r="AG1001" s="1"/>
  <c r="R1001"/>
  <c r="AF1001" s="1"/>
  <c r="Q1001"/>
  <c r="S1000"/>
  <c r="AG1000" s="1"/>
  <c r="R1000"/>
  <c r="AF1000" s="1"/>
  <c r="Q1000"/>
  <c r="S999"/>
  <c r="AG999" s="1"/>
  <c r="R999"/>
  <c r="AF999" s="1"/>
  <c r="Q999"/>
  <c r="S998"/>
  <c r="AG998" s="1"/>
  <c r="R998"/>
  <c r="AF998" s="1"/>
  <c r="Q998"/>
  <c r="S997"/>
  <c r="AG997" s="1"/>
  <c r="R997"/>
  <c r="AF997" s="1"/>
  <c r="Q997"/>
  <c r="S996"/>
  <c r="AG996" s="1"/>
  <c r="R996"/>
  <c r="AF996" s="1"/>
  <c r="Q996"/>
  <c r="S995"/>
  <c r="AG995" s="1"/>
  <c r="R995"/>
  <c r="AF995" s="1"/>
  <c r="Q995"/>
  <c r="S994"/>
  <c r="AG994" s="1"/>
  <c r="R994"/>
  <c r="AF994" s="1"/>
  <c r="Q994"/>
  <c r="S993"/>
  <c r="AG993" s="1"/>
  <c r="R993"/>
  <c r="AF993" s="1"/>
  <c r="Q993"/>
  <c r="S992"/>
  <c r="AG992" s="1"/>
  <c r="R992"/>
  <c r="AF992" s="1"/>
  <c r="Q992"/>
  <c r="S991"/>
  <c r="AG991" s="1"/>
  <c r="R991"/>
  <c r="AF991" s="1"/>
  <c r="Q991"/>
  <c r="S990"/>
  <c r="AG990" s="1"/>
  <c r="R990"/>
  <c r="AF990" s="1"/>
  <c r="Q990"/>
  <c r="S989"/>
  <c r="AG989" s="1"/>
  <c r="R989"/>
  <c r="AF989" s="1"/>
  <c r="Q989"/>
  <c r="S988"/>
  <c r="AG988" s="1"/>
  <c r="R988"/>
  <c r="AF988" s="1"/>
  <c r="Q988"/>
  <c r="S987"/>
  <c r="AG987" s="1"/>
  <c r="R987"/>
  <c r="AF987" s="1"/>
  <c r="Q987"/>
  <c r="S986"/>
  <c r="AG986" s="1"/>
  <c r="R986"/>
  <c r="AF986" s="1"/>
  <c r="Q986"/>
  <c r="S985"/>
  <c r="AG985" s="1"/>
  <c r="R985"/>
  <c r="AF985" s="1"/>
  <c r="Q985"/>
  <c r="S984"/>
  <c r="AG984" s="1"/>
  <c r="R984"/>
  <c r="AF984" s="1"/>
  <c r="Q984"/>
  <c r="Q983"/>
  <c r="S982"/>
  <c r="AG982" s="1"/>
  <c r="R982"/>
  <c r="AF982" s="1"/>
  <c r="Q982"/>
  <c r="S981"/>
  <c r="AG981" s="1"/>
  <c r="R981"/>
  <c r="AF981" s="1"/>
  <c r="Q981"/>
  <c r="S980"/>
  <c r="AG980" s="1"/>
  <c r="R980"/>
  <c r="AF980" s="1"/>
  <c r="Q980"/>
  <c r="S979"/>
  <c r="AG979" s="1"/>
  <c r="R979"/>
  <c r="AF979" s="1"/>
  <c r="Q979"/>
  <c r="S978"/>
  <c r="AG978" s="1"/>
  <c r="R978"/>
  <c r="AF978" s="1"/>
  <c r="Q978"/>
  <c r="S977"/>
  <c r="AG977" s="1"/>
  <c r="R977"/>
  <c r="AF977" s="1"/>
  <c r="Q977"/>
  <c r="S976"/>
  <c r="AG976" s="1"/>
  <c r="R976"/>
  <c r="AF976" s="1"/>
  <c r="Q976"/>
  <c r="S975"/>
  <c r="AG975" s="1"/>
  <c r="R975"/>
  <c r="AF975" s="1"/>
  <c r="Q975"/>
  <c r="S974"/>
  <c r="AG974" s="1"/>
  <c r="R974"/>
  <c r="AF974" s="1"/>
  <c r="Q974"/>
  <c r="S973"/>
  <c r="AG973" s="1"/>
  <c r="R973"/>
  <c r="AF973" s="1"/>
  <c r="Q973"/>
  <c r="S972"/>
  <c r="AG972" s="1"/>
  <c r="R972"/>
  <c r="AF972" s="1"/>
  <c r="Q972"/>
  <c r="S971"/>
  <c r="AG971" s="1"/>
  <c r="R971"/>
  <c r="AF971" s="1"/>
  <c r="Q971"/>
  <c r="S970"/>
  <c r="AG970" s="1"/>
  <c r="R970"/>
  <c r="AF970" s="1"/>
  <c r="Q970"/>
  <c r="S969"/>
  <c r="AG969" s="1"/>
  <c r="R969"/>
  <c r="AF969" s="1"/>
  <c r="Q969"/>
  <c r="S968"/>
  <c r="AG968" s="1"/>
  <c r="R968"/>
  <c r="AF968" s="1"/>
  <c r="Q968"/>
  <c r="S967"/>
  <c r="AG967" s="1"/>
  <c r="R967"/>
  <c r="AF967" s="1"/>
  <c r="Q967"/>
  <c r="S966"/>
  <c r="AG966" s="1"/>
  <c r="R966"/>
  <c r="AF966" s="1"/>
  <c r="Q966"/>
  <c r="S965"/>
  <c r="AG965" s="1"/>
  <c r="R965"/>
  <c r="AF965" s="1"/>
  <c r="Q965"/>
  <c r="S964"/>
  <c r="AG964" s="1"/>
  <c r="R964"/>
  <c r="AF964" s="1"/>
  <c r="Q964"/>
  <c r="S963"/>
  <c r="AG963" s="1"/>
  <c r="R963"/>
  <c r="AF963" s="1"/>
  <c r="Q963"/>
  <c r="S962"/>
  <c r="AG962" s="1"/>
  <c r="R962"/>
  <c r="AF962" s="1"/>
  <c r="Q962"/>
  <c r="S961"/>
  <c r="AG961" s="1"/>
  <c r="R961"/>
  <c r="AF961" s="1"/>
  <c r="Q961"/>
  <c r="S960"/>
  <c r="AG960" s="1"/>
  <c r="R960"/>
  <c r="AF960" s="1"/>
  <c r="Q960"/>
  <c r="S959"/>
  <c r="AG959" s="1"/>
  <c r="R959"/>
  <c r="AF959" s="1"/>
  <c r="Q959"/>
  <c r="S958"/>
  <c r="AG958" s="1"/>
  <c r="R958"/>
  <c r="AF958" s="1"/>
  <c r="Q958"/>
  <c r="S957"/>
  <c r="AG957" s="1"/>
  <c r="R957"/>
  <c r="AF957" s="1"/>
  <c r="Q957"/>
  <c r="S956"/>
  <c r="AG956" s="1"/>
  <c r="R956"/>
  <c r="AF956" s="1"/>
  <c r="Q956"/>
  <c r="S955"/>
  <c r="AG955" s="1"/>
  <c r="R955"/>
  <c r="AF955" s="1"/>
  <c r="Q955"/>
  <c r="S954"/>
  <c r="AG954" s="1"/>
  <c r="R954"/>
  <c r="AF954" s="1"/>
  <c r="Q954"/>
  <c r="S953"/>
  <c r="AG953" s="1"/>
  <c r="R953"/>
  <c r="AF953" s="1"/>
  <c r="Q953"/>
  <c r="S952"/>
  <c r="AG952" s="1"/>
  <c r="R952"/>
  <c r="AF952" s="1"/>
  <c r="Q952"/>
  <c r="S951"/>
  <c r="AG951" s="1"/>
  <c r="R951"/>
  <c r="AF951" s="1"/>
  <c r="Q951"/>
  <c r="S950"/>
  <c r="AG950" s="1"/>
  <c r="R950"/>
  <c r="AF950" s="1"/>
  <c r="Q950"/>
  <c r="S949"/>
  <c r="AG949" s="1"/>
  <c r="R949"/>
  <c r="AF949" s="1"/>
  <c r="Q949"/>
  <c r="S948"/>
  <c r="AG948" s="1"/>
  <c r="R948"/>
  <c r="AF948" s="1"/>
  <c r="Q948"/>
  <c r="S947"/>
  <c r="AG947" s="1"/>
  <c r="R947"/>
  <c r="AF947" s="1"/>
  <c r="Q947"/>
  <c r="S946"/>
  <c r="AG946" s="1"/>
  <c r="R946"/>
  <c r="AF946" s="1"/>
  <c r="Q946"/>
  <c r="S945"/>
  <c r="AG945" s="1"/>
  <c r="R945"/>
  <c r="AF945" s="1"/>
  <c r="Q945"/>
  <c r="S944"/>
  <c r="AG944" s="1"/>
  <c r="R944"/>
  <c r="AF944" s="1"/>
  <c r="Q944"/>
  <c r="S943"/>
  <c r="AG943" s="1"/>
  <c r="R943"/>
  <c r="AF943" s="1"/>
  <c r="Q943"/>
  <c r="S942"/>
  <c r="AG942" s="1"/>
  <c r="R942"/>
  <c r="AF942" s="1"/>
  <c r="Q942"/>
  <c r="S941"/>
  <c r="AG941" s="1"/>
  <c r="R941"/>
  <c r="AF941" s="1"/>
  <c r="Q941"/>
  <c r="S940"/>
  <c r="AG940" s="1"/>
  <c r="R940"/>
  <c r="AF940" s="1"/>
  <c r="Q940"/>
  <c r="S939"/>
  <c r="AG939" s="1"/>
  <c r="R939"/>
  <c r="AF939" s="1"/>
  <c r="Q939"/>
  <c r="S938"/>
  <c r="AG938" s="1"/>
  <c r="R938"/>
  <c r="AF938" s="1"/>
  <c r="Q938"/>
  <c r="S937"/>
  <c r="AG937" s="1"/>
  <c r="R937"/>
  <c r="AF937" s="1"/>
  <c r="Q937"/>
  <c r="S936"/>
  <c r="AG936" s="1"/>
  <c r="R936"/>
  <c r="AF936" s="1"/>
  <c r="Q936"/>
  <c r="S935"/>
  <c r="AG935" s="1"/>
  <c r="R935"/>
  <c r="AF935" s="1"/>
  <c r="Q935"/>
  <c r="S934"/>
  <c r="AG934" s="1"/>
  <c r="R934"/>
  <c r="AF934" s="1"/>
  <c r="Q934"/>
  <c r="S933"/>
  <c r="AG933" s="1"/>
  <c r="R933"/>
  <c r="AF933" s="1"/>
  <c r="Q933"/>
  <c r="S932"/>
  <c r="AG932" s="1"/>
  <c r="R932"/>
  <c r="AF932" s="1"/>
  <c r="Q932"/>
  <c r="S931"/>
  <c r="AG931" s="1"/>
  <c r="R931"/>
  <c r="AF931" s="1"/>
  <c r="Q931"/>
  <c r="S930"/>
  <c r="AG930" s="1"/>
  <c r="R930"/>
  <c r="AF930" s="1"/>
  <c r="Q930"/>
  <c r="S929"/>
  <c r="AG929" s="1"/>
  <c r="R929"/>
  <c r="AF929" s="1"/>
  <c r="Q929"/>
  <c r="S928"/>
  <c r="AG928" s="1"/>
  <c r="R928"/>
  <c r="AF928" s="1"/>
  <c r="Q928"/>
  <c r="S927"/>
  <c r="AG927" s="1"/>
  <c r="R927"/>
  <c r="AF927" s="1"/>
  <c r="Q927"/>
  <c r="S926"/>
  <c r="AG926" s="1"/>
  <c r="R926"/>
  <c r="AF926" s="1"/>
  <c r="Q926"/>
  <c r="S925"/>
  <c r="AG925" s="1"/>
  <c r="R925"/>
  <c r="AF925" s="1"/>
  <c r="Q925"/>
  <c r="S924"/>
  <c r="AG924" s="1"/>
  <c r="R924"/>
  <c r="AF924" s="1"/>
  <c r="Q924"/>
  <c r="S923"/>
  <c r="AG923" s="1"/>
  <c r="R923"/>
  <c r="AF923" s="1"/>
  <c r="Q923"/>
  <c r="S922"/>
  <c r="AG922" s="1"/>
  <c r="R922"/>
  <c r="AF922" s="1"/>
  <c r="Q922"/>
  <c r="S921"/>
  <c r="AG921" s="1"/>
  <c r="R921"/>
  <c r="AF921" s="1"/>
  <c r="Q921"/>
  <c r="S920"/>
  <c r="AG920" s="1"/>
  <c r="R920"/>
  <c r="AF920" s="1"/>
  <c r="Q920"/>
  <c r="S919"/>
  <c r="AG919" s="1"/>
  <c r="R919"/>
  <c r="AF919" s="1"/>
  <c r="Q919"/>
  <c r="S918"/>
  <c r="AG918" s="1"/>
  <c r="R918"/>
  <c r="AF918" s="1"/>
  <c r="Q918"/>
  <c r="S917"/>
  <c r="AG917" s="1"/>
  <c r="R917"/>
  <c r="AF917" s="1"/>
  <c r="Q917"/>
  <c r="S916"/>
  <c r="AG916" s="1"/>
  <c r="R916"/>
  <c r="AF916" s="1"/>
  <c r="Q916"/>
  <c r="S915"/>
  <c r="AG915" s="1"/>
  <c r="R915"/>
  <c r="AF915" s="1"/>
  <c r="Q915"/>
  <c r="S914"/>
  <c r="AG914" s="1"/>
  <c r="R914"/>
  <c r="AF914" s="1"/>
  <c r="Q914"/>
  <c r="S913"/>
  <c r="AG913" s="1"/>
  <c r="R913"/>
  <c r="AF913" s="1"/>
  <c r="Q913"/>
  <c r="S912"/>
  <c r="AG912" s="1"/>
  <c r="R912"/>
  <c r="AF912" s="1"/>
  <c r="Q912"/>
  <c r="S911"/>
  <c r="AG911" s="1"/>
  <c r="R911"/>
  <c r="AF911" s="1"/>
  <c r="Q911"/>
  <c r="S910"/>
  <c r="AG910" s="1"/>
  <c r="R910"/>
  <c r="AF910" s="1"/>
  <c r="Q910"/>
  <c r="S909"/>
  <c r="AG909" s="1"/>
  <c r="R909"/>
  <c r="AF909" s="1"/>
  <c r="Q909"/>
  <c r="S908"/>
  <c r="AG908" s="1"/>
  <c r="R908"/>
  <c r="AF908" s="1"/>
  <c r="Q908"/>
  <c r="S907"/>
  <c r="R907"/>
  <c r="AF907" s="1"/>
  <c r="Q907"/>
  <c r="S906"/>
  <c r="AG906" s="1"/>
  <c r="R906"/>
  <c r="AF906" s="1"/>
  <c r="Q906"/>
  <c r="S905"/>
  <c r="AG905" s="1"/>
  <c r="R905"/>
  <c r="AF905" s="1"/>
  <c r="Q905"/>
  <c r="S904"/>
  <c r="AG904" s="1"/>
  <c r="R904"/>
  <c r="AF904" s="1"/>
  <c r="Q904"/>
  <c r="S903"/>
  <c r="AG903" s="1"/>
  <c r="R903"/>
  <c r="AF903" s="1"/>
  <c r="Q903"/>
  <c r="S902"/>
  <c r="AG902" s="1"/>
  <c r="R902"/>
  <c r="AF902" s="1"/>
  <c r="Q902"/>
  <c r="S901"/>
  <c r="AG901" s="1"/>
  <c r="R901"/>
  <c r="AF901" s="1"/>
  <c r="Q901"/>
  <c r="S900"/>
  <c r="AG900" s="1"/>
  <c r="R900"/>
  <c r="AF900" s="1"/>
  <c r="Q900"/>
  <c r="S899"/>
  <c r="AG899" s="1"/>
  <c r="R899"/>
  <c r="AF899" s="1"/>
  <c r="Q899"/>
  <c r="S898"/>
  <c r="AG898" s="1"/>
  <c r="R898"/>
  <c r="AF898" s="1"/>
  <c r="Q898"/>
  <c r="S897"/>
  <c r="AG897" s="1"/>
  <c r="R897"/>
  <c r="AF897" s="1"/>
  <c r="Q897"/>
  <c r="S896"/>
  <c r="AG896" s="1"/>
  <c r="R896"/>
  <c r="AF896" s="1"/>
  <c r="Q896"/>
  <c r="S895"/>
  <c r="AG895" s="1"/>
  <c r="R895"/>
  <c r="AF895" s="1"/>
  <c r="Q895"/>
  <c r="S894"/>
  <c r="AG894" s="1"/>
  <c r="R894"/>
  <c r="AF894" s="1"/>
  <c r="Q894"/>
  <c r="S893"/>
  <c r="AG893" s="1"/>
  <c r="R893"/>
  <c r="AF893" s="1"/>
  <c r="Q893"/>
  <c r="S892"/>
  <c r="AG892" s="1"/>
  <c r="R892"/>
  <c r="AF892" s="1"/>
  <c r="Q892"/>
  <c r="S891"/>
  <c r="AG891" s="1"/>
  <c r="R891"/>
  <c r="AF891" s="1"/>
  <c r="Q891"/>
  <c r="S890"/>
  <c r="AG890" s="1"/>
  <c r="R890"/>
  <c r="AF890" s="1"/>
  <c r="Q890"/>
  <c r="S889"/>
  <c r="AG889" s="1"/>
  <c r="R889"/>
  <c r="AF889" s="1"/>
  <c r="Q889"/>
  <c r="S888"/>
  <c r="AG888" s="1"/>
  <c r="R888"/>
  <c r="AF888" s="1"/>
  <c r="Q888"/>
  <c r="S887"/>
  <c r="AG887" s="1"/>
  <c r="R887"/>
  <c r="AF887" s="1"/>
  <c r="Q887"/>
  <c r="S886"/>
  <c r="AG886" s="1"/>
  <c r="R886"/>
  <c r="AF886" s="1"/>
  <c r="Q886"/>
  <c r="S885"/>
  <c r="AG885" s="1"/>
  <c r="R885"/>
  <c r="AF885" s="1"/>
  <c r="Q885"/>
  <c r="S884"/>
  <c r="AG884" s="1"/>
  <c r="R884"/>
  <c r="AF884" s="1"/>
  <c r="Q884"/>
  <c r="S883"/>
  <c r="AG883" s="1"/>
  <c r="R883"/>
  <c r="AF883" s="1"/>
  <c r="Q883"/>
  <c r="S882"/>
  <c r="AG882" s="1"/>
  <c r="R882"/>
  <c r="AF882" s="1"/>
  <c r="Q882"/>
  <c r="S881"/>
  <c r="AG881" s="1"/>
  <c r="R881"/>
  <c r="AF881" s="1"/>
  <c r="Q881"/>
  <c r="S880"/>
  <c r="AG880" s="1"/>
  <c r="R880"/>
  <c r="AF880" s="1"/>
  <c r="Q880"/>
  <c r="S879"/>
  <c r="AG879" s="1"/>
  <c r="R879"/>
  <c r="AF879" s="1"/>
  <c r="Q879"/>
  <c r="S878"/>
  <c r="AG878" s="1"/>
  <c r="R878"/>
  <c r="AF878" s="1"/>
  <c r="Q878"/>
  <c r="S877"/>
  <c r="AG877" s="1"/>
  <c r="R877"/>
  <c r="AF877" s="1"/>
  <c r="Q877"/>
  <c r="S876"/>
  <c r="AG876" s="1"/>
  <c r="R876"/>
  <c r="AF876" s="1"/>
  <c r="Q876"/>
  <c r="S875"/>
  <c r="AG875" s="1"/>
  <c r="R875"/>
  <c r="AF875" s="1"/>
  <c r="Q875"/>
  <c r="S874"/>
  <c r="AG874" s="1"/>
  <c r="R874"/>
  <c r="AF874" s="1"/>
  <c r="Q874"/>
  <c r="S873"/>
  <c r="AG873" s="1"/>
  <c r="R873"/>
  <c r="AF873" s="1"/>
  <c r="Q873"/>
  <c r="S872"/>
  <c r="R872"/>
  <c r="AF872" s="1"/>
  <c r="Q872"/>
  <c r="S871"/>
  <c r="AG871" s="1"/>
  <c r="R871"/>
  <c r="AF871" s="1"/>
  <c r="Q871"/>
  <c r="S870"/>
  <c r="AG870" s="1"/>
  <c r="R870"/>
  <c r="AF870" s="1"/>
  <c r="Q870"/>
  <c r="S869"/>
  <c r="AG869" s="1"/>
  <c r="R869"/>
  <c r="AF869" s="1"/>
  <c r="Q869"/>
  <c r="S868"/>
  <c r="AG868" s="1"/>
  <c r="R868"/>
  <c r="AF868" s="1"/>
  <c r="Q868"/>
  <c r="S867"/>
  <c r="AG867" s="1"/>
  <c r="R867"/>
  <c r="AF867" s="1"/>
  <c r="Q867"/>
  <c r="S866"/>
  <c r="AG866" s="1"/>
  <c r="R866"/>
  <c r="AF866" s="1"/>
  <c r="Q866"/>
  <c r="S865"/>
  <c r="AG865" s="1"/>
  <c r="R865"/>
  <c r="AF865" s="1"/>
  <c r="Q865"/>
  <c r="S864"/>
  <c r="AG864" s="1"/>
  <c r="R864"/>
  <c r="AF864" s="1"/>
  <c r="Q864"/>
  <c r="S863"/>
  <c r="AG863" s="1"/>
  <c r="R863"/>
  <c r="AF863" s="1"/>
  <c r="Q863"/>
  <c r="S862"/>
  <c r="AG862" s="1"/>
  <c r="R862"/>
  <c r="AF862" s="1"/>
  <c r="Q862"/>
  <c r="S861"/>
  <c r="AG861" s="1"/>
  <c r="R861"/>
  <c r="AF861" s="1"/>
  <c r="Q861"/>
  <c r="S860"/>
  <c r="AG860" s="1"/>
  <c r="R860"/>
  <c r="AF860" s="1"/>
  <c r="Q860"/>
  <c r="S859"/>
  <c r="AG859" s="1"/>
  <c r="R859"/>
  <c r="AF859" s="1"/>
  <c r="Q859"/>
  <c r="S858"/>
  <c r="AG858" s="1"/>
  <c r="R858"/>
  <c r="AF858" s="1"/>
  <c r="Q858"/>
  <c r="S857"/>
  <c r="AG857" s="1"/>
  <c r="R857"/>
  <c r="AF857" s="1"/>
  <c r="Q857"/>
  <c r="S856"/>
  <c r="AG856" s="1"/>
  <c r="R856"/>
  <c r="AF856" s="1"/>
  <c r="Q856"/>
  <c r="S855"/>
  <c r="AG855" s="1"/>
  <c r="R855"/>
  <c r="AF855" s="1"/>
  <c r="Q855"/>
  <c r="S854"/>
  <c r="AG854" s="1"/>
  <c r="R854"/>
  <c r="AF854" s="1"/>
  <c r="Q854"/>
  <c r="S853"/>
  <c r="AG853" s="1"/>
  <c r="R853"/>
  <c r="AF853" s="1"/>
  <c r="Q853"/>
  <c r="S852"/>
  <c r="AG852" s="1"/>
  <c r="R852"/>
  <c r="AF852" s="1"/>
  <c r="Q852"/>
  <c r="S851"/>
  <c r="AG851" s="1"/>
  <c r="R851"/>
  <c r="AF851" s="1"/>
  <c r="Q851"/>
  <c r="S850"/>
  <c r="AG850" s="1"/>
  <c r="R850"/>
  <c r="AF850" s="1"/>
  <c r="Q850"/>
  <c r="S849"/>
  <c r="AG849" s="1"/>
  <c r="R849"/>
  <c r="AF849" s="1"/>
  <c r="Q849"/>
  <c r="S848"/>
  <c r="AG848" s="1"/>
  <c r="R848"/>
  <c r="AF848" s="1"/>
  <c r="Q848"/>
  <c r="S847"/>
  <c r="AG847" s="1"/>
  <c r="R847"/>
  <c r="AF847" s="1"/>
  <c r="Q847"/>
  <c r="S846"/>
  <c r="AG846" s="1"/>
  <c r="R846"/>
  <c r="AF846" s="1"/>
  <c r="Q846"/>
  <c r="S845"/>
  <c r="AG845" s="1"/>
  <c r="R845"/>
  <c r="AF845" s="1"/>
  <c r="Q845"/>
  <c r="S844"/>
  <c r="AG844" s="1"/>
  <c r="R844"/>
  <c r="AF844" s="1"/>
  <c r="Q844"/>
  <c r="S843"/>
  <c r="AG843" s="1"/>
  <c r="R843"/>
  <c r="AF843" s="1"/>
  <c r="Q843"/>
  <c r="S842"/>
  <c r="AG842" s="1"/>
  <c r="R842"/>
  <c r="AF842" s="1"/>
  <c r="Q842"/>
  <c r="S841"/>
  <c r="AG841" s="1"/>
  <c r="R841"/>
  <c r="AF841" s="1"/>
  <c r="Q841"/>
  <c r="S840"/>
  <c r="AG840" s="1"/>
  <c r="R840"/>
  <c r="AF840" s="1"/>
  <c r="Q840"/>
  <c r="S839"/>
  <c r="AG839" s="1"/>
  <c r="R839"/>
  <c r="AF839" s="1"/>
  <c r="Q839"/>
  <c r="S838"/>
  <c r="AG838" s="1"/>
  <c r="R838"/>
  <c r="AF838" s="1"/>
  <c r="Q838"/>
  <c r="S837"/>
  <c r="AG837" s="1"/>
  <c r="R837"/>
  <c r="AF837" s="1"/>
  <c r="Q837"/>
  <c r="S836"/>
  <c r="AG836" s="1"/>
  <c r="R836"/>
  <c r="AF836" s="1"/>
  <c r="Q836"/>
  <c r="S835"/>
  <c r="AG835" s="1"/>
  <c r="R835"/>
  <c r="AF835" s="1"/>
  <c r="Q835"/>
  <c r="S834"/>
  <c r="AG834" s="1"/>
  <c r="R834"/>
  <c r="AF834" s="1"/>
  <c r="Q834"/>
  <c r="S833"/>
  <c r="AG833" s="1"/>
  <c r="R833"/>
  <c r="AF833" s="1"/>
  <c r="Q833"/>
  <c r="S832"/>
  <c r="AG832" s="1"/>
  <c r="R832"/>
  <c r="AF832" s="1"/>
  <c r="Q832"/>
  <c r="S831"/>
  <c r="AG831" s="1"/>
  <c r="R831"/>
  <c r="AF831" s="1"/>
  <c r="Q831"/>
  <c r="S830"/>
  <c r="AG830" s="1"/>
  <c r="R830"/>
  <c r="AF830" s="1"/>
  <c r="Q830"/>
  <c r="S829"/>
  <c r="AG829" s="1"/>
  <c r="R829"/>
  <c r="AF829" s="1"/>
  <c r="Q829"/>
  <c r="S828"/>
  <c r="AG828" s="1"/>
  <c r="R828"/>
  <c r="AF828" s="1"/>
  <c r="Q828"/>
  <c r="S827"/>
  <c r="AG827" s="1"/>
  <c r="R827"/>
  <c r="AF827" s="1"/>
  <c r="Q827"/>
  <c r="S826"/>
  <c r="AG826" s="1"/>
  <c r="R826"/>
  <c r="AF826" s="1"/>
  <c r="Q826"/>
  <c r="S825"/>
  <c r="AG825" s="1"/>
  <c r="R825"/>
  <c r="AF825" s="1"/>
  <c r="Q825"/>
  <c r="S824"/>
  <c r="AG824" s="1"/>
  <c r="R824"/>
  <c r="AF824" s="1"/>
  <c r="Q824"/>
  <c r="S823"/>
  <c r="AG823" s="1"/>
  <c r="R823"/>
  <c r="AF823" s="1"/>
  <c r="Q823"/>
  <c r="S822"/>
  <c r="AG822" s="1"/>
  <c r="R822"/>
  <c r="AF822" s="1"/>
  <c r="Q822"/>
  <c r="S821"/>
  <c r="AG821" s="1"/>
  <c r="R821"/>
  <c r="AF821" s="1"/>
  <c r="Q821"/>
  <c r="S820"/>
  <c r="AG820" s="1"/>
  <c r="R820"/>
  <c r="AF820" s="1"/>
  <c r="Q820"/>
  <c r="S819"/>
  <c r="AG819" s="1"/>
  <c r="R819"/>
  <c r="AF819" s="1"/>
  <c r="Q819"/>
  <c r="S818"/>
  <c r="R818"/>
  <c r="AF818" s="1"/>
  <c r="Q818"/>
  <c r="S817"/>
  <c r="AG817" s="1"/>
  <c r="R817"/>
  <c r="AF817" s="1"/>
  <c r="Q817"/>
  <c r="S816"/>
  <c r="AG816" s="1"/>
  <c r="R816"/>
  <c r="AF816" s="1"/>
  <c r="Q816"/>
  <c r="S815"/>
  <c r="AG815" s="1"/>
  <c r="R815"/>
  <c r="AF815" s="1"/>
  <c r="Q815"/>
  <c r="S814"/>
  <c r="AG814" s="1"/>
  <c r="R814"/>
  <c r="AF814" s="1"/>
  <c r="Q814"/>
  <c r="S813"/>
  <c r="AG813" s="1"/>
  <c r="R813"/>
  <c r="AF813" s="1"/>
  <c r="Q813"/>
  <c r="S812"/>
  <c r="AG812" s="1"/>
  <c r="R812"/>
  <c r="AF812" s="1"/>
  <c r="Q812"/>
  <c r="S811"/>
  <c r="AG811" s="1"/>
  <c r="R811"/>
  <c r="AF811" s="1"/>
  <c r="Q811"/>
  <c r="S810"/>
  <c r="AG810" s="1"/>
  <c r="R810"/>
  <c r="AF810" s="1"/>
  <c r="Q810"/>
  <c r="S809"/>
  <c r="AG809" s="1"/>
  <c r="R809"/>
  <c r="AF809" s="1"/>
  <c r="Q809"/>
  <c r="S808"/>
  <c r="AG808" s="1"/>
  <c r="R808"/>
  <c r="AF808" s="1"/>
  <c r="Q808"/>
  <c r="S807"/>
  <c r="AG807" s="1"/>
  <c r="R807"/>
  <c r="AF807" s="1"/>
  <c r="Q807"/>
  <c r="S806"/>
  <c r="AG806" s="1"/>
  <c r="R806"/>
  <c r="AF806" s="1"/>
  <c r="Q806"/>
  <c r="S805"/>
  <c r="AG805" s="1"/>
  <c r="R805"/>
  <c r="AF805" s="1"/>
  <c r="Q805"/>
  <c r="S804"/>
  <c r="AG804" s="1"/>
  <c r="R804"/>
  <c r="AF804" s="1"/>
  <c r="Q804"/>
  <c r="S803"/>
  <c r="AG803" s="1"/>
  <c r="R803"/>
  <c r="AF803" s="1"/>
  <c r="Q803"/>
  <c r="S802"/>
  <c r="AG802" s="1"/>
  <c r="R802"/>
  <c r="AF802" s="1"/>
  <c r="Q802"/>
  <c r="S801"/>
  <c r="AG801" s="1"/>
  <c r="R801"/>
  <c r="AF801" s="1"/>
  <c r="Q801"/>
  <c r="S800"/>
  <c r="AG800" s="1"/>
  <c r="R800"/>
  <c r="AF800" s="1"/>
  <c r="Q800"/>
  <c r="S799"/>
  <c r="AG799" s="1"/>
  <c r="R799"/>
  <c r="AF799" s="1"/>
  <c r="Q799"/>
  <c r="S798"/>
  <c r="AG798" s="1"/>
  <c r="R798"/>
  <c r="Q798"/>
  <c r="S797"/>
  <c r="AG797" s="1"/>
  <c r="R797"/>
  <c r="AF797" s="1"/>
  <c r="Q797"/>
  <c r="S796"/>
  <c r="AG796" s="1"/>
  <c r="R796"/>
  <c r="AF796" s="1"/>
  <c r="Q796"/>
  <c r="S795"/>
  <c r="AG795" s="1"/>
  <c r="R795"/>
  <c r="AF795" s="1"/>
  <c r="Q795"/>
  <c r="S794"/>
  <c r="AG794" s="1"/>
  <c r="R794"/>
  <c r="AF794" s="1"/>
  <c r="Q794"/>
  <c r="S793"/>
  <c r="AG793" s="1"/>
  <c r="R793"/>
  <c r="AF793" s="1"/>
  <c r="Q793"/>
  <c r="S792"/>
  <c r="AG792" s="1"/>
  <c r="R792"/>
  <c r="AF792" s="1"/>
  <c r="Q792"/>
  <c r="S791"/>
  <c r="AG791" s="1"/>
  <c r="R791"/>
  <c r="AF791" s="1"/>
  <c r="Q791"/>
  <c r="S790"/>
  <c r="AG790" s="1"/>
  <c r="R790"/>
  <c r="AF790" s="1"/>
  <c r="Q790"/>
  <c r="S789"/>
  <c r="AG789" s="1"/>
  <c r="R789"/>
  <c r="AF789" s="1"/>
  <c r="Q789"/>
  <c r="S788"/>
  <c r="AG788" s="1"/>
  <c r="R788"/>
  <c r="AF788" s="1"/>
  <c r="Q788"/>
  <c r="S787"/>
  <c r="AG787" s="1"/>
  <c r="R787"/>
  <c r="AF787" s="1"/>
  <c r="Q787"/>
  <c r="S786"/>
  <c r="AG786" s="1"/>
  <c r="R786"/>
  <c r="AF786" s="1"/>
  <c r="Q786"/>
  <c r="S785"/>
  <c r="AG785" s="1"/>
  <c r="R785"/>
  <c r="AF785" s="1"/>
  <c r="Q785"/>
  <c r="S784"/>
  <c r="AG784" s="1"/>
  <c r="R784"/>
  <c r="AF784" s="1"/>
  <c r="Q784"/>
  <c r="S783"/>
  <c r="AG783" s="1"/>
  <c r="R783"/>
  <c r="AF783" s="1"/>
  <c r="Q783"/>
  <c r="Q782"/>
  <c r="S781"/>
  <c r="AG781" s="1"/>
  <c r="R781"/>
  <c r="AF781" s="1"/>
  <c r="Q781"/>
  <c r="S780"/>
  <c r="AG780" s="1"/>
  <c r="R780"/>
  <c r="AF780" s="1"/>
  <c r="Q780"/>
  <c r="Q779"/>
  <c r="S778"/>
  <c r="AG778" s="1"/>
  <c r="R778"/>
  <c r="AF778" s="1"/>
  <c r="Q778"/>
  <c r="S777"/>
  <c r="AG777" s="1"/>
  <c r="R777"/>
  <c r="AF777" s="1"/>
  <c r="Q777"/>
  <c r="Q776"/>
  <c r="S775"/>
  <c r="AG775" s="1"/>
  <c r="R775"/>
  <c r="AF775" s="1"/>
  <c r="Q775"/>
  <c r="S774"/>
  <c r="AG774" s="1"/>
  <c r="R774"/>
  <c r="AF774" s="1"/>
  <c r="Q774"/>
  <c r="Q773"/>
  <c r="S772"/>
  <c r="AG772" s="1"/>
  <c r="R772"/>
  <c r="AF772" s="1"/>
  <c r="Q772"/>
  <c r="S771"/>
  <c r="AG771" s="1"/>
  <c r="R771"/>
  <c r="AF771" s="1"/>
  <c r="Q771"/>
  <c r="S770"/>
  <c r="AG770" s="1"/>
  <c r="R770"/>
  <c r="AF770" s="1"/>
  <c r="Q770"/>
  <c r="S769"/>
  <c r="AG769" s="1"/>
  <c r="R769"/>
  <c r="AF769" s="1"/>
  <c r="Q769"/>
  <c r="Q768"/>
  <c r="S719"/>
  <c r="AG719" s="1"/>
  <c r="R719"/>
  <c r="AF719" s="1"/>
  <c r="Q719"/>
  <c r="S718"/>
  <c r="AG718" s="1"/>
  <c r="R718"/>
  <c r="AF718" s="1"/>
  <c r="Q718"/>
  <c r="S717"/>
  <c r="AG717" s="1"/>
  <c r="R717"/>
  <c r="AF717" s="1"/>
  <c r="Q717"/>
  <c r="S716"/>
  <c r="AG716" s="1"/>
  <c r="R716"/>
  <c r="AF716" s="1"/>
  <c r="Q716"/>
  <c r="S715"/>
  <c r="AG715" s="1"/>
  <c r="R715"/>
  <c r="AF715" s="1"/>
  <c r="Q715"/>
  <c r="Q714"/>
  <c r="S767"/>
  <c r="AG767" s="1"/>
  <c r="R767"/>
  <c r="AF767" s="1"/>
  <c r="Q767"/>
  <c r="S766"/>
  <c r="AG766" s="1"/>
  <c r="R766"/>
  <c r="AF766" s="1"/>
  <c r="Q766"/>
  <c r="S765"/>
  <c r="AG765" s="1"/>
  <c r="R765"/>
  <c r="AF765" s="1"/>
  <c r="Q765"/>
  <c r="S764"/>
  <c r="AG764" s="1"/>
  <c r="R764"/>
  <c r="AF764" s="1"/>
  <c r="Q764"/>
  <c r="S763"/>
  <c r="AG763" s="1"/>
  <c r="R763"/>
  <c r="AF763" s="1"/>
  <c r="Q763"/>
  <c r="S762"/>
  <c r="AG762" s="1"/>
  <c r="R762"/>
  <c r="AF762" s="1"/>
  <c r="Q762"/>
  <c r="S761"/>
  <c r="AG761" s="1"/>
  <c r="R761"/>
  <c r="AF761" s="1"/>
  <c r="Q761"/>
  <c r="S760"/>
  <c r="AG760" s="1"/>
  <c r="R760"/>
  <c r="AF760" s="1"/>
  <c r="Q760"/>
  <c r="Q759"/>
  <c r="S758"/>
  <c r="AG758" s="1"/>
  <c r="R758"/>
  <c r="AF758" s="1"/>
  <c r="Q758"/>
  <c r="S757"/>
  <c r="AG757" s="1"/>
  <c r="R757"/>
  <c r="AF757" s="1"/>
  <c r="Q757"/>
  <c r="S756"/>
  <c r="AG756" s="1"/>
  <c r="R756"/>
  <c r="AF756" s="1"/>
  <c r="Q756"/>
  <c r="S755"/>
  <c r="AG755" s="1"/>
  <c r="R755"/>
  <c r="AF755" s="1"/>
  <c r="Q755"/>
  <c r="S754"/>
  <c r="AG754" s="1"/>
  <c r="R754"/>
  <c r="AF754" s="1"/>
  <c r="Q754"/>
  <c r="S753"/>
  <c r="R753"/>
  <c r="Q753"/>
  <c r="Q752"/>
  <c r="S751"/>
  <c r="AG751" s="1"/>
  <c r="R751"/>
  <c r="AF751" s="1"/>
  <c r="Q751"/>
  <c r="S749"/>
  <c r="AG749" s="1"/>
  <c r="R749"/>
  <c r="AF749" s="1"/>
  <c r="Q749"/>
  <c r="S748"/>
  <c r="AG748" s="1"/>
  <c r="R748"/>
  <c r="AF748" s="1"/>
  <c r="Q748"/>
  <c r="Q747"/>
  <c r="S746"/>
  <c r="AG746" s="1"/>
  <c r="R746"/>
  <c r="AF746" s="1"/>
  <c r="Q746"/>
  <c r="S745"/>
  <c r="AG745" s="1"/>
  <c r="R745"/>
  <c r="AF745" s="1"/>
  <c r="Q745"/>
  <c r="S744"/>
  <c r="AG744" s="1"/>
  <c r="R744"/>
  <c r="AF744" s="1"/>
  <c r="Q744"/>
  <c r="S743"/>
  <c r="AG743" s="1"/>
  <c r="R743"/>
  <c r="AF743" s="1"/>
  <c r="Q743"/>
  <c r="S742"/>
  <c r="R742"/>
  <c r="Q742"/>
  <c r="Q741"/>
  <c r="S740"/>
  <c r="AG740" s="1"/>
  <c r="R740"/>
  <c r="AF740" s="1"/>
  <c r="Q740"/>
  <c r="Q739"/>
  <c r="S738"/>
  <c r="AG738" s="1"/>
  <c r="R738"/>
  <c r="AF738" s="1"/>
  <c r="Q738"/>
  <c r="S737"/>
  <c r="AG737" s="1"/>
  <c r="R737"/>
  <c r="AF737" s="1"/>
  <c r="Q737"/>
  <c r="S736"/>
  <c r="AG736" s="1"/>
  <c r="R736"/>
  <c r="AF736" s="1"/>
  <c r="Q736"/>
  <c r="S735"/>
  <c r="AG735" s="1"/>
  <c r="R735"/>
  <c r="AF735" s="1"/>
  <c r="Q735"/>
  <c r="S734"/>
  <c r="AG734" s="1"/>
  <c r="R734"/>
  <c r="AF734" s="1"/>
  <c r="Q734"/>
  <c r="S733"/>
  <c r="AG733" s="1"/>
  <c r="R733"/>
  <c r="AF733" s="1"/>
  <c r="Q733"/>
  <c r="S732"/>
  <c r="AG732" s="1"/>
  <c r="R732"/>
  <c r="AF732" s="1"/>
  <c r="Q732"/>
  <c r="Q731"/>
  <c r="S730"/>
  <c r="AG730" s="1"/>
  <c r="R730"/>
  <c r="AF730" s="1"/>
  <c r="Q730"/>
  <c r="S729"/>
  <c r="AG729" s="1"/>
  <c r="R729"/>
  <c r="AF729" s="1"/>
  <c r="Q729"/>
  <c r="S728"/>
  <c r="AG728" s="1"/>
  <c r="R728"/>
  <c r="AF728" s="1"/>
  <c r="Q728"/>
  <c r="S727"/>
  <c r="AG727" s="1"/>
  <c r="R727"/>
  <c r="AF727" s="1"/>
  <c r="Q727"/>
  <c r="Q726"/>
  <c r="S725"/>
  <c r="AG725" s="1"/>
  <c r="R725"/>
  <c r="AF725" s="1"/>
  <c r="Q725"/>
  <c r="S724"/>
  <c r="AG724" s="1"/>
  <c r="R724"/>
  <c r="AF724" s="1"/>
  <c r="Q724"/>
  <c r="S723"/>
  <c r="R723"/>
  <c r="Q723"/>
  <c r="R722"/>
  <c r="AF722" s="1"/>
  <c r="Q722"/>
  <c r="S721"/>
  <c r="AG721" s="1"/>
  <c r="R721"/>
  <c r="AF721" s="1"/>
  <c r="Q721"/>
  <c r="Q720"/>
  <c r="S713"/>
  <c r="AG713" s="1"/>
  <c r="R713"/>
  <c r="AF713" s="1"/>
  <c r="Q713"/>
  <c r="S712"/>
  <c r="AG712" s="1"/>
  <c r="R712"/>
  <c r="AF712" s="1"/>
  <c r="Q712"/>
  <c r="S711"/>
  <c r="AG711" s="1"/>
  <c r="R711"/>
  <c r="AF711" s="1"/>
  <c r="Q711"/>
  <c r="S710"/>
  <c r="AG710" s="1"/>
  <c r="R710"/>
  <c r="AF710" s="1"/>
  <c r="Q710"/>
  <c r="S709"/>
  <c r="AG709" s="1"/>
  <c r="R709"/>
  <c r="AF709" s="1"/>
  <c r="Q709"/>
  <c r="S708"/>
  <c r="AG708" s="1"/>
  <c r="R708"/>
  <c r="AF708" s="1"/>
  <c r="Q708"/>
  <c r="S707"/>
  <c r="AG707" s="1"/>
  <c r="R707"/>
  <c r="AF707" s="1"/>
  <c r="Q707"/>
  <c r="S706"/>
  <c r="AG706" s="1"/>
  <c r="R706"/>
  <c r="AF706" s="1"/>
  <c r="Q706"/>
  <c r="S705"/>
  <c r="AG705" s="1"/>
  <c r="R705"/>
  <c r="AF705" s="1"/>
  <c r="Q705"/>
  <c r="S704"/>
  <c r="AG704" s="1"/>
  <c r="R704"/>
  <c r="AF704" s="1"/>
  <c r="Q704"/>
  <c r="S703"/>
  <c r="AG703" s="1"/>
  <c r="R703"/>
  <c r="AF703" s="1"/>
  <c r="Q703"/>
  <c r="S702"/>
  <c r="AG702" s="1"/>
  <c r="R702"/>
  <c r="AF702" s="1"/>
  <c r="Q702"/>
  <c r="S701"/>
  <c r="AG701" s="1"/>
  <c r="R701"/>
  <c r="AF701" s="1"/>
  <c r="Q701"/>
  <c r="S700"/>
  <c r="AG700" s="1"/>
  <c r="R700"/>
  <c r="AF700" s="1"/>
  <c r="Q700"/>
  <c r="S699"/>
  <c r="AG699" s="1"/>
  <c r="R699"/>
  <c r="AF699" s="1"/>
  <c r="Q699"/>
  <c r="S698"/>
  <c r="AG698" s="1"/>
  <c r="R698"/>
  <c r="AF698" s="1"/>
  <c r="Q698"/>
  <c r="S697"/>
  <c r="AG697" s="1"/>
  <c r="R697"/>
  <c r="AF697" s="1"/>
  <c r="Q697"/>
  <c r="S696"/>
  <c r="AG696" s="1"/>
  <c r="R696"/>
  <c r="AF696" s="1"/>
  <c r="Q696"/>
  <c r="S695"/>
  <c r="AG695" s="1"/>
  <c r="R695"/>
  <c r="AF695" s="1"/>
  <c r="Q695"/>
  <c r="S694"/>
  <c r="AG694" s="1"/>
  <c r="R694"/>
  <c r="AF694" s="1"/>
  <c r="Q694"/>
  <c r="S693"/>
  <c r="AG693" s="1"/>
  <c r="R693"/>
  <c r="AF693" s="1"/>
  <c r="Q693"/>
  <c r="S692"/>
  <c r="AG692" s="1"/>
  <c r="R692"/>
  <c r="AF692" s="1"/>
  <c r="Q692"/>
  <c r="S691"/>
  <c r="AG691" s="1"/>
  <c r="R691"/>
  <c r="AF691" s="1"/>
  <c r="Q691"/>
  <c r="S690"/>
  <c r="AG690" s="1"/>
  <c r="R690"/>
  <c r="AF690" s="1"/>
  <c r="Q690"/>
  <c r="S689"/>
  <c r="AG689" s="1"/>
  <c r="R689"/>
  <c r="AF689" s="1"/>
  <c r="Q689"/>
  <c r="S688"/>
  <c r="AG688" s="1"/>
  <c r="R688"/>
  <c r="AF688" s="1"/>
  <c r="Q688"/>
  <c r="S687"/>
  <c r="AG687" s="1"/>
  <c r="R687"/>
  <c r="AF687" s="1"/>
  <c r="Q687"/>
  <c r="S686"/>
  <c r="AG686" s="1"/>
  <c r="R686"/>
  <c r="AF686" s="1"/>
  <c r="Q686"/>
  <c r="S685"/>
  <c r="AG685" s="1"/>
  <c r="R685"/>
  <c r="AF685" s="1"/>
  <c r="Q685"/>
  <c r="S684"/>
  <c r="AG684" s="1"/>
  <c r="R684"/>
  <c r="AF684" s="1"/>
  <c r="Q684"/>
  <c r="S683"/>
  <c r="AG683" s="1"/>
  <c r="R683"/>
  <c r="AF683" s="1"/>
  <c r="Q683"/>
  <c r="S682"/>
  <c r="AG682" s="1"/>
  <c r="R682"/>
  <c r="AF682" s="1"/>
  <c r="Q682"/>
  <c r="S681"/>
  <c r="AG681" s="1"/>
  <c r="R681"/>
  <c r="AF681" s="1"/>
  <c r="Q681"/>
  <c r="S680"/>
  <c r="AG680" s="1"/>
  <c r="R680"/>
  <c r="AF680" s="1"/>
  <c r="Q680"/>
  <c r="S679"/>
  <c r="AG679" s="1"/>
  <c r="R679"/>
  <c r="AF679" s="1"/>
  <c r="Q679"/>
  <c r="S678"/>
  <c r="AG678" s="1"/>
  <c r="R678"/>
  <c r="AF678" s="1"/>
  <c r="Q678"/>
  <c r="S677"/>
  <c r="AG677" s="1"/>
  <c r="R677"/>
  <c r="AF677" s="1"/>
  <c r="Q677"/>
  <c r="S676"/>
  <c r="AG676" s="1"/>
  <c r="R676"/>
  <c r="AF676" s="1"/>
  <c r="Q676"/>
  <c r="S675"/>
  <c r="AG675" s="1"/>
  <c r="R675"/>
  <c r="AF675" s="1"/>
  <c r="Q675"/>
  <c r="S674"/>
  <c r="AG674" s="1"/>
  <c r="R674"/>
  <c r="AF674" s="1"/>
  <c r="Q674"/>
  <c r="S673"/>
  <c r="AG673" s="1"/>
  <c r="R673"/>
  <c r="AF673" s="1"/>
  <c r="Q673"/>
  <c r="S672"/>
  <c r="AG672" s="1"/>
  <c r="R672"/>
  <c r="AF672" s="1"/>
  <c r="Q672"/>
  <c r="S671"/>
  <c r="AG671" s="1"/>
  <c r="R671"/>
  <c r="AF671" s="1"/>
  <c r="Q671"/>
  <c r="S670"/>
  <c r="AG670" s="1"/>
  <c r="R670"/>
  <c r="AF670" s="1"/>
  <c r="Q670"/>
  <c r="S669"/>
  <c r="AG669" s="1"/>
  <c r="R669"/>
  <c r="AF669" s="1"/>
  <c r="Q669"/>
  <c r="S668"/>
  <c r="AG668" s="1"/>
  <c r="R668"/>
  <c r="AF668" s="1"/>
  <c r="Q668"/>
  <c r="S667"/>
  <c r="AG667" s="1"/>
  <c r="R667"/>
  <c r="AF667" s="1"/>
  <c r="Q667"/>
  <c r="S666"/>
  <c r="AG666" s="1"/>
  <c r="R666"/>
  <c r="AF666" s="1"/>
  <c r="Q666"/>
  <c r="S665"/>
  <c r="AG665" s="1"/>
  <c r="R665"/>
  <c r="AF665" s="1"/>
  <c r="Q665"/>
  <c r="S664"/>
  <c r="AG664" s="1"/>
  <c r="R664"/>
  <c r="AF664" s="1"/>
  <c r="Q664"/>
  <c r="S663"/>
  <c r="AG663" s="1"/>
  <c r="R663"/>
  <c r="AF663" s="1"/>
  <c r="Q663"/>
  <c r="S662"/>
  <c r="AG662" s="1"/>
  <c r="R662"/>
  <c r="AF662" s="1"/>
  <c r="Q662"/>
  <c r="S661"/>
  <c r="AG661" s="1"/>
  <c r="R661"/>
  <c r="AF661" s="1"/>
  <c r="Q661"/>
  <c r="S660"/>
  <c r="AG660" s="1"/>
  <c r="R660"/>
  <c r="AF660" s="1"/>
  <c r="Q660"/>
  <c r="S659"/>
  <c r="AG659" s="1"/>
  <c r="R659"/>
  <c r="AF659" s="1"/>
  <c r="Q659"/>
  <c r="S658"/>
  <c r="AG658" s="1"/>
  <c r="R658"/>
  <c r="AF658" s="1"/>
  <c r="Q658"/>
  <c r="S657"/>
  <c r="AG657" s="1"/>
  <c r="R657"/>
  <c r="AF657" s="1"/>
  <c r="Q657"/>
  <c r="S656"/>
  <c r="AG656" s="1"/>
  <c r="R656"/>
  <c r="AF656" s="1"/>
  <c r="Q656"/>
  <c r="S655"/>
  <c r="AG655" s="1"/>
  <c r="R655"/>
  <c r="AF655" s="1"/>
  <c r="Q655"/>
  <c r="S654"/>
  <c r="AG654" s="1"/>
  <c r="R654"/>
  <c r="AF654" s="1"/>
  <c r="Q654"/>
  <c r="S653"/>
  <c r="AG653" s="1"/>
  <c r="R653"/>
  <c r="AF653" s="1"/>
  <c r="Q653"/>
  <c r="S652"/>
  <c r="AG652" s="1"/>
  <c r="R652"/>
  <c r="AF652" s="1"/>
  <c r="Q652"/>
  <c r="S651"/>
  <c r="AG651" s="1"/>
  <c r="R651"/>
  <c r="AF651" s="1"/>
  <c r="Q651"/>
  <c r="S650"/>
  <c r="AG650" s="1"/>
  <c r="R650"/>
  <c r="AF650" s="1"/>
  <c r="Q650"/>
  <c r="S649"/>
  <c r="AG649" s="1"/>
  <c r="R649"/>
  <c r="AF649" s="1"/>
  <c r="Q649"/>
  <c r="S648"/>
  <c r="AG648" s="1"/>
  <c r="R648"/>
  <c r="AF648" s="1"/>
  <c r="Q648"/>
  <c r="S647"/>
  <c r="AG647" s="1"/>
  <c r="R647"/>
  <c r="AF647" s="1"/>
  <c r="Q647"/>
  <c r="S646"/>
  <c r="AG646" s="1"/>
  <c r="R646"/>
  <c r="AF646" s="1"/>
  <c r="Q646"/>
  <c r="S645"/>
  <c r="AG645" s="1"/>
  <c r="R645"/>
  <c r="AF645" s="1"/>
  <c r="Q645"/>
  <c r="S644"/>
  <c r="AG644" s="1"/>
  <c r="R644"/>
  <c r="AF644" s="1"/>
  <c r="Q644"/>
  <c r="S643"/>
  <c r="AG643" s="1"/>
  <c r="R643"/>
  <c r="AF643" s="1"/>
  <c r="Q643"/>
  <c r="S642"/>
  <c r="AG642" s="1"/>
  <c r="R642"/>
  <c r="AF642" s="1"/>
  <c r="Q642"/>
  <c r="S641"/>
  <c r="AG641" s="1"/>
  <c r="R641"/>
  <c r="AF641" s="1"/>
  <c r="Q641"/>
  <c r="S640"/>
  <c r="AG640" s="1"/>
  <c r="R640"/>
  <c r="AF640" s="1"/>
  <c r="Q640"/>
  <c r="S639"/>
  <c r="AG639" s="1"/>
  <c r="R639"/>
  <c r="AF639" s="1"/>
  <c r="Q639"/>
  <c r="S638"/>
  <c r="AG638" s="1"/>
  <c r="R638"/>
  <c r="AF638" s="1"/>
  <c r="Q638"/>
  <c r="S637"/>
  <c r="AG637" s="1"/>
  <c r="R637"/>
  <c r="AF637" s="1"/>
  <c r="Q637"/>
  <c r="S636"/>
  <c r="AG636" s="1"/>
  <c r="R636"/>
  <c r="AF636" s="1"/>
  <c r="Q636"/>
  <c r="S635"/>
  <c r="AG635" s="1"/>
  <c r="R635"/>
  <c r="AF635" s="1"/>
  <c r="Q635"/>
  <c r="S634"/>
  <c r="AG634" s="1"/>
  <c r="R634"/>
  <c r="AF634" s="1"/>
  <c r="Q634"/>
  <c r="S633"/>
  <c r="AG633" s="1"/>
  <c r="R633"/>
  <c r="AF633" s="1"/>
  <c r="Q633"/>
  <c r="S632"/>
  <c r="AG632" s="1"/>
  <c r="R632"/>
  <c r="AF632" s="1"/>
  <c r="Q632"/>
  <c r="S631"/>
  <c r="AG631" s="1"/>
  <c r="R631"/>
  <c r="AF631" s="1"/>
  <c r="Q631"/>
  <c r="S630"/>
  <c r="AG630" s="1"/>
  <c r="R630"/>
  <c r="AF630" s="1"/>
  <c r="Q630"/>
  <c r="S629"/>
  <c r="AG629" s="1"/>
  <c r="R629"/>
  <c r="AF629" s="1"/>
  <c r="Q629"/>
  <c r="S628"/>
  <c r="AG628" s="1"/>
  <c r="R628"/>
  <c r="AF628" s="1"/>
  <c r="Q628"/>
  <c r="S627"/>
  <c r="AG627" s="1"/>
  <c r="R627"/>
  <c r="AF627" s="1"/>
  <c r="Q627"/>
  <c r="S626"/>
  <c r="AG626" s="1"/>
  <c r="R626"/>
  <c r="AF626" s="1"/>
  <c r="Q626"/>
  <c r="S625"/>
  <c r="AG625" s="1"/>
  <c r="R625"/>
  <c r="AF625" s="1"/>
  <c r="Q625"/>
  <c r="S624"/>
  <c r="AG624" s="1"/>
  <c r="R624"/>
  <c r="AF624" s="1"/>
  <c r="Q624"/>
  <c r="S623"/>
  <c r="AG623" s="1"/>
  <c r="R623"/>
  <c r="AF623" s="1"/>
  <c r="Q623"/>
  <c r="S622"/>
  <c r="AG622" s="1"/>
  <c r="R622"/>
  <c r="AF622" s="1"/>
  <c r="Q622"/>
  <c r="S621"/>
  <c r="AG621" s="1"/>
  <c r="R621"/>
  <c r="AF621" s="1"/>
  <c r="Q621"/>
  <c r="S620"/>
  <c r="AG620" s="1"/>
  <c r="R620"/>
  <c r="AF620" s="1"/>
  <c r="Q620"/>
  <c r="S619"/>
  <c r="AG619" s="1"/>
  <c r="R619"/>
  <c r="AF619" s="1"/>
  <c r="Q619"/>
  <c r="S618"/>
  <c r="AG618" s="1"/>
  <c r="R618"/>
  <c r="AF618" s="1"/>
  <c r="Q618"/>
  <c r="S617"/>
  <c r="AG617" s="1"/>
  <c r="R617"/>
  <c r="AF617" s="1"/>
  <c r="Q617"/>
  <c r="S616"/>
  <c r="AG616" s="1"/>
  <c r="R616"/>
  <c r="AF616" s="1"/>
  <c r="Q616"/>
  <c r="S615"/>
  <c r="AG615" s="1"/>
  <c r="R615"/>
  <c r="AF615" s="1"/>
  <c r="Q615"/>
  <c r="S614"/>
  <c r="AG614" s="1"/>
  <c r="R614"/>
  <c r="AF614" s="1"/>
  <c r="Q614"/>
  <c r="S613"/>
  <c r="AG613" s="1"/>
  <c r="R613"/>
  <c r="AF613" s="1"/>
  <c r="Q613"/>
  <c r="S612"/>
  <c r="AG612" s="1"/>
  <c r="R612"/>
  <c r="AF612" s="1"/>
  <c r="Q612"/>
  <c r="S611"/>
  <c r="AG611" s="1"/>
  <c r="R611"/>
  <c r="AF611" s="1"/>
  <c r="Q611"/>
  <c r="S610"/>
  <c r="AG610" s="1"/>
  <c r="R610"/>
  <c r="AF610" s="1"/>
  <c r="Q610"/>
  <c r="S609"/>
  <c r="AG609" s="1"/>
  <c r="R609"/>
  <c r="AF609" s="1"/>
  <c r="Q609"/>
  <c r="S608"/>
  <c r="AG608" s="1"/>
  <c r="R608"/>
  <c r="AF608" s="1"/>
  <c r="Q608"/>
  <c r="S607"/>
  <c r="AG607" s="1"/>
  <c r="R607"/>
  <c r="AF607" s="1"/>
  <c r="Q607"/>
  <c r="S606"/>
  <c r="AG606" s="1"/>
  <c r="R606"/>
  <c r="AF606" s="1"/>
  <c r="Q606"/>
  <c r="S605"/>
  <c r="AG605" s="1"/>
  <c r="R605"/>
  <c r="AF605" s="1"/>
  <c r="Q605"/>
  <c r="S604"/>
  <c r="AG604" s="1"/>
  <c r="R604"/>
  <c r="AF604" s="1"/>
  <c r="Q604"/>
  <c r="S603"/>
  <c r="AG603" s="1"/>
  <c r="R603"/>
  <c r="AF603" s="1"/>
  <c r="Q603"/>
  <c r="S602"/>
  <c r="AG602" s="1"/>
  <c r="R602"/>
  <c r="AF602" s="1"/>
  <c r="Q602"/>
  <c r="S601"/>
  <c r="AG601" s="1"/>
  <c r="R601"/>
  <c r="AF601" s="1"/>
  <c r="Q601"/>
  <c r="S600"/>
  <c r="AG600" s="1"/>
  <c r="R600"/>
  <c r="AF600" s="1"/>
  <c r="Q600"/>
  <c r="S599"/>
  <c r="AG599" s="1"/>
  <c r="R599"/>
  <c r="AF599" s="1"/>
  <c r="Q599"/>
  <c r="S598"/>
  <c r="AG598" s="1"/>
  <c r="R598"/>
  <c r="AF598" s="1"/>
  <c r="Q598"/>
  <c r="S597"/>
  <c r="AG597" s="1"/>
  <c r="R597"/>
  <c r="AF597" s="1"/>
  <c r="Q597"/>
  <c r="S596"/>
  <c r="AG596" s="1"/>
  <c r="R596"/>
  <c r="AF596" s="1"/>
  <c r="Q596"/>
  <c r="S595"/>
  <c r="AG595" s="1"/>
  <c r="R595"/>
  <c r="AF595" s="1"/>
  <c r="Q595"/>
  <c r="S594"/>
  <c r="AG594" s="1"/>
  <c r="R594"/>
  <c r="AF594" s="1"/>
  <c r="Q594"/>
  <c r="S593"/>
  <c r="AG593" s="1"/>
  <c r="R593"/>
  <c r="AF593" s="1"/>
  <c r="Q593"/>
  <c r="S592"/>
  <c r="AG592" s="1"/>
  <c r="R592"/>
  <c r="AF592" s="1"/>
  <c r="Q592"/>
  <c r="S591"/>
  <c r="AG591" s="1"/>
  <c r="R591"/>
  <c r="AF591" s="1"/>
  <c r="Q591"/>
  <c r="S590"/>
  <c r="AG590" s="1"/>
  <c r="R590"/>
  <c r="AF590" s="1"/>
  <c r="Q590"/>
  <c r="S589"/>
  <c r="AG589" s="1"/>
  <c r="R589"/>
  <c r="AF589" s="1"/>
  <c r="Q589"/>
  <c r="S588"/>
  <c r="AG588" s="1"/>
  <c r="R588"/>
  <c r="AF588" s="1"/>
  <c r="Q588"/>
  <c r="S587"/>
  <c r="AG587" s="1"/>
  <c r="R587"/>
  <c r="AF587" s="1"/>
  <c r="Q587"/>
  <c r="S586"/>
  <c r="AG586" s="1"/>
  <c r="R586"/>
  <c r="AF586" s="1"/>
  <c r="Q586"/>
  <c r="S585"/>
  <c r="AG585" s="1"/>
  <c r="R585"/>
  <c r="AF585" s="1"/>
  <c r="Q585"/>
  <c r="S584"/>
  <c r="AG584" s="1"/>
  <c r="R584"/>
  <c r="AF584" s="1"/>
  <c r="Q584"/>
  <c r="S583"/>
  <c r="AG583" s="1"/>
  <c r="R583"/>
  <c r="AF583" s="1"/>
  <c r="Q583"/>
  <c r="S582"/>
  <c r="AG582" s="1"/>
  <c r="R582"/>
  <c r="AF582" s="1"/>
  <c r="Q582"/>
  <c r="S581"/>
  <c r="AG581" s="1"/>
  <c r="R581"/>
  <c r="AF581" s="1"/>
  <c r="Q581"/>
  <c r="S580"/>
  <c r="AG580" s="1"/>
  <c r="R580"/>
  <c r="AF580" s="1"/>
  <c r="Q580"/>
  <c r="S579"/>
  <c r="AG579" s="1"/>
  <c r="R579"/>
  <c r="AF579" s="1"/>
  <c r="Q579"/>
  <c r="S578"/>
  <c r="AG578" s="1"/>
  <c r="R578"/>
  <c r="AF578" s="1"/>
  <c r="Q578"/>
  <c r="S577"/>
  <c r="AG577" s="1"/>
  <c r="R577"/>
  <c r="AF577" s="1"/>
  <c r="Q577"/>
  <c r="S576"/>
  <c r="AG576" s="1"/>
  <c r="R576"/>
  <c r="AF576" s="1"/>
  <c r="Q576"/>
  <c r="S575"/>
  <c r="AG575" s="1"/>
  <c r="R575"/>
  <c r="AF575" s="1"/>
  <c r="Q575"/>
  <c r="S574"/>
  <c r="AG574" s="1"/>
  <c r="R574"/>
  <c r="AF574" s="1"/>
  <c r="Q574"/>
  <c r="S573"/>
  <c r="AG573" s="1"/>
  <c r="R573"/>
  <c r="AF573" s="1"/>
  <c r="Q573"/>
  <c r="S572"/>
  <c r="AG572" s="1"/>
  <c r="R572"/>
  <c r="AF572" s="1"/>
  <c r="Q572"/>
  <c r="S571"/>
  <c r="AG571" s="1"/>
  <c r="R571"/>
  <c r="AF571" s="1"/>
  <c r="Q571"/>
  <c r="S570"/>
  <c r="AG570" s="1"/>
  <c r="R570"/>
  <c r="AF570" s="1"/>
  <c r="Q570"/>
  <c r="S569"/>
  <c r="AG569" s="1"/>
  <c r="R569"/>
  <c r="AF569" s="1"/>
  <c r="Q569"/>
  <c r="S568"/>
  <c r="AG568" s="1"/>
  <c r="R568"/>
  <c r="AF568" s="1"/>
  <c r="Q568"/>
  <c r="S567"/>
  <c r="AG567" s="1"/>
  <c r="R567"/>
  <c r="AF567" s="1"/>
  <c r="Q567"/>
  <c r="S566"/>
  <c r="AG566" s="1"/>
  <c r="R566"/>
  <c r="AF566" s="1"/>
  <c r="Q566"/>
  <c r="S565"/>
  <c r="AG565" s="1"/>
  <c r="R565"/>
  <c r="AF565" s="1"/>
  <c r="Q565"/>
  <c r="S564"/>
  <c r="AG564" s="1"/>
  <c r="R564"/>
  <c r="AF564" s="1"/>
  <c r="Q564"/>
  <c r="S563"/>
  <c r="AG563" s="1"/>
  <c r="R563"/>
  <c r="AF563" s="1"/>
  <c r="Q563"/>
  <c r="S562"/>
  <c r="AG562" s="1"/>
  <c r="R562"/>
  <c r="AF562" s="1"/>
  <c r="Q562"/>
  <c r="S561"/>
  <c r="AG561" s="1"/>
  <c r="R561"/>
  <c r="AF561" s="1"/>
  <c r="Q561"/>
  <c r="S560"/>
  <c r="AG560" s="1"/>
  <c r="R560"/>
  <c r="AF560" s="1"/>
  <c r="Q560"/>
  <c r="S559"/>
  <c r="AG559" s="1"/>
  <c r="R559"/>
  <c r="AF559" s="1"/>
  <c r="Q559"/>
  <c r="S558"/>
  <c r="AG558" s="1"/>
  <c r="R558"/>
  <c r="AF558" s="1"/>
  <c r="Q558"/>
  <c r="S557"/>
  <c r="AG557" s="1"/>
  <c r="R557"/>
  <c r="AF557" s="1"/>
  <c r="Q557"/>
  <c r="S556"/>
  <c r="AG556" s="1"/>
  <c r="R556"/>
  <c r="AF556" s="1"/>
  <c r="Q556"/>
  <c r="S555"/>
  <c r="AG555" s="1"/>
  <c r="R555"/>
  <c r="AF555" s="1"/>
  <c r="Q555"/>
  <c r="S554"/>
  <c r="AG554" s="1"/>
  <c r="R554"/>
  <c r="AF554" s="1"/>
  <c r="Q554"/>
  <c r="S553"/>
  <c r="AG553" s="1"/>
  <c r="R553"/>
  <c r="AF553" s="1"/>
  <c r="Q553"/>
  <c r="S552"/>
  <c r="AG552" s="1"/>
  <c r="R552"/>
  <c r="AF552" s="1"/>
  <c r="Q552"/>
  <c r="S551"/>
  <c r="AG551" s="1"/>
  <c r="R551"/>
  <c r="AF551" s="1"/>
  <c r="Q551"/>
  <c r="S550"/>
  <c r="AG550" s="1"/>
  <c r="R550"/>
  <c r="AF550" s="1"/>
  <c r="Q550"/>
  <c r="S549"/>
  <c r="AG549" s="1"/>
  <c r="R549"/>
  <c r="AF549" s="1"/>
  <c r="Q549"/>
  <c r="S548"/>
  <c r="AG548" s="1"/>
  <c r="R548"/>
  <c r="AF548" s="1"/>
  <c r="Q548"/>
  <c r="S547"/>
  <c r="AG547" s="1"/>
  <c r="R547"/>
  <c r="AF547" s="1"/>
  <c r="Q547"/>
  <c r="S546"/>
  <c r="AG546" s="1"/>
  <c r="R546"/>
  <c r="AF546" s="1"/>
  <c r="Q546"/>
  <c r="S545"/>
  <c r="AG545" s="1"/>
  <c r="R545"/>
  <c r="AF545" s="1"/>
  <c r="Q545"/>
  <c r="S544"/>
  <c r="AG544" s="1"/>
  <c r="R544"/>
  <c r="AF544" s="1"/>
  <c r="Q544"/>
  <c r="S543"/>
  <c r="AG543" s="1"/>
  <c r="R543"/>
  <c r="AF543" s="1"/>
  <c r="Q543"/>
  <c r="S542"/>
  <c r="AG542" s="1"/>
  <c r="R542"/>
  <c r="AF542" s="1"/>
  <c r="Q542"/>
  <c r="S541"/>
  <c r="AG541" s="1"/>
  <c r="R541"/>
  <c r="AF541" s="1"/>
  <c r="Q541"/>
  <c r="S540"/>
  <c r="AG540" s="1"/>
  <c r="R540"/>
  <c r="AF540" s="1"/>
  <c r="Q540"/>
  <c r="S539"/>
  <c r="AG539" s="1"/>
  <c r="R539"/>
  <c r="AF539" s="1"/>
  <c r="Q539"/>
  <c r="S538"/>
  <c r="AG538" s="1"/>
  <c r="R538"/>
  <c r="AF538" s="1"/>
  <c r="Q538"/>
  <c r="S537"/>
  <c r="AG537" s="1"/>
  <c r="R537"/>
  <c r="AF537" s="1"/>
  <c r="Q537"/>
  <c r="S536"/>
  <c r="AG536" s="1"/>
  <c r="R536"/>
  <c r="AF536" s="1"/>
  <c r="Q536"/>
  <c r="S535"/>
  <c r="AG535" s="1"/>
  <c r="R535"/>
  <c r="AF535" s="1"/>
  <c r="Q535"/>
  <c r="S534"/>
  <c r="AG534" s="1"/>
  <c r="R534"/>
  <c r="AF534" s="1"/>
  <c r="Q534"/>
  <c r="S533"/>
  <c r="AG533" s="1"/>
  <c r="R533"/>
  <c r="AF533" s="1"/>
  <c r="Q533"/>
  <c r="S532"/>
  <c r="AG532" s="1"/>
  <c r="R532"/>
  <c r="AF532" s="1"/>
  <c r="Q532"/>
  <c r="S531"/>
  <c r="AG531" s="1"/>
  <c r="R531"/>
  <c r="AF531" s="1"/>
  <c r="Q531"/>
  <c r="S530"/>
  <c r="AG530" s="1"/>
  <c r="R530"/>
  <c r="AF530" s="1"/>
  <c r="Q530"/>
  <c r="S529"/>
  <c r="AG529" s="1"/>
  <c r="R529"/>
  <c r="AF529" s="1"/>
  <c r="Q529"/>
  <c r="S528"/>
  <c r="AG528" s="1"/>
  <c r="R528"/>
  <c r="AF528" s="1"/>
  <c r="Q528"/>
  <c r="S527"/>
  <c r="AG527" s="1"/>
  <c r="R527"/>
  <c r="AF527" s="1"/>
  <c r="Q527"/>
  <c r="S526"/>
  <c r="AG526" s="1"/>
  <c r="R526"/>
  <c r="AF526" s="1"/>
  <c r="Q526"/>
  <c r="S525"/>
  <c r="AG525" s="1"/>
  <c r="R525"/>
  <c r="AF525" s="1"/>
  <c r="Q525"/>
  <c r="S524"/>
  <c r="AG524" s="1"/>
  <c r="R524"/>
  <c r="AF524" s="1"/>
  <c r="Q524"/>
  <c r="S523"/>
  <c r="AG523" s="1"/>
  <c r="R523"/>
  <c r="AF523" s="1"/>
  <c r="Q523"/>
  <c r="S522"/>
  <c r="AG522" s="1"/>
  <c r="R522"/>
  <c r="AF522" s="1"/>
  <c r="Q522"/>
  <c r="S521"/>
  <c r="AG521" s="1"/>
  <c r="R521"/>
  <c r="AF521" s="1"/>
  <c r="Q521"/>
  <c r="S520"/>
  <c r="AG520" s="1"/>
  <c r="R520"/>
  <c r="AF520" s="1"/>
  <c r="Q520"/>
  <c r="S519"/>
  <c r="AG519" s="1"/>
  <c r="R519"/>
  <c r="AF519" s="1"/>
  <c r="Q519"/>
  <c r="S518"/>
  <c r="AG518" s="1"/>
  <c r="R518"/>
  <c r="AF518" s="1"/>
  <c r="Q518"/>
  <c r="S517"/>
  <c r="AG517" s="1"/>
  <c r="R517"/>
  <c r="AF517" s="1"/>
  <c r="Q517"/>
  <c r="S516"/>
  <c r="AG516" s="1"/>
  <c r="R516"/>
  <c r="AF516" s="1"/>
  <c r="Q516"/>
  <c r="S515"/>
  <c r="AG515" s="1"/>
  <c r="R515"/>
  <c r="AF515" s="1"/>
  <c r="Q515"/>
  <c r="S514"/>
  <c r="AG514" s="1"/>
  <c r="R514"/>
  <c r="AF514" s="1"/>
  <c r="Q514"/>
  <c r="S513"/>
  <c r="AG513" s="1"/>
  <c r="R513"/>
  <c r="AF513" s="1"/>
  <c r="Q513"/>
  <c r="S512"/>
  <c r="AG512" s="1"/>
  <c r="R512"/>
  <c r="AF512" s="1"/>
  <c r="Q512"/>
  <c r="S511"/>
  <c r="AG511" s="1"/>
  <c r="R511"/>
  <c r="AF511" s="1"/>
  <c r="Q511"/>
  <c r="S510"/>
  <c r="AG510" s="1"/>
  <c r="R510"/>
  <c r="AF510" s="1"/>
  <c r="Q510"/>
  <c r="S509"/>
  <c r="AG509" s="1"/>
  <c r="R509"/>
  <c r="AF509" s="1"/>
  <c r="Q509"/>
  <c r="S508"/>
  <c r="AG508" s="1"/>
  <c r="R508"/>
  <c r="AF508" s="1"/>
  <c r="Q508"/>
  <c r="S507"/>
  <c r="AG507" s="1"/>
  <c r="R507"/>
  <c r="AF507" s="1"/>
  <c r="Q507"/>
  <c r="S506"/>
  <c r="AG506" s="1"/>
  <c r="R506"/>
  <c r="AF506" s="1"/>
  <c r="Q506"/>
  <c r="S505"/>
  <c r="AG505" s="1"/>
  <c r="R505"/>
  <c r="AF505" s="1"/>
  <c r="Q505"/>
  <c r="S504"/>
  <c r="AG504" s="1"/>
  <c r="R504"/>
  <c r="AF504" s="1"/>
  <c r="Q504"/>
  <c r="S503"/>
  <c r="AG503" s="1"/>
  <c r="R503"/>
  <c r="AF503" s="1"/>
  <c r="Q503"/>
  <c r="S502"/>
  <c r="AG502" s="1"/>
  <c r="R502"/>
  <c r="AF502" s="1"/>
  <c r="Q502"/>
  <c r="S501"/>
  <c r="AG501" s="1"/>
  <c r="R501"/>
  <c r="AF501" s="1"/>
  <c r="Q501"/>
  <c r="S500"/>
  <c r="AG500" s="1"/>
  <c r="R500"/>
  <c r="AF500" s="1"/>
  <c r="Q500"/>
  <c r="S499"/>
  <c r="AG499" s="1"/>
  <c r="R499"/>
  <c r="AF499" s="1"/>
  <c r="Q499"/>
  <c r="S498"/>
  <c r="AG498" s="1"/>
  <c r="R498"/>
  <c r="AF498" s="1"/>
  <c r="Q498"/>
  <c r="S497"/>
  <c r="AG497" s="1"/>
  <c r="R497"/>
  <c r="AF497" s="1"/>
  <c r="Q497"/>
  <c r="S496"/>
  <c r="AG496" s="1"/>
  <c r="R496"/>
  <c r="AF496" s="1"/>
  <c r="Q496"/>
  <c r="S495"/>
  <c r="AG495" s="1"/>
  <c r="R495"/>
  <c r="AF495" s="1"/>
  <c r="Q495"/>
  <c r="S494"/>
  <c r="AG494" s="1"/>
  <c r="R494"/>
  <c r="AF494" s="1"/>
  <c r="Q494"/>
  <c r="S493"/>
  <c r="AG493" s="1"/>
  <c r="R493"/>
  <c r="AF493" s="1"/>
  <c r="Q493"/>
  <c r="S492"/>
  <c r="AG492" s="1"/>
  <c r="R492"/>
  <c r="AF492" s="1"/>
  <c r="Q492"/>
  <c r="S491"/>
  <c r="AG491" s="1"/>
  <c r="R491"/>
  <c r="AF491" s="1"/>
  <c r="Q491"/>
  <c r="S490"/>
  <c r="AG490" s="1"/>
  <c r="R490"/>
  <c r="AF490" s="1"/>
  <c r="Q490"/>
  <c r="S489"/>
  <c r="AG489" s="1"/>
  <c r="R489"/>
  <c r="AF489" s="1"/>
  <c r="Q489"/>
  <c r="S488"/>
  <c r="AG488" s="1"/>
  <c r="R488"/>
  <c r="AF488" s="1"/>
  <c r="Q488"/>
  <c r="S487"/>
  <c r="AG487" s="1"/>
  <c r="R487"/>
  <c r="AF487" s="1"/>
  <c r="Q487"/>
  <c r="S486"/>
  <c r="AG486" s="1"/>
  <c r="R486"/>
  <c r="AF486" s="1"/>
  <c r="Q486"/>
  <c r="S485"/>
  <c r="AG485" s="1"/>
  <c r="R485"/>
  <c r="AF485" s="1"/>
  <c r="Q485"/>
  <c r="S484"/>
  <c r="AG484" s="1"/>
  <c r="R484"/>
  <c r="AF484" s="1"/>
  <c r="Q484"/>
  <c r="S483"/>
  <c r="AG483" s="1"/>
  <c r="R483"/>
  <c r="AF483" s="1"/>
  <c r="Q483"/>
  <c r="S482"/>
  <c r="AG482" s="1"/>
  <c r="R482"/>
  <c r="AF482" s="1"/>
  <c r="Q482"/>
  <c r="S481"/>
  <c r="AG481" s="1"/>
  <c r="R481"/>
  <c r="AF481" s="1"/>
  <c r="Q481"/>
  <c r="S480"/>
  <c r="AG480" s="1"/>
  <c r="R480"/>
  <c r="AF480" s="1"/>
  <c r="Q480"/>
  <c r="S479"/>
  <c r="AG479" s="1"/>
  <c r="R479"/>
  <c r="AF479" s="1"/>
  <c r="Q479"/>
  <c r="S478"/>
  <c r="AG478" s="1"/>
  <c r="R478"/>
  <c r="AF478" s="1"/>
  <c r="Q478"/>
  <c r="S477"/>
  <c r="AG477" s="1"/>
  <c r="R477"/>
  <c r="AF477" s="1"/>
  <c r="Q477"/>
  <c r="S476"/>
  <c r="AG476" s="1"/>
  <c r="R476"/>
  <c r="AF476" s="1"/>
  <c r="Q476"/>
  <c r="S475"/>
  <c r="AG475" s="1"/>
  <c r="R475"/>
  <c r="AF475" s="1"/>
  <c r="Q475"/>
  <c r="S474"/>
  <c r="AG474" s="1"/>
  <c r="R474"/>
  <c r="AF474" s="1"/>
  <c r="Q474"/>
  <c r="S473"/>
  <c r="AG473" s="1"/>
  <c r="R473"/>
  <c r="AF473" s="1"/>
  <c r="Q473"/>
  <c r="S472"/>
  <c r="AG472" s="1"/>
  <c r="R472"/>
  <c r="AF472" s="1"/>
  <c r="Q472"/>
  <c r="S471"/>
  <c r="AG471" s="1"/>
  <c r="R471"/>
  <c r="AF471" s="1"/>
  <c r="Q471"/>
  <c r="S470"/>
  <c r="AG470" s="1"/>
  <c r="R470"/>
  <c r="AF470" s="1"/>
  <c r="Q470"/>
  <c r="S469"/>
  <c r="AG469" s="1"/>
  <c r="R469"/>
  <c r="AF469" s="1"/>
  <c r="Q469"/>
  <c r="S468"/>
  <c r="AG468" s="1"/>
  <c r="R468"/>
  <c r="AF468" s="1"/>
  <c r="Q468"/>
  <c r="S467"/>
  <c r="AG467" s="1"/>
  <c r="R467"/>
  <c r="AF467" s="1"/>
  <c r="Q467"/>
  <c r="S466"/>
  <c r="AG466" s="1"/>
  <c r="R466"/>
  <c r="AF466" s="1"/>
  <c r="Q466"/>
  <c r="S465"/>
  <c r="AG465" s="1"/>
  <c r="R465"/>
  <c r="AF465" s="1"/>
  <c r="Q465"/>
  <c r="S464"/>
  <c r="AG464" s="1"/>
  <c r="R464"/>
  <c r="AF464" s="1"/>
  <c r="Q464"/>
  <c r="S463"/>
  <c r="AG463" s="1"/>
  <c r="R463"/>
  <c r="AF463" s="1"/>
  <c r="Q463"/>
  <c r="S462"/>
  <c r="AG462" s="1"/>
  <c r="R462"/>
  <c r="AF462" s="1"/>
  <c r="Q462"/>
  <c r="S461"/>
  <c r="AG461" s="1"/>
  <c r="R461"/>
  <c r="AF461" s="1"/>
  <c r="Q461"/>
  <c r="S460"/>
  <c r="AG460" s="1"/>
  <c r="R460"/>
  <c r="AF460" s="1"/>
  <c r="Q460"/>
  <c r="S459"/>
  <c r="AG459" s="1"/>
  <c r="R459"/>
  <c r="AF459" s="1"/>
  <c r="Q459"/>
  <c r="S458"/>
  <c r="AG458" s="1"/>
  <c r="R458"/>
  <c r="AF458" s="1"/>
  <c r="Q458"/>
  <c r="S457"/>
  <c r="AG457" s="1"/>
  <c r="R457"/>
  <c r="AF457" s="1"/>
  <c r="Q457"/>
  <c r="S456"/>
  <c r="AG456" s="1"/>
  <c r="R456"/>
  <c r="AF456" s="1"/>
  <c r="Q456"/>
  <c r="S455"/>
  <c r="AG455" s="1"/>
  <c r="R455"/>
  <c r="AF455" s="1"/>
  <c r="Q455"/>
  <c r="S454"/>
  <c r="AG454" s="1"/>
  <c r="R454"/>
  <c r="AF454" s="1"/>
  <c r="Q454"/>
  <c r="S453"/>
  <c r="AG453" s="1"/>
  <c r="R453"/>
  <c r="AF453" s="1"/>
  <c r="Q453"/>
  <c r="S452"/>
  <c r="AG452" s="1"/>
  <c r="R452"/>
  <c r="AF452" s="1"/>
  <c r="Q452"/>
  <c r="S451"/>
  <c r="AG451" s="1"/>
  <c r="R451"/>
  <c r="AF451" s="1"/>
  <c r="Q451"/>
  <c r="S450"/>
  <c r="AG450" s="1"/>
  <c r="R450"/>
  <c r="AF450" s="1"/>
  <c r="Q450"/>
  <c r="S449"/>
  <c r="AG449" s="1"/>
  <c r="R449"/>
  <c r="AF449" s="1"/>
  <c r="Q449"/>
  <c r="S448"/>
  <c r="AG448" s="1"/>
  <c r="R448"/>
  <c r="AF448" s="1"/>
  <c r="Q448"/>
  <c r="S447"/>
  <c r="AG447" s="1"/>
  <c r="R447"/>
  <c r="AF447" s="1"/>
  <c r="Q447"/>
  <c r="S446"/>
  <c r="AG446" s="1"/>
  <c r="R446"/>
  <c r="AF446" s="1"/>
  <c r="Q446"/>
  <c r="S445"/>
  <c r="AG445" s="1"/>
  <c r="R445"/>
  <c r="AF445" s="1"/>
  <c r="Q445"/>
  <c r="S444"/>
  <c r="AG444" s="1"/>
  <c r="R444"/>
  <c r="AF444" s="1"/>
  <c r="Q444"/>
  <c r="S443"/>
  <c r="AG443" s="1"/>
  <c r="R443"/>
  <c r="AF443" s="1"/>
  <c r="Q443"/>
  <c r="S442"/>
  <c r="AG442" s="1"/>
  <c r="R442"/>
  <c r="AF442" s="1"/>
  <c r="Q442"/>
  <c r="S441"/>
  <c r="AG441" s="1"/>
  <c r="R441"/>
  <c r="AF441" s="1"/>
  <c r="Q441"/>
  <c r="S440"/>
  <c r="AG440" s="1"/>
  <c r="R440"/>
  <c r="AF440" s="1"/>
  <c r="Q440"/>
  <c r="S439"/>
  <c r="AG439" s="1"/>
  <c r="R439"/>
  <c r="AF439" s="1"/>
  <c r="Q439"/>
  <c r="S438"/>
  <c r="AG438" s="1"/>
  <c r="R438"/>
  <c r="AF438" s="1"/>
  <c r="Q438"/>
  <c r="S437"/>
  <c r="AG437" s="1"/>
  <c r="R437"/>
  <c r="AF437" s="1"/>
  <c r="Q437"/>
  <c r="S436"/>
  <c r="AG436" s="1"/>
  <c r="R436"/>
  <c r="AF436" s="1"/>
  <c r="Q436"/>
  <c r="S435"/>
  <c r="AG435" s="1"/>
  <c r="R435"/>
  <c r="AF435" s="1"/>
  <c r="Q435"/>
  <c r="S434"/>
  <c r="AG434" s="1"/>
  <c r="R434"/>
  <c r="AF434" s="1"/>
  <c r="Q434"/>
  <c r="S433"/>
  <c r="AG433" s="1"/>
  <c r="R433"/>
  <c r="AF433" s="1"/>
  <c r="Q433"/>
  <c r="S432"/>
  <c r="AG432" s="1"/>
  <c r="R432"/>
  <c r="AF432" s="1"/>
  <c r="Q432"/>
  <c r="S431"/>
  <c r="AG431" s="1"/>
  <c r="R431"/>
  <c r="AF431" s="1"/>
  <c r="Q431"/>
  <c r="S430"/>
  <c r="AG430" s="1"/>
  <c r="R430"/>
  <c r="AF430" s="1"/>
  <c r="Q430"/>
  <c r="S429"/>
  <c r="AG429" s="1"/>
  <c r="R429"/>
  <c r="AF429" s="1"/>
  <c r="Q429"/>
  <c r="S428"/>
  <c r="AG428" s="1"/>
  <c r="R428"/>
  <c r="AF428" s="1"/>
  <c r="Q428"/>
  <c r="S427"/>
  <c r="AG427" s="1"/>
  <c r="R427"/>
  <c r="AF427" s="1"/>
  <c r="Q427"/>
  <c r="S426"/>
  <c r="AG426" s="1"/>
  <c r="R426"/>
  <c r="AF426" s="1"/>
  <c r="Q426"/>
  <c r="S425"/>
  <c r="AG425" s="1"/>
  <c r="R425"/>
  <c r="AF425" s="1"/>
  <c r="Q425"/>
  <c r="S424"/>
  <c r="AG424" s="1"/>
  <c r="R424"/>
  <c r="AF424" s="1"/>
  <c r="Q424"/>
  <c r="S423"/>
  <c r="AG423" s="1"/>
  <c r="R423"/>
  <c r="AF423" s="1"/>
  <c r="Q423"/>
  <c r="S422"/>
  <c r="AG422" s="1"/>
  <c r="R422"/>
  <c r="AF422" s="1"/>
  <c r="Q422"/>
  <c r="S421"/>
  <c r="AG421" s="1"/>
  <c r="R421"/>
  <c r="AF421" s="1"/>
  <c r="Q421"/>
  <c r="S420"/>
  <c r="AG420" s="1"/>
  <c r="R420"/>
  <c r="AF420" s="1"/>
  <c r="Q420"/>
  <c r="S419"/>
  <c r="AG419" s="1"/>
  <c r="R419"/>
  <c r="AF419" s="1"/>
  <c r="Q419"/>
  <c r="S418"/>
  <c r="AG418" s="1"/>
  <c r="R418"/>
  <c r="AF418" s="1"/>
  <c r="Q418"/>
  <c r="S417"/>
  <c r="AG417" s="1"/>
  <c r="R417"/>
  <c r="AF417" s="1"/>
  <c r="Q417"/>
  <c r="S416"/>
  <c r="AG416" s="1"/>
  <c r="R416"/>
  <c r="AF416" s="1"/>
  <c r="Q416"/>
  <c r="S415"/>
  <c r="AG415" s="1"/>
  <c r="R415"/>
  <c r="AF415" s="1"/>
  <c r="Q415"/>
  <c r="S414"/>
  <c r="AG414" s="1"/>
  <c r="R414"/>
  <c r="AF414" s="1"/>
  <c r="Q414"/>
  <c r="S413"/>
  <c r="AG413" s="1"/>
  <c r="R413"/>
  <c r="AF413" s="1"/>
  <c r="Q413"/>
  <c r="S412"/>
  <c r="AG412" s="1"/>
  <c r="R412"/>
  <c r="AF412" s="1"/>
  <c r="Q412"/>
  <c r="S411"/>
  <c r="AG411" s="1"/>
  <c r="R411"/>
  <c r="AF411" s="1"/>
  <c r="Q411"/>
  <c r="S410"/>
  <c r="AG410" s="1"/>
  <c r="R410"/>
  <c r="AF410" s="1"/>
  <c r="Q410"/>
  <c r="S409"/>
  <c r="AG409" s="1"/>
  <c r="R409"/>
  <c r="AF409" s="1"/>
  <c r="Q409"/>
  <c r="S408"/>
  <c r="AG408" s="1"/>
  <c r="R408"/>
  <c r="AF408" s="1"/>
  <c r="Q408"/>
  <c r="S407"/>
  <c r="AG407" s="1"/>
  <c r="R407"/>
  <c r="AF407" s="1"/>
  <c r="Q407"/>
  <c r="S406"/>
  <c r="AG406" s="1"/>
  <c r="R406"/>
  <c r="AF406" s="1"/>
  <c r="Q406"/>
  <c r="S405"/>
  <c r="AG405" s="1"/>
  <c r="R405"/>
  <c r="AF405" s="1"/>
  <c r="Q405"/>
  <c r="S404"/>
  <c r="AG404" s="1"/>
  <c r="R404"/>
  <c r="AF404" s="1"/>
  <c r="Q404"/>
  <c r="S403"/>
  <c r="AG403" s="1"/>
  <c r="R403"/>
  <c r="AF403" s="1"/>
  <c r="Q403"/>
  <c r="S402"/>
  <c r="AG402" s="1"/>
  <c r="R402"/>
  <c r="AF402" s="1"/>
  <c r="Q402"/>
  <c r="S401"/>
  <c r="AG401" s="1"/>
  <c r="R401"/>
  <c r="AF401" s="1"/>
  <c r="Q401"/>
  <c r="S400"/>
  <c r="AG400" s="1"/>
  <c r="R400"/>
  <c r="AF400" s="1"/>
  <c r="Q400"/>
  <c r="S399"/>
  <c r="AG399" s="1"/>
  <c r="R399"/>
  <c r="AF399" s="1"/>
  <c r="Q399"/>
  <c r="S398"/>
  <c r="AG398" s="1"/>
  <c r="R398"/>
  <c r="AF398" s="1"/>
  <c r="Q398"/>
  <c r="S397"/>
  <c r="AG397" s="1"/>
  <c r="R397"/>
  <c r="AF397" s="1"/>
  <c r="Q397"/>
  <c r="S396"/>
  <c r="AG396" s="1"/>
  <c r="R396"/>
  <c r="AF396" s="1"/>
  <c r="Q396"/>
  <c r="S395"/>
  <c r="R395"/>
  <c r="Q395"/>
  <c r="S394"/>
  <c r="AG394" s="1"/>
  <c r="R394"/>
  <c r="AF394" s="1"/>
  <c r="Q394"/>
  <c r="S393"/>
  <c r="AG393" s="1"/>
  <c r="R393"/>
  <c r="AF393" s="1"/>
  <c r="Q393"/>
  <c r="S392"/>
  <c r="AG392" s="1"/>
  <c r="R392"/>
  <c r="AF392" s="1"/>
  <c r="Q392"/>
  <c r="S391"/>
  <c r="AG391" s="1"/>
  <c r="R391"/>
  <c r="AF391" s="1"/>
  <c r="Q391"/>
  <c r="S390"/>
  <c r="AG390" s="1"/>
  <c r="R390"/>
  <c r="AF390" s="1"/>
  <c r="Q390"/>
  <c r="S389"/>
  <c r="AG389" s="1"/>
  <c r="R389"/>
  <c r="AF389" s="1"/>
  <c r="Q389"/>
  <c r="S388"/>
  <c r="AG388" s="1"/>
  <c r="R388"/>
  <c r="AF388" s="1"/>
  <c r="Q388"/>
  <c r="S387"/>
  <c r="AG387" s="1"/>
  <c r="R387"/>
  <c r="AF387" s="1"/>
  <c r="Q387"/>
  <c r="S386"/>
  <c r="AG386" s="1"/>
  <c r="R386"/>
  <c r="AF386" s="1"/>
  <c r="Q386"/>
  <c r="S384"/>
  <c r="AG384" s="1"/>
  <c r="R384"/>
  <c r="AF384" s="1"/>
  <c r="Q384"/>
  <c r="S383"/>
  <c r="AG383" s="1"/>
  <c r="R383"/>
  <c r="AF383" s="1"/>
  <c r="Q383"/>
  <c r="S382"/>
  <c r="AG382" s="1"/>
  <c r="R382"/>
  <c r="AF382" s="1"/>
  <c r="Q382"/>
  <c r="S381"/>
  <c r="AG381" s="1"/>
  <c r="R381"/>
  <c r="AF381" s="1"/>
  <c r="Q381"/>
  <c r="S380"/>
  <c r="AG380" s="1"/>
  <c r="Q380"/>
  <c r="S379"/>
  <c r="AG379" s="1"/>
  <c r="R379"/>
  <c r="AF379" s="1"/>
  <c r="Q379"/>
  <c r="S378"/>
  <c r="AG378" s="1"/>
  <c r="R378"/>
  <c r="AF378" s="1"/>
  <c r="Q378"/>
  <c r="S377"/>
  <c r="AG377" s="1"/>
  <c r="R377"/>
  <c r="AF377" s="1"/>
  <c r="Q377"/>
  <c r="S376"/>
  <c r="AG376" s="1"/>
  <c r="R376"/>
  <c r="AF376" s="1"/>
  <c r="Q376"/>
  <c r="S375"/>
  <c r="AG375" s="1"/>
  <c r="R375"/>
  <c r="AF375" s="1"/>
  <c r="Q375"/>
  <c r="S374"/>
  <c r="AG374" s="1"/>
  <c r="R374"/>
  <c r="AF374" s="1"/>
  <c r="Q374"/>
  <c r="S373"/>
  <c r="AG373" s="1"/>
  <c r="R373"/>
  <c r="AF373" s="1"/>
  <c r="Q373"/>
  <c r="S372"/>
  <c r="AG372" s="1"/>
  <c r="R372"/>
  <c r="AF372" s="1"/>
  <c r="Q372"/>
  <c r="R371"/>
  <c r="AF371" s="1"/>
  <c r="S370"/>
  <c r="AG370" s="1"/>
  <c r="R370"/>
  <c r="AF370" s="1"/>
  <c r="Q370"/>
  <c r="S369"/>
  <c r="AG369" s="1"/>
  <c r="R369"/>
  <c r="AF369" s="1"/>
  <c r="Q369"/>
  <c r="S368"/>
  <c r="AG368" s="1"/>
  <c r="R368"/>
  <c r="AF368" s="1"/>
  <c r="Q368"/>
  <c r="S367"/>
  <c r="AG367" s="1"/>
  <c r="R367"/>
  <c r="AF367" s="1"/>
  <c r="Q367"/>
  <c r="S366"/>
  <c r="AG366" s="1"/>
  <c r="R366"/>
  <c r="AF366" s="1"/>
  <c r="Q366"/>
  <c r="S365"/>
  <c r="AG365" s="1"/>
  <c r="R365"/>
  <c r="AF365" s="1"/>
  <c r="Q365"/>
  <c r="S364"/>
  <c r="AG364" s="1"/>
  <c r="R364"/>
  <c r="AF364" s="1"/>
  <c r="Q364"/>
  <c r="S363"/>
  <c r="AG363" s="1"/>
  <c r="R363"/>
  <c r="AF363" s="1"/>
  <c r="Q363"/>
  <c r="S362"/>
  <c r="AG362" s="1"/>
  <c r="R362"/>
  <c r="AF362" s="1"/>
  <c r="Q362"/>
  <c r="S361"/>
  <c r="AG361" s="1"/>
  <c r="R361"/>
  <c r="AF361" s="1"/>
  <c r="Q361"/>
  <c r="S360"/>
  <c r="AG360" s="1"/>
  <c r="R360"/>
  <c r="AF360" s="1"/>
  <c r="Q360"/>
  <c r="S359"/>
  <c r="AG359" s="1"/>
  <c r="R359"/>
  <c r="AF359" s="1"/>
  <c r="Q359"/>
  <c r="S358"/>
  <c r="AG358" s="1"/>
  <c r="R358"/>
  <c r="AF358" s="1"/>
  <c r="Q358"/>
  <c r="S357"/>
  <c r="AG357" s="1"/>
  <c r="R357"/>
  <c r="AF357" s="1"/>
  <c r="Q357"/>
  <c r="S356"/>
  <c r="AG356" s="1"/>
  <c r="R356"/>
  <c r="AF356" s="1"/>
  <c r="Q356"/>
  <c r="S355"/>
  <c r="AG355" s="1"/>
  <c r="R355"/>
  <c r="AF355" s="1"/>
  <c r="Q355"/>
  <c r="S354"/>
  <c r="AG354" s="1"/>
  <c r="R354"/>
  <c r="AF354" s="1"/>
  <c r="Q354"/>
  <c r="S353"/>
  <c r="AG353" s="1"/>
  <c r="R353"/>
  <c r="AF353" s="1"/>
  <c r="Q353"/>
  <c r="S352"/>
  <c r="AG352" s="1"/>
  <c r="R352"/>
  <c r="AF352" s="1"/>
  <c r="Q352"/>
  <c r="S351"/>
  <c r="AG351" s="1"/>
  <c r="R351"/>
  <c r="AF351" s="1"/>
  <c r="Q351"/>
  <c r="S350"/>
  <c r="AG350" s="1"/>
  <c r="R350"/>
  <c r="AF350" s="1"/>
  <c r="Q350"/>
  <c r="S349"/>
  <c r="AG349" s="1"/>
  <c r="R349"/>
  <c r="AF349" s="1"/>
  <c r="Q349"/>
  <c r="S348"/>
  <c r="AG348" s="1"/>
  <c r="R348"/>
  <c r="AF348" s="1"/>
  <c r="Q348"/>
  <c r="S347"/>
  <c r="AG347" s="1"/>
  <c r="R347"/>
  <c r="AF347" s="1"/>
  <c r="Q347"/>
  <c r="S346"/>
  <c r="AG346" s="1"/>
  <c r="R346"/>
  <c r="AF346" s="1"/>
  <c r="Q346"/>
  <c r="S345"/>
  <c r="AG345" s="1"/>
  <c r="R345"/>
  <c r="AF345" s="1"/>
  <c r="Q345"/>
  <c r="S344"/>
  <c r="AG344" s="1"/>
  <c r="R344"/>
  <c r="AF344" s="1"/>
  <c r="Q344"/>
  <c r="S343"/>
  <c r="AG343" s="1"/>
  <c r="R343"/>
  <c r="AF343" s="1"/>
  <c r="Q343"/>
  <c r="S342"/>
  <c r="AG342" s="1"/>
  <c r="R342"/>
  <c r="AF342" s="1"/>
  <c r="Q342"/>
  <c r="S341"/>
  <c r="AG341" s="1"/>
  <c r="R341"/>
  <c r="AF341" s="1"/>
  <c r="Q341"/>
  <c r="S340"/>
  <c r="AG340" s="1"/>
  <c r="R340"/>
  <c r="AF340" s="1"/>
  <c r="Q340"/>
  <c r="S339"/>
  <c r="AG339" s="1"/>
  <c r="R339"/>
  <c r="AF339" s="1"/>
  <c r="Q339"/>
  <c r="S338"/>
  <c r="AG338" s="1"/>
  <c r="R338"/>
  <c r="AF338" s="1"/>
  <c r="Q338"/>
  <c r="S337"/>
  <c r="AG337" s="1"/>
  <c r="R337"/>
  <c r="AF337" s="1"/>
  <c r="Q337"/>
  <c r="S336"/>
  <c r="AG336" s="1"/>
  <c r="R336"/>
  <c r="AF336" s="1"/>
  <c r="Q336"/>
  <c r="S335"/>
  <c r="AG335" s="1"/>
  <c r="R335"/>
  <c r="AF335" s="1"/>
  <c r="Q335"/>
  <c r="S334"/>
  <c r="AG334" s="1"/>
  <c r="R334"/>
  <c r="AF334" s="1"/>
  <c r="Q334"/>
  <c r="S333"/>
  <c r="AG333" s="1"/>
  <c r="R333"/>
  <c r="AF333" s="1"/>
  <c r="Q333"/>
  <c r="S332"/>
  <c r="AG332" s="1"/>
  <c r="R332"/>
  <c r="AF332" s="1"/>
  <c r="Q332"/>
  <c r="S331"/>
  <c r="AG331" s="1"/>
  <c r="R331"/>
  <c r="AF331" s="1"/>
  <c r="Q331"/>
  <c r="S330"/>
  <c r="AG330" s="1"/>
  <c r="R330"/>
  <c r="AF330" s="1"/>
  <c r="Q330"/>
  <c r="S329"/>
  <c r="AG329" s="1"/>
  <c r="R329"/>
  <c r="AF329" s="1"/>
  <c r="Q329"/>
  <c r="S328"/>
  <c r="AG328" s="1"/>
  <c r="R328"/>
  <c r="AF328" s="1"/>
  <c r="Q328"/>
  <c r="S327"/>
  <c r="AG327" s="1"/>
  <c r="R327"/>
  <c r="AF327" s="1"/>
  <c r="Q327"/>
  <c r="S326"/>
  <c r="AG326" s="1"/>
  <c r="R326"/>
  <c r="AF326" s="1"/>
  <c r="Q326"/>
  <c r="S325"/>
  <c r="AG325" s="1"/>
  <c r="R325"/>
  <c r="AF325" s="1"/>
  <c r="Q325"/>
  <c r="S324"/>
  <c r="AG324" s="1"/>
  <c r="R324"/>
  <c r="AF324" s="1"/>
  <c r="Q324"/>
  <c r="S323"/>
  <c r="AG323" s="1"/>
  <c r="R323"/>
  <c r="AF323" s="1"/>
  <c r="Q323"/>
  <c r="S322"/>
  <c r="AG322" s="1"/>
  <c r="R322"/>
  <c r="AF322" s="1"/>
  <c r="Q322"/>
  <c r="S321"/>
  <c r="AG321" s="1"/>
  <c r="R321"/>
  <c r="AF321" s="1"/>
  <c r="Q321"/>
  <c r="S320"/>
  <c r="AG320" s="1"/>
  <c r="R320"/>
  <c r="AF320" s="1"/>
  <c r="Q320"/>
  <c r="S319"/>
  <c r="AG319" s="1"/>
  <c r="R319"/>
  <c r="AF319" s="1"/>
  <c r="Q319"/>
  <c r="S318"/>
  <c r="AG318" s="1"/>
  <c r="R318"/>
  <c r="AF318" s="1"/>
  <c r="Q318"/>
  <c r="S317"/>
  <c r="AG317" s="1"/>
  <c r="R317"/>
  <c r="AF317" s="1"/>
  <c r="Q317"/>
  <c r="S316"/>
  <c r="AG316" s="1"/>
  <c r="R316"/>
  <c r="AF316" s="1"/>
  <c r="Q316"/>
  <c r="S315"/>
  <c r="AG315" s="1"/>
  <c r="R315"/>
  <c r="AF315" s="1"/>
  <c r="Q315"/>
  <c r="S314"/>
  <c r="AG314" s="1"/>
  <c r="R314"/>
  <c r="AF314" s="1"/>
  <c r="Q314"/>
  <c r="S313"/>
  <c r="AG313" s="1"/>
  <c r="R313"/>
  <c r="AF313" s="1"/>
  <c r="Q313"/>
  <c r="S312"/>
  <c r="AG312" s="1"/>
  <c r="R312"/>
  <c r="AF312" s="1"/>
  <c r="Q312"/>
  <c r="S311"/>
  <c r="AG311" s="1"/>
  <c r="R311"/>
  <c r="AF311" s="1"/>
  <c r="Q311"/>
  <c r="S310"/>
  <c r="AG310" s="1"/>
  <c r="R310"/>
  <c r="AF310" s="1"/>
  <c r="Q310"/>
  <c r="S309"/>
  <c r="AG309" s="1"/>
  <c r="R309"/>
  <c r="AF309" s="1"/>
  <c r="Q309"/>
  <c r="S308"/>
  <c r="AG308" s="1"/>
  <c r="R308"/>
  <c r="AF308" s="1"/>
  <c r="Q308"/>
  <c r="S307"/>
  <c r="AG307" s="1"/>
  <c r="R307"/>
  <c r="AF307" s="1"/>
  <c r="Q307"/>
  <c r="S306"/>
  <c r="AG306" s="1"/>
  <c r="R306"/>
  <c r="AF306" s="1"/>
  <c r="Q306"/>
  <c r="S305"/>
  <c r="AG305" s="1"/>
  <c r="R305"/>
  <c r="AF305" s="1"/>
  <c r="Q305"/>
  <c r="S304"/>
  <c r="AG304" s="1"/>
  <c r="R304"/>
  <c r="AF304" s="1"/>
  <c r="Q304"/>
  <c r="S303"/>
  <c r="AG303" s="1"/>
  <c r="R303"/>
  <c r="AF303" s="1"/>
  <c r="Q303"/>
  <c r="S302"/>
  <c r="AG302" s="1"/>
  <c r="R302"/>
  <c r="AF302" s="1"/>
  <c r="Q302"/>
  <c r="S301"/>
  <c r="AG301" s="1"/>
  <c r="R301"/>
  <c r="AF301" s="1"/>
  <c r="Q301"/>
  <c r="S300"/>
  <c r="AG300" s="1"/>
  <c r="R300"/>
  <c r="AF300" s="1"/>
  <c r="Q300"/>
  <c r="S299"/>
  <c r="AG299" s="1"/>
  <c r="R299"/>
  <c r="AF299" s="1"/>
  <c r="Q299"/>
  <c r="S298"/>
  <c r="AG298" s="1"/>
  <c r="R298"/>
  <c r="AF298" s="1"/>
  <c r="Q298"/>
  <c r="S297"/>
  <c r="AG297" s="1"/>
  <c r="R297"/>
  <c r="AF297" s="1"/>
  <c r="Q297"/>
  <c r="S296"/>
  <c r="AG296" s="1"/>
  <c r="R296"/>
  <c r="AF296" s="1"/>
  <c r="Q296"/>
  <c r="S295"/>
  <c r="AG295" s="1"/>
  <c r="R295"/>
  <c r="AF295" s="1"/>
  <c r="Q295"/>
  <c r="S294"/>
  <c r="AG294" s="1"/>
  <c r="R294"/>
  <c r="AF294" s="1"/>
  <c r="Q294"/>
  <c r="S293"/>
  <c r="AG293" s="1"/>
  <c r="R293"/>
  <c r="AF293" s="1"/>
  <c r="Q293"/>
  <c r="S292"/>
  <c r="AG292" s="1"/>
  <c r="R292"/>
  <c r="AF292" s="1"/>
  <c r="Q292"/>
  <c r="S291"/>
  <c r="AG291" s="1"/>
  <c r="R291"/>
  <c r="AF291" s="1"/>
  <c r="Q291"/>
  <c r="S290"/>
  <c r="AG290" s="1"/>
  <c r="R290"/>
  <c r="AF290" s="1"/>
  <c r="Q290"/>
  <c r="S289"/>
  <c r="AG289" s="1"/>
  <c r="R289"/>
  <c r="AF289" s="1"/>
  <c r="Q289"/>
  <c r="S288"/>
  <c r="AG288" s="1"/>
  <c r="R288"/>
  <c r="AF288" s="1"/>
  <c r="Q288"/>
  <c r="S287"/>
  <c r="AG287" s="1"/>
  <c r="R287"/>
  <c r="AF287" s="1"/>
  <c r="Q287"/>
  <c r="S286"/>
  <c r="AG286" s="1"/>
  <c r="R286"/>
  <c r="AF286" s="1"/>
  <c r="Q286"/>
  <c r="S285"/>
  <c r="AG285" s="1"/>
  <c r="R285"/>
  <c r="AF285" s="1"/>
  <c r="Q285"/>
  <c r="S284"/>
  <c r="AG284" s="1"/>
  <c r="R284"/>
  <c r="AF284" s="1"/>
  <c r="Q284"/>
  <c r="S283"/>
  <c r="AG283" s="1"/>
  <c r="R283"/>
  <c r="AF283" s="1"/>
  <c r="Q283"/>
  <c r="S282"/>
  <c r="AG282" s="1"/>
  <c r="R282"/>
  <c r="AF282" s="1"/>
  <c r="Q282"/>
  <c r="S281"/>
  <c r="AG281" s="1"/>
  <c r="R281"/>
  <c r="AF281" s="1"/>
  <c r="Q281"/>
  <c r="S280"/>
  <c r="AG280" s="1"/>
  <c r="R280"/>
  <c r="AF280" s="1"/>
  <c r="Q280"/>
  <c r="S279"/>
  <c r="AG279" s="1"/>
  <c r="R279"/>
  <c r="AF279" s="1"/>
  <c r="Q279"/>
  <c r="S278"/>
  <c r="AG278" s="1"/>
  <c r="R278"/>
  <c r="AF278" s="1"/>
  <c r="Q278"/>
  <c r="S277"/>
  <c r="AG277" s="1"/>
  <c r="R277"/>
  <c r="AF277" s="1"/>
  <c r="Q277"/>
  <c r="S276"/>
  <c r="AG276" s="1"/>
  <c r="R276"/>
  <c r="AF276" s="1"/>
  <c r="Q276"/>
  <c r="S275"/>
  <c r="AG275" s="1"/>
  <c r="R275"/>
  <c r="AF275" s="1"/>
  <c r="Q275"/>
  <c r="S274"/>
  <c r="AG274" s="1"/>
  <c r="R274"/>
  <c r="AF274" s="1"/>
  <c r="Q274"/>
  <c r="S273"/>
  <c r="R273"/>
  <c r="Q273"/>
  <c r="S272"/>
  <c r="AG272" s="1"/>
  <c r="R272"/>
  <c r="AF272" s="1"/>
  <c r="Q272"/>
  <c r="S271"/>
  <c r="AG271" s="1"/>
  <c r="R271"/>
  <c r="AF271" s="1"/>
  <c r="Q271"/>
  <c r="S270"/>
  <c r="AG270" s="1"/>
  <c r="R270"/>
  <c r="AF270" s="1"/>
  <c r="Q270"/>
  <c r="S269"/>
  <c r="AG269" s="1"/>
  <c r="R269"/>
  <c r="AF269" s="1"/>
  <c r="Q269"/>
  <c r="S268"/>
  <c r="AG268" s="1"/>
  <c r="R268"/>
  <c r="AF268" s="1"/>
  <c r="Q268"/>
  <c r="S267"/>
  <c r="AG267" s="1"/>
  <c r="R267"/>
  <c r="AF267" s="1"/>
  <c r="Q267"/>
  <c r="S266"/>
  <c r="AG266" s="1"/>
  <c r="R266"/>
  <c r="AF266" s="1"/>
  <c r="Q266"/>
  <c r="S265"/>
  <c r="AG265" s="1"/>
  <c r="R265"/>
  <c r="AF265" s="1"/>
  <c r="Q265"/>
  <c r="S264"/>
  <c r="AG264" s="1"/>
  <c r="R264"/>
  <c r="AF264" s="1"/>
  <c r="Q264"/>
  <c r="S263"/>
  <c r="AG263" s="1"/>
  <c r="R263"/>
  <c r="AF263" s="1"/>
  <c r="Q263"/>
  <c r="S262"/>
  <c r="AG262" s="1"/>
  <c r="R262"/>
  <c r="AF262" s="1"/>
  <c r="Q262"/>
  <c r="S261"/>
  <c r="AG261" s="1"/>
  <c r="R261"/>
  <c r="AF261" s="1"/>
  <c r="Q261"/>
  <c r="S260"/>
  <c r="AG260" s="1"/>
  <c r="R260"/>
  <c r="AF260" s="1"/>
  <c r="Q260"/>
  <c r="S259"/>
  <c r="AG259" s="1"/>
  <c r="R259"/>
  <c r="AF259" s="1"/>
  <c r="Q259"/>
  <c r="S258"/>
  <c r="AG258" s="1"/>
  <c r="R258"/>
  <c r="AF258" s="1"/>
  <c r="Q258"/>
  <c r="S257"/>
  <c r="AG257" s="1"/>
  <c r="R257"/>
  <c r="AF257" s="1"/>
  <c r="Q257"/>
  <c r="S256"/>
  <c r="AG256" s="1"/>
  <c r="R256"/>
  <c r="AF256" s="1"/>
  <c r="Q256"/>
  <c r="S255"/>
  <c r="AG255" s="1"/>
  <c r="R255"/>
  <c r="AF255" s="1"/>
  <c r="Q255"/>
  <c r="S254"/>
  <c r="AG254" s="1"/>
  <c r="R254"/>
  <c r="AF254" s="1"/>
  <c r="Q254"/>
  <c r="S253"/>
  <c r="AG253" s="1"/>
  <c r="R253"/>
  <c r="AF253" s="1"/>
  <c r="Q253"/>
  <c r="S252"/>
  <c r="AG252" s="1"/>
  <c r="R252"/>
  <c r="AF252" s="1"/>
  <c r="Q252"/>
  <c r="S251"/>
  <c r="AG251" s="1"/>
  <c r="R251"/>
  <c r="AF251" s="1"/>
  <c r="Q251"/>
  <c r="S250"/>
  <c r="AG250" s="1"/>
  <c r="R250"/>
  <c r="AF250" s="1"/>
  <c r="Q250"/>
  <c r="S249"/>
  <c r="AG249" s="1"/>
  <c r="R249"/>
  <c r="AF249" s="1"/>
  <c r="Q249"/>
  <c r="S248"/>
  <c r="AG248" s="1"/>
  <c r="R248"/>
  <c r="AF248" s="1"/>
  <c r="Q248"/>
  <c r="S247"/>
  <c r="AG247" s="1"/>
  <c r="R247"/>
  <c r="AF247" s="1"/>
  <c r="Q247"/>
  <c r="S246"/>
  <c r="AG246" s="1"/>
  <c r="R246"/>
  <c r="AF246" s="1"/>
  <c r="Q246"/>
  <c r="S245"/>
  <c r="AG245" s="1"/>
  <c r="R245"/>
  <c r="AF245" s="1"/>
  <c r="Q245"/>
  <c r="S244"/>
  <c r="AG244" s="1"/>
  <c r="R244"/>
  <c r="AF244" s="1"/>
  <c r="Q244"/>
  <c r="S243"/>
  <c r="AG243" s="1"/>
  <c r="R243"/>
  <c r="AF243" s="1"/>
  <c r="Q243"/>
  <c r="S242"/>
  <c r="AG242" s="1"/>
  <c r="R242"/>
  <c r="AF242" s="1"/>
  <c r="Q242"/>
  <c r="S241"/>
  <c r="AG241" s="1"/>
  <c r="R241"/>
  <c r="AF241" s="1"/>
  <c r="Q241"/>
  <c r="S240"/>
  <c r="AG240" s="1"/>
  <c r="R240"/>
  <c r="AF240" s="1"/>
  <c r="Q240"/>
  <c r="S239"/>
  <c r="AG239" s="1"/>
  <c r="R239"/>
  <c r="AF239" s="1"/>
  <c r="Q239"/>
  <c r="S238"/>
  <c r="AG238" s="1"/>
  <c r="R238"/>
  <c r="AF238" s="1"/>
  <c r="Q238"/>
  <c r="S237"/>
  <c r="AG237" s="1"/>
  <c r="R237"/>
  <c r="AF237" s="1"/>
  <c r="Q237"/>
  <c r="S236"/>
  <c r="AG236" s="1"/>
  <c r="R236"/>
  <c r="AF236" s="1"/>
  <c r="Q236"/>
  <c r="S235"/>
  <c r="AG235" s="1"/>
  <c r="R235"/>
  <c r="AF235" s="1"/>
  <c r="Q235"/>
  <c r="S234"/>
  <c r="AG234" s="1"/>
  <c r="R234"/>
  <c r="AF234" s="1"/>
  <c r="Q234"/>
  <c r="S233"/>
  <c r="AG233" s="1"/>
  <c r="R233"/>
  <c r="AF233" s="1"/>
  <c r="Q233"/>
  <c r="S232"/>
  <c r="AG232" s="1"/>
  <c r="R232"/>
  <c r="AF232" s="1"/>
  <c r="Q232"/>
  <c r="S231"/>
  <c r="AG231" s="1"/>
  <c r="R231"/>
  <c r="AF231" s="1"/>
  <c r="Q231"/>
  <c r="S230"/>
  <c r="AG230" s="1"/>
  <c r="R230"/>
  <c r="AF230" s="1"/>
  <c r="Q230"/>
  <c r="S229"/>
  <c r="AG229" s="1"/>
  <c r="R229"/>
  <c r="AF229" s="1"/>
  <c r="Q229"/>
  <c r="S228"/>
  <c r="AG228" s="1"/>
  <c r="R228"/>
  <c r="AF228" s="1"/>
  <c r="Q228"/>
  <c r="S227"/>
  <c r="AG227" s="1"/>
  <c r="R227"/>
  <c r="AF227" s="1"/>
  <c r="Q227"/>
  <c r="S226"/>
  <c r="AG226" s="1"/>
  <c r="R226"/>
  <c r="AF226" s="1"/>
  <c r="Q226"/>
  <c r="S225"/>
  <c r="AG225" s="1"/>
  <c r="R225"/>
  <c r="AF225" s="1"/>
  <c r="Q225"/>
  <c r="S224"/>
  <c r="AG224" s="1"/>
  <c r="R224"/>
  <c r="AF224" s="1"/>
  <c r="Q224"/>
  <c r="S223"/>
  <c r="AG223" s="1"/>
  <c r="R223"/>
  <c r="AF223" s="1"/>
  <c r="Q223"/>
  <c r="S222"/>
  <c r="AG222" s="1"/>
  <c r="R222"/>
  <c r="AF222" s="1"/>
  <c r="Q222"/>
  <c r="S221"/>
  <c r="AG221" s="1"/>
  <c r="R221"/>
  <c r="AF221" s="1"/>
  <c r="Q221"/>
  <c r="S220"/>
  <c r="AG220" s="1"/>
  <c r="R220"/>
  <c r="AF220" s="1"/>
  <c r="Q220"/>
  <c r="S219"/>
  <c r="AG219" s="1"/>
  <c r="R219"/>
  <c r="AF219" s="1"/>
  <c r="Q219"/>
  <c r="S218"/>
  <c r="AG218" s="1"/>
  <c r="R218"/>
  <c r="AF218" s="1"/>
  <c r="Q218"/>
  <c r="S217"/>
  <c r="AG217" s="1"/>
  <c r="R217"/>
  <c r="AF217" s="1"/>
  <c r="Q217"/>
  <c r="S216"/>
  <c r="AG216" s="1"/>
  <c r="R216"/>
  <c r="AF216" s="1"/>
  <c r="Q216"/>
  <c r="S215"/>
  <c r="AG215" s="1"/>
  <c r="R215"/>
  <c r="AF215" s="1"/>
  <c r="Q215"/>
  <c r="S214"/>
  <c r="AG214" s="1"/>
  <c r="R214"/>
  <c r="AF214" s="1"/>
  <c r="Q214"/>
  <c r="S213"/>
  <c r="AG213" s="1"/>
  <c r="R213"/>
  <c r="AF213" s="1"/>
  <c r="Q213"/>
  <c r="S212"/>
  <c r="R212"/>
  <c r="Q212"/>
  <c r="S211"/>
  <c r="AG211" s="1"/>
  <c r="R211"/>
  <c r="AF211" s="1"/>
  <c r="Q211"/>
  <c r="S210"/>
  <c r="AG210" s="1"/>
  <c r="R210"/>
  <c r="AF210" s="1"/>
  <c r="Q210"/>
  <c r="S209"/>
  <c r="AG209" s="1"/>
  <c r="R209"/>
  <c r="AF209" s="1"/>
  <c r="Q209"/>
  <c r="S208"/>
  <c r="AG208" s="1"/>
  <c r="R208"/>
  <c r="Q208"/>
  <c r="S207"/>
  <c r="AG207" s="1"/>
  <c r="R207"/>
  <c r="AF207" s="1"/>
  <c r="Q207"/>
  <c r="S206"/>
  <c r="AG206" s="1"/>
  <c r="R206"/>
  <c r="Q206"/>
  <c r="S205"/>
  <c r="AG205" s="1"/>
  <c r="R205"/>
  <c r="AF205" s="1"/>
  <c r="Q205"/>
  <c r="S204"/>
  <c r="AG204" s="1"/>
  <c r="R204"/>
  <c r="AF204" s="1"/>
  <c r="Q204"/>
  <c r="S203"/>
  <c r="AG203" s="1"/>
  <c r="R203"/>
  <c r="AF203" s="1"/>
  <c r="Q203"/>
  <c r="S202"/>
  <c r="AG202" s="1"/>
  <c r="R202"/>
  <c r="AF202" s="1"/>
  <c r="Q202"/>
  <c r="S201"/>
  <c r="AG201" s="1"/>
  <c r="R201"/>
  <c r="AF201" s="1"/>
  <c r="Q201"/>
  <c r="S200"/>
  <c r="AG200" s="1"/>
  <c r="R200"/>
  <c r="AF200" s="1"/>
  <c r="Q200"/>
  <c r="S199"/>
  <c r="AG199" s="1"/>
  <c r="R199"/>
  <c r="AF199" s="1"/>
  <c r="Q199"/>
  <c r="S198"/>
  <c r="AG198" s="1"/>
  <c r="Q198"/>
  <c r="S197"/>
  <c r="AG197" s="1"/>
  <c r="R197"/>
  <c r="AF197" s="1"/>
  <c r="Q197"/>
  <c r="S196"/>
  <c r="AG196" s="1"/>
  <c r="R196"/>
  <c r="AF196" s="1"/>
  <c r="Q196"/>
  <c r="S195"/>
  <c r="AG195" s="1"/>
  <c r="Q195"/>
  <c r="S194"/>
  <c r="AG194" s="1"/>
  <c r="R194"/>
  <c r="AF194" s="1"/>
  <c r="Q194"/>
  <c r="S193"/>
  <c r="AG193" s="1"/>
  <c r="R193"/>
  <c r="AF193" s="1"/>
  <c r="Q193"/>
  <c r="S192"/>
  <c r="AG192" s="1"/>
  <c r="R192"/>
  <c r="AF192" s="1"/>
  <c r="Q192"/>
  <c r="S191"/>
  <c r="AG191" s="1"/>
  <c r="R191"/>
  <c r="AF191" s="1"/>
  <c r="Q191"/>
  <c r="S190"/>
  <c r="AG190" s="1"/>
  <c r="Q190"/>
  <c r="S189"/>
  <c r="AG189" s="1"/>
  <c r="Q189"/>
  <c r="S188"/>
  <c r="AG188" s="1"/>
  <c r="Q188"/>
  <c r="S187"/>
  <c r="AG187" s="1"/>
  <c r="R187"/>
  <c r="AF187" s="1"/>
  <c r="Q187"/>
  <c r="S186"/>
  <c r="AG186" s="1"/>
  <c r="R186"/>
  <c r="AF186" s="1"/>
  <c r="Q186"/>
  <c r="S185"/>
  <c r="AG185" s="1"/>
  <c r="Q185"/>
  <c r="S184"/>
  <c r="AG184" s="1"/>
  <c r="R184"/>
  <c r="AF184" s="1"/>
  <c r="Q184"/>
  <c r="S183"/>
  <c r="AG183" s="1"/>
  <c r="R183"/>
  <c r="AF183" s="1"/>
  <c r="Q183"/>
  <c r="S182"/>
  <c r="AG182" s="1"/>
  <c r="R182"/>
  <c r="AF182" s="1"/>
  <c r="Q182"/>
  <c r="S181"/>
  <c r="AG181" s="1"/>
  <c r="R181"/>
  <c r="AF181" s="1"/>
  <c r="Q181"/>
  <c r="S180"/>
  <c r="AG180" s="1"/>
  <c r="R180"/>
  <c r="AF180" s="1"/>
  <c r="Q180"/>
  <c r="S179"/>
  <c r="AG179" s="1"/>
  <c r="R179"/>
  <c r="AF179" s="1"/>
  <c r="Q179"/>
  <c r="S178"/>
  <c r="AG178" s="1"/>
  <c r="Q178"/>
  <c r="S177"/>
  <c r="AG177" s="1"/>
  <c r="R177"/>
  <c r="AF177" s="1"/>
  <c r="Q177"/>
  <c r="S176"/>
  <c r="AG176" s="1"/>
  <c r="R176"/>
  <c r="AF176" s="1"/>
  <c r="Q176"/>
  <c r="S175"/>
  <c r="AG175" s="1"/>
  <c r="Q175"/>
  <c r="S174"/>
  <c r="AG174" s="1"/>
  <c r="R174"/>
  <c r="AF174" s="1"/>
  <c r="Q174"/>
  <c r="S173"/>
  <c r="AG173" s="1"/>
  <c r="R173"/>
  <c r="AF173" s="1"/>
  <c r="Q173"/>
  <c r="S172"/>
  <c r="AG172" s="1"/>
  <c r="Q172"/>
  <c r="S171"/>
  <c r="AG171" s="1"/>
  <c r="R171"/>
  <c r="AF171" s="1"/>
  <c r="Q171"/>
  <c r="S170"/>
  <c r="AG170" s="1"/>
  <c r="R170"/>
  <c r="AF170" s="1"/>
  <c r="Q170"/>
  <c r="S169"/>
  <c r="AG169" s="1"/>
  <c r="Q169"/>
  <c r="S168"/>
  <c r="AG168" s="1"/>
  <c r="R168"/>
  <c r="AF168" s="1"/>
  <c r="Q168"/>
  <c r="S167"/>
  <c r="AG167" s="1"/>
  <c r="R167"/>
  <c r="AF167" s="1"/>
  <c r="Q167"/>
  <c r="S166"/>
  <c r="AG166" s="1"/>
  <c r="Q166"/>
  <c r="S165"/>
  <c r="AG165" s="1"/>
  <c r="R165"/>
  <c r="AF165" s="1"/>
  <c r="Q165"/>
  <c r="S164"/>
  <c r="AG164" s="1"/>
  <c r="R164"/>
  <c r="AF164" s="1"/>
  <c r="Q164"/>
  <c r="S163"/>
  <c r="AG163" s="1"/>
  <c r="Q163"/>
  <c r="S162"/>
  <c r="AG162" s="1"/>
  <c r="R162"/>
  <c r="AF162" s="1"/>
  <c r="Q162"/>
  <c r="S161"/>
  <c r="AG161" s="1"/>
  <c r="R161"/>
  <c r="AF161" s="1"/>
  <c r="Q161"/>
  <c r="S160"/>
  <c r="AG160" s="1"/>
  <c r="Q160"/>
  <c r="S159"/>
  <c r="AG159" s="1"/>
  <c r="R159"/>
  <c r="AF159" s="1"/>
  <c r="Q159"/>
  <c r="S158"/>
  <c r="AG158" s="1"/>
  <c r="R158"/>
  <c r="AF158" s="1"/>
  <c r="Q158"/>
  <c r="S157"/>
  <c r="AG157" s="1"/>
  <c r="Q157"/>
  <c r="S156"/>
  <c r="AG156" s="1"/>
  <c r="R156"/>
  <c r="AF156" s="1"/>
  <c r="Q156"/>
  <c r="S155"/>
  <c r="AG155" s="1"/>
  <c r="R155"/>
  <c r="AF155" s="1"/>
  <c r="Q155"/>
  <c r="S154"/>
  <c r="AG154" s="1"/>
  <c r="Q154"/>
  <c r="S153"/>
  <c r="AG153" s="1"/>
  <c r="R153"/>
  <c r="AF153" s="1"/>
  <c r="Q153"/>
  <c r="S152"/>
  <c r="AG152" s="1"/>
  <c r="R152"/>
  <c r="AF152" s="1"/>
  <c r="Q152"/>
  <c r="S151"/>
  <c r="AG151" s="1"/>
  <c r="Q151"/>
  <c r="S150"/>
  <c r="AG150" s="1"/>
  <c r="R150"/>
  <c r="AF150" s="1"/>
  <c r="Q150"/>
  <c r="S149"/>
  <c r="AG149" s="1"/>
  <c r="R149"/>
  <c r="AF149" s="1"/>
  <c r="Q149"/>
  <c r="S148"/>
  <c r="AG148" s="1"/>
  <c r="Q148"/>
  <c r="S147"/>
  <c r="AG147" s="1"/>
  <c r="R147"/>
  <c r="AF147" s="1"/>
  <c r="Q147"/>
  <c r="S146"/>
  <c r="AG146" s="1"/>
  <c r="R146"/>
  <c r="AF146" s="1"/>
  <c r="Q146"/>
  <c r="Q145"/>
  <c r="S144"/>
  <c r="AG144" s="1"/>
  <c r="R144"/>
  <c r="AF144" s="1"/>
  <c r="Q144"/>
  <c r="S143"/>
  <c r="AG143" s="1"/>
  <c r="R143"/>
  <c r="AF143" s="1"/>
  <c r="Q143"/>
  <c r="S142"/>
  <c r="AG142" s="1"/>
  <c r="Q142"/>
  <c r="S141"/>
  <c r="AG141" s="1"/>
  <c r="R141"/>
  <c r="AF141" s="1"/>
  <c r="Q141"/>
  <c r="S140"/>
  <c r="AG140" s="1"/>
  <c r="R140"/>
  <c r="AF140" s="1"/>
  <c r="Q140"/>
  <c r="S139"/>
  <c r="AG139" s="1"/>
  <c r="Q139"/>
  <c r="S138"/>
  <c r="AG138" s="1"/>
  <c r="R138"/>
  <c r="AF138" s="1"/>
  <c r="Q138"/>
  <c r="S137"/>
  <c r="AG137" s="1"/>
  <c r="R137"/>
  <c r="AF137" s="1"/>
  <c r="Q137"/>
  <c r="S136"/>
  <c r="AG136" s="1"/>
  <c r="Q136"/>
  <c r="S135"/>
  <c r="AG135" s="1"/>
  <c r="R135"/>
  <c r="AF135" s="1"/>
  <c r="Q135"/>
  <c r="S134"/>
  <c r="AG134" s="1"/>
  <c r="R134"/>
  <c r="AF134" s="1"/>
  <c r="Q134"/>
  <c r="S133"/>
  <c r="AG133" s="1"/>
  <c r="R133"/>
  <c r="AF133" s="1"/>
  <c r="Q133"/>
  <c r="S132"/>
  <c r="AG132" s="1"/>
  <c r="R132"/>
  <c r="AF132" s="1"/>
  <c r="Q132"/>
  <c r="S131"/>
  <c r="AG131" s="1"/>
  <c r="R131"/>
  <c r="AF131" s="1"/>
  <c r="Q131"/>
  <c r="S130"/>
  <c r="AG130" s="1"/>
  <c r="Q130"/>
  <c r="S129"/>
  <c r="AG129" s="1"/>
  <c r="R129"/>
  <c r="AF129" s="1"/>
  <c r="Q129"/>
  <c r="S128"/>
  <c r="AG128" s="1"/>
  <c r="R128"/>
  <c r="AF128" s="1"/>
  <c r="Q128"/>
  <c r="S127"/>
  <c r="AG127" s="1"/>
  <c r="Q127"/>
  <c r="S126"/>
  <c r="AG126" s="1"/>
  <c r="R126"/>
  <c r="AF126" s="1"/>
  <c r="Q126"/>
  <c r="S125"/>
  <c r="AG125" s="1"/>
  <c r="R125"/>
  <c r="AF125" s="1"/>
  <c r="Q125"/>
  <c r="S124"/>
  <c r="AG124" s="1"/>
  <c r="Q124"/>
  <c r="S123"/>
  <c r="AG123" s="1"/>
  <c r="R123"/>
  <c r="AF123" s="1"/>
  <c r="Q123"/>
  <c r="S122"/>
  <c r="AG122" s="1"/>
  <c r="R122"/>
  <c r="AF122" s="1"/>
  <c r="Q122"/>
  <c r="S121"/>
  <c r="AG121" s="1"/>
  <c r="Q121"/>
  <c r="S120"/>
  <c r="AG120" s="1"/>
  <c r="R120"/>
  <c r="AF120" s="1"/>
  <c r="Q120"/>
  <c r="S119"/>
  <c r="AG119" s="1"/>
  <c r="R119"/>
  <c r="AF119" s="1"/>
  <c r="Q119"/>
  <c r="S118"/>
  <c r="AG118" s="1"/>
  <c r="Q118"/>
  <c r="S117"/>
  <c r="AG117" s="1"/>
  <c r="R117"/>
  <c r="AF117" s="1"/>
  <c r="Q117"/>
  <c r="S116"/>
  <c r="AG116" s="1"/>
  <c r="R116"/>
  <c r="AF116" s="1"/>
  <c r="Q116"/>
  <c r="S115"/>
  <c r="AG115" s="1"/>
  <c r="Q115"/>
  <c r="S114"/>
  <c r="AG114" s="1"/>
  <c r="R114"/>
  <c r="AF114" s="1"/>
  <c r="Q114"/>
  <c r="S113"/>
  <c r="AG113" s="1"/>
  <c r="R113"/>
  <c r="AF113" s="1"/>
  <c r="Q113"/>
  <c r="S112"/>
  <c r="AG112" s="1"/>
  <c r="Q112"/>
  <c r="S111"/>
  <c r="AG111" s="1"/>
  <c r="R111"/>
  <c r="AF111" s="1"/>
  <c r="Q111"/>
  <c r="S110"/>
  <c r="AG110" s="1"/>
  <c r="R110"/>
  <c r="AF110" s="1"/>
  <c r="Q110"/>
  <c r="S109"/>
  <c r="AG109" s="1"/>
  <c r="Q109"/>
  <c r="S108"/>
  <c r="AG108" s="1"/>
  <c r="R108"/>
  <c r="AF108" s="1"/>
  <c r="Q108"/>
  <c r="S107"/>
  <c r="AG107" s="1"/>
  <c r="R107"/>
  <c r="AF107" s="1"/>
  <c r="Q107"/>
  <c r="S106"/>
  <c r="AG106" s="1"/>
  <c r="R106"/>
  <c r="AF106" s="1"/>
  <c r="Q106"/>
  <c r="S105"/>
  <c r="AG105" s="1"/>
  <c r="Q105"/>
  <c r="S104"/>
  <c r="AG104" s="1"/>
  <c r="R104"/>
  <c r="AF104" s="1"/>
  <c r="Q104"/>
  <c r="S103"/>
  <c r="AG103" s="1"/>
  <c r="R103"/>
  <c r="AF103" s="1"/>
  <c r="Q103"/>
  <c r="S102"/>
  <c r="AG102" s="1"/>
  <c r="Q102"/>
  <c r="S101"/>
  <c r="AG101" s="1"/>
  <c r="R101"/>
  <c r="AF101" s="1"/>
  <c r="Q101"/>
  <c r="S100"/>
  <c r="AG100" s="1"/>
  <c r="R100"/>
  <c r="AF100" s="1"/>
  <c r="Q100"/>
  <c r="S99"/>
  <c r="AG99" s="1"/>
  <c r="Q99"/>
  <c r="S98"/>
  <c r="AG98" s="1"/>
  <c r="R98"/>
  <c r="AF98" s="1"/>
  <c r="Q98"/>
  <c r="S97"/>
  <c r="AG97" s="1"/>
  <c r="R97"/>
  <c r="AF97" s="1"/>
  <c r="Q97"/>
  <c r="S96"/>
  <c r="AG96" s="1"/>
  <c r="R96"/>
  <c r="AF96" s="1"/>
  <c r="Q96"/>
  <c r="S95"/>
  <c r="AG95" s="1"/>
  <c r="R95"/>
  <c r="AF95" s="1"/>
  <c r="Q95"/>
  <c r="S94"/>
  <c r="AG94" s="1"/>
  <c r="R94"/>
  <c r="AF94" s="1"/>
  <c r="Q94"/>
  <c r="S93"/>
  <c r="AG93" s="1"/>
  <c r="R93"/>
  <c r="AF93" s="1"/>
  <c r="Q93"/>
  <c r="S92"/>
  <c r="AG92" s="1"/>
  <c r="Q92"/>
  <c r="S91"/>
  <c r="AG91" s="1"/>
  <c r="R91"/>
  <c r="AF91" s="1"/>
  <c r="Q91"/>
  <c r="S90"/>
  <c r="AG90" s="1"/>
  <c r="R90"/>
  <c r="AF90" s="1"/>
  <c r="Q90"/>
  <c r="S89"/>
  <c r="AG89" s="1"/>
  <c r="Q89"/>
  <c r="S88"/>
  <c r="AG88" s="1"/>
  <c r="R88"/>
  <c r="AF88" s="1"/>
  <c r="Q88"/>
  <c r="S87"/>
  <c r="AG87" s="1"/>
  <c r="R87"/>
  <c r="AF87" s="1"/>
  <c r="Q87"/>
  <c r="S86"/>
  <c r="AG86" s="1"/>
  <c r="R86"/>
  <c r="AF86" s="1"/>
  <c r="Q86"/>
  <c r="S85"/>
  <c r="AG85" s="1"/>
  <c r="R85"/>
  <c r="AF85" s="1"/>
  <c r="Q85"/>
  <c r="S84"/>
  <c r="AG84" s="1"/>
  <c r="R84"/>
  <c r="AF84" s="1"/>
  <c r="Q84"/>
  <c r="S83"/>
  <c r="AG83" s="1"/>
  <c r="R83"/>
  <c r="AF83" s="1"/>
  <c r="Q83"/>
  <c r="S82"/>
  <c r="AG82" s="1"/>
  <c r="R82"/>
  <c r="AF82" s="1"/>
  <c r="Q82"/>
  <c r="S81"/>
  <c r="AG81" s="1"/>
  <c r="R81"/>
  <c r="AF81" s="1"/>
  <c r="Q81"/>
  <c r="S80"/>
  <c r="AG80" s="1"/>
  <c r="Q80"/>
  <c r="S79"/>
  <c r="AG79" s="1"/>
  <c r="R79"/>
  <c r="AF79" s="1"/>
  <c r="Q79"/>
  <c r="S78"/>
  <c r="AG78" s="1"/>
  <c r="R78"/>
  <c r="AF78" s="1"/>
  <c r="Q78"/>
  <c r="S77"/>
  <c r="AG77" s="1"/>
  <c r="R77"/>
  <c r="AF77" s="1"/>
  <c r="Q77"/>
  <c r="S76"/>
  <c r="AG76" s="1"/>
  <c r="R76"/>
  <c r="AF76" s="1"/>
  <c r="Q76"/>
  <c r="S75"/>
  <c r="AG75" s="1"/>
  <c r="R75"/>
  <c r="AF75" s="1"/>
  <c r="Q75"/>
  <c r="S74"/>
  <c r="AG74" s="1"/>
  <c r="R74"/>
  <c r="AF74" s="1"/>
  <c r="Q74"/>
  <c r="S73"/>
  <c r="AG73" s="1"/>
  <c r="Q73"/>
  <c r="S72"/>
  <c r="AG72" s="1"/>
  <c r="R72"/>
  <c r="AF72" s="1"/>
  <c r="Q72"/>
  <c r="S71"/>
  <c r="AG71" s="1"/>
  <c r="R71"/>
  <c r="AF71" s="1"/>
  <c r="Q71"/>
  <c r="S70"/>
  <c r="AG70" s="1"/>
  <c r="R70"/>
  <c r="AF70" s="1"/>
  <c r="Q70"/>
  <c r="S69"/>
  <c r="AG69" s="1"/>
  <c r="R69"/>
  <c r="AF69" s="1"/>
  <c r="Q69"/>
  <c r="S68"/>
  <c r="AG68" s="1"/>
  <c r="Q68"/>
  <c r="S67"/>
  <c r="AG67" s="1"/>
  <c r="R67"/>
  <c r="AF67" s="1"/>
  <c r="Q67"/>
  <c r="S66"/>
  <c r="AG66" s="1"/>
  <c r="R66"/>
  <c r="AF66" s="1"/>
  <c r="Q66"/>
  <c r="S65"/>
  <c r="AG65" s="1"/>
  <c r="R65"/>
  <c r="AF65" s="1"/>
  <c r="Q65"/>
  <c r="S64"/>
  <c r="AG64" s="1"/>
  <c r="R64"/>
  <c r="AF64" s="1"/>
  <c r="Q64"/>
  <c r="S63"/>
  <c r="AG63" s="1"/>
  <c r="R63"/>
  <c r="AF63" s="1"/>
  <c r="Q63"/>
  <c r="S62"/>
  <c r="AG62" s="1"/>
  <c r="R62"/>
  <c r="AF62" s="1"/>
  <c r="Q62"/>
  <c r="S61"/>
  <c r="AG61" s="1"/>
  <c r="Q61"/>
  <c r="S60"/>
  <c r="AG60" s="1"/>
  <c r="R60"/>
  <c r="AF60" s="1"/>
  <c r="Q60"/>
  <c r="S59"/>
  <c r="AG59" s="1"/>
  <c r="R59"/>
  <c r="AF59" s="1"/>
  <c r="Q59"/>
  <c r="S58"/>
  <c r="AG58" s="1"/>
  <c r="R58"/>
  <c r="AF58" s="1"/>
  <c r="Q58"/>
  <c r="S57"/>
  <c r="AG57" s="1"/>
  <c r="R57"/>
  <c r="AF57" s="1"/>
  <c r="Q57"/>
  <c r="S56"/>
  <c r="AG56" s="1"/>
  <c r="R56"/>
  <c r="AF56" s="1"/>
  <c r="Q56"/>
  <c r="S55"/>
  <c r="AG55" s="1"/>
  <c r="R55"/>
  <c r="AF55" s="1"/>
  <c r="Q55"/>
  <c r="S54"/>
  <c r="AG54" s="1"/>
  <c r="R54"/>
  <c r="AF54" s="1"/>
  <c r="Q54"/>
  <c r="S53"/>
  <c r="AG53" s="1"/>
  <c r="Q53"/>
  <c r="S52"/>
  <c r="AG52" s="1"/>
  <c r="R52"/>
  <c r="AF52" s="1"/>
  <c r="Q52"/>
  <c r="S51"/>
  <c r="AG51" s="1"/>
  <c r="R51"/>
  <c r="AF51" s="1"/>
  <c r="Q51"/>
  <c r="S50"/>
  <c r="AG50" s="1"/>
  <c r="R50"/>
  <c r="AF50" s="1"/>
  <c r="Q50"/>
  <c r="S49"/>
  <c r="AG49" s="1"/>
  <c r="R49"/>
  <c r="AF49" s="1"/>
  <c r="Q49"/>
  <c r="S48"/>
  <c r="AG48" s="1"/>
  <c r="R48"/>
  <c r="AF48" s="1"/>
  <c r="Q48"/>
  <c r="S47"/>
  <c r="AG47" s="1"/>
  <c r="R47"/>
  <c r="AF47" s="1"/>
  <c r="Q47"/>
  <c r="S46"/>
  <c r="AG46" s="1"/>
  <c r="Q46"/>
  <c r="S45"/>
  <c r="AG45" s="1"/>
  <c r="Q45"/>
  <c r="S44"/>
  <c r="AG44" s="1"/>
  <c r="R44"/>
  <c r="AF44" s="1"/>
  <c r="Q44"/>
  <c r="S43"/>
  <c r="AG43" s="1"/>
  <c r="R43"/>
  <c r="AF43" s="1"/>
  <c r="Q43"/>
  <c r="S42"/>
  <c r="AG42" s="1"/>
  <c r="R42"/>
  <c r="AF42" s="1"/>
  <c r="Q42"/>
  <c r="S41"/>
  <c r="AG41" s="1"/>
  <c r="R41"/>
  <c r="AF41" s="1"/>
  <c r="Q41"/>
  <c r="S40"/>
  <c r="AG40" s="1"/>
  <c r="R40"/>
  <c r="AF40" s="1"/>
  <c r="Q40"/>
  <c r="S39"/>
  <c r="AG39" s="1"/>
  <c r="R39"/>
  <c r="AF39" s="1"/>
  <c r="Q39"/>
  <c r="S38"/>
  <c r="AG38" s="1"/>
  <c r="R38"/>
  <c r="AF38" s="1"/>
  <c r="Q38"/>
  <c r="S37"/>
  <c r="AG37" s="1"/>
  <c r="R37"/>
  <c r="AF37" s="1"/>
  <c r="Q37"/>
  <c r="S36"/>
  <c r="AG36" s="1"/>
  <c r="R36"/>
  <c r="AF36" s="1"/>
  <c r="Q36"/>
  <c r="S35"/>
  <c r="AG35" s="1"/>
  <c r="R35"/>
  <c r="AF35" s="1"/>
  <c r="Q35"/>
  <c r="S34"/>
  <c r="AG34" s="1"/>
  <c r="R34"/>
  <c r="AF34" s="1"/>
  <c r="Q34"/>
  <c r="S33"/>
  <c r="R33"/>
  <c r="AF33" s="1"/>
  <c r="Q33"/>
  <c r="S32"/>
  <c r="AG32" s="1"/>
  <c r="R32"/>
  <c r="AF32" s="1"/>
  <c r="Q32"/>
  <c r="S31"/>
  <c r="AG31" s="1"/>
  <c r="Q31"/>
  <c r="S30"/>
  <c r="AG30" s="1"/>
  <c r="R30"/>
  <c r="AF30" s="1"/>
  <c r="Q30"/>
  <c r="S29"/>
  <c r="AG29" s="1"/>
  <c r="R29"/>
  <c r="AF29" s="1"/>
  <c r="Q29"/>
  <c r="S28"/>
  <c r="AG28" s="1"/>
  <c r="R28"/>
  <c r="AF28" s="1"/>
  <c r="Q28"/>
  <c r="S27"/>
  <c r="AG27" s="1"/>
  <c r="R27"/>
  <c r="AF27" s="1"/>
  <c r="Q27"/>
  <c r="S26"/>
  <c r="AG26" s="1"/>
  <c r="R26"/>
  <c r="AF26" s="1"/>
  <c r="Q26"/>
  <c r="S25"/>
  <c r="AG25" s="1"/>
  <c r="R25"/>
  <c r="AF25" s="1"/>
  <c r="Q25"/>
  <c r="S24"/>
  <c r="AG24" s="1"/>
  <c r="R24"/>
  <c r="AF24" s="1"/>
  <c r="Q24"/>
  <c r="S23"/>
  <c r="AG23" s="1"/>
  <c r="Q23"/>
  <c r="S22"/>
  <c r="AG22" s="1"/>
  <c r="R22"/>
  <c r="AF22" s="1"/>
  <c r="Q22"/>
  <c r="S21"/>
  <c r="AG21" s="1"/>
  <c r="R21"/>
  <c r="AF21" s="1"/>
  <c r="Q21"/>
  <c r="S20"/>
  <c r="AG20" s="1"/>
  <c r="R20"/>
  <c r="AF20" s="1"/>
  <c r="Q20"/>
  <c r="S19"/>
  <c r="AG19" s="1"/>
  <c r="R19"/>
  <c r="AF19" s="1"/>
  <c r="Q19"/>
  <c r="S18"/>
  <c r="AG18" s="1"/>
  <c r="R18"/>
  <c r="AF18" s="1"/>
  <c r="Q18"/>
  <c r="S17"/>
  <c r="AG17" s="1"/>
  <c r="R17"/>
  <c r="AF17" s="1"/>
  <c r="Q17"/>
  <c r="S16"/>
  <c r="AG16" s="1"/>
  <c r="R16"/>
  <c r="AF16" s="1"/>
  <c r="Q16"/>
  <c r="S15"/>
  <c r="AG15" s="1"/>
  <c r="R15"/>
  <c r="AF15" s="1"/>
  <c r="Q15"/>
  <c r="S14"/>
  <c r="AG14" s="1"/>
  <c r="R14"/>
  <c r="AF14" s="1"/>
  <c r="Q14"/>
  <c r="S13"/>
  <c r="AG13" s="1"/>
  <c r="R13"/>
  <c r="AF13" s="1"/>
  <c r="Q13"/>
  <c r="S12"/>
  <c r="AG12" s="1"/>
  <c r="R12"/>
  <c r="AF12" s="1"/>
  <c r="Q12"/>
  <c r="S11"/>
  <c r="AG11" s="1"/>
  <c r="R11"/>
  <c r="AF11" s="1"/>
  <c r="Q11"/>
  <c r="S10"/>
  <c r="AG10" s="1"/>
  <c r="R10"/>
  <c r="AF10" s="1"/>
  <c r="Q10"/>
  <c r="N3388"/>
  <c r="N3387"/>
  <c r="N3386"/>
  <c r="N3385"/>
  <c r="N3384"/>
  <c r="N3383"/>
  <c r="N3382"/>
  <c r="N3381"/>
  <c r="N3380"/>
  <c r="N3379"/>
  <c r="N3378"/>
  <c r="N3377"/>
  <c r="N3376"/>
  <c r="N3375"/>
  <c r="N3374"/>
  <c r="N3373"/>
  <c r="N3372"/>
  <c r="N3371"/>
  <c r="N3370"/>
  <c r="N3369"/>
  <c r="N3368"/>
  <c r="N3367"/>
  <c r="N3366"/>
  <c r="N3365"/>
  <c r="N3364"/>
  <c r="N3363"/>
  <c r="N3362"/>
  <c r="N3361"/>
  <c r="N3360"/>
  <c r="N3359"/>
  <c r="N3358"/>
  <c r="N3357"/>
  <c r="N3356"/>
  <c r="N3355"/>
  <c r="N3354"/>
  <c r="N3353"/>
  <c r="N3352"/>
  <c r="N3351"/>
  <c r="N3350"/>
  <c r="N3349"/>
  <c r="N3348"/>
  <c r="N3347"/>
  <c r="N3346"/>
  <c r="N3345"/>
  <c r="N3344"/>
  <c r="N3343"/>
  <c r="N3342"/>
  <c r="N3341"/>
  <c r="N3340"/>
  <c r="N3339"/>
  <c r="N3338"/>
  <c r="N3337"/>
  <c r="N3336"/>
  <c r="N3335"/>
  <c r="N3334"/>
  <c r="N3333"/>
  <c r="N3332"/>
  <c r="N3331"/>
  <c r="N3330"/>
  <c r="N3329"/>
  <c r="N3328"/>
  <c r="N3327"/>
  <c r="N3326"/>
  <c r="N3325"/>
  <c r="N3324"/>
  <c r="N3323"/>
  <c r="N3322"/>
  <c r="N3321"/>
  <c r="N3320"/>
  <c r="N3319"/>
  <c r="N3318"/>
  <c r="N3317"/>
  <c r="N3316"/>
  <c r="N3315"/>
  <c r="N3314"/>
  <c r="N3313"/>
  <c r="N3312"/>
  <c r="N3311"/>
  <c r="N3310"/>
  <c r="N3309"/>
  <c r="N3305"/>
  <c r="N3304"/>
  <c r="N3303"/>
  <c r="N3302"/>
  <c r="N3301"/>
  <c r="N3300"/>
  <c r="N3299"/>
  <c r="N3298"/>
  <c r="N3297"/>
  <c r="N3295"/>
  <c r="N3290"/>
  <c r="N3285"/>
  <c r="N3280"/>
  <c r="N3279"/>
  <c r="N3274"/>
  <c r="N3268"/>
  <c r="N3264"/>
  <c r="N3260"/>
  <c r="N3256"/>
  <c r="N3246"/>
  <c r="N3245"/>
  <c r="N3243"/>
  <c r="N3242"/>
  <c r="N3241"/>
  <c r="N3238"/>
  <c r="N3237"/>
  <c r="N3236"/>
  <c r="N3235"/>
  <c r="N3233"/>
  <c r="N3232"/>
  <c r="N3231"/>
  <c r="N3230"/>
  <c r="N3228"/>
  <c r="N3227"/>
  <c r="N3226"/>
  <c r="N3225"/>
  <c r="N3224"/>
  <c r="N3223"/>
  <c r="N3222"/>
  <c r="N3221"/>
  <c r="N3220"/>
  <c r="N3219"/>
  <c r="N3218"/>
  <c r="N3217"/>
  <c r="N3216"/>
  <c r="N3215"/>
  <c r="N3214"/>
  <c r="N3213"/>
  <c r="N3212"/>
  <c r="N3211"/>
  <c r="N3210"/>
  <c r="N3209"/>
  <c r="N3208"/>
  <c r="N3207"/>
  <c r="N3206"/>
  <c r="N3205"/>
  <c r="N3204"/>
  <c r="N3203"/>
  <c r="N3202"/>
  <c r="N3201"/>
  <c r="N3200"/>
  <c r="N3199"/>
  <c r="N3198"/>
  <c r="N3197"/>
  <c r="N3196"/>
  <c r="N3195"/>
  <c r="N3194"/>
  <c r="N3193"/>
  <c r="N3192"/>
  <c r="N3191"/>
  <c r="N3190"/>
  <c r="N3189"/>
  <c r="N3188"/>
  <c r="N3187"/>
  <c r="N3186"/>
  <c r="N3185"/>
  <c r="N3184"/>
  <c r="N3183"/>
  <c r="N3182"/>
  <c r="N3181"/>
  <c r="N3180"/>
  <c r="N3179"/>
  <c r="N3178"/>
  <c r="N3177"/>
  <c r="N3176"/>
  <c r="N3175"/>
  <c r="N3174"/>
  <c r="N3173"/>
  <c r="N3172"/>
  <c r="N3171"/>
  <c r="N3170"/>
  <c r="N3169"/>
  <c r="N3168"/>
  <c r="N3167"/>
  <c r="N3166"/>
  <c r="N3165"/>
  <c r="N3164"/>
  <c r="N3163"/>
  <c r="N3162"/>
  <c r="N3161"/>
  <c r="N3160"/>
  <c r="N3159"/>
  <c r="N3158"/>
  <c r="N3157"/>
  <c r="N3156"/>
  <c r="N3155"/>
  <c r="N3154"/>
  <c r="N3153"/>
  <c r="N3152"/>
  <c r="N3151"/>
  <c r="N3150"/>
  <c r="N3149"/>
  <c r="N3148"/>
  <c r="N3147"/>
  <c r="N3146"/>
  <c r="N3145"/>
  <c r="N3144"/>
  <c r="N3143"/>
  <c r="N3142"/>
  <c r="N3141"/>
  <c r="N3140"/>
  <c r="N3139"/>
  <c r="N3138"/>
  <c r="N3137"/>
  <c r="N3136"/>
  <c r="N3135"/>
  <c r="N3134"/>
  <c r="N3133"/>
  <c r="N3132"/>
  <c r="N3131"/>
  <c r="N3130"/>
  <c r="N3129"/>
  <c r="N3128"/>
  <c r="N3127"/>
  <c r="N3126"/>
  <c r="N3125"/>
  <c r="N3124"/>
  <c r="N3123"/>
  <c r="N3122"/>
  <c r="N3121"/>
  <c r="N3120"/>
  <c r="N3119"/>
  <c r="N3118"/>
  <c r="N3117"/>
  <c r="N3116"/>
  <c r="N3115"/>
  <c r="N3113"/>
  <c r="N3112"/>
  <c r="N3111"/>
  <c r="N3110"/>
  <c r="N3109"/>
  <c r="N3108"/>
  <c r="N3107"/>
  <c r="N3105"/>
  <c r="N3103"/>
  <c r="N3102"/>
  <c r="N3101"/>
  <c r="N3100"/>
  <c r="N3099"/>
  <c r="N3098"/>
  <c r="N3097"/>
  <c r="N3096"/>
  <c r="N3095"/>
  <c r="N3094"/>
  <c r="N3093"/>
  <c r="N3092"/>
  <c r="N3091"/>
  <c r="N3090"/>
  <c r="N3089"/>
  <c r="N3088"/>
  <c r="N3087"/>
  <c r="N3086"/>
  <c r="N3085"/>
  <c r="N3084"/>
  <c r="N3083"/>
  <c r="N3082"/>
  <c r="N3081"/>
  <c r="N3080"/>
  <c r="N3079"/>
  <c r="N3078"/>
  <c r="N3077"/>
  <c r="N3076"/>
  <c r="N3075"/>
  <c r="N3074"/>
  <c r="N3073"/>
  <c r="N3072"/>
  <c r="N3071"/>
  <c r="N3070"/>
  <c r="N3069"/>
  <c r="N3068"/>
  <c r="N3067"/>
  <c r="N3066"/>
  <c r="N3065"/>
  <c r="N3064"/>
  <c r="N3063"/>
  <c r="N3062"/>
  <c r="N3061"/>
  <c r="N3060"/>
  <c r="N3059"/>
  <c r="N3058"/>
  <c r="N3057"/>
  <c r="N3056"/>
  <c r="N3055"/>
  <c r="N3054"/>
  <c r="N3053"/>
  <c r="N3052"/>
  <c r="N3051"/>
  <c r="N3050"/>
  <c r="N3049"/>
  <c r="N3048"/>
  <c r="N3047"/>
  <c r="N3046"/>
  <c r="N3045"/>
  <c r="N3044"/>
  <c r="N3043"/>
  <c r="N3042"/>
  <c r="N3041"/>
  <c r="N3040"/>
  <c r="N3039"/>
  <c r="N3038"/>
  <c r="N3037"/>
  <c r="N3036"/>
  <c r="N3035"/>
  <c r="N3034"/>
  <c r="N3033"/>
  <c r="N3032"/>
  <c r="N3031"/>
  <c r="N3030"/>
  <c r="N3029"/>
  <c r="N3028"/>
  <c r="N3027"/>
  <c r="N3026"/>
  <c r="N3025"/>
  <c r="N3024"/>
  <c r="N3023"/>
  <c r="N3022"/>
  <c r="N3021"/>
  <c r="N3020"/>
  <c r="N3019"/>
  <c r="N3018"/>
  <c r="N3017"/>
  <c r="N3016"/>
  <c r="N3015"/>
  <c r="N3014"/>
  <c r="N3013"/>
  <c r="N3012"/>
  <c r="N3011"/>
  <c r="N3010"/>
  <c r="N3009"/>
  <c r="N3008"/>
  <c r="N3007"/>
  <c r="N3006"/>
  <c r="N3005"/>
  <c r="N3004"/>
  <c r="N3003"/>
  <c r="N3002"/>
  <c r="N3001"/>
  <c r="N3000"/>
  <c r="N2999"/>
  <c r="N2998"/>
  <c r="N2997"/>
  <c r="N2996"/>
  <c r="N2995"/>
  <c r="N2994"/>
  <c r="N2993"/>
  <c r="N2992"/>
  <c r="N2991"/>
  <c r="N2990"/>
  <c r="N2989"/>
  <c r="N2988"/>
  <c r="N2987"/>
  <c r="N2986"/>
  <c r="N2985"/>
  <c r="N2984"/>
  <c r="N2983"/>
  <c r="N2982"/>
  <c r="N2981"/>
  <c r="N2980"/>
  <c r="N2979"/>
  <c r="N2978"/>
  <c r="N2977"/>
  <c r="N2976"/>
  <c r="N2975"/>
  <c r="N2974"/>
  <c r="N2973"/>
  <c r="N2972"/>
  <c r="N2971"/>
  <c r="N2970"/>
  <c r="N2969"/>
  <c r="N2968"/>
  <c r="N2967"/>
  <c r="N2966"/>
  <c r="N2965"/>
  <c r="N2964"/>
  <c r="N2963"/>
  <c r="N2962"/>
  <c r="N2961"/>
  <c r="N2960"/>
  <c r="N2959"/>
  <c r="N2958"/>
  <c r="N2957"/>
  <c r="N2956"/>
  <c r="N2955"/>
  <c r="N2954"/>
  <c r="N2953"/>
  <c r="N2952"/>
  <c r="N2951"/>
  <c r="N2950"/>
  <c r="N2949"/>
  <c r="N2948"/>
  <c r="N2947"/>
  <c r="N2946"/>
  <c r="N2945"/>
  <c r="N2944"/>
  <c r="N2943"/>
  <c r="N2942"/>
  <c r="N2941"/>
  <c r="N2940"/>
  <c r="N2939"/>
  <c r="N2938"/>
  <c r="N2937"/>
  <c r="N2936"/>
  <c r="N2935"/>
  <c r="N2934"/>
  <c r="N2933"/>
  <c r="N2932"/>
  <c r="N2931"/>
  <c r="N2930"/>
  <c r="N2929"/>
  <c r="N2928"/>
  <c r="N2927"/>
  <c r="N2926"/>
  <c r="N2925"/>
  <c r="N2924"/>
  <c r="N2923"/>
  <c r="N2922"/>
  <c r="N2921"/>
  <c r="N2920"/>
  <c r="N2919"/>
  <c r="N2918"/>
  <c r="N2917"/>
  <c r="N2916"/>
  <c r="N2915"/>
  <c r="N2914"/>
  <c r="N2913"/>
  <c r="N2912"/>
  <c r="N2911"/>
  <c r="N2910"/>
  <c r="N2909"/>
  <c r="N2908"/>
  <c r="N2907"/>
  <c r="N2906"/>
  <c r="N2905"/>
  <c r="N2904"/>
  <c r="N2903"/>
  <c r="N2902"/>
  <c r="N2901"/>
  <c r="N2900"/>
  <c r="N2899"/>
  <c r="N2898"/>
  <c r="N2897"/>
  <c r="N2896"/>
  <c r="N2895"/>
  <c r="N2894"/>
  <c r="N2893"/>
  <c r="N2892"/>
  <c r="N2891"/>
  <c r="N2890"/>
  <c r="N2889"/>
  <c r="N2888"/>
  <c r="N2887"/>
  <c r="N2886"/>
  <c r="N2885"/>
  <c r="N2884"/>
  <c r="N2883"/>
  <c r="N2882"/>
  <c r="N2881"/>
  <c r="N2880"/>
  <c r="N2879"/>
  <c r="N2878"/>
  <c r="N2877"/>
  <c r="N2876"/>
  <c r="N2875"/>
  <c r="N2874"/>
  <c r="N2873"/>
  <c r="N2872"/>
  <c r="N2871"/>
  <c r="N2870"/>
  <c r="N2869"/>
  <c r="N2868"/>
  <c r="N2867"/>
  <c r="N2866"/>
  <c r="N2864"/>
  <c r="N2863"/>
  <c r="N2862"/>
  <c r="N2861"/>
  <c r="N2860"/>
  <c r="N2859"/>
  <c r="N2858"/>
  <c r="N2857"/>
  <c r="N2856"/>
  <c r="N2855"/>
  <c r="N2854"/>
  <c r="N2853"/>
  <c r="N2852"/>
  <c r="N2851"/>
  <c r="N2850"/>
  <c r="N2849"/>
  <c r="N2848"/>
  <c r="N2847"/>
  <c r="N2846"/>
  <c r="N2845"/>
  <c r="N2844"/>
  <c r="N2843"/>
  <c r="N2842"/>
  <c r="N2841"/>
  <c r="N2840"/>
  <c r="N2839"/>
  <c r="N2838"/>
  <c r="N2837"/>
  <c r="N2836"/>
  <c r="N2835"/>
  <c r="N2834"/>
  <c r="N2833"/>
  <c r="N2832"/>
  <c r="N2831"/>
  <c r="N2830"/>
  <c r="N2829"/>
  <c r="N2828"/>
  <c r="N2827"/>
  <c r="N2826"/>
  <c r="N2825"/>
  <c r="N2824"/>
  <c r="N2823"/>
  <c r="N2822"/>
  <c r="N2821"/>
  <c r="N2820"/>
  <c r="N2819"/>
  <c r="N2818"/>
  <c r="N2817"/>
  <c r="N2816"/>
  <c r="N2815"/>
  <c r="N2814"/>
  <c r="N2813"/>
  <c r="N2812"/>
  <c r="N2811"/>
  <c r="N2810"/>
  <c r="N2809"/>
  <c r="N2808"/>
  <c r="N2807"/>
  <c r="N2806"/>
  <c r="N2805"/>
  <c r="N2804"/>
  <c r="N2803"/>
  <c r="N2802"/>
  <c r="N2801"/>
  <c r="N2800"/>
  <c r="N2799"/>
  <c r="N2798"/>
  <c r="N2797"/>
  <c r="N2796"/>
  <c r="N2795"/>
  <c r="N2794"/>
  <c r="N2793"/>
  <c r="N2792"/>
  <c r="N2791"/>
  <c r="N2790"/>
  <c r="N2789"/>
  <c r="N2788"/>
  <c r="N2787"/>
  <c r="N2786"/>
  <c r="N2785"/>
  <c r="N2784"/>
  <c r="N2783"/>
  <c r="N2782"/>
  <c r="N2781"/>
  <c r="N2780"/>
  <c r="N2779"/>
  <c r="N2778"/>
  <c r="N2777"/>
  <c r="N2776"/>
  <c r="N2775"/>
  <c r="N2774"/>
  <c r="N2773"/>
  <c r="N2772"/>
  <c r="N2771"/>
  <c r="N2770"/>
  <c r="N2769"/>
  <c r="N2768"/>
  <c r="N2767"/>
  <c r="N2766"/>
  <c r="N2765"/>
  <c r="N2764"/>
  <c r="N2763"/>
  <c r="N2762"/>
  <c r="N2761"/>
  <c r="N2760"/>
  <c r="N2759"/>
  <c r="N2758"/>
  <c r="N2757"/>
  <c r="N2756"/>
  <c r="N2755"/>
  <c r="N2754"/>
  <c r="N2753"/>
  <c r="N2752"/>
  <c r="N2751"/>
  <c r="N2750"/>
  <c r="N2749"/>
  <c r="N2748"/>
  <c r="N2747"/>
  <c r="N2746"/>
  <c r="N2745"/>
  <c r="N2744"/>
  <c r="N2743"/>
  <c r="N2742"/>
  <c r="N2741"/>
  <c r="N2740"/>
  <c r="N2739"/>
  <c r="N2738"/>
  <c r="N2737"/>
  <c r="N2736"/>
  <c r="N2735"/>
  <c r="N2734"/>
  <c r="N2733"/>
  <c r="N2732"/>
  <c r="N2731"/>
  <c r="N2730"/>
  <c r="N2729"/>
  <c r="N2728"/>
  <c r="N2727"/>
  <c r="N2726"/>
  <c r="N2725"/>
  <c r="N2724"/>
  <c r="N2723"/>
  <c r="N2722"/>
  <c r="N2721"/>
  <c r="N2720"/>
  <c r="N2719"/>
  <c r="N2718"/>
  <c r="N2717"/>
  <c r="N2716"/>
  <c r="N2715"/>
  <c r="N2714"/>
  <c r="N2713"/>
  <c r="N2712"/>
  <c r="N2711"/>
  <c r="N2710"/>
  <c r="N2709"/>
  <c r="N2708"/>
  <c r="N2707"/>
  <c r="N2706"/>
  <c r="N2705"/>
  <c r="N2704"/>
  <c r="N2703"/>
  <c r="N2702"/>
  <c r="N2701"/>
  <c r="N2700"/>
  <c r="N2699"/>
  <c r="N2698"/>
  <c r="N2697"/>
  <c r="N2696"/>
  <c r="N2695"/>
  <c r="N2694"/>
  <c r="N2693"/>
  <c r="N2692"/>
  <c r="N2691"/>
  <c r="N2690"/>
  <c r="N2689"/>
  <c r="N2688"/>
  <c r="N2687"/>
  <c r="N2686"/>
  <c r="N2685"/>
  <c r="N2684"/>
  <c r="N2683"/>
  <c r="N2682"/>
  <c r="N2681"/>
  <c r="N2680"/>
  <c r="N2679"/>
  <c r="N2678"/>
  <c r="N2677"/>
  <c r="N2676"/>
  <c r="N2675"/>
  <c r="N2674"/>
  <c r="N2673"/>
  <c r="N2672"/>
  <c r="N2671"/>
  <c r="N2670"/>
  <c r="N2669"/>
  <c r="N2668"/>
  <c r="N2667"/>
  <c r="N2666"/>
  <c r="N2665"/>
  <c r="N2664"/>
  <c r="N2663"/>
  <c r="N2662"/>
  <c r="N2661"/>
  <c r="N2660"/>
  <c r="N2659"/>
  <c r="N2658"/>
  <c r="N2657"/>
  <c r="N2656"/>
  <c r="N2655"/>
  <c r="N2654"/>
  <c r="N2653"/>
  <c r="N2652"/>
  <c r="N2651"/>
  <c r="N2650"/>
  <c r="N2649"/>
  <c r="N2648"/>
  <c r="N2647"/>
  <c r="N2646"/>
  <c r="N2645"/>
  <c r="N2644"/>
  <c r="N2643"/>
  <c r="N2642"/>
  <c r="N2641"/>
  <c r="N2640"/>
  <c r="N2639"/>
  <c r="N2638"/>
  <c r="N2637"/>
  <c r="N2636"/>
  <c r="N2635"/>
  <c r="N2634"/>
  <c r="N2633"/>
  <c r="N2632"/>
  <c r="N2631"/>
  <c r="N2630"/>
  <c r="N2629"/>
  <c r="N2628"/>
  <c r="N2627"/>
  <c r="N2626"/>
  <c r="N2625"/>
  <c r="N2624"/>
  <c r="N2623"/>
  <c r="N2622"/>
  <c r="N2621"/>
  <c r="N2620"/>
  <c r="N2619"/>
  <c r="N2618"/>
  <c r="N2617"/>
  <c r="N2616"/>
  <c r="N2615"/>
  <c r="N2614"/>
  <c r="N2613"/>
  <c r="N2612"/>
  <c r="N2611"/>
  <c r="N2610"/>
  <c r="N2609"/>
  <c r="N2608"/>
  <c r="N2607"/>
  <c r="N2606"/>
  <c r="N2605"/>
  <c r="N2604"/>
  <c r="N2603"/>
  <c r="N2602"/>
  <c r="N2601"/>
  <c r="N2600"/>
  <c r="N2599"/>
  <c r="N2598"/>
  <c r="N2597"/>
  <c r="N2596"/>
  <c r="N2595"/>
  <c r="N2594"/>
  <c r="N2593"/>
  <c r="N2592"/>
  <c r="N2591"/>
  <c r="N2590"/>
  <c r="N2589"/>
  <c r="N2588"/>
  <c r="N2587"/>
  <c r="N2586"/>
  <c r="N2585"/>
  <c r="N2584"/>
  <c r="N2583"/>
  <c r="N2582"/>
  <c r="N2581"/>
  <c r="N2580"/>
  <c r="N2579"/>
  <c r="N2578"/>
  <c r="N2577"/>
  <c r="N2576"/>
  <c r="N2575"/>
  <c r="N2574"/>
  <c r="N2573"/>
  <c r="N2572"/>
  <c r="N2571"/>
  <c r="N2570"/>
  <c r="N2569"/>
  <c r="N2568"/>
  <c r="N2567"/>
  <c r="N2566"/>
  <c r="N2565"/>
  <c r="N2564"/>
  <c r="N2563"/>
  <c r="N2562"/>
  <c r="N2561"/>
  <c r="N2560"/>
  <c r="N2559"/>
  <c r="N2558"/>
  <c r="N2557"/>
  <c r="N2556"/>
  <c r="N2555"/>
  <c r="N2554"/>
  <c r="N2553"/>
  <c r="N2552"/>
  <c r="N2551"/>
  <c r="N2550"/>
  <c r="N2549"/>
  <c r="N2548"/>
  <c r="N2547"/>
  <c r="N2546"/>
  <c r="N2545"/>
  <c r="N2544"/>
  <c r="N2543"/>
  <c r="N2542"/>
  <c r="N2541"/>
  <c r="N2540"/>
  <c r="N2539"/>
  <c r="N2538"/>
  <c r="N2537"/>
  <c r="N2536"/>
  <c r="N2535"/>
  <c r="N2534"/>
  <c r="N2533"/>
  <c r="N2532"/>
  <c r="N2531"/>
  <c r="N2530"/>
  <c r="N2529"/>
  <c r="N2528"/>
  <c r="N2527"/>
  <c r="N2526"/>
  <c r="N2525"/>
  <c r="N2524"/>
  <c r="N2523"/>
  <c r="N2522"/>
  <c r="N2521"/>
  <c r="N2520"/>
  <c r="N2519"/>
  <c r="N2518"/>
  <c r="N2517"/>
  <c r="N2516"/>
  <c r="N2515"/>
  <c r="N2514"/>
  <c r="N2513"/>
  <c r="N2512"/>
  <c r="N2511"/>
  <c r="N2510"/>
  <c r="N2509"/>
  <c r="N2508"/>
  <c r="N2507"/>
  <c r="N2506"/>
  <c r="N2505"/>
  <c r="N2504"/>
  <c r="N2503"/>
  <c r="N2502"/>
  <c r="N2501"/>
  <c r="N2500"/>
  <c r="N2499"/>
  <c r="N2498"/>
  <c r="N2497"/>
  <c r="N2496"/>
  <c r="N2495"/>
  <c r="N2494"/>
  <c r="N2493"/>
  <c r="N2492"/>
  <c r="N2491"/>
  <c r="N2490"/>
  <c r="N2489"/>
  <c r="N2488"/>
  <c r="N2487"/>
  <c r="N2486"/>
  <c r="N2485"/>
  <c r="N2484"/>
  <c r="N2483"/>
  <c r="N2482"/>
  <c r="N2481"/>
  <c r="N2480"/>
  <c r="N2479"/>
  <c r="N2478"/>
  <c r="N2477"/>
  <c r="N2476"/>
  <c r="N2475"/>
  <c r="N2474"/>
  <c r="N2473"/>
  <c r="N2472"/>
  <c r="N2471"/>
  <c r="N2470"/>
  <c r="N2469"/>
  <c r="N2468"/>
  <c r="N2467"/>
  <c r="N2466"/>
  <c r="N2465"/>
  <c r="N2464"/>
  <c r="N2463"/>
  <c r="N2462"/>
  <c r="N2461"/>
  <c r="N2460"/>
  <c r="N2459"/>
  <c r="N2458"/>
  <c r="N2457"/>
  <c r="N2456"/>
  <c r="N2455"/>
  <c r="N2454"/>
  <c r="N2453"/>
  <c r="N2452"/>
  <c r="N2451"/>
  <c r="N2450"/>
  <c r="N2449"/>
  <c r="N2448"/>
  <c r="N2447"/>
  <c r="N2446"/>
  <c r="N2445"/>
  <c r="N2444"/>
  <c r="N2443"/>
  <c r="N2442"/>
  <c r="N2441"/>
  <c r="N2440"/>
  <c r="N2439"/>
  <c r="N2438"/>
  <c r="N2437"/>
  <c r="N2436"/>
  <c r="N2435"/>
  <c r="N2434"/>
  <c r="N2433"/>
  <c r="N2432"/>
  <c r="N2431"/>
  <c r="N2430"/>
  <c r="N2429"/>
  <c r="N2428"/>
  <c r="N2427"/>
  <c r="N2426"/>
  <c r="N2425"/>
  <c r="N2424"/>
  <c r="N2423"/>
  <c r="N2422"/>
  <c r="N2421"/>
  <c r="N2420"/>
  <c r="N2419"/>
  <c r="N2418"/>
  <c r="N2417"/>
  <c r="N2416"/>
  <c r="N2415"/>
  <c r="N2414"/>
  <c r="N2413"/>
  <c r="N2412"/>
  <c r="N2411"/>
  <c r="N2410"/>
  <c r="N2409"/>
  <c r="N2408"/>
  <c r="N2407"/>
  <c r="N2406"/>
  <c r="N2405"/>
  <c r="N2404"/>
  <c r="N2403"/>
  <c r="N2402"/>
  <c r="N2401"/>
  <c r="N2400"/>
  <c r="N2399"/>
  <c r="N2398"/>
  <c r="N2397"/>
  <c r="N2396"/>
  <c r="N2395"/>
  <c r="N2394"/>
  <c r="N2393"/>
  <c r="N2392"/>
  <c r="N2391"/>
  <c r="N2390"/>
  <c r="N2389"/>
  <c r="N2388"/>
  <c r="N2387"/>
  <c r="N2386"/>
  <c r="N2385"/>
  <c r="N2384"/>
  <c r="N2383"/>
  <c r="N2382"/>
  <c r="N2381"/>
  <c r="N2380"/>
  <c r="N2379"/>
  <c r="N2378"/>
  <c r="N2377"/>
  <c r="N2376"/>
  <c r="N2375"/>
  <c r="N2374"/>
  <c r="N2373"/>
  <c r="N2372"/>
  <c r="N2371"/>
  <c r="N2370"/>
  <c r="N2369"/>
  <c r="N2368"/>
  <c r="N2367"/>
  <c r="N2366"/>
  <c r="N2365"/>
  <c r="N2364"/>
  <c r="N2363"/>
  <c r="N2362"/>
  <c r="N2361"/>
  <c r="N2360"/>
  <c r="N2359"/>
  <c r="N2358"/>
  <c r="N2357"/>
  <c r="N2356"/>
  <c r="N2355"/>
  <c r="N2354"/>
  <c r="N2353"/>
  <c r="N2352"/>
  <c r="N2351"/>
  <c r="N2350"/>
  <c r="N2349"/>
  <c r="N2348"/>
  <c r="N2347"/>
  <c r="N2346"/>
  <c r="N2345"/>
  <c r="N2344"/>
  <c r="N2343"/>
  <c r="N2342"/>
  <c r="N2341"/>
  <c r="N2340"/>
  <c r="N2339"/>
  <c r="N2338"/>
  <c r="N2337"/>
  <c r="N2336"/>
  <c r="N2335"/>
  <c r="N2334"/>
  <c r="N2333"/>
  <c r="N2332"/>
  <c r="N2331"/>
  <c r="N2330"/>
  <c r="N2329"/>
  <c r="N2328"/>
  <c r="N2327"/>
  <c r="N2326"/>
  <c r="N2325"/>
  <c r="N2324"/>
  <c r="N2323"/>
  <c r="N2322"/>
  <c r="N2321"/>
  <c r="N2320"/>
  <c r="N2319"/>
  <c r="N2318"/>
  <c r="N2317"/>
  <c r="N2316"/>
  <c r="N2315"/>
  <c r="N2314"/>
  <c r="N2313"/>
  <c r="N2312"/>
  <c r="N2311"/>
  <c r="N2310"/>
  <c r="N2309"/>
  <c r="N2308"/>
  <c r="N2307"/>
  <c r="N2306"/>
  <c r="N2305"/>
  <c r="N2304"/>
  <c r="N2303"/>
  <c r="N2302"/>
  <c r="N2301"/>
  <c r="N2300"/>
  <c r="N2299"/>
  <c r="N2298"/>
  <c r="N2297"/>
  <c r="N2296"/>
  <c r="N2295"/>
  <c r="N2294"/>
  <c r="N2293"/>
  <c r="N2292"/>
  <c r="N2291"/>
  <c r="N2290"/>
  <c r="N2289"/>
  <c r="N2288"/>
  <c r="N2287"/>
  <c r="N2286"/>
  <c r="N2285"/>
  <c r="N2284"/>
  <c r="N2283"/>
  <c r="N2282"/>
  <c r="N2281"/>
  <c r="N2280"/>
  <c r="N2279"/>
  <c r="N2278"/>
  <c r="N2277"/>
  <c r="N2276"/>
  <c r="N2275"/>
  <c r="N2274"/>
  <c r="N2273"/>
  <c r="N2272"/>
  <c r="N2271"/>
  <c r="N2270"/>
  <c r="N2269"/>
  <c r="N2268"/>
  <c r="N2267"/>
  <c r="N2266"/>
  <c r="N2265"/>
  <c r="N2264"/>
  <c r="N2263"/>
  <c r="N2262"/>
  <c r="N2261"/>
  <c r="N2260"/>
  <c r="N2259"/>
  <c r="N2258"/>
  <c r="N2257"/>
  <c r="N2256"/>
  <c r="N2255"/>
  <c r="N2254"/>
  <c r="N2253"/>
  <c r="N2252"/>
  <c r="N2251"/>
  <c r="N2250"/>
  <c r="N2249"/>
  <c r="N2248"/>
  <c r="N2247"/>
  <c r="N2246"/>
  <c r="N2245"/>
  <c r="N2244"/>
  <c r="N2243"/>
  <c r="N2242"/>
  <c r="N2241"/>
  <c r="N2240"/>
  <c r="N2239"/>
  <c r="N2238"/>
  <c r="N2237"/>
  <c r="N2236"/>
  <c r="N2235"/>
  <c r="N2234"/>
  <c r="N2233"/>
  <c r="N2232"/>
  <c r="N2231"/>
  <c r="N2230"/>
  <c r="N2229"/>
  <c r="N2228"/>
  <c r="N2227"/>
  <c r="N2226"/>
  <c r="N2225"/>
  <c r="N2224"/>
  <c r="N2223"/>
  <c r="N2222"/>
  <c r="N2221"/>
  <c r="N2220"/>
  <c r="N2219"/>
  <c r="N2218"/>
  <c r="N2217"/>
  <c r="N2216"/>
  <c r="N2215"/>
  <c r="N2214"/>
  <c r="N2213"/>
  <c r="N2212"/>
  <c r="N2211"/>
  <c r="N2210"/>
  <c r="N2209"/>
  <c r="N2208"/>
  <c r="N2207"/>
  <c r="N2206"/>
  <c r="N2205"/>
  <c r="N2204"/>
  <c r="N2203"/>
  <c r="N2202"/>
  <c r="N2201"/>
  <c r="N2200"/>
  <c r="N2199"/>
  <c r="N2198"/>
  <c r="N2197"/>
  <c r="N2196"/>
  <c r="N2195"/>
  <c r="N2194"/>
  <c r="N2193"/>
  <c r="N2192"/>
  <c r="N2191"/>
  <c r="N2190"/>
  <c r="N2189"/>
  <c r="N2188"/>
  <c r="N2187"/>
  <c r="N2186"/>
  <c r="N2185"/>
  <c r="N2184"/>
  <c r="N2183"/>
  <c r="N2182"/>
  <c r="N2181"/>
  <c r="N2180"/>
  <c r="N2178"/>
  <c r="N2177"/>
  <c r="N2176"/>
  <c r="N2175"/>
  <c r="N2174"/>
  <c r="N2173"/>
  <c r="N2172"/>
  <c r="N2171"/>
  <c r="N2170"/>
  <c r="N2169"/>
  <c r="N2168"/>
  <c r="N2167"/>
  <c r="N2166"/>
  <c r="N2165"/>
  <c r="N2164"/>
  <c r="N2163"/>
  <c r="N2162"/>
  <c r="N2161"/>
  <c r="N2160"/>
  <c r="N2159"/>
  <c r="N2158"/>
  <c r="N2157"/>
  <c r="N2156"/>
  <c r="N2155"/>
  <c r="N2154"/>
  <c r="N2153"/>
  <c r="N2152"/>
  <c r="N2151"/>
  <c r="N2150"/>
  <c r="N2149"/>
  <c r="N2148"/>
  <c r="N2147"/>
  <c r="N2146"/>
  <c r="N2145"/>
  <c r="N2144"/>
  <c r="N2143"/>
  <c r="N2142"/>
  <c r="N2141"/>
  <c r="N2140"/>
  <c r="N2139"/>
  <c r="N2138"/>
  <c r="N2137"/>
  <c r="N2136"/>
  <c r="N2135"/>
  <c r="N2134"/>
  <c r="N2133"/>
  <c r="N2132"/>
  <c r="N2131"/>
  <c r="N2130"/>
  <c r="N2129"/>
  <c r="N2128"/>
  <c r="N2127"/>
  <c r="N2126"/>
  <c r="N2125"/>
  <c r="N2124"/>
  <c r="N2123"/>
  <c r="N2122"/>
  <c r="N2121"/>
  <c r="N2120"/>
  <c r="N2119"/>
  <c r="N2118"/>
  <c r="N2117"/>
  <c r="N2116"/>
  <c r="N2115"/>
  <c r="N2114"/>
  <c r="N2113"/>
  <c r="N2112"/>
  <c r="N2111"/>
  <c r="N2110"/>
  <c r="N2109"/>
  <c r="N2108"/>
  <c r="N2107"/>
  <c r="N2106"/>
  <c r="N2105"/>
  <c r="N2104"/>
  <c r="N2103"/>
  <c r="N2102"/>
  <c r="N2101"/>
  <c r="N2100"/>
  <c r="N2099"/>
  <c r="N2098"/>
  <c r="N2097"/>
  <c r="N2096"/>
  <c r="N2095"/>
  <c r="N2094"/>
  <c r="N2093"/>
  <c r="N2092"/>
  <c r="N2091"/>
  <c r="N2090"/>
  <c r="N2089"/>
  <c r="N2088"/>
  <c r="N2087"/>
  <c r="N2086"/>
  <c r="N2085"/>
  <c r="N2084"/>
  <c r="N2083"/>
  <c r="N2082"/>
  <c r="N2081"/>
  <c r="N2080"/>
  <c r="N2079"/>
  <c r="N2078"/>
  <c r="N2077"/>
  <c r="N2076"/>
  <c r="N2075"/>
  <c r="N2074"/>
  <c r="N2073"/>
  <c r="N2072"/>
  <c r="N2071"/>
  <c r="N2070"/>
  <c r="N2069"/>
  <c r="N2068"/>
  <c r="N2067"/>
  <c r="N2066"/>
  <c r="N2065"/>
  <c r="N2064"/>
  <c r="N2063"/>
  <c r="N2062"/>
  <c r="N2061"/>
  <c r="N2060"/>
  <c r="N2059"/>
  <c r="N2058"/>
  <c r="N2057"/>
  <c r="N2056"/>
  <c r="N2055"/>
  <c r="N2054"/>
  <c r="N2053"/>
  <c r="N2052"/>
  <c r="N2051"/>
  <c r="N2050"/>
  <c r="N2049"/>
  <c r="N2048"/>
  <c r="N2047"/>
  <c r="N2046"/>
  <c r="N2045"/>
  <c r="N2044"/>
  <c r="N2043"/>
  <c r="N2042"/>
  <c r="N2041"/>
  <c r="N2040"/>
  <c r="N2039"/>
  <c r="N2038"/>
  <c r="N2037"/>
  <c r="N2036"/>
  <c r="N2035"/>
  <c r="N2034"/>
  <c r="N2033"/>
  <c r="N2032"/>
  <c r="N2031"/>
  <c r="N2030"/>
  <c r="N2029"/>
  <c r="N2028"/>
  <c r="N2027"/>
  <c r="N2026"/>
  <c r="N2025"/>
  <c r="N2024"/>
  <c r="N2023"/>
  <c r="N2022"/>
  <c r="N2021"/>
  <c r="N2020"/>
  <c r="N2019"/>
  <c r="N2018"/>
  <c r="N2017"/>
  <c r="N2016"/>
  <c r="N2015"/>
  <c r="N2014"/>
  <c r="N2013"/>
  <c r="N2012"/>
  <c r="N2011"/>
  <c r="N2010"/>
  <c r="N2009"/>
  <c r="N2008"/>
  <c r="N2007"/>
  <c r="N2006"/>
  <c r="N2005"/>
  <c r="N2004"/>
  <c r="N2003"/>
  <c r="N2002"/>
  <c r="N2001"/>
  <c r="N2000"/>
  <c r="N1999"/>
  <c r="N1998"/>
  <c r="N1997"/>
  <c r="N1996"/>
  <c r="N1995"/>
  <c r="N1994"/>
  <c r="N1993"/>
  <c r="N1992"/>
  <c r="N1991"/>
  <c r="N1990"/>
  <c r="N1989"/>
  <c r="N1988"/>
  <c r="N1987"/>
  <c r="N1986"/>
  <c r="N1985"/>
  <c r="N1984"/>
  <c r="N1983"/>
  <c r="N1982"/>
  <c r="N1981"/>
  <c r="N1980"/>
  <c r="N1979"/>
  <c r="N1978"/>
  <c r="N1977"/>
  <c r="N1976"/>
  <c r="N1975"/>
  <c r="N1974"/>
  <c r="N1973"/>
  <c r="N1972"/>
  <c r="N1971"/>
  <c r="N1970"/>
  <c r="N1969"/>
  <c r="N1968"/>
  <c r="N1967"/>
  <c r="N1966"/>
  <c r="N1965"/>
  <c r="N1964"/>
  <c r="N1963"/>
  <c r="N1962"/>
  <c r="N1961"/>
  <c r="N1960"/>
  <c r="N1959"/>
  <c r="N1958"/>
  <c r="N1957"/>
  <c r="N1956"/>
  <c r="N1955"/>
  <c r="N1954"/>
  <c r="N1953"/>
  <c r="N1952"/>
  <c r="N1951"/>
  <c r="N1950"/>
  <c r="N1949"/>
  <c r="N1948"/>
  <c r="N1947"/>
  <c r="N1946"/>
  <c r="N1945"/>
  <c r="N1944"/>
  <c r="N1943"/>
  <c r="N1942"/>
  <c r="N1941"/>
  <c r="N1940"/>
  <c r="N1939"/>
  <c r="N1938"/>
  <c r="N1937"/>
  <c r="N1936"/>
  <c r="N1935"/>
  <c r="N1934"/>
  <c r="N1933"/>
  <c r="N1932"/>
  <c r="N1931"/>
  <c r="N1930"/>
  <c r="N1929"/>
  <c r="N1928"/>
  <c r="N1927"/>
  <c r="N1926"/>
  <c r="N1925"/>
  <c r="N1924"/>
  <c r="N1923"/>
  <c r="N1922"/>
  <c r="N1921"/>
  <c r="N1920"/>
  <c r="N1919"/>
  <c r="N1918"/>
  <c r="N1917"/>
  <c r="N1916"/>
  <c r="N1915"/>
  <c r="N1914"/>
  <c r="N1913"/>
  <c r="N1912"/>
  <c r="N1911"/>
  <c r="N1910"/>
  <c r="N1909"/>
  <c r="N1908"/>
  <c r="N1907"/>
  <c r="N1906"/>
  <c r="N1905"/>
  <c r="N1904"/>
  <c r="N1903"/>
  <c r="N1902"/>
  <c r="N1901"/>
  <c r="N1900"/>
  <c r="N1899"/>
  <c r="N1898"/>
  <c r="N1897"/>
  <c r="N1896"/>
  <c r="N1895"/>
  <c r="N1894"/>
  <c r="N1893"/>
  <c r="N1892"/>
  <c r="N1891"/>
  <c r="N1890"/>
  <c r="N1889"/>
  <c r="N1888"/>
  <c r="N1887"/>
  <c r="N1886"/>
  <c r="N1885"/>
  <c r="N1884"/>
  <c r="N1883"/>
  <c r="N1882"/>
  <c r="N1881"/>
  <c r="N1880"/>
  <c r="N1879"/>
  <c r="N1878"/>
  <c r="N1877"/>
  <c r="N1876"/>
  <c r="N1875"/>
  <c r="N1874"/>
  <c r="N1873"/>
  <c r="N1872"/>
  <c r="N1871"/>
  <c r="N1870"/>
  <c r="N1869"/>
  <c r="N1868"/>
  <c r="N1867"/>
  <c r="N1866"/>
  <c r="N1865"/>
  <c r="N1864"/>
  <c r="N1863"/>
  <c r="N1862"/>
  <c r="N1861"/>
  <c r="N1860"/>
  <c r="N1859"/>
  <c r="N1858"/>
  <c r="N1857"/>
  <c r="N1856"/>
  <c r="N1855"/>
  <c r="N1854"/>
  <c r="N1853"/>
  <c r="N1852"/>
  <c r="N1851"/>
  <c r="N1850"/>
  <c r="N1849"/>
  <c r="N1848"/>
  <c r="N1847"/>
  <c r="N1846"/>
  <c r="N1845"/>
  <c r="N1844"/>
  <c r="N1843"/>
  <c r="N1842"/>
  <c r="N1841"/>
  <c r="N1840"/>
  <c r="N1839"/>
  <c r="N1838"/>
  <c r="N1837"/>
  <c r="N1836"/>
  <c r="N1835"/>
  <c r="N1834"/>
  <c r="N1833"/>
  <c r="N1832"/>
  <c r="N1831"/>
  <c r="N1830"/>
  <c r="N1829"/>
  <c r="N1828"/>
  <c r="N1827"/>
  <c r="N1826"/>
  <c r="N1825"/>
  <c r="N1824"/>
  <c r="N1823"/>
  <c r="N1822"/>
  <c r="N1821"/>
  <c r="N1820"/>
  <c r="N1819"/>
  <c r="N1818"/>
  <c r="N1817"/>
  <c r="N1816"/>
  <c r="N1815"/>
  <c r="N1814"/>
  <c r="N1813"/>
  <c r="N1812"/>
  <c r="N1811"/>
  <c r="N1810"/>
  <c r="N1809"/>
  <c r="N1808"/>
  <c r="N1807"/>
  <c r="N1806"/>
  <c r="N1805"/>
  <c r="N1804"/>
  <c r="N1803"/>
  <c r="N1802"/>
  <c r="N1801"/>
  <c r="N1800"/>
  <c r="N1799"/>
  <c r="N1798"/>
  <c r="N1797"/>
  <c r="N1796"/>
  <c r="N1795"/>
  <c r="N1794"/>
  <c r="N1793"/>
  <c r="N1792"/>
  <c r="N1791"/>
  <c r="N1790"/>
  <c r="N1789"/>
  <c r="N1788"/>
  <c r="N1787"/>
  <c r="N1786"/>
  <c r="N1785"/>
  <c r="N1784"/>
  <c r="N1783"/>
  <c r="N1782"/>
  <c r="N1781"/>
  <c r="N1780"/>
  <c r="N1779"/>
  <c r="N1778"/>
  <c r="N1777"/>
  <c r="N1776"/>
  <c r="N1775"/>
  <c r="N1774"/>
  <c r="N1773"/>
  <c r="N1772"/>
  <c r="N1771"/>
  <c r="N1770"/>
  <c r="N1769"/>
  <c r="N1768"/>
  <c r="N1767"/>
  <c r="N1766"/>
  <c r="N1765"/>
  <c r="N1764"/>
  <c r="N1763"/>
  <c r="N1762"/>
  <c r="N1761"/>
  <c r="N1760"/>
  <c r="N1759"/>
  <c r="N1758"/>
  <c r="N1757"/>
  <c r="N1756"/>
  <c r="N1755"/>
  <c r="N1754"/>
  <c r="N1753"/>
  <c r="N1752"/>
  <c r="N1751"/>
  <c r="N1750"/>
  <c r="N1749"/>
  <c r="N1748"/>
  <c r="N1747"/>
  <c r="N1746"/>
  <c r="N1745"/>
  <c r="N1744"/>
  <c r="N1743"/>
  <c r="N1742"/>
  <c r="N1741"/>
  <c r="N1740"/>
  <c r="N1739"/>
  <c r="N1738"/>
  <c r="N1737"/>
  <c r="N1736"/>
  <c r="N1735"/>
  <c r="N1734"/>
  <c r="N1733"/>
  <c r="N1732"/>
  <c r="N1731"/>
  <c r="N1730"/>
  <c r="N1729"/>
  <c r="N1728"/>
  <c r="N1727"/>
  <c r="N1726"/>
  <c r="N1725"/>
  <c r="N1724"/>
  <c r="N1723"/>
  <c r="N1722"/>
  <c r="N1721"/>
  <c r="N1720"/>
  <c r="N1719"/>
  <c r="N1718"/>
  <c r="N1717"/>
  <c r="N1716"/>
  <c r="N1715"/>
  <c r="N1714"/>
  <c r="N1713"/>
  <c r="N1712"/>
  <c r="N1711"/>
  <c r="N1710"/>
  <c r="N1709"/>
  <c r="N1708"/>
  <c r="N1707"/>
  <c r="N1706"/>
  <c r="N1705"/>
  <c r="N1704"/>
  <c r="N1703"/>
  <c r="N1702"/>
  <c r="N1701"/>
  <c r="N1700"/>
  <c r="N1699"/>
  <c r="N1698"/>
  <c r="N1697"/>
  <c r="N1696"/>
  <c r="N1695"/>
  <c r="N1694"/>
  <c r="N1693"/>
  <c r="N1692"/>
  <c r="N1691"/>
  <c r="N1690"/>
  <c r="N1689"/>
  <c r="N1688"/>
  <c r="N1687"/>
  <c r="N1686"/>
  <c r="N1685"/>
  <c r="N1684"/>
  <c r="N1683"/>
  <c r="N1682"/>
  <c r="N1681"/>
  <c r="N1680"/>
  <c r="N1679"/>
  <c r="N1678"/>
  <c r="N1677"/>
  <c r="N1676"/>
  <c r="N1675"/>
  <c r="N1674"/>
  <c r="N1673"/>
  <c r="N1672"/>
  <c r="N1671"/>
  <c r="N1670"/>
  <c r="N1669"/>
  <c r="N1668"/>
  <c r="N1667"/>
  <c r="N1666"/>
  <c r="N1665"/>
  <c r="N1664"/>
  <c r="N1663"/>
  <c r="N1662"/>
  <c r="N1661"/>
  <c r="N1660"/>
  <c r="N1659"/>
  <c r="N1658"/>
  <c r="N1657"/>
  <c r="N1656"/>
  <c r="N1655"/>
  <c r="N1654"/>
  <c r="N1653"/>
  <c r="N1652"/>
  <c r="N1651"/>
  <c r="N1650"/>
  <c r="N1649"/>
  <c r="N1648"/>
  <c r="N1647"/>
  <c r="N1646"/>
  <c r="N1645"/>
  <c r="N1644"/>
  <c r="N1643"/>
  <c r="N1642"/>
  <c r="N1641"/>
  <c r="N1640"/>
  <c r="N1639"/>
  <c r="N1638"/>
  <c r="N1637"/>
  <c r="N1636"/>
  <c r="N1635"/>
  <c r="N1634"/>
  <c r="N1633"/>
  <c r="N1632"/>
  <c r="N1631"/>
  <c r="N1630"/>
  <c r="N1629"/>
  <c r="N1628"/>
  <c r="N1627"/>
  <c r="N1626"/>
  <c r="N1625"/>
  <c r="N1624"/>
  <c r="N1623"/>
  <c r="N1622"/>
  <c r="N1621"/>
  <c r="N1620"/>
  <c r="N1619"/>
  <c r="N1618"/>
  <c r="N1617"/>
  <c r="N1616"/>
  <c r="N1615"/>
  <c r="N1614"/>
  <c r="N1613"/>
  <c r="N1612"/>
  <c r="N1611"/>
  <c r="N1610"/>
  <c r="N1609"/>
  <c r="N1608"/>
  <c r="N1607"/>
  <c r="N1606"/>
  <c r="N1605"/>
  <c r="N1604"/>
  <c r="N1603"/>
  <c r="N1602"/>
  <c r="N1601"/>
  <c r="N1600"/>
  <c r="N1599"/>
  <c r="N1598"/>
  <c r="N1597"/>
  <c r="N1596"/>
  <c r="N1595"/>
  <c r="N1594"/>
  <c r="N1593"/>
  <c r="N1592"/>
  <c r="N1591"/>
  <c r="N1590"/>
  <c r="N1589"/>
  <c r="N1588"/>
  <c r="N1587"/>
  <c r="N1586"/>
  <c r="N1585"/>
  <c r="N1584"/>
  <c r="N1583"/>
  <c r="N1582"/>
  <c r="N1581"/>
  <c r="N1580"/>
  <c r="N1579"/>
  <c r="N1578"/>
  <c r="N1577"/>
  <c r="N1576"/>
  <c r="N1575"/>
  <c r="N1574"/>
  <c r="N1573"/>
  <c r="N1572"/>
  <c r="N1571"/>
  <c r="N1570"/>
  <c r="N1569"/>
  <c r="N1568"/>
  <c r="N1567"/>
  <c r="N1566"/>
  <c r="N1565"/>
  <c r="N1564"/>
  <c r="N1563"/>
  <c r="N1562"/>
  <c r="N1561"/>
  <c r="N1560"/>
  <c r="N1559"/>
  <c r="N1558"/>
  <c r="N1557"/>
  <c r="N1556"/>
  <c r="N1555"/>
  <c r="N1554"/>
  <c r="N1553"/>
  <c r="N1552"/>
  <c r="N1551"/>
  <c r="N1550"/>
  <c r="N1549"/>
  <c r="N1548"/>
  <c r="N1547"/>
  <c r="N1546"/>
  <c r="N1545"/>
  <c r="N1544"/>
  <c r="N1543"/>
  <c r="N1542"/>
  <c r="N1541"/>
  <c r="N1540"/>
  <c r="N1539"/>
  <c r="N1538"/>
  <c r="N1537"/>
  <c r="N1536"/>
  <c r="N1535"/>
  <c r="N1534"/>
  <c r="N1533"/>
  <c r="N1532"/>
  <c r="N1531"/>
  <c r="N1530"/>
  <c r="N1529"/>
  <c r="N1528"/>
  <c r="N1527"/>
  <c r="N1526"/>
  <c r="N1525"/>
  <c r="N1524"/>
  <c r="N1523"/>
  <c r="N1522"/>
  <c r="N1521"/>
  <c r="N1520"/>
  <c r="N1519"/>
  <c r="N1518"/>
  <c r="N1517"/>
  <c r="N1516"/>
  <c r="N1515"/>
  <c r="N1514"/>
  <c r="N1513"/>
  <c r="N1512"/>
  <c r="N1511"/>
  <c r="N1510"/>
  <c r="N1509"/>
  <c r="N1508"/>
  <c r="N1507"/>
  <c r="N1506"/>
  <c r="N1505"/>
  <c r="N1504"/>
  <c r="N1503"/>
  <c r="N1502"/>
  <c r="N1501"/>
  <c r="N1500"/>
  <c r="N1499"/>
  <c r="N1498"/>
  <c r="N1497"/>
  <c r="N1496"/>
  <c r="N1495"/>
  <c r="N1494"/>
  <c r="N1493"/>
  <c r="N1492"/>
  <c r="N1491"/>
  <c r="N1490"/>
  <c r="N1489"/>
  <c r="N1488"/>
  <c r="N1487"/>
  <c r="N1486"/>
  <c r="N1485"/>
  <c r="N1484"/>
  <c r="N1483"/>
  <c r="N1482"/>
  <c r="N1481"/>
  <c r="N1480"/>
  <c r="N1479"/>
  <c r="N1478"/>
  <c r="N1477"/>
  <c r="N1476"/>
  <c r="N1475"/>
  <c r="N1474"/>
  <c r="N1473"/>
  <c r="N1472"/>
  <c r="N1471"/>
  <c r="N1470"/>
  <c r="N1469"/>
  <c r="N1468"/>
  <c r="N1467"/>
  <c r="N1466"/>
  <c r="N1465"/>
  <c r="N1464"/>
  <c r="N1463"/>
  <c r="N1462"/>
  <c r="N1461"/>
  <c r="N1460"/>
  <c r="N1459"/>
  <c r="N1458"/>
  <c r="N1457"/>
  <c r="N1456"/>
  <c r="N1455"/>
  <c r="N1454"/>
  <c r="N1453"/>
  <c r="N1452"/>
  <c r="N1451"/>
  <c r="N1450"/>
  <c r="N1449"/>
  <c r="N1448"/>
  <c r="N1447"/>
  <c r="N1446"/>
  <c r="N1445"/>
  <c r="N1444"/>
  <c r="N1443"/>
  <c r="N1442"/>
  <c r="N1441"/>
  <c r="N1440"/>
  <c r="N1439"/>
  <c r="N1438"/>
  <c r="N1437"/>
  <c r="N1436"/>
  <c r="N1435"/>
  <c r="N1434"/>
  <c r="N1433"/>
  <c r="N1432"/>
  <c r="N1431"/>
  <c r="N1430"/>
  <c r="N1429"/>
  <c r="N1428"/>
  <c r="N1427"/>
  <c r="N1426"/>
  <c r="N1425"/>
  <c r="N1424"/>
  <c r="N1423"/>
  <c r="N1422"/>
  <c r="N1421"/>
  <c r="N1420"/>
  <c r="N1419"/>
  <c r="N1418"/>
  <c r="N1417"/>
  <c r="N1416"/>
  <c r="N1415"/>
  <c r="N1414"/>
  <c r="N1413"/>
  <c r="N1412"/>
  <c r="N1411"/>
  <c r="N1410"/>
  <c r="N1409"/>
  <c r="N1408"/>
  <c r="N1407"/>
  <c r="N1406"/>
  <c r="N1405"/>
  <c r="N1404"/>
  <c r="N1403"/>
  <c r="N1402"/>
  <c r="N1401"/>
  <c r="N1400"/>
  <c r="N1399"/>
  <c r="N1398"/>
  <c r="N1397"/>
  <c r="N1396"/>
  <c r="N1395"/>
  <c r="N1394"/>
  <c r="N1393"/>
  <c r="N1392"/>
  <c r="N1391"/>
  <c r="N1390"/>
  <c r="N1389"/>
  <c r="N1388"/>
  <c r="N1387"/>
  <c r="N1386"/>
  <c r="N1385"/>
  <c r="N1384"/>
  <c r="N1383"/>
  <c r="N1382"/>
  <c r="N1381"/>
  <c r="N1380"/>
  <c r="N1379"/>
  <c r="N1378"/>
  <c r="N1377"/>
  <c r="N1376"/>
  <c r="N1375"/>
  <c r="N1374"/>
  <c r="N1373"/>
  <c r="N1372"/>
  <c r="N1371"/>
  <c r="N1370"/>
  <c r="N1369"/>
  <c r="N1368"/>
  <c r="N1367"/>
  <c r="N1366"/>
  <c r="N1365"/>
  <c r="N1364"/>
  <c r="N1363"/>
  <c r="N1362"/>
  <c r="N1361"/>
  <c r="N1360"/>
  <c r="N1359"/>
  <c r="N1358"/>
  <c r="N1357"/>
  <c r="N1356"/>
  <c r="N1355"/>
  <c r="N1354"/>
  <c r="N1353"/>
  <c r="N1352"/>
  <c r="N1351"/>
  <c r="N1350"/>
  <c r="N1349"/>
  <c r="N1348"/>
  <c r="N1347"/>
  <c r="N1346"/>
  <c r="N1345"/>
  <c r="N1344"/>
  <c r="N1343"/>
  <c r="N1342"/>
  <c r="N1341"/>
  <c r="N1340"/>
  <c r="N1339"/>
  <c r="N1338"/>
  <c r="N1337"/>
  <c r="N1336"/>
  <c r="N1335"/>
  <c r="N1334"/>
  <c r="N1333"/>
  <c r="N1332"/>
  <c r="N1331"/>
  <c r="N1330"/>
  <c r="N1329"/>
  <c r="N1328"/>
  <c r="N1327"/>
  <c r="N1326"/>
  <c r="N1325"/>
  <c r="N1324"/>
  <c r="N1323"/>
  <c r="N1322"/>
  <c r="N1321"/>
  <c r="N1320"/>
  <c r="N1319"/>
  <c r="N1318"/>
  <c r="N1317"/>
  <c r="N1316"/>
  <c r="N1315"/>
  <c r="N1314"/>
  <c r="N1313"/>
  <c r="N1312"/>
  <c r="N1311"/>
  <c r="N1310"/>
  <c r="N1309"/>
  <c r="N1308"/>
  <c r="N1307"/>
  <c r="N1306"/>
  <c r="N1305"/>
  <c r="N1304"/>
  <c r="N1303"/>
  <c r="N1302"/>
  <c r="N1301"/>
  <c r="N1300"/>
  <c r="N1299"/>
  <c r="N1298"/>
  <c r="N1297"/>
  <c r="N1296"/>
  <c r="N1295"/>
  <c r="N1294"/>
  <c r="N1293"/>
  <c r="N1292"/>
  <c r="N1291"/>
  <c r="N1290"/>
  <c r="N1289"/>
  <c r="N1288"/>
  <c r="N1287"/>
  <c r="N1286"/>
  <c r="N1285"/>
  <c r="N1284"/>
  <c r="N1283"/>
  <c r="N1282"/>
  <c r="N1281"/>
  <c r="N1280"/>
  <c r="N1279"/>
  <c r="N1278"/>
  <c r="N1277"/>
  <c r="N1276"/>
  <c r="N1275"/>
  <c r="N1274"/>
  <c r="N1273"/>
  <c r="N1272"/>
  <c r="N1271"/>
  <c r="N1270"/>
  <c r="N1269"/>
  <c r="N1268"/>
  <c r="N1267"/>
  <c r="N1266"/>
  <c r="N1265"/>
  <c r="N1264"/>
  <c r="N1263"/>
  <c r="N1262"/>
  <c r="N1261"/>
  <c r="N1260"/>
  <c r="N1259"/>
  <c r="N1258"/>
  <c r="N1257"/>
  <c r="N1256"/>
  <c r="N1255"/>
  <c r="N1254"/>
  <c r="N1253"/>
  <c r="N1252"/>
  <c r="N1251"/>
  <c r="N1250"/>
  <c r="N1249"/>
  <c r="N1248"/>
  <c r="N1247"/>
  <c r="N1246"/>
  <c r="N1245"/>
  <c r="N1244"/>
  <c r="N1243"/>
  <c r="N1242"/>
  <c r="N1241"/>
  <c r="N1240"/>
  <c r="N1239"/>
  <c r="N1238"/>
  <c r="N1237"/>
  <c r="N1236"/>
  <c r="N1235"/>
  <c r="N1234"/>
  <c r="N1233"/>
  <c r="N1232"/>
  <c r="N1231"/>
  <c r="N1230"/>
  <c r="N1229"/>
  <c r="N1228"/>
  <c r="N1227"/>
  <c r="N1226"/>
  <c r="N1225"/>
  <c r="N1224"/>
  <c r="N1223"/>
  <c r="N1222"/>
  <c r="N1221"/>
  <c r="N1220"/>
  <c r="N1219"/>
  <c r="N1218"/>
  <c r="N1217"/>
  <c r="N1216"/>
  <c r="N1215"/>
  <c r="N1214"/>
  <c r="N1213"/>
  <c r="N1212"/>
  <c r="N1211"/>
  <c r="N1210"/>
  <c r="N1209"/>
  <c r="N1208"/>
  <c r="N1207"/>
  <c r="N1206"/>
  <c r="N1205"/>
  <c r="N1204"/>
  <c r="N1203"/>
  <c r="N1202"/>
  <c r="N1201"/>
  <c r="N1200"/>
  <c r="N1199"/>
  <c r="N1198"/>
  <c r="N1196"/>
  <c r="N1195"/>
  <c r="N1194"/>
  <c r="N1193"/>
  <c r="N1192"/>
  <c r="N1191"/>
  <c r="N1190"/>
  <c r="N1189"/>
  <c r="N1188"/>
  <c r="N1187"/>
  <c r="N1186"/>
  <c r="N1185"/>
  <c r="N1184"/>
  <c r="N1183"/>
  <c r="N1181"/>
  <c r="N1180"/>
  <c r="N1179"/>
  <c r="N1178"/>
  <c r="N1177"/>
  <c r="N1176"/>
  <c r="N1175"/>
  <c r="N1174"/>
  <c r="N1173"/>
  <c r="N1172"/>
  <c r="N1171"/>
  <c r="N1170"/>
  <c r="N1169"/>
  <c r="N1168"/>
  <c r="N1167"/>
  <c r="N1166"/>
  <c r="N1165"/>
  <c r="N1164"/>
  <c r="N1163"/>
  <c r="N1162"/>
  <c r="N1161"/>
  <c r="N1160"/>
  <c r="N1159"/>
  <c r="N1158"/>
  <c r="N1157"/>
  <c r="N1156"/>
  <c r="N1155"/>
  <c r="N1154"/>
  <c r="N1153"/>
  <c r="N1152"/>
  <c r="N1151"/>
  <c r="N1150"/>
  <c r="N1149"/>
  <c r="N1148"/>
  <c r="N1147"/>
  <c r="N1146"/>
  <c r="N1145"/>
  <c r="N1144"/>
  <c r="N1143"/>
  <c r="N1142"/>
  <c r="N1141"/>
  <c r="N1140"/>
  <c r="N1139"/>
  <c r="N1138"/>
  <c r="N1137"/>
  <c r="N1136"/>
  <c r="N1135"/>
  <c r="N1134"/>
  <c r="N1133"/>
  <c r="N1132"/>
  <c r="N1131"/>
  <c r="N1130"/>
  <c r="N1129"/>
  <c r="N1128"/>
  <c r="N1127"/>
  <c r="N1126"/>
  <c r="N1125"/>
  <c r="N1124"/>
  <c r="N1123"/>
  <c r="N1122"/>
  <c r="N1121"/>
  <c r="N1120"/>
  <c r="N1119"/>
  <c r="N1118"/>
  <c r="N1117"/>
  <c r="N1116"/>
  <c r="N1115"/>
  <c r="N1114"/>
  <c r="N1113"/>
  <c r="N1112"/>
  <c r="N1111"/>
  <c r="N1110"/>
  <c r="N1109"/>
  <c r="N1108"/>
  <c r="N1107"/>
  <c r="N1106"/>
  <c r="N1105"/>
  <c r="N1104"/>
  <c r="N1103"/>
  <c r="N1102"/>
  <c r="N1101"/>
  <c r="N1100"/>
  <c r="N1099"/>
  <c r="N1098"/>
  <c r="N1097"/>
  <c r="N1096"/>
  <c r="N1095"/>
  <c r="N1094"/>
  <c r="N1093"/>
  <c r="N1092"/>
  <c r="N1091"/>
  <c r="N1090"/>
  <c r="N1089"/>
  <c r="N1088"/>
  <c r="N1087"/>
  <c r="N1086"/>
  <c r="N1085"/>
  <c r="N1084"/>
  <c r="N1083"/>
  <c r="N1082"/>
  <c r="N1081"/>
  <c r="N1080"/>
  <c r="N1079"/>
  <c r="N1078"/>
  <c r="N1077"/>
  <c r="N1076"/>
  <c r="N1075"/>
  <c r="N1074"/>
  <c r="N1073"/>
  <c r="N1072"/>
  <c r="N1071"/>
  <c r="N1070"/>
  <c r="N1069"/>
  <c r="N1068"/>
  <c r="N1067"/>
  <c r="N1066"/>
  <c r="N1065"/>
  <c r="N1064"/>
  <c r="N1063"/>
  <c r="N1062"/>
  <c r="N1061"/>
  <c r="N1060"/>
  <c r="N1059"/>
  <c r="N1058"/>
  <c r="N1057"/>
  <c r="N1056"/>
  <c r="N1055"/>
  <c r="N1054"/>
  <c r="N1053"/>
  <c r="N1052"/>
  <c r="N1051"/>
  <c r="N1050"/>
  <c r="N1049"/>
  <c r="N1048"/>
  <c r="N1047"/>
  <c r="N1046"/>
  <c r="N1045"/>
  <c r="N1044"/>
  <c r="N1043"/>
  <c r="N1042"/>
  <c r="N1041"/>
  <c r="N1040"/>
  <c r="N1039"/>
  <c r="N1038"/>
  <c r="N1037"/>
  <c r="N1036"/>
  <c r="N1035"/>
  <c r="N1034"/>
  <c r="N1033"/>
  <c r="N1032"/>
  <c r="N1031"/>
  <c r="N1030"/>
  <c r="N1029"/>
  <c r="N1028"/>
  <c r="N1027"/>
  <c r="N1026"/>
  <c r="N1025"/>
  <c r="N1024"/>
  <c r="N1023"/>
  <c r="N1022"/>
  <c r="N1021"/>
  <c r="N1020"/>
  <c r="N1019"/>
  <c r="N1018"/>
  <c r="N1017"/>
  <c r="N1016"/>
  <c r="N1015"/>
  <c r="N1014"/>
  <c r="N1013"/>
  <c r="N1012"/>
  <c r="N1011"/>
  <c r="N1010"/>
  <c r="N1009"/>
  <c r="N1008"/>
  <c r="N1007"/>
  <c r="N1006"/>
  <c r="N1005"/>
  <c r="N1004"/>
  <c r="N1003"/>
  <c r="N1002"/>
  <c r="N1001"/>
  <c r="N1000"/>
  <c r="N999"/>
  <c r="N998"/>
  <c r="N997"/>
  <c r="N996"/>
  <c r="N995"/>
  <c r="N994"/>
  <c r="N993"/>
  <c r="N992"/>
  <c r="N991"/>
  <c r="N990"/>
  <c r="N989"/>
  <c r="N988"/>
  <c r="N987"/>
  <c r="N986"/>
  <c r="N985"/>
  <c r="N984"/>
  <c r="N983"/>
  <c r="N982"/>
  <c r="N981"/>
  <c r="N980"/>
  <c r="N979"/>
  <c r="N978"/>
  <c r="N977"/>
  <c r="N976"/>
  <c r="N975"/>
  <c r="N974"/>
  <c r="N973"/>
  <c r="N972"/>
  <c r="N971"/>
  <c r="N970"/>
  <c r="N969"/>
  <c r="N968"/>
  <c r="N967"/>
  <c r="N966"/>
  <c r="N965"/>
  <c r="N964"/>
  <c r="N963"/>
  <c r="N962"/>
  <c r="N961"/>
  <c r="N960"/>
  <c r="N959"/>
  <c r="N958"/>
  <c r="N957"/>
  <c r="N956"/>
  <c r="N955"/>
  <c r="N954"/>
  <c r="N953"/>
  <c r="N952"/>
  <c r="N951"/>
  <c r="N950"/>
  <c r="N949"/>
  <c r="N948"/>
  <c r="N947"/>
  <c r="N946"/>
  <c r="N945"/>
  <c r="N944"/>
  <c r="N943"/>
  <c r="N942"/>
  <c r="N941"/>
  <c r="N940"/>
  <c r="N939"/>
  <c r="N938"/>
  <c r="N937"/>
  <c r="N936"/>
  <c r="N935"/>
  <c r="N934"/>
  <c r="N933"/>
  <c r="N932"/>
  <c r="N931"/>
  <c r="N930"/>
  <c r="N929"/>
  <c r="N928"/>
  <c r="N927"/>
  <c r="N926"/>
  <c r="N925"/>
  <c r="N924"/>
  <c r="N923"/>
  <c r="N922"/>
  <c r="N921"/>
  <c r="N920"/>
  <c r="N919"/>
  <c r="N918"/>
  <c r="N917"/>
  <c r="N916"/>
  <c r="N915"/>
  <c r="N914"/>
  <c r="N913"/>
  <c r="N912"/>
  <c r="N911"/>
  <c r="N910"/>
  <c r="N909"/>
  <c r="N908"/>
  <c r="N907"/>
  <c r="N906"/>
  <c r="N905"/>
  <c r="N904"/>
  <c r="N903"/>
  <c r="N902"/>
  <c r="N901"/>
  <c r="N900"/>
  <c r="N899"/>
  <c r="N898"/>
  <c r="N897"/>
  <c r="N896"/>
  <c r="N895"/>
  <c r="N894"/>
  <c r="N893"/>
  <c r="N892"/>
  <c r="N891"/>
  <c r="N890"/>
  <c r="N889"/>
  <c r="N888"/>
  <c r="N887"/>
  <c r="N886"/>
  <c r="N885"/>
  <c r="N884"/>
  <c r="N883"/>
  <c r="N882"/>
  <c r="N881"/>
  <c r="N880"/>
  <c r="N879"/>
  <c r="N878"/>
  <c r="N877"/>
  <c r="N876"/>
  <c r="N875"/>
  <c r="N874"/>
  <c r="N873"/>
  <c r="N872"/>
  <c r="N871"/>
  <c r="N870"/>
  <c r="N869"/>
  <c r="N868"/>
  <c r="N867"/>
  <c r="N866"/>
  <c r="N865"/>
  <c r="N864"/>
  <c r="N863"/>
  <c r="N862"/>
  <c r="N861"/>
  <c r="N860"/>
  <c r="N859"/>
  <c r="N858"/>
  <c r="N857"/>
  <c r="N856"/>
  <c r="N855"/>
  <c r="N854"/>
  <c r="N853"/>
  <c r="N852"/>
  <c r="N851"/>
  <c r="N850"/>
  <c r="N849"/>
  <c r="N848"/>
  <c r="N847"/>
  <c r="N846"/>
  <c r="N845"/>
  <c r="N844"/>
  <c r="N843"/>
  <c r="N842"/>
  <c r="N841"/>
  <c r="N840"/>
  <c r="N839"/>
  <c r="N838"/>
  <c r="N837"/>
  <c r="N836"/>
  <c r="N835"/>
  <c r="N834"/>
  <c r="N833"/>
  <c r="N832"/>
  <c r="N831"/>
  <c r="N830"/>
  <c r="N829"/>
  <c r="N828"/>
  <c r="N827"/>
  <c r="N826"/>
  <c r="N825"/>
  <c r="N824"/>
  <c r="N823"/>
  <c r="N822"/>
  <c r="N821"/>
  <c r="N820"/>
  <c r="N819"/>
  <c r="N818"/>
  <c r="N817"/>
  <c r="N816"/>
  <c r="N815"/>
  <c r="N814"/>
  <c r="N813"/>
  <c r="N812"/>
  <c r="N811"/>
  <c r="N810"/>
  <c r="N809"/>
  <c r="N808"/>
  <c r="N807"/>
  <c r="N806"/>
  <c r="N805"/>
  <c r="N804"/>
  <c r="N803"/>
  <c r="N802"/>
  <c r="N801"/>
  <c r="N800"/>
  <c r="N799"/>
  <c r="N798"/>
  <c r="N797"/>
  <c r="N796"/>
  <c r="N795"/>
  <c r="N794"/>
  <c r="N793"/>
  <c r="N792"/>
  <c r="N791"/>
  <c r="N790"/>
  <c r="N789"/>
  <c r="N788"/>
  <c r="N787"/>
  <c r="N786"/>
  <c r="N785"/>
  <c r="N784"/>
  <c r="N783"/>
  <c r="N782"/>
  <c r="N781"/>
  <c r="N780"/>
  <c r="N779"/>
  <c r="N778"/>
  <c r="N777"/>
  <c r="N776"/>
  <c r="N775"/>
  <c r="N774"/>
  <c r="N773"/>
  <c r="N772"/>
  <c r="N771"/>
  <c r="N770"/>
  <c r="N769"/>
  <c r="N768"/>
  <c r="N719"/>
  <c r="N718"/>
  <c r="N717"/>
  <c r="N716"/>
  <c r="N715"/>
  <c r="N767"/>
  <c r="N766"/>
  <c r="N765"/>
  <c r="N764"/>
  <c r="N763"/>
  <c r="N762"/>
  <c r="N761"/>
  <c r="N760"/>
  <c r="N758"/>
  <c r="N757"/>
  <c r="N756"/>
  <c r="N755"/>
  <c r="N754"/>
  <c r="N753"/>
  <c r="N752"/>
  <c r="N751"/>
  <c r="N749"/>
  <c r="N748"/>
  <c r="N747"/>
  <c r="N746"/>
  <c r="N745"/>
  <c r="N744"/>
  <c r="N743"/>
  <c r="N742"/>
  <c r="N741"/>
  <c r="N740"/>
  <c r="N739"/>
  <c r="N738"/>
  <c r="N737"/>
  <c r="N736"/>
  <c r="N735"/>
  <c r="N734"/>
  <c r="N733"/>
  <c r="N732"/>
  <c r="N731"/>
  <c r="N730"/>
  <c r="N729"/>
  <c r="N728"/>
  <c r="N727"/>
  <c r="N726"/>
  <c r="N725"/>
  <c r="N724"/>
  <c r="N723"/>
  <c r="N722"/>
  <c r="N721"/>
  <c r="N720"/>
  <c r="N713"/>
  <c r="N712"/>
  <c r="N711"/>
  <c r="N710"/>
  <c r="N709"/>
  <c r="N708"/>
  <c r="N707"/>
  <c r="N706"/>
  <c r="N705"/>
  <c r="N704"/>
  <c r="N703"/>
  <c r="N702"/>
  <c r="N701"/>
  <c r="N700"/>
  <c r="N699"/>
  <c r="N698"/>
  <c r="N697"/>
  <c r="N696"/>
  <c r="N695"/>
  <c r="N694"/>
  <c r="N693"/>
  <c r="N692"/>
  <c r="N691"/>
  <c r="N690"/>
  <c r="N689"/>
  <c r="N688"/>
  <c r="N687"/>
  <c r="N686"/>
  <c r="N685"/>
  <c r="N684"/>
  <c r="N683"/>
  <c r="N682"/>
  <c r="N681"/>
  <c r="N680"/>
  <c r="N679"/>
  <c r="N678"/>
  <c r="N677"/>
  <c r="N676"/>
  <c r="N675"/>
  <c r="N674"/>
  <c r="N673"/>
  <c r="N672"/>
  <c r="N671"/>
  <c r="N670"/>
  <c r="N669"/>
  <c r="N668"/>
  <c r="N667"/>
  <c r="N666"/>
  <c r="N665"/>
  <c r="N664"/>
  <c r="N663"/>
  <c r="N662"/>
  <c r="N661"/>
  <c r="N660"/>
  <c r="N659"/>
  <c r="N658"/>
  <c r="N657"/>
  <c r="N656"/>
  <c r="N655"/>
  <c r="N654"/>
  <c r="N653"/>
  <c r="N652"/>
  <c r="N651"/>
  <c r="N650"/>
  <c r="N649"/>
  <c r="N648"/>
  <c r="N647"/>
  <c r="N646"/>
  <c r="N645"/>
  <c r="N644"/>
  <c r="N643"/>
  <c r="N642"/>
  <c r="N641"/>
  <c r="N640"/>
  <c r="N639"/>
  <c r="N638"/>
  <c r="N637"/>
  <c r="N636"/>
  <c r="N635"/>
  <c r="N634"/>
  <c r="N633"/>
  <c r="N632"/>
  <c r="N631"/>
  <c r="N630"/>
  <c r="N629"/>
  <c r="N628"/>
  <c r="N627"/>
  <c r="N626"/>
  <c r="N625"/>
  <c r="N624"/>
  <c r="N623"/>
  <c r="N622"/>
  <c r="N621"/>
  <c r="N620"/>
  <c r="N619"/>
  <c r="N618"/>
  <c r="N617"/>
  <c r="N616"/>
  <c r="N615"/>
  <c r="N614"/>
  <c r="N613"/>
  <c r="N612"/>
  <c r="N611"/>
  <c r="N610"/>
  <c r="N609"/>
  <c r="N608"/>
  <c r="N607"/>
  <c r="N606"/>
  <c r="N605"/>
  <c r="N604"/>
  <c r="N603"/>
  <c r="N602"/>
  <c r="N601"/>
  <c r="N600"/>
  <c r="N599"/>
  <c r="N598"/>
  <c r="N597"/>
  <c r="N596"/>
  <c r="N595"/>
  <c r="N594"/>
  <c r="N593"/>
  <c r="N592"/>
  <c r="N591"/>
  <c r="N590"/>
  <c r="N589"/>
  <c r="N588"/>
  <c r="N587"/>
  <c r="N586"/>
  <c r="N585"/>
  <c r="N584"/>
  <c r="N583"/>
  <c r="N582"/>
  <c r="N581"/>
  <c r="N580"/>
  <c r="N579"/>
  <c r="N578"/>
  <c r="N577"/>
  <c r="N576"/>
  <c r="N575"/>
  <c r="N574"/>
  <c r="N573"/>
  <c r="N572"/>
  <c r="N571"/>
  <c r="N570"/>
  <c r="N569"/>
  <c r="N568"/>
  <c r="N567"/>
  <c r="N566"/>
  <c r="N565"/>
  <c r="N564"/>
  <c r="N563"/>
  <c r="N562"/>
  <c r="N561"/>
  <c r="N560"/>
  <c r="N559"/>
  <c r="N558"/>
  <c r="N557"/>
  <c r="N556"/>
  <c r="N555"/>
  <c r="N554"/>
  <c r="N553"/>
  <c r="N552"/>
  <c r="N551"/>
  <c r="N550"/>
  <c r="N549"/>
  <c r="N548"/>
  <c r="N547"/>
  <c r="N546"/>
  <c r="N545"/>
  <c r="N544"/>
  <c r="N543"/>
  <c r="N542"/>
  <c r="N541"/>
  <c r="N540"/>
  <c r="N539"/>
  <c r="N538"/>
  <c r="N537"/>
  <c r="N536"/>
  <c r="N535"/>
  <c r="N534"/>
  <c r="N533"/>
  <c r="N532"/>
  <c r="N531"/>
  <c r="N530"/>
  <c r="N529"/>
  <c r="N528"/>
  <c r="N527"/>
  <c r="N526"/>
  <c r="N525"/>
  <c r="N524"/>
  <c r="N523"/>
  <c r="N522"/>
  <c r="N521"/>
  <c r="N520"/>
  <c r="N519"/>
  <c r="N518"/>
  <c r="N517"/>
  <c r="N516"/>
  <c r="N515"/>
  <c r="N514"/>
  <c r="N513"/>
  <c r="N512"/>
  <c r="N511"/>
  <c r="N510"/>
  <c r="N509"/>
  <c r="N508"/>
  <c r="N507"/>
  <c r="N506"/>
  <c r="N505"/>
  <c r="N504"/>
  <c r="N503"/>
  <c r="N502"/>
  <c r="N501"/>
  <c r="N500"/>
  <c r="N499"/>
  <c r="N498"/>
  <c r="N497"/>
  <c r="N496"/>
  <c r="N495"/>
  <c r="N494"/>
  <c r="N493"/>
  <c r="N492"/>
  <c r="N491"/>
  <c r="N490"/>
  <c r="N489"/>
  <c r="N488"/>
  <c r="N487"/>
  <c r="N486"/>
  <c r="N485"/>
  <c r="N484"/>
  <c r="N483"/>
  <c r="N482"/>
  <c r="N481"/>
  <c r="N480"/>
  <c r="N479"/>
  <c r="N478"/>
  <c r="N477"/>
  <c r="N476"/>
  <c r="N475"/>
  <c r="N474"/>
  <c r="N473"/>
  <c r="N472"/>
  <c r="N471"/>
  <c r="N470"/>
  <c r="N469"/>
  <c r="N468"/>
  <c r="N467"/>
  <c r="N466"/>
  <c r="N465"/>
  <c r="N464"/>
  <c r="N463"/>
  <c r="N462"/>
  <c r="N461"/>
  <c r="N460"/>
  <c r="N459"/>
  <c r="N458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AC1198"/>
  <c r="AB1198"/>
  <c r="AG1198" l="1"/>
  <c r="AF1198"/>
  <c r="E429" i="22" l="1"/>
  <c r="D429"/>
  <c r="G2377" i="8"/>
  <c r="S2377" s="1"/>
  <c r="AG2377" s="1"/>
  <c r="G2385"/>
  <c r="S2385" s="1"/>
  <c r="AG2385" s="1"/>
  <c r="T2769"/>
  <c r="AF2769" s="1"/>
  <c r="G2640"/>
  <c r="S2640" s="1"/>
  <c r="AG2640" s="1"/>
  <c r="G2633"/>
  <c r="S2633" s="1"/>
  <c r="AG2633" s="1"/>
  <c r="G2624"/>
  <c r="S2624" s="1"/>
  <c r="AG2624" s="1"/>
  <c r="G2614"/>
  <c r="S2614" s="1"/>
  <c r="AG2614" s="1"/>
  <c r="G2568"/>
  <c r="S2568" s="1"/>
  <c r="AG2568" s="1"/>
  <c r="I2533"/>
  <c r="S2533" s="1"/>
  <c r="AG2533" s="1"/>
  <c r="I2532"/>
  <c r="S2532" s="1"/>
  <c r="AG2532" s="1"/>
  <c r="G2506"/>
  <c r="S2506" s="1"/>
  <c r="AG2506" s="1"/>
  <c r="G2496"/>
  <c r="S2496" s="1"/>
  <c r="AG2496" s="1"/>
  <c r="G2484"/>
  <c r="S2484" s="1"/>
  <c r="AG2484" s="1"/>
  <c r="G2473"/>
  <c r="S2473" s="1"/>
  <c r="AG2473" s="1"/>
  <c r="G2462"/>
  <c r="S2462" s="1"/>
  <c r="AG2462" s="1"/>
  <c r="G2453"/>
  <c r="S2453" s="1"/>
  <c r="AG2453" s="1"/>
  <c r="G2444"/>
  <c r="S2444" s="1"/>
  <c r="AG2444" s="1"/>
  <c r="I2430"/>
  <c r="S2430" s="1"/>
  <c r="AG2430" s="1"/>
  <c r="G2417"/>
  <c r="S2417" s="1"/>
  <c r="AG2417" s="1"/>
  <c r="G2406"/>
  <c r="S2406" s="1"/>
  <c r="AG2406" s="1"/>
  <c r="G2356"/>
  <c r="S2356" s="1"/>
  <c r="AG2356" s="1"/>
  <c r="G2346"/>
  <c r="S2346" s="1"/>
  <c r="AG2346" s="1"/>
  <c r="I2326"/>
  <c r="S2326" s="1"/>
  <c r="AG2326" s="1"/>
  <c r="I2325"/>
  <c r="S2325" s="1"/>
  <c r="AG2325" s="1"/>
  <c r="I2323"/>
  <c r="S2323" s="1"/>
  <c r="AG2323" s="1"/>
  <c r="I2322"/>
  <c r="S2322" s="1"/>
  <c r="AG2322" s="1"/>
  <c r="I2320"/>
  <c r="S2320" s="1"/>
  <c r="AG2320" s="1"/>
  <c r="G2316"/>
  <c r="S2316" s="1"/>
  <c r="AG2316" s="1"/>
  <c r="G2292"/>
  <c r="S2292" s="1"/>
  <c r="AG2292" s="1"/>
  <c r="G2291"/>
  <c r="S2291" s="1"/>
  <c r="AG2291" s="1"/>
  <c r="U1181"/>
  <c r="AG1181" s="1"/>
  <c r="U907"/>
  <c r="AG907" s="1"/>
  <c r="U872"/>
  <c r="AG872" s="1"/>
  <c r="U818"/>
  <c r="AG818" s="1"/>
  <c r="T798"/>
  <c r="AF798" s="1"/>
  <c r="G782"/>
  <c r="S782" s="1"/>
  <c r="AG782" s="1"/>
  <c r="F782"/>
  <c r="R782" s="1"/>
  <c r="AF782" s="1"/>
  <c r="G779"/>
  <c r="S779" s="1"/>
  <c r="AG779" s="1"/>
  <c r="F779"/>
  <c r="R779" s="1"/>
  <c r="AF779" s="1"/>
  <c r="G776"/>
  <c r="S776" s="1"/>
  <c r="AG776" s="1"/>
  <c r="F776"/>
  <c r="R776" s="1"/>
  <c r="AF776" s="1"/>
  <c r="G773"/>
  <c r="S773" s="1"/>
  <c r="AG773" s="1"/>
  <c r="F773"/>
  <c r="R773" s="1"/>
  <c r="AF773" s="1"/>
  <c r="G768"/>
  <c r="S768" s="1"/>
  <c r="AG768" s="1"/>
  <c r="F768"/>
  <c r="R768" s="1"/>
  <c r="AF768" s="1"/>
  <c r="L714"/>
  <c r="N714" s="1"/>
  <c r="G714"/>
  <c r="S714" s="1"/>
  <c r="AG714" s="1"/>
  <c r="F714"/>
  <c r="R714" s="1"/>
  <c r="AF714" s="1"/>
  <c r="L759"/>
  <c r="N759" s="1"/>
  <c r="G759"/>
  <c r="S759" s="1"/>
  <c r="AG759" s="1"/>
  <c r="F759"/>
  <c r="R759" s="1"/>
  <c r="AF759" s="1"/>
  <c r="AC753"/>
  <c r="AG753" s="1"/>
  <c r="AB753"/>
  <c r="AF753" s="1"/>
  <c r="S752"/>
  <c r="AG752" s="1"/>
  <c r="H752"/>
  <c r="R752" s="1"/>
  <c r="AF752" s="1"/>
  <c r="O750"/>
  <c r="Q750" s="1"/>
  <c r="L750"/>
  <c r="N750" s="1"/>
  <c r="G750"/>
  <c r="S750" s="1"/>
  <c r="AG750" s="1"/>
  <c r="F750"/>
  <c r="R750" s="1"/>
  <c r="AF750" s="1"/>
  <c r="S747"/>
  <c r="AG747" s="1"/>
  <c r="H747"/>
  <c r="R747" s="1"/>
  <c r="AF747" s="1"/>
  <c r="AC742"/>
  <c r="AG742" s="1"/>
  <c r="AB742"/>
  <c r="AF742" s="1"/>
  <c r="S741"/>
  <c r="AG741" s="1"/>
  <c r="H741"/>
  <c r="R741" s="1"/>
  <c r="AF741" s="1"/>
  <c r="G739"/>
  <c r="S739" s="1"/>
  <c r="AG739" s="1"/>
  <c r="F739"/>
  <c r="R739" s="1"/>
  <c r="AF739" s="1"/>
  <c r="G731"/>
  <c r="S731" s="1"/>
  <c r="AG731" s="1"/>
  <c r="F731"/>
  <c r="R731" s="1"/>
  <c r="AF731" s="1"/>
  <c r="I726"/>
  <c r="S726" s="1"/>
  <c r="AG726" s="1"/>
  <c r="H726"/>
  <c r="R726" s="1"/>
  <c r="AF726" s="1"/>
  <c r="AC723"/>
  <c r="AG723" s="1"/>
  <c r="AB723"/>
  <c r="AF723" s="1"/>
  <c r="G722"/>
  <c r="S722" s="1"/>
  <c r="AG722" s="1"/>
  <c r="G720"/>
  <c r="S720" s="1"/>
  <c r="AG720" s="1"/>
  <c r="F720"/>
  <c r="R720" s="1"/>
  <c r="AF720" s="1"/>
  <c r="C429" i="22" l="1"/>
  <c r="B429"/>
  <c r="Q9" i="8"/>
  <c r="U3322"/>
  <c r="AG3322" s="1"/>
  <c r="T3317"/>
  <c r="AF3317" s="1"/>
  <c r="U3300"/>
  <c r="AG3300" s="1"/>
  <c r="G3279"/>
  <c r="S3279" s="1"/>
  <c r="AG3279" s="1"/>
  <c r="G3238"/>
  <c r="S3238" s="1"/>
  <c r="AG3238" s="1"/>
  <c r="F3238"/>
  <c r="R3238" s="1"/>
  <c r="AF3238" s="1"/>
  <c r="S3237"/>
  <c r="AG3237" s="1"/>
  <c r="S3235"/>
  <c r="AG3235" s="1"/>
  <c r="F3235"/>
  <c r="R3235" s="1"/>
  <c r="AF3235" s="1"/>
  <c r="AG3230"/>
  <c r="I3228"/>
  <c r="S3228" s="1"/>
  <c r="AG3228" s="1"/>
  <c r="S3224"/>
  <c r="AG3224" s="1"/>
  <c r="I3222"/>
  <c r="S3222" s="1"/>
  <c r="AG3222" s="1"/>
  <c r="I3220"/>
  <c r="S3220" s="1"/>
  <c r="AG3220" s="1"/>
  <c r="S3208"/>
  <c r="AG3208" s="1"/>
  <c r="G3149"/>
  <c r="S3149" s="1"/>
  <c r="AG3149" s="1"/>
  <c r="F3149"/>
  <c r="R3149" s="1"/>
  <c r="AF3149" s="1"/>
  <c r="F3118"/>
  <c r="R3118" s="1"/>
  <c r="AF3118" s="1"/>
  <c r="O3114"/>
  <c r="Q3114" s="1"/>
  <c r="L3114"/>
  <c r="N3114" s="1"/>
  <c r="G3114"/>
  <c r="S3114" s="1"/>
  <c r="AG3114" s="1"/>
  <c r="F3114"/>
  <c r="R3114" s="1"/>
  <c r="AF3114" s="1"/>
  <c r="F3113"/>
  <c r="R3113" s="1"/>
  <c r="AF3113" s="1"/>
  <c r="F3103"/>
  <c r="R3103" s="1"/>
  <c r="AF3103" s="1"/>
  <c r="H3112"/>
  <c r="R3112" s="1"/>
  <c r="AF3112" s="1"/>
  <c r="F3110"/>
  <c r="R3110" s="1"/>
  <c r="AF3110" s="1"/>
  <c r="I3109"/>
  <c r="S3109" s="1"/>
  <c r="AG3109" s="1"/>
  <c r="AC3107"/>
  <c r="AG3107" s="1"/>
  <c r="AB3107"/>
  <c r="AF3107" s="1"/>
  <c r="L3106"/>
  <c r="N3106" s="1"/>
  <c r="G3106"/>
  <c r="S3106" s="1"/>
  <c r="AG3106" s="1"/>
  <c r="F3106"/>
  <c r="R3106" s="1"/>
  <c r="AF3106" s="1"/>
  <c r="O3104"/>
  <c r="Q3104" s="1"/>
  <c r="L3104"/>
  <c r="N3104" s="1"/>
  <c r="G3104"/>
  <c r="S3104" s="1"/>
  <c r="AG3104" s="1"/>
  <c r="F3104"/>
  <c r="R3104" s="1"/>
  <c r="AF3104" s="1"/>
  <c r="U3024"/>
  <c r="AG3024" s="1"/>
  <c r="T3024"/>
  <c r="AF3024" s="1"/>
  <c r="U3016"/>
  <c r="AG3016" s="1"/>
  <c r="T3016"/>
  <c r="AF3016" s="1"/>
  <c r="U3008"/>
  <c r="AG3008" s="1"/>
  <c r="T3008"/>
  <c r="AF3008" s="1"/>
  <c r="AB2990"/>
  <c r="AF2990" s="1"/>
  <c r="AE2988"/>
  <c r="AG2988" s="1"/>
  <c r="AB2988"/>
  <c r="AF2988" s="1"/>
  <c r="AE2987"/>
  <c r="AG2987" s="1"/>
  <c r="AB2987"/>
  <c r="AF2987" s="1"/>
  <c r="AE2986"/>
  <c r="AG2986" s="1"/>
  <c r="AB2986"/>
  <c r="AF2986" s="1"/>
  <c r="AE2985"/>
  <c r="AG2985" s="1"/>
  <c r="AB2985"/>
  <c r="AF2985" s="1"/>
  <c r="AE2984"/>
  <c r="AG2984" s="1"/>
  <c r="AB2984"/>
  <c r="AF2984" s="1"/>
  <c r="AE2983"/>
  <c r="AG2983" s="1"/>
  <c r="AB2983"/>
  <c r="AF2983" s="1"/>
  <c r="AE2982"/>
  <c r="AG2982" s="1"/>
  <c r="AB2982"/>
  <c r="AF2982" s="1"/>
  <c r="AE2981"/>
  <c r="AG2981" s="1"/>
  <c r="AB2981"/>
  <c r="AF2981" s="1"/>
  <c r="O2865"/>
  <c r="Q2865" s="1"/>
  <c r="L2865"/>
  <c r="N2865" s="1"/>
  <c r="G2865"/>
  <c r="S2865" s="1"/>
  <c r="AG2865" s="1"/>
  <c r="F2865"/>
  <c r="R2865" s="1"/>
  <c r="AF2865" s="1"/>
  <c r="T2700"/>
  <c r="AF2700" s="1"/>
  <c r="AE2319"/>
  <c r="AG2319" s="1"/>
  <c r="U2227"/>
  <c r="AG2227" s="1"/>
  <c r="T2227"/>
  <c r="AF2227" s="1"/>
  <c r="I2222"/>
  <c r="S2222" s="1"/>
  <c r="AG2222" s="1"/>
  <c r="H2222"/>
  <c r="R2222" s="1"/>
  <c r="AF2222" s="1"/>
  <c r="F2199"/>
  <c r="R2199" s="1"/>
  <c r="AF2199" s="1"/>
  <c r="L2179"/>
  <c r="N2179" s="1"/>
  <c r="G2179"/>
  <c r="S2179" s="1"/>
  <c r="AG2179" s="1"/>
  <c r="F2179"/>
  <c r="R2179" s="1"/>
  <c r="AF2179" s="1"/>
  <c r="G2173"/>
  <c r="S2173" s="1"/>
  <c r="AG2173" s="1"/>
  <c r="F2173"/>
  <c r="R2173" s="1"/>
  <c r="AF2173" s="1"/>
  <c r="H2168"/>
  <c r="R2168" s="1"/>
  <c r="AF2168" s="1"/>
  <c r="H2163"/>
  <c r="R2163" s="1"/>
  <c r="AF2163" s="1"/>
  <c r="U1854"/>
  <c r="AG1854" s="1"/>
  <c r="U1849"/>
  <c r="AG1849" s="1"/>
  <c r="T1849"/>
  <c r="AF1849" s="1"/>
  <c r="U1803"/>
  <c r="AG1803" s="1"/>
  <c r="T1803"/>
  <c r="AF1803" s="1"/>
  <c r="H1796"/>
  <c r="R1796" s="1"/>
  <c r="AF1796" s="1"/>
  <c r="G1793"/>
  <c r="S1793" s="1"/>
  <c r="AG1793" s="1"/>
  <c r="F1793"/>
  <c r="R1793" s="1"/>
  <c r="AF1793" s="1"/>
  <c r="G1792"/>
  <c r="S1792" s="1"/>
  <c r="AG1792" s="1"/>
  <c r="F1792"/>
  <c r="R1792" s="1"/>
  <c r="AF1792" s="1"/>
  <c r="G1791"/>
  <c r="S1791" s="1"/>
  <c r="AG1791" s="1"/>
  <c r="F1791"/>
  <c r="R1791" s="1"/>
  <c r="AF1791" s="1"/>
  <c r="G1790"/>
  <c r="S1790" s="1"/>
  <c r="AG1790" s="1"/>
  <c r="F1790"/>
  <c r="R1790" s="1"/>
  <c r="AF1790" s="1"/>
  <c r="G1789"/>
  <c r="S1789" s="1"/>
  <c r="AG1789" s="1"/>
  <c r="F1789"/>
  <c r="R1789" s="1"/>
  <c r="AF1789" s="1"/>
  <c r="G1788"/>
  <c r="S1788" s="1"/>
  <c r="AG1788" s="1"/>
  <c r="F1788"/>
  <c r="R1788" s="1"/>
  <c r="AF1788" s="1"/>
  <c r="G1787"/>
  <c r="S1787" s="1"/>
  <c r="AG1787" s="1"/>
  <c r="F1787"/>
  <c r="R1787" s="1"/>
  <c r="AF1787" s="1"/>
  <c r="G1786"/>
  <c r="S1786" s="1"/>
  <c r="AG1786" s="1"/>
  <c r="F1786"/>
  <c r="R1786" s="1"/>
  <c r="AF1786" s="1"/>
  <c r="G1785"/>
  <c r="S1785" s="1"/>
  <c r="AG1785" s="1"/>
  <c r="F1785"/>
  <c r="R1785" s="1"/>
  <c r="AF1785" s="1"/>
  <c r="G1784"/>
  <c r="S1784" s="1"/>
  <c r="AG1784" s="1"/>
  <c r="F1784"/>
  <c r="R1784" s="1"/>
  <c r="AF1784" s="1"/>
  <c r="G1783"/>
  <c r="S1783" s="1"/>
  <c r="AG1783" s="1"/>
  <c r="F1783"/>
  <c r="R1783" s="1"/>
  <c r="AF1783" s="1"/>
  <c r="G1782"/>
  <c r="S1782" s="1"/>
  <c r="AG1782" s="1"/>
  <c r="F1782"/>
  <c r="R1782" s="1"/>
  <c r="AF1782" s="1"/>
  <c r="G1781"/>
  <c r="S1781" s="1"/>
  <c r="AG1781" s="1"/>
  <c r="F1781"/>
  <c r="R1781" s="1"/>
  <c r="AF1781" s="1"/>
  <c r="G1780"/>
  <c r="S1780" s="1"/>
  <c r="AG1780" s="1"/>
  <c r="F1780"/>
  <c r="R1780" s="1"/>
  <c r="AF1780" s="1"/>
  <c r="G1779"/>
  <c r="S1779" s="1"/>
  <c r="AG1779" s="1"/>
  <c r="F1779"/>
  <c r="R1779" s="1"/>
  <c r="AF1779" s="1"/>
  <c r="AD1721"/>
  <c r="V1721"/>
  <c r="O1721"/>
  <c r="U1676"/>
  <c r="AG1676" s="1"/>
  <c r="U1673"/>
  <c r="AG1673" s="1"/>
  <c r="U1666"/>
  <c r="AG1666" s="1"/>
  <c r="U1644"/>
  <c r="AG1644" s="1"/>
  <c r="U1637"/>
  <c r="AG1637" s="1"/>
  <c r="U1626"/>
  <c r="AG1626" s="1"/>
  <c r="U1623"/>
  <c r="AG1623" s="1"/>
  <c r="U1602"/>
  <c r="AG1602" s="1"/>
  <c r="U1588"/>
  <c r="AG1588" s="1"/>
  <c r="U1569"/>
  <c r="AG1569" s="1"/>
  <c r="U1560"/>
  <c r="AG1560" s="1"/>
  <c r="U1553"/>
  <c r="AG1553" s="1"/>
  <c r="U1549"/>
  <c r="AG1549" s="1"/>
  <c r="U1546"/>
  <c r="AG1546" s="1"/>
  <c r="U1537"/>
  <c r="AG1537" s="1"/>
  <c r="U1532"/>
  <c r="AG1532" s="1"/>
  <c r="U1529"/>
  <c r="AG1529" s="1"/>
  <c r="U1523"/>
  <c r="AG1523" s="1"/>
  <c r="U1520"/>
  <c r="AG1520" s="1"/>
  <c r="U1516"/>
  <c r="AG1516" s="1"/>
  <c r="U1513"/>
  <c r="AG1513" s="1"/>
  <c r="U1502"/>
  <c r="AG1502" s="1"/>
  <c r="U1499"/>
  <c r="AG1499" s="1"/>
  <c r="U1492"/>
  <c r="AG1492" s="1"/>
  <c r="U1477"/>
  <c r="AG1477" s="1"/>
  <c r="T1476"/>
  <c r="AF1476" s="1"/>
  <c r="H1471"/>
  <c r="R1471" s="1"/>
  <c r="AF1471" s="1"/>
  <c r="G1435"/>
  <c r="S1435" s="1"/>
  <c r="AG1435" s="1"/>
  <c r="U1431"/>
  <c r="AG1431" s="1"/>
  <c r="T1431"/>
  <c r="AF1431" s="1"/>
  <c r="U1427"/>
  <c r="AG1427" s="1"/>
  <c r="U1426"/>
  <c r="AG1426" s="1"/>
  <c r="U1424"/>
  <c r="AG1424" s="1"/>
  <c r="U1423"/>
  <c r="AG1423" s="1"/>
  <c r="U1417"/>
  <c r="AG1417" s="1"/>
  <c r="U1414"/>
  <c r="AG1414" s="1"/>
  <c r="T1409"/>
  <c r="AF1409" s="1"/>
  <c r="T1407"/>
  <c r="AF1407" s="1"/>
  <c r="U1406"/>
  <c r="AG1406" s="1"/>
  <c r="T1406"/>
  <c r="AF1406" s="1"/>
  <c r="U1405"/>
  <c r="AG1405" s="1"/>
  <c r="T1405"/>
  <c r="AF1405" s="1"/>
  <c r="T1404"/>
  <c r="AF1404" s="1"/>
  <c r="I1401"/>
  <c r="S1401" s="1"/>
  <c r="AG1401" s="1"/>
  <c r="I1398"/>
  <c r="S1398" s="1"/>
  <c r="AG1398" s="1"/>
  <c r="I1397"/>
  <c r="S1397" s="1"/>
  <c r="AG1397" s="1"/>
  <c r="H1397"/>
  <c r="R1397" s="1"/>
  <c r="AF1397" s="1"/>
  <c r="I1395"/>
  <c r="S1395" s="1"/>
  <c r="AG1395" s="1"/>
  <c r="H1395"/>
  <c r="R1395" s="1"/>
  <c r="AF1395" s="1"/>
  <c r="I1394"/>
  <c r="S1394" s="1"/>
  <c r="AG1394" s="1"/>
  <c r="H1394"/>
  <c r="R1394" s="1"/>
  <c r="AF1394" s="1"/>
  <c r="I1393"/>
  <c r="S1393" s="1"/>
  <c r="AG1393" s="1"/>
  <c r="I1392"/>
  <c r="S1392" s="1"/>
  <c r="AG1392" s="1"/>
  <c r="H1392"/>
  <c r="R1392" s="1"/>
  <c r="AF1392" s="1"/>
  <c r="I1391"/>
  <c r="S1391" s="1"/>
  <c r="AG1391" s="1"/>
  <c r="I1390"/>
  <c r="S1390" s="1"/>
  <c r="AG1390" s="1"/>
  <c r="H1390"/>
  <c r="R1390" s="1"/>
  <c r="AF1390" s="1"/>
  <c r="I1388"/>
  <c r="S1388" s="1"/>
  <c r="AG1388" s="1"/>
  <c r="I1387"/>
  <c r="S1387" s="1"/>
  <c r="AG1387" s="1"/>
  <c r="H1387"/>
  <c r="R1387" s="1"/>
  <c r="AF1387" s="1"/>
  <c r="I1384"/>
  <c r="S1384" s="1"/>
  <c r="AG1384" s="1"/>
  <c r="AC1381"/>
  <c r="AG1381" s="1"/>
  <c r="AB1381"/>
  <c r="AF1381" s="1"/>
  <c r="AC1380"/>
  <c r="AG1380" s="1"/>
  <c r="AB1380"/>
  <c r="AF1380" s="1"/>
  <c r="F1379"/>
  <c r="R1379" s="1"/>
  <c r="AF1379" s="1"/>
  <c r="F1331"/>
  <c r="R1331" s="1"/>
  <c r="AF1331" s="1"/>
  <c r="F1327"/>
  <c r="R1327" s="1"/>
  <c r="AF1327" s="1"/>
  <c r="O1326"/>
  <c r="F1322"/>
  <c r="R1322" s="1"/>
  <c r="AF1322" s="1"/>
  <c r="F1321"/>
  <c r="R1321" s="1"/>
  <c r="AF1321" s="1"/>
  <c r="F1320"/>
  <c r="R1320" s="1"/>
  <c r="AF1320" s="1"/>
  <c r="H1318"/>
  <c r="R1318" s="1"/>
  <c r="AF1318" s="1"/>
  <c r="F1313"/>
  <c r="R1313" s="1"/>
  <c r="AF1313" s="1"/>
  <c r="F1312"/>
  <c r="R1312" s="1"/>
  <c r="AF1312" s="1"/>
  <c r="F1311"/>
  <c r="R1311" s="1"/>
  <c r="AF1311" s="1"/>
  <c r="I1310"/>
  <c r="S1310" s="1"/>
  <c r="AG1310" s="1"/>
  <c r="I1309"/>
  <c r="S1309" s="1"/>
  <c r="AG1309" s="1"/>
  <c r="I1308"/>
  <c r="S1308" s="1"/>
  <c r="AG1308" s="1"/>
  <c r="AC1306"/>
  <c r="AG1306" s="1"/>
  <c r="AB1306"/>
  <c r="AF1306" s="1"/>
  <c r="F1304"/>
  <c r="R1304" s="1"/>
  <c r="AF1304" s="1"/>
  <c r="O1302"/>
  <c r="Q1302" s="1"/>
  <c r="G1302"/>
  <c r="F1302"/>
  <c r="R1302" s="1"/>
  <c r="AF1302" s="1"/>
  <c r="G1217"/>
  <c r="S1217" s="1"/>
  <c r="AG1217" s="1"/>
  <c r="F1217"/>
  <c r="R1217" s="1"/>
  <c r="AF1217" s="1"/>
  <c r="G1214"/>
  <c r="S1214" s="1"/>
  <c r="AG1214" s="1"/>
  <c r="F1214"/>
  <c r="R1214" s="1"/>
  <c r="AF1214" s="1"/>
  <c r="G1209"/>
  <c r="S1209" s="1"/>
  <c r="AG1209" s="1"/>
  <c r="F1209"/>
  <c r="R1209" s="1"/>
  <c r="AF1209" s="1"/>
  <c r="G1206"/>
  <c r="S1206" s="1"/>
  <c r="AG1206" s="1"/>
  <c r="F1206"/>
  <c r="R1206" s="1"/>
  <c r="AF1206" s="1"/>
  <c r="G1203"/>
  <c r="S1203" s="1"/>
  <c r="AG1203" s="1"/>
  <c r="F1203"/>
  <c r="R1203" s="1"/>
  <c r="AF1203" s="1"/>
  <c r="G1202"/>
  <c r="S1202" s="1"/>
  <c r="AG1202" s="1"/>
  <c r="F1202"/>
  <c r="R1202" s="1"/>
  <c r="AF1202" s="1"/>
  <c r="O1197"/>
  <c r="Q1197" s="1"/>
  <c r="L1197"/>
  <c r="N1197" s="1"/>
  <c r="G1197"/>
  <c r="S1197" s="1"/>
  <c r="AG1197" s="1"/>
  <c r="F1197"/>
  <c r="R1197" s="1"/>
  <c r="AF1197" s="1"/>
  <c r="AB1183"/>
  <c r="AF1183" s="1"/>
  <c r="O1182"/>
  <c r="Q1182" s="1"/>
  <c r="L1182"/>
  <c r="N1182" s="1"/>
  <c r="G1182"/>
  <c r="S1182" s="1"/>
  <c r="AG1182" s="1"/>
  <c r="F1182"/>
  <c r="R1182" s="1"/>
  <c r="AF1182" s="1"/>
  <c r="S1178"/>
  <c r="AG1178" s="1"/>
  <c r="Y1044"/>
  <c r="G1033"/>
  <c r="S1033" s="1"/>
  <c r="AG1033" s="1"/>
  <c r="G1014"/>
  <c r="S1014" s="1"/>
  <c r="AG1014" s="1"/>
  <c r="G1007"/>
  <c r="S1007" s="1"/>
  <c r="AG1007" s="1"/>
  <c r="G983"/>
  <c r="S983" s="1"/>
  <c r="AG983" s="1"/>
  <c r="F983"/>
  <c r="R983" s="1"/>
  <c r="AF983" s="1"/>
  <c r="U395"/>
  <c r="AG395" s="1"/>
  <c r="T395"/>
  <c r="AF395" s="1"/>
  <c r="O385"/>
  <c r="L385"/>
  <c r="N385" s="1"/>
  <c r="H385"/>
  <c r="F380"/>
  <c r="R380" s="1"/>
  <c r="AF380" s="1"/>
  <c r="O371"/>
  <c r="U273"/>
  <c r="AG273" s="1"/>
  <c r="T273"/>
  <c r="AF273" s="1"/>
  <c r="U212"/>
  <c r="AG212" s="1"/>
  <c r="T212"/>
  <c r="AF212" s="1"/>
  <c r="T208"/>
  <c r="AF208" s="1"/>
  <c r="T206"/>
  <c r="AF206" s="1"/>
  <c r="H198"/>
  <c r="R198" s="1"/>
  <c r="AF198" s="1"/>
  <c r="H195"/>
  <c r="R195" s="1"/>
  <c r="AF195" s="1"/>
  <c r="H190"/>
  <c r="R190" s="1"/>
  <c r="AF190" s="1"/>
  <c r="H189"/>
  <c r="R189" s="1"/>
  <c r="AF189" s="1"/>
  <c r="H188"/>
  <c r="R188" s="1"/>
  <c r="AF188" s="1"/>
  <c r="H185"/>
  <c r="R185" s="1"/>
  <c r="AF185" s="1"/>
  <c r="F178"/>
  <c r="R178" s="1"/>
  <c r="AF178" s="1"/>
  <c r="F175"/>
  <c r="R175" s="1"/>
  <c r="AF175" s="1"/>
  <c r="F172"/>
  <c r="R172" s="1"/>
  <c r="AF172" s="1"/>
  <c r="F169"/>
  <c r="R169" s="1"/>
  <c r="AF169" s="1"/>
  <c r="F166"/>
  <c r="R166" s="1"/>
  <c r="AF166" s="1"/>
  <c r="F163"/>
  <c r="R163" s="1"/>
  <c r="AF163" s="1"/>
  <c r="F160"/>
  <c r="R160" s="1"/>
  <c r="AF160" s="1"/>
  <c r="F124"/>
  <c r="R124" s="1"/>
  <c r="AF124" s="1"/>
  <c r="F157"/>
  <c r="R157" s="1"/>
  <c r="AF157" s="1"/>
  <c r="F154"/>
  <c r="R154" s="1"/>
  <c r="AF154" s="1"/>
  <c r="F151"/>
  <c r="R151" s="1"/>
  <c r="AF151" s="1"/>
  <c r="F148"/>
  <c r="R148" s="1"/>
  <c r="AF148" s="1"/>
  <c r="S145"/>
  <c r="AG145" s="1"/>
  <c r="F145"/>
  <c r="R145" s="1"/>
  <c r="AF145" s="1"/>
  <c r="F142"/>
  <c r="R142" s="1"/>
  <c r="AF142" s="1"/>
  <c r="F139"/>
  <c r="R139" s="1"/>
  <c r="AF139" s="1"/>
  <c r="F136"/>
  <c r="R136" s="1"/>
  <c r="AF136" s="1"/>
  <c r="F130"/>
  <c r="R130" s="1"/>
  <c r="AF130" s="1"/>
  <c r="F127"/>
  <c r="R127" s="1"/>
  <c r="AF127" s="1"/>
  <c r="F121"/>
  <c r="R121" s="1"/>
  <c r="AF121" s="1"/>
  <c r="F118"/>
  <c r="R118" s="1"/>
  <c r="AF118" s="1"/>
  <c r="F115"/>
  <c r="R115" s="1"/>
  <c r="AF115" s="1"/>
  <c r="F112"/>
  <c r="R112" s="1"/>
  <c r="AF112" s="1"/>
  <c r="F109"/>
  <c r="R109" s="1"/>
  <c r="AF109" s="1"/>
  <c r="F105"/>
  <c r="R105" s="1"/>
  <c r="AF105" s="1"/>
  <c r="F102"/>
  <c r="R102" s="1"/>
  <c r="AF102" s="1"/>
  <c r="F99"/>
  <c r="R99" s="1"/>
  <c r="AF99" s="1"/>
  <c r="F92"/>
  <c r="R92" s="1"/>
  <c r="AF92" s="1"/>
  <c r="F89"/>
  <c r="R89" s="1"/>
  <c r="AF89" s="1"/>
  <c r="F80"/>
  <c r="R80" s="1"/>
  <c r="AF80" s="1"/>
  <c r="F73"/>
  <c r="R73" s="1"/>
  <c r="AF73" s="1"/>
  <c r="F68"/>
  <c r="R68" s="1"/>
  <c r="AF68" s="1"/>
  <c r="F61"/>
  <c r="R61" s="1"/>
  <c r="AF61" s="1"/>
  <c r="F53"/>
  <c r="R53" s="1"/>
  <c r="AF53" s="1"/>
  <c r="F46"/>
  <c r="R46" s="1"/>
  <c r="AF46" s="1"/>
  <c r="F45"/>
  <c r="R45" s="1"/>
  <c r="AF45" s="1"/>
  <c r="AC33"/>
  <c r="AG33" s="1"/>
  <c r="F31"/>
  <c r="R31" s="1"/>
  <c r="AF31" s="1"/>
  <c r="F23"/>
  <c r="R23" s="1"/>
  <c r="AF23" s="1"/>
  <c r="AA9"/>
  <c r="X9"/>
  <c r="N9"/>
  <c r="S9"/>
  <c r="F9"/>
  <c r="B10" i="59"/>
  <c r="N10"/>
  <c r="B6"/>
  <c r="C6"/>
  <c r="D6"/>
  <c r="E6"/>
  <c r="F6"/>
  <c r="G6"/>
  <c r="H6"/>
  <c r="H52" s="1"/>
  <c r="I6"/>
  <c r="I52" s="1"/>
  <c r="L6"/>
  <c r="J52" s="1"/>
  <c r="N6"/>
  <c r="B52" s="1"/>
  <c r="O6"/>
  <c r="P6"/>
  <c r="Q6"/>
  <c r="R6"/>
  <c r="S6"/>
  <c r="B8"/>
  <c r="C8"/>
  <c r="D8"/>
  <c r="E8"/>
  <c r="F8"/>
  <c r="G8"/>
  <c r="H8"/>
  <c r="I8"/>
  <c r="I54" s="1"/>
  <c r="L8"/>
  <c r="J54" s="1"/>
  <c r="N8"/>
  <c r="O8"/>
  <c r="P8"/>
  <c r="Q8"/>
  <c r="R8"/>
  <c r="S8"/>
  <c r="B9"/>
  <c r="C9"/>
  <c r="D9"/>
  <c r="E9"/>
  <c r="F9"/>
  <c r="G9"/>
  <c r="H9"/>
  <c r="H55" s="1"/>
  <c r="I9"/>
  <c r="I55" s="1"/>
  <c r="L9"/>
  <c r="J55" s="1"/>
  <c r="N9"/>
  <c r="O9"/>
  <c r="P9"/>
  <c r="Q9"/>
  <c r="R9"/>
  <c r="S9"/>
  <c r="C10"/>
  <c r="D10"/>
  <c r="E10"/>
  <c r="F10"/>
  <c r="G10"/>
  <c r="H10"/>
  <c r="H56" s="1"/>
  <c r="I10"/>
  <c r="L10"/>
  <c r="J56" s="1"/>
  <c r="O10"/>
  <c r="P10"/>
  <c r="Q10"/>
  <c r="R10"/>
  <c r="S10"/>
  <c r="B11"/>
  <c r="C11"/>
  <c r="D11"/>
  <c r="E11"/>
  <c r="F11"/>
  <c r="G11"/>
  <c r="H11"/>
  <c r="H57" s="1"/>
  <c r="I11"/>
  <c r="I57" s="1"/>
  <c r="L11"/>
  <c r="J57" s="1"/>
  <c r="N11"/>
  <c r="O11"/>
  <c r="P11"/>
  <c r="Q11"/>
  <c r="R11"/>
  <c r="S11"/>
  <c r="B12"/>
  <c r="C12"/>
  <c r="D12"/>
  <c r="E12"/>
  <c r="F12"/>
  <c r="G12"/>
  <c r="H12"/>
  <c r="I12"/>
  <c r="I58" s="1"/>
  <c r="L12"/>
  <c r="J58" s="1"/>
  <c r="N12"/>
  <c r="O12"/>
  <c r="P12"/>
  <c r="Q12"/>
  <c r="R12"/>
  <c r="S12"/>
  <c r="B13"/>
  <c r="C13"/>
  <c r="D13"/>
  <c r="E13"/>
  <c r="F13"/>
  <c r="G13"/>
  <c r="H13"/>
  <c r="H59" s="1"/>
  <c r="I13"/>
  <c r="L13"/>
  <c r="J59" s="1"/>
  <c r="N13"/>
  <c r="O13"/>
  <c r="P13"/>
  <c r="Q13"/>
  <c r="R13"/>
  <c r="S13"/>
  <c r="B14"/>
  <c r="C14"/>
  <c r="D14"/>
  <c r="E14"/>
  <c r="F14"/>
  <c r="G14"/>
  <c r="H14"/>
  <c r="H60" s="1"/>
  <c r="I14"/>
  <c r="I60" s="1"/>
  <c r="L14"/>
  <c r="N14"/>
  <c r="O14"/>
  <c r="P14"/>
  <c r="Q14"/>
  <c r="R14"/>
  <c r="S14"/>
  <c r="B15"/>
  <c r="C15"/>
  <c r="D15"/>
  <c r="E15"/>
  <c r="F15"/>
  <c r="G15"/>
  <c r="H15"/>
  <c r="H61" s="1"/>
  <c r="I15"/>
  <c r="I61" s="1"/>
  <c r="L15"/>
  <c r="J61" s="1"/>
  <c r="N15"/>
  <c r="O15"/>
  <c r="P15"/>
  <c r="Q15"/>
  <c r="R15"/>
  <c r="S15"/>
  <c r="B16"/>
  <c r="C16"/>
  <c r="D16"/>
  <c r="E16"/>
  <c r="F16"/>
  <c r="G16"/>
  <c r="H16"/>
  <c r="I16"/>
  <c r="I62" s="1"/>
  <c r="L16"/>
  <c r="J62" s="1"/>
  <c r="N16"/>
  <c r="O16"/>
  <c r="P16"/>
  <c r="Q16"/>
  <c r="R16"/>
  <c r="S16"/>
  <c r="B17"/>
  <c r="C17"/>
  <c r="D17"/>
  <c r="E17"/>
  <c r="F17"/>
  <c r="G17"/>
  <c r="H17"/>
  <c r="H63" s="1"/>
  <c r="I17"/>
  <c r="L17"/>
  <c r="J63" s="1"/>
  <c r="N17"/>
  <c r="O17"/>
  <c r="P17"/>
  <c r="Q17"/>
  <c r="R17"/>
  <c r="S17"/>
  <c r="B18"/>
  <c r="C18"/>
  <c r="D18"/>
  <c r="E18"/>
  <c r="F18"/>
  <c r="G18"/>
  <c r="H18"/>
  <c r="H64" s="1"/>
  <c r="I18"/>
  <c r="I64" s="1"/>
  <c r="L18"/>
  <c r="N18"/>
  <c r="O18"/>
  <c r="P18"/>
  <c r="Q18"/>
  <c r="R18"/>
  <c r="S18"/>
  <c r="B19"/>
  <c r="C19"/>
  <c r="D19"/>
  <c r="E19"/>
  <c r="F19"/>
  <c r="G19"/>
  <c r="H19"/>
  <c r="H65" s="1"/>
  <c r="I19"/>
  <c r="I65" s="1"/>
  <c r="L19"/>
  <c r="J65" s="1"/>
  <c r="N19"/>
  <c r="O19"/>
  <c r="P19"/>
  <c r="Q19"/>
  <c r="R19"/>
  <c r="S19"/>
  <c r="B20"/>
  <c r="C20"/>
  <c r="D20"/>
  <c r="E20"/>
  <c r="F20"/>
  <c r="G20"/>
  <c r="H20"/>
  <c r="I20"/>
  <c r="I66" s="1"/>
  <c r="L20"/>
  <c r="J66" s="1"/>
  <c r="N20"/>
  <c r="O20"/>
  <c r="P20"/>
  <c r="Q20"/>
  <c r="R20"/>
  <c r="S20"/>
  <c r="B21"/>
  <c r="C21"/>
  <c r="D21"/>
  <c r="E21"/>
  <c r="F21"/>
  <c r="G21"/>
  <c r="H21"/>
  <c r="H67" s="1"/>
  <c r="I21"/>
  <c r="L21"/>
  <c r="J67" s="1"/>
  <c r="N21"/>
  <c r="O21"/>
  <c r="P21"/>
  <c r="Q21"/>
  <c r="R21"/>
  <c r="S21"/>
  <c r="B22"/>
  <c r="C22"/>
  <c r="D22"/>
  <c r="E22"/>
  <c r="F22"/>
  <c r="G22"/>
  <c r="H22"/>
  <c r="H68" s="1"/>
  <c r="I22"/>
  <c r="I68" s="1"/>
  <c r="L22"/>
  <c r="N22"/>
  <c r="O22"/>
  <c r="P22"/>
  <c r="Q22"/>
  <c r="R22"/>
  <c r="S22"/>
  <c r="B23"/>
  <c r="C23"/>
  <c r="D23"/>
  <c r="E23"/>
  <c r="F23"/>
  <c r="G23"/>
  <c r="H23"/>
  <c r="H69" s="1"/>
  <c r="I23"/>
  <c r="I69" s="1"/>
  <c r="L23"/>
  <c r="J69" s="1"/>
  <c r="N23"/>
  <c r="O23"/>
  <c r="P23"/>
  <c r="Q23"/>
  <c r="R23"/>
  <c r="S23"/>
  <c r="B30"/>
  <c r="C30"/>
  <c r="D30"/>
  <c r="E30"/>
  <c r="F30"/>
  <c r="G30"/>
  <c r="H30"/>
  <c r="I30"/>
  <c r="I74" s="1"/>
  <c r="L30"/>
  <c r="J74" s="1"/>
  <c r="N30"/>
  <c r="O30"/>
  <c r="P30"/>
  <c r="Q30"/>
  <c r="R30"/>
  <c r="S30"/>
  <c r="B32"/>
  <c r="C32"/>
  <c r="D32"/>
  <c r="E32"/>
  <c r="F32"/>
  <c r="G32"/>
  <c r="H32"/>
  <c r="H76" s="1"/>
  <c r="I32"/>
  <c r="L32"/>
  <c r="J76" s="1"/>
  <c r="N32"/>
  <c r="O32"/>
  <c r="P32"/>
  <c r="Q32"/>
  <c r="R32"/>
  <c r="S32"/>
  <c r="B33"/>
  <c r="C33"/>
  <c r="D33"/>
  <c r="E33"/>
  <c r="F33"/>
  <c r="G33"/>
  <c r="H33"/>
  <c r="H77" s="1"/>
  <c r="I33"/>
  <c r="I77" s="1"/>
  <c r="L33"/>
  <c r="N33"/>
  <c r="O33"/>
  <c r="P33"/>
  <c r="Q33"/>
  <c r="R33"/>
  <c r="S33"/>
  <c r="B34"/>
  <c r="C34"/>
  <c r="D34"/>
  <c r="E34"/>
  <c r="F34"/>
  <c r="G34"/>
  <c r="H34"/>
  <c r="H78" s="1"/>
  <c r="H99" s="1"/>
  <c r="I34"/>
  <c r="I78" s="1"/>
  <c r="I99" s="1"/>
  <c r="L34"/>
  <c r="J78" s="1"/>
  <c r="J99" s="1"/>
  <c r="N34"/>
  <c r="O34"/>
  <c r="P34"/>
  <c r="Q34"/>
  <c r="R34"/>
  <c r="S34"/>
  <c r="B35"/>
  <c r="C35"/>
  <c r="D35"/>
  <c r="E35"/>
  <c r="F35"/>
  <c r="G35"/>
  <c r="H35"/>
  <c r="I35"/>
  <c r="I79" s="1"/>
  <c r="L35"/>
  <c r="J79" s="1"/>
  <c r="N35"/>
  <c r="O35"/>
  <c r="P35"/>
  <c r="Q35"/>
  <c r="R35"/>
  <c r="S35"/>
  <c r="B36"/>
  <c r="C36"/>
  <c r="D36"/>
  <c r="E36"/>
  <c r="F36"/>
  <c r="G36"/>
  <c r="H36"/>
  <c r="H80" s="1"/>
  <c r="H101" s="1"/>
  <c r="I36"/>
  <c r="L36"/>
  <c r="J80" s="1"/>
  <c r="N36"/>
  <c r="O36"/>
  <c r="P36"/>
  <c r="Q36"/>
  <c r="R36"/>
  <c r="S36"/>
  <c r="B37"/>
  <c r="C37"/>
  <c r="D37"/>
  <c r="E37"/>
  <c r="F37"/>
  <c r="G37"/>
  <c r="H37"/>
  <c r="H81" s="1"/>
  <c r="H102" s="1"/>
  <c r="I37"/>
  <c r="I81" s="1"/>
  <c r="I102" s="1"/>
  <c r="L37"/>
  <c r="N37"/>
  <c r="O37"/>
  <c r="P37"/>
  <c r="Q37"/>
  <c r="R37"/>
  <c r="S37"/>
  <c r="B38"/>
  <c r="C38"/>
  <c r="D38"/>
  <c r="E38"/>
  <c r="F38"/>
  <c r="G38"/>
  <c r="H38"/>
  <c r="H82" s="1"/>
  <c r="H103" s="1"/>
  <c r="I38"/>
  <c r="I82" s="1"/>
  <c r="I103" s="1"/>
  <c r="L38"/>
  <c r="J82" s="1"/>
  <c r="N38"/>
  <c r="O38"/>
  <c r="P38"/>
  <c r="Q38"/>
  <c r="R38"/>
  <c r="S38"/>
  <c r="B39"/>
  <c r="C39"/>
  <c r="D39"/>
  <c r="E39"/>
  <c r="F39"/>
  <c r="G39"/>
  <c r="H39"/>
  <c r="I39"/>
  <c r="I83" s="1"/>
  <c r="I104" s="1"/>
  <c r="L39"/>
  <c r="J83" s="1"/>
  <c r="N39"/>
  <c r="O39"/>
  <c r="P39"/>
  <c r="Q39"/>
  <c r="R39"/>
  <c r="S39"/>
  <c r="B40"/>
  <c r="C40"/>
  <c r="D40"/>
  <c r="E40"/>
  <c r="F40"/>
  <c r="G40"/>
  <c r="H40"/>
  <c r="H84" s="1"/>
  <c r="H105" s="1"/>
  <c r="I40"/>
  <c r="L40"/>
  <c r="J84" s="1"/>
  <c r="N40"/>
  <c r="O40"/>
  <c r="P40"/>
  <c r="Q40"/>
  <c r="R40"/>
  <c r="S40"/>
  <c r="B41"/>
  <c r="C41"/>
  <c r="D41"/>
  <c r="E41"/>
  <c r="F41"/>
  <c r="G41"/>
  <c r="H41"/>
  <c r="H85" s="1"/>
  <c r="I41"/>
  <c r="I85" s="1"/>
  <c r="L41"/>
  <c r="N41"/>
  <c r="O41"/>
  <c r="P41"/>
  <c r="Q41"/>
  <c r="R41"/>
  <c r="S41"/>
  <c r="B42"/>
  <c r="C42"/>
  <c r="D42"/>
  <c r="E42"/>
  <c r="F42"/>
  <c r="G42"/>
  <c r="H42"/>
  <c r="H86" s="1"/>
  <c r="H107" s="1"/>
  <c r="I42"/>
  <c r="I86" s="1"/>
  <c r="I107" s="1"/>
  <c r="L42"/>
  <c r="J86" s="1"/>
  <c r="N42"/>
  <c r="O42"/>
  <c r="P42"/>
  <c r="Q42"/>
  <c r="R42"/>
  <c r="S42"/>
  <c r="B43"/>
  <c r="C43"/>
  <c r="D43"/>
  <c r="E43"/>
  <c r="F43"/>
  <c r="G43"/>
  <c r="H43"/>
  <c r="H87" s="1"/>
  <c r="I43"/>
  <c r="I87" s="1"/>
  <c r="L43"/>
  <c r="N43"/>
  <c r="O43"/>
  <c r="P43"/>
  <c r="Q43"/>
  <c r="R43"/>
  <c r="S43"/>
  <c r="B44"/>
  <c r="C44"/>
  <c r="D44"/>
  <c r="E44"/>
  <c r="F44"/>
  <c r="G44"/>
  <c r="H44"/>
  <c r="H88" s="1"/>
  <c r="H109" s="1"/>
  <c r="I44"/>
  <c r="I88" s="1"/>
  <c r="I109" s="1"/>
  <c r="L44"/>
  <c r="J88" s="1"/>
  <c r="N44"/>
  <c r="O44"/>
  <c r="P44"/>
  <c r="Q44"/>
  <c r="R44"/>
  <c r="S44"/>
  <c r="B45"/>
  <c r="C45"/>
  <c r="D45"/>
  <c r="E45"/>
  <c r="F45"/>
  <c r="G45"/>
  <c r="H45"/>
  <c r="H89" s="1"/>
  <c r="H110" s="1"/>
  <c r="I45"/>
  <c r="I89" s="1"/>
  <c r="I110" s="1"/>
  <c r="L45"/>
  <c r="J89" s="1"/>
  <c r="J110" s="1"/>
  <c r="N45"/>
  <c r="O45"/>
  <c r="P45"/>
  <c r="Q45"/>
  <c r="R45"/>
  <c r="S45"/>
  <c r="B46"/>
  <c r="C46"/>
  <c r="D46"/>
  <c r="E46"/>
  <c r="F46"/>
  <c r="G46"/>
  <c r="H46"/>
  <c r="H90" s="1"/>
  <c r="I46"/>
  <c r="I90" s="1"/>
  <c r="L46"/>
  <c r="J90" s="1"/>
  <c r="N46"/>
  <c r="O46"/>
  <c r="P46"/>
  <c r="Q46"/>
  <c r="R46"/>
  <c r="S46"/>
  <c r="B47"/>
  <c r="C47"/>
  <c r="D47"/>
  <c r="E47"/>
  <c r="F47"/>
  <c r="G47"/>
  <c r="H47"/>
  <c r="H91" s="1"/>
  <c r="H112" s="1"/>
  <c r="I47"/>
  <c r="I91" s="1"/>
  <c r="I112" s="1"/>
  <c r="L47"/>
  <c r="J91" s="1"/>
  <c r="N47"/>
  <c r="O47"/>
  <c r="P47"/>
  <c r="Q47"/>
  <c r="R47"/>
  <c r="S47"/>
  <c r="H54"/>
  <c r="E56"/>
  <c r="I56"/>
  <c r="H58"/>
  <c r="I59"/>
  <c r="J60"/>
  <c r="H62"/>
  <c r="I63"/>
  <c r="J64"/>
  <c r="H66"/>
  <c r="I67"/>
  <c r="J68"/>
  <c r="H74"/>
  <c r="I76"/>
  <c r="I97" s="1"/>
  <c r="J77"/>
  <c r="H79"/>
  <c r="I80"/>
  <c r="I101" s="1"/>
  <c r="J81"/>
  <c r="H83"/>
  <c r="H104" s="1"/>
  <c r="I84"/>
  <c r="J85"/>
  <c r="J87"/>
  <c r="J108" s="1"/>
  <c r="L120"/>
  <c r="B7" i="22"/>
  <c r="D9"/>
  <c r="B11"/>
  <c r="C10"/>
  <c r="S10" s="1"/>
  <c r="C11"/>
  <c r="S11" s="1"/>
  <c r="D11"/>
  <c r="B12"/>
  <c r="F13"/>
  <c r="G13"/>
  <c r="H13"/>
  <c r="I13"/>
  <c r="B14"/>
  <c r="R14" s="1"/>
  <c r="C15"/>
  <c r="S15" s="1"/>
  <c r="B16"/>
  <c r="F18"/>
  <c r="G18"/>
  <c r="H18"/>
  <c r="I18"/>
  <c r="B20"/>
  <c r="C20"/>
  <c r="S20" s="1"/>
  <c r="B22"/>
  <c r="C22"/>
  <c r="S22" s="1"/>
  <c r="F23"/>
  <c r="G23"/>
  <c r="H23"/>
  <c r="I23"/>
  <c r="B24"/>
  <c r="C24"/>
  <c r="S24" s="1"/>
  <c r="B26"/>
  <c r="C26"/>
  <c r="S26" s="1"/>
  <c r="B40"/>
  <c r="C40"/>
  <c r="B42"/>
  <c r="D43"/>
  <c r="C44"/>
  <c r="C45"/>
  <c r="F46"/>
  <c r="G46"/>
  <c r="H46"/>
  <c r="I46"/>
  <c r="C47"/>
  <c r="B48"/>
  <c r="C48"/>
  <c r="B50"/>
  <c r="F51"/>
  <c r="G51"/>
  <c r="H51"/>
  <c r="I51"/>
  <c r="B52"/>
  <c r="C52"/>
  <c r="C53"/>
  <c r="B54"/>
  <c r="C54"/>
  <c r="D54"/>
  <c r="F56"/>
  <c r="G56"/>
  <c r="H56"/>
  <c r="I56"/>
  <c r="B58"/>
  <c r="C59"/>
  <c r="B60"/>
  <c r="B75"/>
  <c r="F75" s="1"/>
  <c r="B76"/>
  <c r="F76" s="1"/>
  <c r="D75"/>
  <c r="C75"/>
  <c r="G75" s="1"/>
  <c r="H75"/>
  <c r="B77"/>
  <c r="F78"/>
  <c r="G78"/>
  <c r="H78"/>
  <c r="I78"/>
  <c r="B79"/>
  <c r="C79"/>
  <c r="C80"/>
  <c r="G80" s="1"/>
  <c r="B81"/>
  <c r="C81"/>
  <c r="G81" s="1"/>
  <c r="C82"/>
  <c r="G82" s="1"/>
  <c r="F83"/>
  <c r="G83"/>
  <c r="H83"/>
  <c r="I83"/>
  <c r="C84"/>
  <c r="B85"/>
  <c r="C86"/>
  <c r="G86" s="1"/>
  <c r="B87"/>
  <c r="F87" s="1"/>
  <c r="F88"/>
  <c r="G88"/>
  <c r="H88"/>
  <c r="I88"/>
  <c r="B89"/>
  <c r="C89"/>
  <c r="G89" s="1"/>
  <c r="C90"/>
  <c r="G90" s="1"/>
  <c r="B91"/>
  <c r="C91"/>
  <c r="B104"/>
  <c r="B106"/>
  <c r="C106"/>
  <c r="D107"/>
  <c r="C108"/>
  <c r="G108" s="1"/>
  <c r="C109"/>
  <c r="F110"/>
  <c r="G110"/>
  <c r="H110"/>
  <c r="I110"/>
  <c r="C111"/>
  <c r="G111" s="1"/>
  <c r="B112"/>
  <c r="B114"/>
  <c r="C114"/>
  <c r="G114" s="1"/>
  <c r="F115"/>
  <c r="G115"/>
  <c r="H115"/>
  <c r="I115"/>
  <c r="B116"/>
  <c r="C116"/>
  <c r="G116" s="1"/>
  <c r="B118"/>
  <c r="F120"/>
  <c r="G120"/>
  <c r="H120"/>
  <c r="I120"/>
  <c r="B122"/>
  <c r="C122"/>
  <c r="D122"/>
  <c r="G122"/>
  <c r="B124"/>
  <c r="C124"/>
  <c r="D124"/>
  <c r="C136"/>
  <c r="C138"/>
  <c r="B139"/>
  <c r="B140"/>
  <c r="C139"/>
  <c r="D139"/>
  <c r="B141"/>
  <c r="C141"/>
  <c r="D141"/>
  <c r="B143"/>
  <c r="C143"/>
  <c r="D143"/>
  <c r="B145"/>
  <c r="B149"/>
  <c r="B151"/>
  <c r="B153"/>
  <c r="B155"/>
  <c r="C156"/>
  <c r="G156" s="1"/>
  <c r="B168"/>
  <c r="C168"/>
  <c r="B170"/>
  <c r="D171"/>
  <c r="C172"/>
  <c r="G172" s="1"/>
  <c r="B176"/>
  <c r="C176"/>
  <c r="D176"/>
  <c r="C177"/>
  <c r="G177" s="1"/>
  <c r="B178"/>
  <c r="F178" s="1"/>
  <c r="C178"/>
  <c r="G178" s="1"/>
  <c r="B180"/>
  <c r="C181"/>
  <c r="G181" s="1"/>
  <c r="B182"/>
  <c r="C183"/>
  <c r="C185"/>
  <c r="G185" s="1"/>
  <c r="B186"/>
  <c r="C187"/>
  <c r="G187" s="1"/>
  <c r="B188"/>
  <c r="F188" s="1"/>
  <c r="C200"/>
  <c r="C202"/>
  <c r="B203"/>
  <c r="B204"/>
  <c r="C203"/>
  <c r="D204"/>
  <c r="H204" s="1"/>
  <c r="B205"/>
  <c r="B207"/>
  <c r="C207"/>
  <c r="D207"/>
  <c r="G207"/>
  <c r="C208"/>
  <c r="G208" s="1"/>
  <c r="B209"/>
  <c r="C209"/>
  <c r="G209" s="1"/>
  <c r="D209"/>
  <c r="H209" s="1"/>
  <c r="C210"/>
  <c r="G210" s="1"/>
  <c r="C212"/>
  <c r="G212" s="1"/>
  <c r="B213"/>
  <c r="C213"/>
  <c r="G213" s="1"/>
  <c r="D213"/>
  <c r="C214"/>
  <c r="G214" s="1"/>
  <c r="B215"/>
  <c r="C215"/>
  <c r="D215"/>
  <c r="B217"/>
  <c r="F217" s="1"/>
  <c r="C217"/>
  <c r="D217"/>
  <c r="H217" s="1"/>
  <c r="G217"/>
  <c r="B218"/>
  <c r="B219"/>
  <c r="C219"/>
  <c r="D219"/>
  <c r="G219"/>
  <c r="B220"/>
  <c r="B232"/>
  <c r="C232"/>
  <c r="D232"/>
  <c r="E232"/>
  <c r="N233"/>
  <c r="B234"/>
  <c r="B235"/>
  <c r="B236"/>
  <c r="E236"/>
  <c r="B237"/>
  <c r="C237"/>
  <c r="H237" s="1"/>
  <c r="D237"/>
  <c r="I237" s="1"/>
  <c r="E237"/>
  <c r="U237" s="1"/>
  <c r="F238"/>
  <c r="N238"/>
  <c r="B239"/>
  <c r="C239"/>
  <c r="S238" s="1"/>
  <c r="E239"/>
  <c r="U238" s="1"/>
  <c r="B240"/>
  <c r="B241"/>
  <c r="C241"/>
  <c r="S240" s="1"/>
  <c r="E241"/>
  <c r="U240" s="1"/>
  <c r="B242"/>
  <c r="B244"/>
  <c r="C244"/>
  <c r="S242" s="1"/>
  <c r="E244"/>
  <c r="U242" s="1"/>
  <c r="F243"/>
  <c r="N243"/>
  <c r="B245"/>
  <c r="C245"/>
  <c r="S243" s="1"/>
  <c r="E245"/>
  <c r="U243" s="1"/>
  <c r="B246"/>
  <c r="B247"/>
  <c r="R245" s="1"/>
  <c r="C247"/>
  <c r="S245" s="1"/>
  <c r="D247"/>
  <c r="T245" s="1"/>
  <c r="E247"/>
  <c r="U245" s="1"/>
  <c r="B249"/>
  <c r="B250"/>
  <c r="C250"/>
  <c r="S247" s="1"/>
  <c r="E250"/>
  <c r="U247" s="1"/>
  <c r="F248"/>
  <c r="N248"/>
  <c r="B251"/>
  <c r="R248" s="1"/>
  <c r="C251"/>
  <c r="S248" s="1"/>
  <c r="D251"/>
  <c r="T248" s="1"/>
  <c r="E251"/>
  <c r="U248" s="1"/>
  <c r="B252"/>
  <c r="F270"/>
  <c r="F275"/>
  <c r="B278"/>
  <c r="B279"/>
  <c r="C279"/>
  <c r="E279"/>
  <c r="F280"/>
  <c r="B281"/>
  <c r="E281"/>
  <c r="J281" s="1"/>
  <c r="B282"/>
  <c r="E282"/>
  <c r="J282" s="1"/>
  <c r="B283"/>
  <c r="B284"/>
  <c r="E284"/>
  <c r="B296"/>
  <c r="C296"/>
  <c r="E296"/>
  <c r="F297"/>
  <c r="B298"/>
  <c r="B299"/>
  <c r="B300"/>
  <c r="D299"/>
  <c r="I299" s="1"/>
  <c r="B301"/>
  <c r="E301"/>
  <c r="B303"/>
  <c r="E303"/>
  <c r="B304"/>
  <c r="E304"/>
  <c r="B305"/>
  <c r="B306"/>
  <c r="E306"/>
  <c r="B308"/>
  <c r="C308"/>
  <c r="H308" s="1"/>
  <c r="E308"/>
  <c r="B309"/>
  <c r="B310"/>
  <c r="E310"/>
  <c r="B311"/>
  <c r="E311"/>
  <c r="B313"/>
  <c r="E313"/>
  <c r="B314"/>
  <c r="C314"/>
  <c r="E314"/>
  <c r="H314"/>
  <c r="B315"/>
  <c r="C315"/>
  <c r="H315" s="1"/>
  <c r="E315"/>
  <c r="J315" s="1"/>
  <c r="B316"/>
  <c r="B329"/>
  <c r="B331"/>
  <c r="E331"/>
  <c r="B332"/>
  <c r="B333"/>
  <c r="C332"/>
  <c r="H332" s="1"/>
  <c r="E332"/>
  <c r="E334"/>
  <c r="F335"/>
  <c r="B336"/>
  <c r="E336"/>
  <c r="B337"/>
  <c r="C337"/>
  <c r="H337" s="1"/>
  <c r="E337"/>
  <c r="C338"/>
  <c r="H338" s="1"/>
  <c r="B339"/>
  <c r="F340"/>
  <c r="C341"/>
  <c r="H341" s="1"/>
  <c r="E342"/>
  <c r="B343"/>
  <c r="C343"/>
  <c r="H343" s="1"/>
  <c r="E343"/>
  <c r="B344"/>
  <c r="E344"/>
  <c r="F345"/>
  <c r="C346"/>
  <c r="H346" s="1"/>
  <c r="E346"/>
  <c r="E347"/>
  <c r="B348"/>
  <c r="G348" s="1"/>
  <c r="E348"/>
  <c r="J348" s="1"/>
  <c r="B349"/>
  <c r="C349"/>
  <c r="H349" s="1"/>
  <c r="E349"/>
  <c r="C362"/>
  <c r="F363"/>
  <c r="C364"/>
  <c r="E364"/>
  <c r="B365"/>
  <c r="C365"/>
  <c r="E365"/>
  <c r="E367"/>
  <c r="F368"/>
  <c r="B369"/>
  <c r="C369"/>
  <c r="D369"/>
  <c r="I369" s="1"/>
  <c r="E369"/>
  <c r="B370"/>
  <c r="C371"/>
  <c r="H371" s="1"/>
  <c r="B372"/>
  <c r="E372"/>
  <c r="F373"/>
  <c r="C374"/>
  <c r="H374" s="1"/>
  <c r="E374"/>
  <c r="E375"/>
  <c r="B376"/>
  <c r="C376"/>
  <c r="H376" s="1"/>
  <c r="D376"/>
  <c r="I376" s="1"/>
  <c r="E376"/>
  <c r="B377"/>
  <c r="F378"/>
  <c r="C379"/>
  <c r="H379" s="1"/>
  <c r="E380"/>
  <c r="B381"/>
  <c r="C381"/>
  <c r="H381" s="1"/>
  <c r="E381"/>
  <c r="B382"/>
  <c r="E382"/>
  <c r="C396"/>
  <c r="E396"/>
  <c r="F397"/>
  <c r="G397"/>
  <c r="H397"/>
  <c r="I397"/>
  <c r="J397"/>
  <c r="K397"/>
  <c r="B398"/>
  <c r="C399"/>
  <c r="H399" s="1"/>
  <c r="E400"/>
  <c r="J400" s="1"/>
  <c r="B401"/>
  <c r="G401" s="1"/>
  <c r="C401"/>
  <c r="H401" s="1"/>
  <c r="E401"/>
  <c r="J401" s="1"/>
  <c r="F402"/>
  <c r="K402" s="1"/>
  <c r="G402"/>
  <c r="H402"/>
  <c r="I402"/>
  <c r="J402"/>
  <c r="B403"/>
  <c r="G403" s="1"/>
  <c r="C403"/>
  <c r="H403" s="1"/>
  <c r="E403"/>
  <c r="J403" s="1"/>
  <c r="B404"/>
  <c r="E404"/>
  <c r="J404" s="1"/>
  <c r="C405"/>
  <c r="H405" s="1"/>
  <c r="E405"/>
  <c r="J405" s="1"/>
  <c r="E406"/>
  <c r="J406" s="1"/>
  <c r="F407"/>
  <c r="K407" s="1"/>
  <c r="G407"/>
  <c r="H407"/>
  <c r="I407"/>
  <c r="J407"/>
  <c r="E408"/>
  <c r="J408" s="1"/>
  <c r="B409"/>
  <c r="G409" s="1"/>
  <c r="C409"/>
  <c r="H409" s="1"/>
  <c r="D409"/>
  <c r="I409" s="1"/>
  <c r="E409"/>
  <c r="J409" s="1"/>
  <c r="B410"/>
  <c r="C411"/>
  <c r="H411" s="1"/>
  <c r="E411"/>
  <c r="J411" s="1"/>
  <c r="F412"/>
  <c r="K412" s="1"/>
  <c r="G412"/>
  <c r="H412"/>
  <c r="I412"/>
  <c r="J412"/>
  <c r="C413"/>
  <c r="H413" s="1"/>
  <c r="E413"/>
  <c r="J413" s="1"/>
  <c r="B414"/>
  <c r="E414"/>
  <c r="B415"/>
  <c r="B416"/>
  <c r="D415"/>
  <c r="E416"/>
  <c r="J416" s="1"/>
  <c r="C415"/>
  <c r="H415" s="1"/>
  <c r="C416"/>
  <c r="H416" s="1"/>
  <c r="E431"/>
  <c r="U431" s="1"/>
  <c r="B432"/>
  <c r="E433"/>
  <c r="J433" s="1"/>
  <c r="D432"/>
  <c r="I432" s="1"/>
  <c r="B434"/>
  <c r="G434" s="1"/>
  <c r="C434"/>
  <c r="H434" s="1"/>
  <c r="E434"/>
  <c r="J434" s="1"/>
  <c r="F435"/>
  <c r="B436"/>
  <c r="R435" s="1"/>
  <c r="C436"/>
  <c r="S435" s="1"/>
  <c r="E436"/>
  <c r="U435" s="1"/>
  <c r="B437"/>
  <c r="B438"/>
  <c r="R437" s="1"/>
  <c r="C438"/>
  <c r="S437" s="1"/>
  <c r="E438"/>
  <c r="U437" s="1"/>
  <c r="B439"/>
  <c r="B441"/>
  <c r="C441"/>
  <c r="S439" s="1"/>
  <c r="E441"/>
  <c r="U439" s="1"/>
  <c r="F440"/>
  <c r="C442"/>
  <c r="S440" s="1"/>
  <c r="B443"/>
  <c r="C444"/>
  <c r="S442" s="1"/>
  <c r="E444"/>
  <c r="U442" s="1"/>
  <c r="B446"/>
  <c r="F445"/>
  <c r="C448"/>
  <c r="S445" s="1"/>
  <c r="B449"/>
  <c r="B461"/>
  <c r="C461"/>
  <c r="D461"/>
  <c r="E461"/>
  <c r="B463"/>
  <c r="B465"/>
  <c r="E465"/>
  <c r="J465" s="1"/>
  <c r="C466"/>
  <c r="E466"/>
  <c r="J466" s="1"/>
  <c r="E468"/>
  <c r="B469"/>
  <c r="E470"/>
  <c r="B471"/>
  <c r="C474"/>
  <c r="E474"/>
  <c r="J474" s="1"/>
  <c r="B475"/>
  <c r="C475"/>
  <c r="H475" s="1"/>
  <c r="E475"/>
  <c r="J475" s="1"/>
  <c r="C476"/>
  <c r="C478"/>
  <c r="H478" s="1"/>
  <c r="B479"/>
  <c r="C479"/>
  <c r="H479" s="1"/>
  <c r="E479"/>
  <c r="J479" s="1"/>
  <c r="E480"/>
  <c r="J480" s="1"/>
  <c r="B481"/>
  <c r="B493"/>
  <c r="E493"/>
  <c r="C495"/>
  <c r="B496"/>
  <c r="G496" s="1"/>
  <c r="B497"/>
  <c r="C496"/>
  <c r="H496" s="1"/>
  <c r="E496"/>
  <c r="J496" s="1"/>
  <c r="D496"/>
  <c r="I496" s="1"/>
  <c r="C498"/>
  <c r="H498" s="1"/>
  <c r="F499"/>
  <c r="B500"/>
  <c r="C500"/>
  <c r="H500" s="1"/>
  <c r="E500"/>
  <c r="C502"/>
  <c r="H502" s="1"/>
  <c r="E502"/>
  <c r="C503"/>
  <c r="H503" s="1"/>
  <c r="E503"/>
  <c r="J503" s="1"/>
  <c r="F504"/>
  <c r="B505"/>
  <c r="G505" s="1"/>
  <c r="C505"/>
  <c r="H505" s="1"/>
  <c r="D505"/>
  <c r="I505" s="1"/>
  <c r="E505"/>
  <c r="J505" s="1"/>
  <c r="E507"/>
  <c r="J507" s="1"/>
  <c r="C508"/>
  <c r="H508" s="1"/>
  <c r="E508"/>
  <c r="J508" s="1"/>
  <c r="F509"/>
  <c r="B510"/>
  <c r="C510"/>
  <c r="H510" s="1"/>
  <c r="D510"/>
  <c r="I510" s="1"/>
  <c r="E510"/>
  <c r="C512"/>
  <c r="H512" s="1"/>
  <c r="E512"/>
  <c r="J512" s="1"/>
  <c r="C513"/>
  <c r="H513" s="1"/>
  <c r="B525"/>
  <c r="C525"/>
  <c r="E525"/>
  <c r="F526"/>
  <c r="C528"/>
  <c r="H528" s="1"/>
  <c r="B529"/>
  <c r="C529"/>
  <c r="H529" s="1"/>
  <c r="E529"/>
  <c r="J529" s="1"/>
  <c r="C530"/>
  <c r="H530" s="1"/>
  <c r="E530"/>
  <c r="J530" s="1"/>
  <c r="F531"/>
  <c r="B532"/>
  <c r="G532" s="1"/>
  <c r="C532"/>
  <c r="H532" s="1"/>
  <c r="D532"/>
  <c r="I532" s="1"/>
  <c r="E532"/>
  <c r="J532" s="1"/>
  <c r="C534"/>
  <c r="H534" s="1"/>
  <c r="E534"/>
  <c r="C535"/>
  <c r="H535" s="1"/>
  <c r="F536"/>
  <c r="C538"/>
  <c r="H538" s="1"/>
  <c r="B539"/>
  <c r="G539" s="1"/>
  <c r="C539"/>
  <c r="H539" s="1"/>
  <c r="E539"/>
  <c r="J539" s="1"/>
  <c r="C540"/>
  <c r="H540" s="1"/>
  <c r="F541"/>
  <c r="B542"/>
  <c r="G542" s="1"/>
  <c r="C542"/>
  <c r="H542" s="1"/>
  <c r="E542"/>
  <c r="J542" s="1"/>
  <c r="C543"/>
  <c r="H543" s="1"/>
  <c r="B544"/>
  <c r="G544" s="1"/>
  <c r="C544"/>
  <c r="E544"/>
  <c r="J544" s="1"/>
  <c r="C545"/>
  <c r="H545" s="1"/>
  <c r="R385" i="8" l="1"/>
  <c r="AF385" s="1"/>
  <c r="S1302"/>
  <c r="AG1302" s="1"/>
  <c r="S371"/>
  <c r="AG371" s="1"/>
  <c r="Q371"/>
  <c r="S385"/>
  <c r="AG385" s="1"/>
  <c r="Q385"/>
  <c r="AA1044"/>
  <c r="AG1044"/>
  <c r="S1721"/>
  <c r="Q1721"/>
  <c r="S1326"/>
  <c r="AG1326" s="1"/>
  <c r="Q1326"/>
  <c r="X1721"/>
  <c r="Y1721" s="1"/>
  <c r="AA1721" s="1"/>
  <c r="AF1721"/>
  <c r="G56" i="59"/>
  <c r="C56"/>
  <c r="I98"/>
  <c r="I95"/>
  <c r="D276" i="22"/>
  <c r="I276" s="1"/>
  <c r="B277"/>
  <c r="I106" i="59"/>
  <c r="I108"/>
  <c r="I100"/>
  <c r="T432" i="22"/>
  <c r="S237"/>
  <c r="C493"/>
  <c r="E478"/>
  <c r="J478" s="1"/>
  <c r="D525"/>
  <c r="E513"/>
  <c r="J513" s="1"/>
  <c r="D500"/>
  <c r="I500" s="1"/>
  <c r="E498"/>
  <c r="J498" s="1"/>
  <c r="D497"/>
  <c r="I497" s="1"/>
  <c r="E497"/>
  <c r="J497" s="1"/>
  <c r="C497"/>
  <c r="H497" s="1"/>
  <c r="E495"/>
  <c r="D493"/>
  <c r="E481"/>
  <c r="J481" s="1"/>
  <c r="E471"/>
  <c r="J471" s="1"/>
  <c r="E442"/>
  <c r="D441"/>
  <c r="T439" s="1"/>
  <c r="D438"/>
  <c r="D436"/>
  <c r="T435" s="1"/>
  <c r="E410"/>
  <c r="J410" s="1"/>
  <c r="D403"/>
  <c r="I403" s="1"/>
  <c r="E399"/>
  <c r="J399" s="1"/>
  <c r="E398"/>
  <c r="J398" s="1"/>
  <c r="C382"/>
  <c r="E379"/>
  <c r="E377"/>
  <c r="C372"/>
  <c r="H372" s="1"/>
  <c r="E371"/>
  <c r="E370"/>
  <c r="C348"/>
  <c r="H348" s="1"/>
  <c r="C344"/>
  <c r="E341"/>
  <c r="E339"/>
  <c r="E338"/>
  <c r="C336"/>
  <c r="H336" s="1"/>
  <c r="C331"/>
  <c r="E316"/>
  <c r="J316" s="1"/>
  <c r="C310"/>
  <c r="H310" s="1"/>
  <c r="E309"/>
  <c r="C306"/>
  <c r="H306" s="1"/>
  <c r="C303"/>
  <c r="H303" s="1"/>
  <c r="C301"/>
  <c r="H301" s="1"/>
  <c r="C284"/>
  <c r="H284" s="1"/>
  <c r="C281"/>
  <c r="H281" s="1"/>
  <c r="E277"/>
  <c r="J277" s="1"/>
  <c r="E234"/>
  <c r="C188"/>
  <c r="G188" s="1"/>
  <c r="C170"/>
  <c r="C155"/>
  <c r="C153"/>
  <c r="G153" s="1"/>
  <c r="C151"/>
  <c r="C149"/>
  <c r="G149" s="1"/>
  <c r="C145"/>
  <c r="G145" s="1"/>
  <c r="C118"/>
  <c r="G118" s="1"/>
  <c r="D114"/>
  <c r="E114" s="1"/>
  <c r="C104"/>
  <c r="C77"/>
  <c r="C60"/>
  <c r="C50"/>
  <c r="D40"/>
  <c r="C16"/>
  <c r="S16" s="1"/>
  <c r="C14"/>
  <c r="S14" s="1"/>
  <c r="C12"/>
  <c r="S12" s="1"/>
  <c r="C63" i="59"/>
  <c r="G62"/>
  <c r="D60"/>
  <c r="C59"/>
  <c r="G58"/>
  <c r="U434" i="22"/>
  <c r="F237"/>
  <c r="F493"/>
  <c r="F369"/>
  <c r="N237"/>
  <c r="G91" i="59"/>
  <c r="E91"/>
  <c r="E90"/>
  <c r="G89"/>
  <c r="G110" s="1"/>
  <c r="C89"/>
  <c r="C110" s="1"/>
  <c r="G88"/>
  <c r="C88"/>
  <c r="E87"/>
  <c r="E86"/>
  <c r="E107" s="1"/>
  <c r="F85"/>
  <c r="D85"/>
  <c r="B85"/>
  <c r="G84"/>
  <c r="G105" s="1"/>
  <c r="C84"/>
  <c r="G83"/>
  <c r="E83"/>
  <c r="C83"/>
  <c r="E82"/>
  <c r="F81"/>
  <c r="D81"/>
  <c r="B81"/>
  <c r="G80"/>
  <c r="C80"/>
  <c r="G79"/>
  <c r="E79"/>
  <c r="C79"/>
  <c r="E78"/>
  <c r="E99" s="1"/>
  <c r="F77"/>
  <c r="D77"/>
  <c r="B77"/>
  <c r="G76"/>
  <c r="C76"/>
  <c r="F74"/>
  <c r="F95" s="1"/>
  <c r="D74"/>
  <c r="B74"/>
  <c r="G74"/>
  <c r="E74"/>
  <c r="C74"/>
  <c r="G69"/>
  <c r="E69"/>
  <c r="C69"/>
  <c r="F68"/>
  <c r="D68"/>
  <c r="B68"/>
  <c r="G67"/>
  <c r="C67"/>
  <c r="G66"/>
  <c r="E66"/>
  <c r="C66"/>
  <c r="E65"/>
  <c r="F64"/>
  <c r="D64"/>
  <c r="B64"/>
  <c r="G63"/>
  <c r="E62"/>
  <c r="C62"/>
  <c r="E61"/>
  <c r="F60"/>
  <c r="B60"/>
  <c r="B103" s="1"/>
  <c r="G59"/>
  <c r="E58"/>
  <c r="C58"/>
  <c r="E57"/>
  <c r="F55"/>
  <c r="D55"/>
  <c r="B55"/>
  <c r="F54"/>
  <c r="D54"/>
  <c r="B54"/>
  <c r="B97" s="1"/>
  <c r="F52"/>
  <c r="D52"/>
  <c r="J102"/>
  <c r="F505" i="22"/>
  <c r="K505" s="1"/>
  <c r="H474"/>
  <c r="H466"/>
  <c r="F438"/>
  <c r="V437" s="1"/>
  <c r="S434"/>
  <c r="F232"/>
  <c r="J112" i="59"/>
  <c r="J98"/>
  <c r="G55"/>
  <c r="J9"/>
  <c r="C55"/>
  <c r="G52"/>
  <c r="G95" s="1"/>
  <c r="J6"/>
  <c r="C52"/>
  <c r="C95" s="1"/>
  <c r="I105"/>
  <c r="G90"/>
  <c r="C90"/>
  <c r="E89"/>
  <c r="E110" s="1"/>
  <c r="E88"/>
  <c r="J109"/>
  <c r="G87"/>
  <c r="G86"/>
  <c r="C86"/>
  <c r="J107"/>
  <c r="G85"/>
  <c r="G106" s="1"/>
  <c r="E85"/>
  <c r="E84"/>
  <c r="J105"/>
  <c r="F83"/>
  <c r="D83"/>
  <c r="B83"/>
  <c r="G82"/>
  <c r="C82"/>
  <c r="J103"/>
  <c r="G81"/>
  <c r="G102" s="1"/>
  <c r="E81"/>
  <c r="E80"/>
  <c r="J101"/>
  <c r="F79"/>
  <c r="D79"/>
  <c r="B79"/>
  <c r="B100" s="1"/>
  <c r="G78"/>
  <c r="G99" s="1"/>
  <c r="C78"/>
  <c r="C99" s="1"/>
  <c r="G77"/>
  <c r="E77"/>
  <c r="E76"/>
  <c r="G68"/>
  <c r="E68"/>
  <c r="E67"/>
  <c r="F66"/>
  <c r="D66"/>
  <c r="B66"/>
  <c r="G65"/>
  <c r="C65"/>
  <c r="G64"/>
  <c r="E64"/>
  <c r="E63"/>
  <c r="F62"/>
  <c r="D62"/>
  <c r="B62"/>
  <c r="G61"/>
  <c r="G104" s="1"/>
  <c r="C61"/>
  <c r="G60"/>
  <c r="E60"/>
  <c r="E103" s="1"/>
  <c r="E59"/>
  <c r="F58"/>
  <c r="D58"/>
  <c r="B58"/>
  <c r="G57"/>
  <c r="C57"/>
  <c r="K8"/>
  <c r="F461" i="22"/>
  <c r="H444"/>
  <c r="F441"/>
  <c r="V439" s="1"/>
  <c r="K47" i="59"/>
  <c r="K45"/>
  <c r="K43"/>
  <c r="K41"/>
  <c r="K39"/>
  <c r="K37"/>
  <c r="K35"/>
  <c r="K33"/>
  <c r="K30"/>
  <c r="K22"/>
  <c r="K20"/>
  <c r="K18"/>
  <c r="K16"/>
  <c r="K14"/>
  <c r="K12"/>
  <c r="I111"/>
  <c r="C91"/>
  <c r="C112" s="1"/>
  <c r="C87"/>
  <c r="C85"/>
  <c r="C106" s="1"/>
  <c r="C81"/>
  <c r="C102" s="1"/>
  <c r="C77"/>
  <c r="C98" s="1"/>
  <c r="C68"/>
  <c r="C64"/>
  <c r="C60"/>
  <c r="E55"/>
  <c r="E52"/>
  <c r="J46"/>
  <c r="J44"/>
  <c r="J42"/>
  <c r="M42" s="1"/>
  <c r="T42" s="1"/>
  <c r="J40"/>
  <c r="J38"/>
  <c r="M38" s="1"/>
  <c r="T38" s="1"/>
  <c r="J36"/>
  <c r="J34"/>
  <c r="M34" s="1"/>
  <c r="T34" s="1"/>
  <c r="J32"/>
  <c r="J23"/>
  <c r="M23" s="1"/>
  <c r="T23" s="1"/>
  <c r="J21"/>
  <c r="J19"/>
  <c r="M19" s="1"/>
  <c r="T19" s="1"/>
  <c r="J17"/>
  <c r="J15"/>
  <c r="M15" s="1"/>
  <c r="T15" s="1"/>
  <c r="J13"/>
  <c r="J11"/>
  <c r="M11" s="1"/>
  <c r="T11" s="1"/>
  <c r="K9"/>
  <c r="M9" s="1"/>
  <c r="T9" s="1"/>
  <c r="K6"/>
  <c r="H98"/>
  <c r="D98"/>
  <c r="J95"/>
  <c r="H95"/>
  <c r="D95"/>
  <c r="F91"/>
  <c r="D91"/>
  <c r="B91"/>
  <c r="H111"/>
  <c r="K46"/>
  <c r="F89"/>
  <c r="F110" s="1"/>
  <c r="D89"/>
  <c r="D110" s="1"/>
  <c r="B89"/>
  <c r="K44"/>
  <c r="M44" s="1"/>
  <c r="T44" s="1"/>
  <c r="F87"/>
  <c r="D87"/>
  <c r="B87"/>
  <c r="K42"/>
  <c r="K40"/>
  <c r="K38"/>
  <c r="K36"/>
  <c r="K34"/>
  <c r="K32"/>
  <c r="K23"/>
  <c r="K21"/>
  <c r="K19"/>
  <c r="K17"/>
  <c r="K15"/>
  <c r="K13"/>
  <c r="K11"/>
  <c r="J111"/>
  <c r="J10"/>
  <c r="H476" i="22"/>
  <c r="G529"/>
  <c r="T437"/>
  <c r="I438"/>
  <c r="B433"/>
  <c r="G433" s="1"/>
  <c r="C433"/>
  <c r="H433" s="1"/>
  <c r="B413"/>
  <c r="G413" s="1"/>
  <c r="D413"/>
  <c r="I413" s="1"/>
  <c r="B411"/>
  <c r="D411"/>
  <c r="I411" s="1"/>
  <c r="B406"/>
  <c r="G406" s="1"/>
  <c r="C406"/>
  <c r="H406" s="1"/>
  <c r="B405"/>
  <c r="D405"/>
  <c r="I405" s="1"/>
  <c r="B396"/>
  <c r="D396"/>
  <c r="B375"/>
  <c r="C375"/>
  <c r="B374"/>
  <c r="D374"/>
  <c r="B367"/>
  <c r="C367"/>
  <c r="H367" s="1"/>
  <c r="B366"/>
  <c r="C366"/>
  <c r="D366"/>
  <c r="I366" s="1"/>
  <c r="E366"/>
  <c r="J374" s="1"/>
  <c r="B364"/>
  <c r="D364"/>
  <c r="B347"/>
  <c r="C347"/>
  <c r="H347" s="1"/>
  <c r="B346"/>
  <c r="D346"/>
  <c r="I346" s="1"/>
  <c r="B338"/>
  <c r="D338"/>
  <c r="I338" s="1"/>
  <c r="G316"/>
  <c r="G282"/>
  <c r="R16"/>
  <c r="C537"/>
  <c r="E545"/>
  <c r="J545" s="1"/>
  <c r="H544"/>
  <c r="D544"/>
  <c r="I544" s="1"/>
  <c r="E543"/>
  <c r="J543" s="1"/>
  <c r="D542"/>
  <c r="I542" s="1"/>
  <c r="E540"/>
  <c r="J540" s="1"/>
  <c r="D539"/>
  <c r="I539" s="1"/>
  <c r="E538"/>
  <c r="J538" s="1"/>
  <c r="D537"/>
  <c r="I537" s="1"/>
  <c r="E535"/>
  <c r="J535" s="1"/>
  <c r="F532"/>
  <c r="K532" s="1"/>
  <c r="D529"/>
  <c r="I529" s="1"/>
  <c r="E528"/>
  <c r="J528" s="1"/>
  <c r="D527"/>
  <c r="I527" s="1"/>
  <c r="B527"/>
  <c r="G527" s="1"/>
  <c r="F525"/>
  <c r="F496"/>
  <c r="K496" s="1"/>
  <c r="D495"/>
  <c r="I495" s="1"/>
  <c r="B495"/>
  <c r="C481"/>
  <c r="H481" s="1"/>
  <c r="D480"/>
  <c r="I480" s="1"/>
  <c r="D476"/>
  <c r="I476" s="1"/>
  <c r="B476"/>
  <c r="G476" s="1"/>
  <c r="C473"/>
  <c r="H473" s="1"/>
  <c r="C471"/>
  <c r="H471" s="1"/>
  <c r="C469"/>
  <c r="H469" s="1"/>
  <c r="D468"/>
  <c r="I468" s="1"/>
  <c r="C465"/>
  <c r="H465" s="1"/>
  <c r="C463"/>
  <c r="D448"/>
  <c r="T445" s="1"/>
  <c r="B448"/>
  <c r="R445" s="1"/>
  <c r="E447"/>
  <c r="C447"/>
  <c r="D365"/>
  <c r="F365" s="1"/>
  <c r="U440"/>
  <c r="J442"/>
  <c r="B442"/>
  <c r="R440" s="1"/>
  <c r="D442"/>
  <c r="T440" s="1"/>
  <c r="R439"/>
  <c r="G441"/>
  <c r="B431"/>
  <c r="R431" s="1"/>
  <c r="C431"/>
  <c r="S431" s="1"/>
  <c r="B408"/>
  <c r="C408"/>
  <c r="H408" s="1"/>
  <c r="B400"/>
  <c r="C400"/>
  <c r="H400" s="1"/>
  <c r="B399"/>
  <c r="G414" s="1"/>
  <c r="D399"/>
  <c r="I399" s="1"/>
  <c r="B380"/>
  <c r="C380"/>
  <c r="H380" s="1"/>
  <c r="B379"/>
  <c r="D379"/>
  <c r="I379" s="1"/>
  <c r="B371"/>
  <c r="G365" s="1"/>
  <c r="D371"/>
  <c r="I371" s="1"/>
  <c r="B362"/>
  <c r="D362"/>
  <c r="B342"/>
  <c r="C342"/>
  <c r="B341"/>
  <c r="D341"/>
  <c r="B334"/>
  <c r="G332" s="1"/>
  <c r="C334"/>
  <c r="H334" s="1"/>
  <c r="G277"/>
  <c r="R247"/>
  <c r="R243"/>
  <c r="R242"/>
  <c r="G244"/>
  <c r="R240"/>
  <c r="G241"/>
  <c r="R238"/>
  <c r="G239"/>
  <c r="E476"/>
  <c r="J476" s="1"/>
  <c r="E469"/>
  <c r="E463"/>
  <c r="E448"/>
  <c r="J365"/>
  <c r="E209"/>
  <c r="I209" s="1"/>
  <c r="F409"/>
  <c r="K409" s="1"/>
  <c r="J382"/>
  <c r="J377"/>
  <c r="F376"/>
  <c r="E333"/>
  <c r="J337" s="1"/>
  <c r="D333"/>
  <c r="I333" s="1"/>
  <c r="C333"/>
  <c r="D331"/>
  <c r="F331" s="1"/>
  <c r="C329"/>
  <c r="D316"/>
  <c r="I316" s="1"/>
  <c r="D314"/>
  <c r="F314" s="1"/>
  <c r="D311"/>
  <c r="D309"/>
  <c r="C305"/>
  <c r="H305" s="1"/>
  <c r="D304"/>
  <c r="I304" s="1"/>
  <c r="D301"/>
  <c r="I301" s="1"/>
  <c r="E300"/>
  <c r="J300" s="1"/>
  <c r="C300"/>
  <c r="H300" s="1"/>
  <c r="C298"/>
  <c r="C283"/>
  <c r="H283" s="1"/>
  <c r="D282"/>
  <c r="I282" s="1"/>
  <c r="C278"/>
  <c r="H278" s="1"/>
  <c r="D277"/>
  <c r="I277" s="1"/>
  <c r="N251"/>
  <c r="H250"/>
  <c r="D250"/>
  <c r="T247" s="1"/>
  <c r="N247"/>
  <c r="D245"/>
  <c r="T243" s="1"/>
  <c r="D244"/>
  <c r="F244" s="1"/>
  <c r="D241"/>
  <c r="F241" s="1"/>
  <c r="D239"/>
  <c r="F239" s="1"/>
  <c r="D235"/>
  <c r="T235" s="1"/>
  <c r="C220"/>
  <c r="C218"/>
  <c r="G218" s="1"/>
  <c r="D205"/>
  <c r="D203"/>
  <c r="E203" s="1"/>
  <c r="C204"/>
  <c r="E204" s="1"/>
  <c r="I204" s="1"/>
  <c r="D186"/>
  <c r="D182"/>
  <c r="D180"/>
  <c r="D178"/>
  <c r="H178" s="1"/>
  <c r="D170"/>
  <c r="E170" s="1"/>
  <c r="D140"/>
  <c r="C140"/>
  <c r="D112"/>
  <c r="D106"/>
  <c r="E106" s="1"/>
  <c r="D91"/>
  <c r="E91" s="1"/>
  <c r="D89"/>
  <c r="E89" s="1"/>
  <c r="D87"/>
  <c r="H87" s="1"/>
  <c r="D85"/>
  <c r="D81"/>
  <c r="D79"/>
  <c r="D60"/>
  <c r="D58"/>
  <c r="D52"/>
  <c r="D48"/>
  <c r="E48" s="1"/>
  <c r="D42"/>
  <c r="D16"/>
  <c r="C7"/>
  <c r="S7" s="1"/>
  <c r="B110" i="59"/>
  <c r="H448" i="22"/>
  <c r="J444"/>
  <c r="H442"/>
  <c r="F442"/>
  <c r="V440" s="1"/>
  <c r="H382"/>
  <c r="G381"/>
  <c r="J380"/>
  <c r="G376"/>
  <c r="J375"/>
  <c r="G343"/>
  <c r="G309"/>
  <c r="G306"/>
  <c r="H251"/>
  <c r="F251"/>
  <c r="V248" s="1"/>
  <c r="F247"/>
  <c r="V245" s="1"/>
  <c r="F209"/>
  <c r="E139"/>
  <c r="J47" i="59"/>
  <c r="M47" s="1"/>
  <c r="T47" s="1"/>
  <c r="J45"/>
  <c r="J43"/>
  <c r="M43" s="1"/>
  <c r="T43" s="1"/>
  <c r="J41"/>
  <c r="J39"/>
  <c r="M39" s="1"/>
  <c r="T39" s="1"/>
  <c r="J37"/>
  <c r="J35"/>
  <c r="M35" s="1"/>
  <c r="T35" s="1"/>
  <c r="J33"/>
  <c r="J97"/>
  <c r="J30"/>
  <c r="J22"/>
  <c r="M22" s="1"/>
  <c r="T22" s="1"/>
  <c r="J20"/>
  <c r="J18"/>
  <c r="M18" s="1"/>
  <c r="T18" s="1"/>
  <c r="J106"/>
  <c r="J16"/>
  <c r="M16" s="1"/>
  <c r="T16" s="1"/>
  <c r="J104"/>
  <c r="J14"/>
  <c r="M14" s="1"/>
  <c r="T14" s="1"/>
  <c r="J12"/>
  <c r="J100"/>
  <c r="K10"/>
  <c r="G54"/>
  <c r="G97" s="1"/>
  <c r="J8"/>
  <c r="C54"/>
  <c r="B56"/>
  <c r="F510" i="22"/>
  <c r="G364"/>
  <c r="N232"/>
  <c r="E219"/>
  <c r="K55" i="59"/>
  <c r="B90"/>
  <c r="B88"/>
  <c r="B86"/>
  <c r="B84"/>
  <c r="B82"/>
  <c r="B80"/>
  <c r="B78"/>
  <c r="H97"/>
  <c r="B76"/>
  <c r="B69"/>
  <c r="B112" s="1"/>
  <c r="B67"/>
  <c r="H108"/>
  <c r="B65"/>
  <c r="H106"/>
  <c r="B63"/>
  <c r="B61"/>
  <c r="B104" s="1"/>
  <c r="B59"/>
  <c r="H100"/>
  <c r="B57"/>
  <c r="G481" i="22"/>
  <c r="G471"/>
  <c r="G465"/>
  <c r="R441"/>
  <c r="G443"/>
  <c r="R433"/>
  <c r="G415"/>
  <c r="G410"/>
  <c r="G404"/>
  <c r="G398"/>
  <c r="G382"/>
  <c r="G372"/>
  <c r="G349"/>
  <c r="G339"/>
  <c r="G315"/>
  <c r="G313"/>
  <c r="G310"/>
  <c r="G303"/>
  <c r="G299"/>
  <c r="G281"/>
  <c r="G252"/>
  <c r="R249"/>
  <c r="R246"/>
  <c r="G249"/>
  <c r="R244"/>
  <c r="G246"/>
  <c r="G235"/>
  <c r="R235"/>
  <c r="G314"/>
  <c r="G311"/>
  <c r="G304"/>
  <c r="G301"/>
  <c r="G237"/>
  <c r="B545"/>
  <c r="D545"/>
  <c r="I545" s="1"/>
  <c r="B543"/>
  <c r="D543"/>
  <c r="I543" s="1"/>
  <c r="B540"/>
  <c r="D540"/>
  <c r="I540" s="1"/>
  <c r="B538"/>
  <c r="D538"/>
  <c r="I538" s="1"/>
  <c r="B535"/>
  <c r="D535"/>
  <c r="I535" s="1"/>
  <c r="B533"/>
  <c r="D533"/>
  <c r="I533" s="1"/>
  <c r="B530"/>
  <c r="D530"/>
  <c r="I530" s="1"/>
  <c r="B528"/>
  <c r="D528"/>
  <c r="I528" s="1"/>
  <c r="B513"/>
  <c r="D513"/>
  <c r="I513" s="1"/>
  <c r="B511"/>
  <c r="D511"/>
  <c r="I511" s="1"/>
  <c r="B508"/>
  <c r="D508"/>
  <c r="I508" s="1"/>
  <c r="B506"/>
  <c r="D506"/>
  <c r="I506" s="1"/>
  <c r="B503"/>
  <c r="D503"/>
  <c r="I503" s="1"/>
  <c r="B501"/>
  <c r="D501"/>
  <c r="I501" s="1"/>
  <c r="B498"/>
  <c r="D498"/>
  <c r="I498" s="1"/>
  <c r="G497"/>
  <c r="G479"/>
  <c r="G475"/>
  <c r="G449"/>
  <c r="R446"/>
  <c r="R443"/>
  <c r="G439"/>
  <c r="R438"/>
  <c r="R436"/>
  <c r="G432"/>
  <c r="R432"/>
  <c r="G416"/>
  <c r="G408"/>
  <c r="G400"/>
  <c r="G375"/>
  <c r="G347"/>
  <c r="G337"/>
  <c r="G308"/>
  <c r="G305"/>
  <c r="G300"/>
  <c r="G298"/>
  <c r="G283"/>
  <c r="G242"/>
  <c r="R241"/>
  <c r="G240"/>
  <c r="R239"/>
  <c r="G236"/>
  <c r="R236"/>
  <c r="G234"/>
  <c r="R234"/>
  <c r="B175"/>
  <c r="D175"/>
  <c r="B173"/>
  <c r="D173"/>
  <c r="B172"/>
  <c r="D172"/>
  <c r="B154"/>
  <c r="D154"/>
  <c r="B150"/>
  <c r="D150"/>
  <c r="H150" s="1"/>
  <c r="B148"/>
  <c r="D148"/>
  <c r="B146"/>
  <c r="D146"/>
  <c r="B144"/>
  <c r="D144"/>
  <c r="B123"/>
  <c r="D123"/>
  <c r="B121"/>
  <c r="D121"/>
  <c r="B119"/>
  <c r="D119"/>
  <c r="B117"/>
  <c r="D117"/>
  <c r="B113"/>
  <c r="D113"/>
  <c r="B107"/>
  <c r="C107"/>
  <c r="B92"/>
  <c r="D92"/>
  <c r="H92" s="1"/>
  <c r="B74"/>
  <c r="D74"/>
  <c r="B72"/>
  <c r="D72"/>
  <c r="B57"/>
  <c r="D57"/>
  <c r="B55"/>
  <c r="D55"/>
  <c r="B49"/>
  <c r="D49"/>
  <c r="B43"/>
  <c r="C43"/>
  <c r="B27"/>
  <c r="D27"/>
  <c r="B25"/>
  <c r="D25"/>
  <c r="B21"/>
  <c r="D21"/>
  <c r="B19"/>
  <c r="D19"/>
  <c r="B17"/>
  <c r="D17"/>
  <c r="T11"/>
  <c r="E11"/>
  <c r="R11"/>
  <c r="T9"/>
  <c r="R7"/>
  <c r="B111" i="59"/>
  <c r="B107"/>
  <c r="B99"/>
  <c r="B108"/>
  <c r="B106"/>
  <c r="B102"/>
  <c r="E176" i="22"/>
  <c r="E143"/>
  <c r="E141"/>
  <c r="E124"/>
  <c r="E122"/>
  <c r="E75"/>
  <c r="I75" s="1"/>
  <c r="E40"/>
  <c r="M46" i="59"/>
  <c r="T46" s="1"/>
  <c r="M40"/>
  <c r="T40" s="1"/>
  <c r="U41" s="1"/>
  <c r="M36"/>
  <c r="T36" s="1"/>
  <c r="M32"/>
  <c r="T32" s="1"/>
  <c r="M21"/>
  <c r="T21" s="1"/>
  <c r="M17"/>
  <c r="T17" s="1"/>
  <c r="M13"/>
  <c r="T13" s="1"/>
  <c r="M6"/>
  <c r="T6" s="1"/>
  <c r="B214" i="22"/>
  <c r="D214"/>
  <c r="B212"/>
  <c r="D212"/>
  <c r="H212" s="1"/>
  <c r="B210"/>
  <c r="D210"/>
  <c r="B208"/>
  <c r="D208"/>
  <c r="H208" s="1"/>
  <c r="F204"/>
  <c r="B202"/>
  <c r="F205" s="1"/>
  <c r="D202"/>
  <c r="B200"/>
  <c r="D200"/>
  <c r="B187"/>
  <c r="D187"/>
  <c r="B185"/>
  <c r="D185"/>
  <c r="B183"/>
  <c r="D183"/>
  <c r="B181"/>
  <c r="D181"/>
  <c r="B177"/>
  <c r="D177"/>
  <c r="B171"/>
  <c r="C171"/>
  <c r="B156"/>
  <c r="D156"/>
  <c r="H156" s="1"/>
  <c r="B138"/>
  <c r="F141" s="1"/>
  <c r="D138"/>
  <c r="B136"/>
  <c r="D136"/>
  <c r="B111"/>
  <c r="D111"/>
  <c r="B109"/>
  <c r="D109"/>
  <c r="B108"/>
  <c r="F124" s="1"/>
  <c r="D108"/>
  <c r="B90"/>
  <c r="D90"/>
  <c r="B86"/>
  <c r="D86"/>
  <c r="H86" s="1"/>
  <c r="B84"/>
  <c r="D84"/>
  <c r="B82"/>
  <c r="D82"/>
  <c r="B80"/>
  <c r="D80"/>
  <c r="H80" s="1"/>
  <c r="B59"/>
  <c r="D59"/>
  <c r="B53"/>
  <c r="D53"/>
  <c r="B47"/>
  <c r="D47"/>
  <c r="B45"/>
  <c r="D45"/>
  <c r="B44"/>
  <c r="D44"/>
  <c r="B15"/>
  <c r="D15"/>
  <c r="D10"/>
  <c r="B10"/>
  <c r="B9"/>
  <c r="C9"/>
  <c r="D481"/>
  <c r="I481" s="1"/>
  <c r="D479"/>
  <c r="I479" s="1"/>
  <c r="D475"/>
  <c r="I475" s="1"/>
  <c r="D473"/>
  <c r="I473" s="1"/>
  <c r="D471"/>
  <c r="I471" s="1"/>
  <c r="D469"/>
  <c r="I469" s="1"/>
  <c r="D465"/>
  <c r="I465" s="1"/>
  <c r="E464"/>
  <c r="C464"/>
  <c r="H464" s="1"/>
  <c r="D463"/>
  <c r="I463" s="1"/>
  <c r="I448"/>
  <c r="E449"/>
  <c r="D449"/>
  <c r="C449"/>
  <c r="E446"/>
  <c r="D446"/>
  <c r="C446"/>
  <c r="G442"/>
  <c r="E443"/>
  <c r="D443"/>
  <c r="C443"/>
  <c r="J441"/>
  <c r="H441"/>
  <c r="E439"/>
  <c r="D439"/>
  <c r="C439"/>
  <c r="H438"/>
  <c r="E437"/>
  <c r="D437"/>
  <c r="C437"/>
  <c r="H436"/>
  <c r="R434"/>
  <c r="U433"/>
  <c r="S433"/>
  <c r="D433"/>
  <c r="E432"/>
  <c r="C432"/>
  <c r="D431"/>
  <c r="E415"/>
  <c r="D416"/>
  <c r="I416" s="1"/>
  <c r="D414"/>
  <c r="D410"/>
  <c r="I410" s="1"/>
  <c r="D408"/>
  <c r="I408" s="1"/>
  <c r="D406"/>
  <c r="I406" s="1"/>
  <c r="D404"/>
  <c r="I404" s="1"/>
  <c r="D400"/>
  <c r="I400" s="1"/>
  <c r="D398"/>
  <c r="I398" s="1"/>
  <c r="D382"/>
  <c r="I382" s="1"/>
  <c r="D380"/>
  <c r="D377"/>
  <c r="D375"/>
  <c r="D372"/>
  <c r="D370"/>
  <c r="I370" s="1"/>
  <c r="D367"/>
  <c r="I367" s="1"/>
  <c r="D349"/>
  <c r="I349" s="1"/>
  <c r="D347"/>
  <c r="D344"/>
  <c r="D342"/>
  <c r="D339"/>
  <c r="D337"/>
  <c r="I337" s="1"/>
  <c r="D334"/>
  <c r="I334" s="1"/>
  <c r="D329"/>
  <c r="D315"/>
  <c r="I315" s="1"/>
  <c r="D313"/>
  <c r="I313" s="1"/>
  <c r="D310"/>
  <c r="D308"/>
  <c r="D305"/>
  <c r="I305" s="1"/>
  <c r="D303"/>
  <c r="I303" s="1"/>
  <c r="E299"/>
  <c r="D300"/>
  <c r="I300" s="1"/>
  <c r="C299"/>
  <c r="D298"/>
  <c r="D296"/>
  <c r="F296" s="1"/>
  <c r="D283"/>
  <c r="I283" s="1"/>
  <c r="D281"/>
  <c r="I281" s="1"/>
  <c r="D278"/>
  <c r="I278" s="1"/>
  <c r="G251"/>
  <c r="G250"/>
  <c r="E252"/>
  <c r="D252"/>
  <c r="C252"/>
  <c r="G247"/>
  <c r="E249"/>
  <c r="D249"/>
  <c r="C249"/>
  <c r="G245"/>
  <c r="E246"/>
  <c r="D246"/>
  <c r="C246"/>
  <c r="H244"/>
  <c r="E242"/>
  <c r="D242"/>
  <c r="C242"/>
  <c r="N241"/>
  <c r="H241"/>
  <c r="E240"/>
  <c r="D240"/>
  <c r="C240"/>
  <c r="V237"/>
  <c r="T237"/>
  <c r="R237"/>
  <c r="U236"/>
  <c r="U234"/>
  <c r="E235"/>
  <c r="D236"/>
  <c r="C235"/>
  <c r="D234"/>
  <c r="D220"/>
  <c r="D218"/>
  <c r="E217"/>
  <c r="I217" s="1"/>
  <c r="E215"/>
  <c r="E213"/>
  <c r="E207"/>
  <c r="F203"/>
  <c r="E178"/>
  <c r="I178" s="1"/>
  <c r="C175"/>
  <c r="C173"/>
  <c r="C154"/>
  <c r="G154" s="1"/>
  <c r="C150"/>
  <c r="G150" s="1"/>
  <c r="C148"/>
  <c r="C146"/>
  <c r="G146" s="1"/>
  <c r="C144"/>
  <c r="C123"/>
  <c r="G123" s="1"/>
  <c r="C121"/>
  <c r="C119"/>
  <c r="C117"/>
  <c r="G117" s="1"/>
  <c r="F116"/>
  <c r="C113"/>
  <c r="C92"/>
  <c r="G92" s="1"/>
  <c r="E79"/>
  <c r="C74"/>
  <c r="C72"/>
  <c r="E60"/>
  <c r="C57"/>
  <c r="C55"/>
  <c r="E54"/>
  <c r="E52"/>
  <c r="C49"/>
  <c r="C27"/>
  <c r="R26"/>
  <c r="C25"/>
  <c r="R24"/>
  <c r="R22"/>
  <c r="C21"/>
  <c r="R20"/>
  <c r="C19"/>
  <c r="C17"/>
  <c r="R12"/>
  <c r="M10" i="59"/>
  <c r="T10" s="1"/>
  <c r="B98"/>
  <c r="B95"/>
  <c r="F90"/>
  <c r="F111" s="1"/>
  <c r="D90"/>
  <c r="D111" s="1"/>
  <c r="F88"/>
  <c r="F109" s="1"/>
  <c r="D88"/>
  <c r="D109" s="1"/>
  <c r="F86"/>
  <c r="F107" s="1"/>
  <c r="D86"/>
  <c r="D107" s="1"/>
  <c r="F84"/>
  <c r="F105" s="1"/>
  <c r="D84"/>
  <c r="D105" s="1"/>
  <c r="F82"/>
  <c r="F103" s="1"/>
  <c r="D82"/>
  <c r="D103" s="1"/>
  <c r="F80"/>
  <c r="F101" s="1"/>
  <c r="D80"/>
  <c r="D101" s="1"/>
  <c r="F78"/>
  <c r="D78"/>
  <c r="F76"/>
  <c r="F97" s="1"/>
  <c r="D76"/>
  <c r="D97" s="1"/>
  <c r="F69"/>
  <c r="D69"/>
  <c r="D112" s="1"/>
  <c r="F67"/>
  <c r="D67"/>
  <c r="F65"/>
  <c r="D65"/>
  <c r="D108" s="1"/>
  <c r="F63"/>
  <c r="D63"/>
  <c r="D106" s="1"/>
  <c r="F61"/>
  <c r="D61"/>
  <c r="D104" s="1"/>
  <c r="F59"/>
  <c r="F102" s="1"/>
  <c r="D59"/>
  <c r="D102" s="1"/>
  <c r="F57"/>
  <c r="F100" s="1"/>
  <c r="D57"/>
  <c r="D100" s="1"/>
  <c r="F56"/>
  <c r="D56"/>
  <c r="E54"/>
  <c r="E97" s="1"/>
  <c r="D7" i="22"/>
  <c r="T7" s="1"/>
  <c r="G342" l="1"/>
  <c r="G380"/>
  <c r="G377"/>
  <c r="G367"/>
  <c r="K442"/>
  <c r="G370"/>
  <c r="G334"/>
  <c r="G344"/>
  <c r="G331"/>
  <c r="F413"/>
  <c r="K413" s="1"/>
  <c r="E95" i="59"/>
  <c r="C111"/>
  <c r="E111"/>
  <c r="F542" i="22"/>
  <c r="K542" s="1"/>
  <c r="J342"/>
  <c r="J347"/>
  <c r="F207"/>
  <c r="F366"/>
  <c r="J379"/>
  <c r="E140"/>
  <c r="F122"/>
  <c r="N239"/>
  <c r="N244"/>
  <c r="J415"/>
  <c r="F433"/>
  <c r="I442"/>
  <c r="G448"/>
  <c r="F497"/>
  <c r="K497" s="1"/>
  <c r="F436"/>
  <c r="V435" s="1"/>
  <c r="I436"/>
  <c r="I441"/>
  <c r="E16"/>
  <c r="J372"/>
  <c r="J376"/>
  <c r="J381"/>
  <c r="F403"/>
  <c r="K403" s="1"/>
  <c r="K441"/>
  <c r="F500"/>
  <c r="F448"/>
  <c r="V445" s="1"/>
  <c r="C276"/>
  <c r="H276" s="1"/>
  <c r="B276"/>
  <c r="G276" s="1"/>
  <c r="E276"/>
  <c r="J276" s="1"/>
  <c r="G151"/>
  <c r="E109" i="59"/>
  <c r="K74"/>
  <c r="K52"/>
  <c r="L119" s="1"/>
  <c r="G100"/>
  <c r="G109"/>
  <c r="M8"/>
  <c r="T8" s="1"/>
  <c r="M33"/>
  <c r="T33" s="1"/>
  <c r="M37"/>
  <c r="T37" s="1"/>
  <c r="M41"/>
  <c r="T41" s="1"/>
  <c r="M45"/>
  <c r="T45" s="1"/>
  <c r="G204" i="22"/>
  <c r="J370"/>
  <c r="G141"/>
  <c r="F14"/>
  <c r="F176"/>
  <c r="F155"/>
  <c r="F153"/>
  <c r="F145"/>
  <c r="F143"/>
  <c r="F139"/>
  <c r="F58"/>
  <c r="F77"/>
  <c r="F118"/>
  <c r="F50"/>
  <c r="F114"/>
  <c r="F149"/>
  <c r="F151"/>
  <c r="F170"/>
  <c r="F333"/>
  <c r="C108" i="59"/>
  <c r="F108"/>
  <c r="G107"/>
  <c r="C97"/>
  <c r="C100"/>
  <c r="C105"/>
  <c r="F106"/>
  <c r="F112"/>
  <c r="C103"/>
  <c r="F104"/>
  <c r="C101"/>
  <c r="C104"/>
  <c r="C109"/>
  <c r="N245" i="22"/>
  <c r="J367"/>
  <c r="F539"/>
  <c r="K539" s="1"/>
  <c r="E98" i="59"/>
  <c r="C107"/>
  <c r="G98"/>
  <c r="F11" i="22"/>
  <c r="F140"/>
  <c r="J236"/>
  <c r="F99" i="59"/>
  <c r="G148" i="22"/>
  <c r="G11"/>
  <c r="F26"/>
  <c r="G366"/>
  <c r="K62" i="59"/>
  <c r="K83"/>
  <c r="D99"/>
  <c r="G333" i="22"/>
  <c r="F495"/>
  <c r="C533"/>
  <c r="H533" s="1"/>
  <c r="E533"/>
  <c r="J533" s="1"/>
  <c r="C511"/>
  <c r="H511" s="1"/>
  <c r="E511"/>
  <c r="J511" s="1"/>
  <c r="B507"/>
  <c r="D507"/>
  <c r="I507" s="1"/>
  <c r="C501"/>
  <c r="E501"/>
  <c r="B473"/>
  <c r="G473" s="1"/>
  <c r="E473"/>
  <c r="J473" s="1"/>
  <c r="B470"/>
  <c r="D470"/>
  <c r="I470" s="1"/>
  <c r="B464"/>
  <c r="D464"/>
  <c r="I464" s="1"/>
  <c r="B537"/>
  <c r="G537" s="1"/>
  <c r="E537"/>
  <c r="J537" s="1"/>
  <c r="B534"/>
  <c r="D534"/>
  <c r="I534" s="1"/>
  <c r="C527"/>
  <c r="H527" s="1"/>
  <c r="E527"/>
  <c r="J527" s="1"/>
  <c r="B512"/>
  <c r="D512"/>
  <c r="I512" s="1"/>
  <c r="C506"/>
  <c r="H506" s="1"/>
  <c r="E506"/>
  <c r="J506" s="1"/>
  <c r="B502"/>
  <c r="D502"/>
  <c r="I502" s="1"/>
  <c r="B480"/>
  <c r="C480"/>
  <c r="H480" s="1"/>
  <c r="B478"/>
  <c r="D478"/>
  <c r="I478" s="1"/>
  <c r="B474"/>
  <c r="D474"/>
  <c r="I474" s="1"/>
  <c r="B468"/>
  <c r="C468"/>
  <c r="H468" s="1"/>
  <c r="B466"/>
  <c r="D466"/>
  <c r="I466" s="1"/>
  <c r="B447"/>
  <c r="D447"/>
  <c r="B444"/>
  <c r="D444"/>
  <c r="C507"/>
  <c r="H507" s="1"/>
  <c r="C470"/>
  <c r="H470" s="1"/>
  <c r="D434"/>
  <c r="F429"/>
  <c r="C414"/>
  <c r="H414" s="1"/>
  <c r="C410"/>
  <c r="H410" s="1"/>
  <c r="C404"/>
  <c r="H404" s="1"/>
  <c r="D401"/>
  <c r="C398"/>
  <c r="H398" s="1"/>
  <c r="D381"/>
  <c r="I380" s="1"/>
  <c r="C377"/>
  <c r="C370"/>
  <c r="E362"/>
  <c r="D348"/>
  <c r="D343"/>
  <c r="F343" s="1"/>
  <c r="C339"/>
  <c r="H339" s="1"/>
  <c r="D336"/>
  <c r="D332"/>
  <c r="F332" s="1"/>
  <c r="E329"/>
  <c r="C316"/>
  <c r="H316" s="1"/>
  <c r="C313"/>
  <c r="H313" s="1"/>
  <c r="C311"/>
  <c r="C309"/>
  <c r="F309" s="1"/>
  <c r="D306"/>
  <c r="F306" s="1"/>
  <c r="E305"/>
  <c r="C304"/>
  <c r="H304" s="1"/>
  <c r="E298"/>
  <c r="J299" s="1"/>
  <c r="D284"/>
  <c r="E283"/>
  <c r="J283" s="1"/>
  <c r="C282"/>
  <c r="H282" s="1"/>
  <c r="D279"/>
  <c r="E278"/>
  <c r="C277"/>
  <c r="H277" s="1"/>
  <c r="D274"/>
  <c r="C236"/>
  <c r="F236" s="1"/>
  <c r="V236" s="1"/>
  <c r="C234"/>
  <c r="C205"/>
  <c r="G215" s="1"/>
  <c r="D188"/>
  <c r="H183" s="1"/>
  <c r="C186"/>
  <c r="C182"/>
  <c r="C180"/>
  <c r="D168"/>
  <c r="E168" s="1"/>
  <c r="D155"/>
  <c r="E155" s="1"/>
  <c r="D153"/>
  <c r="E153" s="1"/>
  <c r="D151"/>
  <c r="E151" s="1"/>
  <c r="D149"/>
  <c r="E149" s="1"/>
  <c r="D145"/>
  <c r="E145" s="1"/>
  <c r="D118"/>
  <c r="E118" s="1"/>
  <c r="D116"/>
  <c r="C112"/>
  <c r="E112" s="1"/>
  <c r="D104"/>
  <c r="E104" s="1"/>
  <c r="C87"/>
  <c r="C85"/>
  <c r="D77"/>
  <c r="E77" s="1"/>
  <c r="C76"/>
  <c r="D76"/>
  <c r="H76" s="1"/>
  <c r="C58"/>
  <c r="E58" s="1"/>
  <c r="D50"/>
  <c r="H49" s="1"/>
  <c r="C42"/>
  <c r="G52" s="1"/>
  <c r="D26"/>
  <c r="D24"/>
  <c r="D22"/>
  <c r="D20"/>
  <c r="D14"/>
  <c r="D12"/>
  <c r="AG9" i="8"/>
  <c r="R9"/>
  <c r="AF9" s="1"/>
  <c r="AE1721"/>
  <c r="AG1721" s="1"/>
  <c r="K89" i="59"/>
  <c r="B101"/>
  <c r="B105"/>
  <c r="B109"/>
  <c r="M12"/>
  <c r="T12" s="1"/>
  <c r="M20"/>
  <c r="T20" s="1"/>
  <c r="M30"/>
  <c r="T30" s="1"/>
  <c r="K91"/>
  <c r="E101"/>
  <c r="E105"/>
  <c r="G101"/>
  <c r="F20" i="22"/>
  <c r="F180"/>
  <c r="K60" i="59"/>
  <c r="F98"/>
  <c r="E104"/>
  <c r="E108"/>
  <c r="E112"/>
  <c r="E100"/>
  <c r="G112"/>
  <c r="H207" i="22"/>
  <c r="F52"/>
  <c r="F79"/>
  <c r="G369"/>
  <c r="G108" i="59"/>
  <c r="J438" i="22"/>
  <c r="F16"/>
  <c r="K58" i="59"/>
  <c r="K66"/>
  <c r="K79"/>
  <c r="E102"/>
  <c r="G103"/>
  <c r="E106"/>
  <c r="G111"/>
  <c r="G140" i="22"/>
  <c r="G143"/>
  <c r="J332"/>
  <c r="J336"/>
  <c r="J366"/>
  <c r="J369"/>
  <c r="G144"/>
  <c r="J244"/>
  <c r="J239"/>
  <c r="J241"/>
  <c r="G14"/>
  <c r="F24"/>
  <c r="F81"/>
  <c r="F329"/>
  <c r="G336"/>
  <c r="J338"/>
  <c r="G534"/>
  <c r="G470"/>
  <c r="J303"/>
  <c r="J371"/>
  <c r="G502"/>
  <c r="G16"/>
  <c r="K87" i="59"/>
  <c r="K77"/>
  <c r="K98" s="1"/>
  <c r="K122" s="1"/>
  <c r="K68"/>
  <c r="K81"/>
  <c r="K85"/>
  <c r="K64"/>
  <c r="U16" i="22"/>
  <c r="V240"/>
  <c r="T238"/>
  <c r="I239"/>
  <c r="T242"/>
  <c r="I244"/>
  <c r="G341"/>
  <c r="F341"/>
  <c r="G371"/>
  <c r="F371"/>
  <c r="G379"/>
  <c r="F379"/>
  <c r="G399"/>
  <c r="F399"/>
  <c r="K399" s="1"/>
  <c r="U444"/>
  <c r="J447"/>
  <c r="G338"/>
  <c r="F338"/>
  <c r="G346"/>
  <c r="F346"/>
  <c r="G374"/>
  <c r="F374"/>
  <c r="G405"/>
  <c r="F405"/>
  <c r="K405" s="1"/>
  <c r="G411"/>
  <c r="F411"/>
  <c r="K411" s="1"/>
  <c r="G57"/>
  <c r="H181"/>
  <c r="G155"/>
  <c r="G510"/>
  <c r="G220"/>
  <c r="J339"/>
  <c r="J343"/>
  <c r="E81"/>
  <c r="J341"/>
  <c r="F245"/>
  <c r="V243" s="1"/>
  <c r="N250"/>
  <c r="F362"/>
  <c r="I365"/>
  <c r="F544"/>
  <c r="K544" s="1"/>
  <c r="F364"/>
  <c r="F396"/>
  <c r="J364"/>
  <c r="F476"/>
  <c r="K476" s="1"/>
  <c r="T16"/>
  <c r="T240"/>
  <c r="I241"/>
  <c r="H331"/>
  <c r="H333"/>
  <c r="J333"/>
  <c r="J331"/>
  <c r="U445"/>
  <c r="J448"/>
  <c r="S444"/>
  <c r="H447"/>
  <c r="H537"/>
  <c r="H366"/>
  <c r="G55"/>
  <c r="G139"/>
  <c r="I372"/>
  <c r="F300"/>
  <c r="K300" s="1"/>
  <c r="F305"/>
  <c r="F465"/>
  <c r="K465" s="1"/>
  <c r="I343"/>
  <c r="J344"/>
  <c r="J349"/>
  <c r="F250"/>
  <c r="V247" s="1"/>
  <c r="I341"/>
  <c r="G138"/>
  <c r="F301"/>
  <c r="J346"/>
  <c r="F468"/>
  <c r="I374"/>
  <c r="J334"/>
  <c r="F529"/>
  <c r="K529" s="1"/>
  <c r="V238"/>
  <c r="K54" i="59"/>
  <c r="K56"/>
  <c r="L127" s="1"/>
  <c r="K67"/>
  <c r="L129" s="1"/>
  <c r="H218" i="22"/>
  <c r="V242"/>
  <c r="G17"/>
  <c r="S17"/>
  <c r="I234"/>
  <c r="T234"/>
  <c r="I240"/>
  <c r="T239"/>
  <c r="T244"/>
  <c r="I246"/>
  <c r="T246"/>
  <c r="I249"/>
  <c r="J432"/>
  <c r="U432"/>
  <c r="I437"/>
  <c r="T436"/>
  <c r="T441"/>
  <c r="I443"/>
  <c r="G19"/>
  <c r="S19"/>
  <c r="G25"/>
  <c r="S25"/>
  <c r="G77"/>
  <c r="G74"/>
  <c r="H235"/>
  <c r="S235"/>
  <c r="H245"/>
  <c r="J235"/>
  <c r="U235"/>
  <c r="J237"/>
  <c r="J245"/>
  <c r="J247"/>
  <c r="J250"/>
  <c r="J251"/>
  <c r="S239"/>
  <c r="H240"/>
  <c r="U239"/>
  <c r="J240"/>
  <c r="S241"/>
  <c r="H242"/>
  <c r="U241"/>
  <c r="J242"/>
  <c r="H246"/>
  <c r="S244"/>
  <c r="J246"/>
  <c r="U244"/>
  <c r="H249"/>
  <c r="S246"/>
  <c r="J249"/>
  <c r="U246"/>
  <c r="S249"/>
  <c r="H252"/>
  <c r="U249"/>
  <c r="J252"/>
  <c r="H299"/>
  <c r="H309"/>
  <c r="J301"/>
  <c r="J309"/>
  <c r="J314"/>
  <c r="H432"/>
  <c r="S432"/>
  <c r="I433"/>
  <c r="T433"/>
  <c r="S436"/>
  <c r="H437"/>
  <c r="U436"/>
  <c r="J437"/>
  <c r="I439"/>
  <c r="T438"/>
  <c r="H443"/>
  <c r="S441"/>
  <c r="J443"/>
  <c r="U441"/>
  <c r="H446"/>
  <c r="S443"/>
  <c r="J446"/>
  <c r="U443"/>
  <c r="S446"/>
  <c r="H449"/>
  <c r="U446"/>
  <c r="J449"/>
  <c r="E9"/>
  <c r="R9"/>
  <c r="F9"/>
  <c r="H10"/>
  <c r="T10"/>
  <c r="H12"/>
  <c r="H22"/>
  <c r="H26"/>
  <c r="F15"/>
  <c r="R15"/>
  <c r="E15"/>
  <c r="F44"/>
  <c r="E44"/>
  <c r="F45"/>
  <c r="E45"/>
  <c r="F47"/>
  <c r="E47"/>
  <c r="F53"/>
  <c r="E53"/>
  <c r="F59"/>
  <c r="E59"/>
  <c r="F80"/>
  <c r="E80"/>
  <c r="I80" s="1"/>
  <c r="F82"/>
  <c r="E82"/>
  <c r="F84"/>
  <c r="E84"/>
  <c r="F86"/>
  <c r="E86"/>
  <c r="I86" s="1"/>
  <c r="F90"/>
  <c r="E90"/>
  <c r="F108"/>
  <c r="E108"/>
  <c r="I108" s="1"/>
  <c r="F109"/>
  <c r="E109"/>
  <c r="F111"/>
  <c r="E111"/>
  <c r="F138"/>
  <c r="E138"/>
  <c r="F156"/>
  <c r="E156"/>
  <c r="I156" s="1"/>
  <c r="E171"/>
  <c r="F171"/>
  <c r="F182"/>
  <c r="F186"/>
  <c r="F177"/>
  <c r="E177"/>
  <c r="F181"/>
  <c r="E181"/>
  <c r="F183"/>
  <c r="E183"/>
  <c r="F185"/>
  <c r="E185"/>
  <c r="F187"/>
  <c r="E187"/>
  <c r="F202"/>
  <c r="E202"/>
  <c r="F213"/>
  <c r="F215"/>
  <c r="F219"/>
  <c r="F208"/>
  <c r="E208"/>
  <c r="I208" s="1"/>
  <c r="F210"/>
  <c r="E210"/>
  <c r="F212"/>
  <c r="E212"/>
  <c r="I212" s="1"/>
  <c r="F214"/>
  <c r="E214"/>
  <c r="T17"/>
  <c r="T19"/>
  <c r="T21"/>
  <c r="T25"/>
  <c r="T27"/>
  <c r="G43"/>
  <c r="G50"/>
  <c r="G58"/>
  <c r="G45"/>
  <c r="G59"/>
  <c r="H74"/>
  <c r="H91"/>
  <c r="H77"/>
  <c r="H85"/>
  <c r="H89"/>
  <c r="G106"/>
  <c r="G107"/>
  <c r="G112"/>
  <c r="G124"/>
  <c r="G109"/>
  <c r="H172"/>
  <c r="H170"/>
  <c r="H176"/>
  <c r="H182"/>
  <c r="H186"/>
  <c r="K433"/>
  <c r="V433"/>
  <c r="F12"/>
  <c r="F22"/>
  <c r="H60"/>
  <c r="G173"/>
  <c r="H220"/>
  <c r="I245"/>
  <c r="I247"/>
  <c r="I250"/>
  <c r="I310"/>
  <c r="I414"/>
  <c r="E136"/>
  <c r="E200"/>
  <c r="K57" i="59"/>
  <c r="L122" s="1"/>
  <c r="K59"/>
  <c r="K61"/>
  <c r="L123" s="1"/>
  <c r="K63"/>
  <c r="L134" s="1"/>
  <c r="K65"/>
  <c r="K69"/>
  <c r="K76"/>
  <c r="K78"/>
  <c r="K80"/>
  <c r="K101" s="1"/>
  <c r="K125" s="1"/>
  <c r="K82"/>
  <c r="K84"/>
  <c r="K105" s="1"/>
  <c r="K129" s="1"/>
  <c r="K86"/>
  <c r="K107" s="1"/>
  <c r="K131" s="1"/>
  <c r="K88"/>
  <c r="K90"/>
  <c r="H9" i="22"/>
  <c r="H57"/>
  <c r="H119"/>
  <c r="H123"/>
  <c r="H146"/>
  <c r="H173"/>
  <c r="H114"/>
  <c r="J234"/>
  <c r="I309"/>
  <c r="J414"/>
  <c r="H463"/>
  <c r="F234"/>
  <c r="F240"/>
  <c r="F242"/>
  <c r="F278"/>
  <c r="F283"/>
  <c r="K283" s="1"/>
  <c r="F308"/>
  <c r="F337"/>
  <c r="F342"/>
  <c r="F347"/>
  <c r="F370"/>
  <c r="F375"/>
  <c r="F380"/>
  <c r="F400"/>
  <c r="K400" s="1"/>
  <c r="F406"/>
  <c r="K406" s="1"/>
  <c r="F408"/>
  <c r="K408" s="1"/>
  <c r="F414"/>
  <c r="F416"/>
  <c r="K416" s="1"/>
  <c r="F437"/>
  <c r="F446"/>
  <c r="H149"/>
  <c r="H234"/>
  <c r="J310"/>
  <c r="I311"/>
  <c r="J313"/>
  <c r="I314"/>
  <c r="I415"/>
  <c r="E218"/>
  <c r="E220"/>
  <c r="N235"/>
  <c r="N246"/>
  <c r="N249"/>
  <c r="N252"/>
  <c r="F299"/>
  <c r="G21"/>
  <c r="S21"/>
  <c r="G27"/>
  <c r="S27"/>
  <c r="I236"/>
  <c r="T236"/>
  <c r="I242"/>
  <c r="T241"/>
  <c r="I252"/>
  <c r="T249"/>
  <c r="T431"/>
  <c r="I431"/>
  <c r="S438"/>
  <c r="H439"/>
  <c r="U438"/>
  <c r="J439"/>
  <c r="T443"/>
  <c r="I446"/>
  <c r="I449"/>
  <c r="T446"/>
  <c r="J464"/>
  <c r="J468"/>
  <c r="G12"/>
  <c r="G20"/>
  <c r="G22"/>
  <c r="G24"/>
  <c r="G26"/>
  <c r="G9"/>
  <c r="S9"/>
  <c r="G10"/>
  <c r="G15"/>
  <c r="F10"/>
  <c r="R10"/>
  <c r="E10"/>
  <c r="H15"/>
  <c r="T15"/>
  <c r="H44"/>
  <c r="H58"/>
  <c r="H107"/>
  <c r="H108"/>
  <c r="H124"/>
  <c r="H139"/>
  <c r="G170"/>
  <c r="G171"/>
  <c r="G176"/>
  <c r="G183"/>
  <c r="H202"/>
  <c r="H203"/>
  <c r="H205"/>
  <c r="H213"/>
  <c r="H215"/>
  <c r="H219"/>
  <c r="U11"/>
  <c r="F17"/>
  <c r="R17"/>
  <c r="E17"/>
  <c r="F19"/>
  <c r="R19"/>
  <c r="E19"/>
  <c r="F21"/>
  <c r="R21"/>
  <c r="E21"/>
  <c r="F25"/>
  <c r="R25"/>
  <c r="E25"/>
  <c r="F27"/>
  <c r="R27"/>
  <c r="E27"/>
  <c r="E43"/>
  <c r="F43"/>
  <c r="F42"/>
  <c r="F48"/>
  <c r="F54"/>
  <c r="F60"/>
  <c r="F49"/>
  <c r="E49"/>
  <c r="F55"/>
  <c r="E55"/>
  <c r="F57"/>
  <c r="E57"/>
  <c r="F74"/>
  <c r="E74"/>
  <c r="F85"/>
  <c r="F89"/>
  <c r="F91"/>
  <c r="F92"/>
  <c r="E92"/>
  <c r="I92" s="1"/>
  <c r="E107"/>
  <c r="F107"/>
  <c r="F106"/>
  <c r="F112"/>
  <c r="F113"/>
  <c r="E113"/>
  <c r="F117"/>
  <c r="E117"/>
  <c r="F119"/>
  <c r="E119"/>
  <c r="F121"/>
  <c r="E121"/>
  <c r="F123"/>
  <c r="E123"/>
  <c r="F144"/>
  <c r="E144"/>
  <c r="F146"/>
  <c r="E146"/>
  <c r="F148"/>
  <c r="E148"/>
  <c r="F150"/>
  <c r="E150"/>
  <c r="I150" s="1"/>
  <c r="F154"/>
  <c r="E154"/>
  <c r="I154" s="1"/>
  <c r="E172"/>
  <c r="I172" s="1"/>
  <c r="F172"/>
  <c r="F173"/>
  <c r="E173"/>
  <c r="F175"/>
  <c r="E175"/>
  <c r="F498"/>
  <c r="K498" s="1"/>
  <c r="G498"/>
  <c r="F501"/>
  <c r="K501" s="1"/>
  <c r="G501"/>
  <c r="F503"/>
  <c r="K503" s="1"/>
  <c r="G503"/>
  <c r="F506"/>
  <c r="K506" s="1"/>
  <c r="G506"/>
  <c r="F508"/>
  <c r="K508" s="1"/>
  <c r="G508"/>
  <c r="F511"/>
  <c r="K511" s="1"/>
  <c r="G511"/>
  <c r="F513"/>
  <c r="K513" s="1"/>
  <c r="G513"/>
  <c r="F528"/>
  <c r="K528" s="1"/>
  <c r="G528"/>
  <c r="F530"/>
  <c r="K530" s="1"/>
  <c r="G530"/>
  <c r="F533"/>
  <c r="K533" s="1"/>
  <c r="G533"/>
  <c r="F535"/>
  <c r="K535" s="1"/>
  <c r="G535"/>
  <c r="F538"/>
  <c r="K538" s="1"/>
  <c r="G538"/>
  <c r="F540"/>
  <c r="K540" s="1"/>
  <c r="G540"/>
  <c r="F543"/>
  <c r="K543" s="1"/>
  <c r="G543"/>
  <c r="F545"/>
  <c r="K545" s="1"/>
  <c r="G545"/>
  <c r="I251"/>
  <c r="J436"/>
  <c r="H45"/>
  <c r="H53"/>
  <c r="H59"/>
  <c r="H109"/>
  <c r="H210"/>
  <c r="H214"/>
  <c r="E7"/>
  <c r="U7" s="1"/>
  <c r="E72"/>
  <c r="H118"/>
  <c r="I235"/>
  <c r="J298"/>
  <c r="H431"/>
  <c r="N234"/>
  <c r="N240"/>
  <c r="N242"/>
  <c r="F432"/>
  <c r="F439"/>
  <c r="F449"/>
  <c r="F464"/>
  <c r="K464" s="1"/>
  <c r="F469"/>
  <c r="F475"/>
  <c r="K475" s="1"/>
  <c r="F479"/>
  <c r="K479" s="1"/>
  <c r="H106"/>
  <c r="H151"/>
  <c r="H298"/>
  <c r="J431"/>
  <c r="F218"/>
  <c r="F220"/>
  <c r="F235"/>
  <c r="F246"/>
  <c r="F249"/>
  <c r="F252"/>
  <c r="F276"/>
  <c r="K276" s="1"/>
  <c r="F281"/>
  <c r="K281" s="1"/>
  <c r="F303"/>
  <c r="F310"/>
  <c r="F313"/>
  <c r="F315"/>
  <c r="K315" s="1"/>
  <c r="F334"/>
  <c r="F339"/>
  <c r="F344"/>
  <c r="F349"/>
  <c r="F367"/>
  <c r="F372"/>
  <c r="F377"/>
  <c r="F382"/>
  <c r="F398"/>
  <c r="K398" s="1"/>
  <c r="F404"/>
  <c r="K404" s="1"/>
  <c r="F410"/>
  <c r="K410" s="1"/>
  <c r="F415"/>
  <c r="F431"/>
  <c r="F443"/>
  <c r="F463"/>
  <c r="F471"/>
  <c r="K471" s="1"/>
  <c r="F473"/>
  <c r="K473" s="1"/>
  <c r="F481"/>
  <c r="K481" s="1"/>
  <c r="G49" l="1"/>
  <c r="H364"/>
  <c r="H50"/>
  <c r="H43"/>
  <c r="H55"/>
  <c r="H48"/>
  <c r="H17"/>
  <c r="H20"/>
  <c r="H24"/>
  <c r="G91"/>
  <c r="H117"/>
  <c r="J305"/>
  <c r="M122" i="59"/>
  <c r="I122" s="1"/>
  <c r="M127"/>
  <c r="I127" s="1"/>
  <c r="M123"/>
  <c r="I123" s="1"/>
  <c r="M134"/>
  <c r="I134" s="1"/>
  <c r="M129"/>
  <c r="I129" s="1"/>
  <c r="M119"/>
  <c r="I119" s="1"/>
  <c r="H155" i="22"/>
  <c r="H138"/>
  <c r="F298"/>
  <c r="H154"/>
  <c r="H144"/>
  <c r="H121"/>
  <c r="K111" i="59"/>
  <c r="K135" s="1"/>
  <c r="K103"/>
  <c r="K127" s="1"/>
  <c r="K99"/>
  <c r="K123" s="1"/>
  <c r="L135"/>
  <c r="G53" i="22"/>
  <c r="G60"/>
  <c r="G54"/>
  <c r="G48"/>
  <c r="G42"/>
  <c r="H27"/>
  <c r="H25"/>
  <c r="H21"/>
  <c r="H19"/>
  <c r="J311"/>
  <c r="J306"/>
  <c r="F277"/>
  <c r="K277" s="1"/>
  <c r="G202"/>
  <c r="F537"/>
  <c r="K537" s="1"/>
  <c r="F527"/>
  <c r="K527" s="1"/>
  <c r="G47"/>
  <c r="F447"/>
  <c r="F282"/>
  <c r="K282" s="1"/>
  <c r="I342"/>
  <c r="H122"/>
  <c r="H113"/>
  <c r="L133" i="59"/>
  <c r="H375" i="22"/>
  <c r="F316"/>
  <c r="K316" s="1"/>
  <c r="H342"/>
  <c r="F304"/>
  <c r="I332"/>
  <c r="I364"/>
  <c r="I377"/>
  <c r="I347"/>
  <c r="I308"/>
  <c r="I375"/>
  <c r="H16"/>
  <c r="I331"/>
  <c r="H185"/>
  <c r="H82"/>
  <c r="I339"/>
  <c r="H175"/>
  <c r="J534"/>
  <c r="K448"/>
  <c r="G79"/>
  <c r="H369"/>
  <c r="H81"/>
  <c r="H180"/>
  <c r="H177"/>
  <c r="L124" i="59"/>
  <c r="H171" i="22"/>
  <c r="H187"/>
  <c r="H90"/>
  <c r="I344"/>
  <c r="G121"/>
  <c r="H145"/>
  <c r="H52"/>
  <c r="H148"/>
  <c r="H143"/>
  <c r="H153"/>
  <c r="H47"/>
  <c r="J470"/>
  <c r="H247"/>
  <c r="B274"/>
  <c r="G274" s="1"/>
  <c r="E274"/>
  <c r="J274" s="1"/>
  <c r="C274"/>
  <c r="H274" s="1"/>
  <c r="H377"/>
  <c r="I306"/>
  <c r="I298"/>
  <c r="H344"/>
  <c r="H311"/>
  <c r="K95" i="59"/>
  <c r="K119" s="1"/>
  <c r="G119" i="22"/>
  <c r="H14"/>
  <c r="L125" i="59"/>
  <c r="L128"/>
  <c r="H141" i="22"/>
  <c r="I141"/>
  <c r="L136" i="59"/>
  <c r="K109"/>
  <c r="K133" s="1"/>
  <c r="K97"/>
  <c r="K121" s="1"/>
  <c r="L126"/>
  <c r="L121"/>
  <c r="L132"/>
  <c r="L131"/>
  <c r="L130"/>
  <c r="H11" i="22"/>
  <c r="K236"/>
  <c r="I140"/>
  <c r="E42"/>
  <c r="G44"/>
  <c r="H79"/>
  <c r="H111"/>
  <c r="H84"/>
  <c r="H42"/>
  <c r="H140"/>
  <c r="G84"/>
  <c r="H112"/>
  <c r="F534"/>
  <c r="K534" s="1"/>
  <c r="T14"/>
  <c r="E14"/>
  <c r="U14" s="1"/>
  <c r="T22"/>
  <c r="E22"/>
  <c r="U22" s="1"/>
  <c r="T26"/>
  <c r="E26"/>
  <c r="U26" s="1"/>
  <c r="E50"/>
  <c r="I58" s="1"/>
  <c r="H54"/>
  <c r="G87"/>
  <c r="E87"/>
  <c r="I87" s="1"/>
  <c r="G182"/>
  <c r="E182"/>
  <c r="H188"/>
  <c r="E188"/>
  <c r="I188" s="1"/>
  <c r="H239"/>
  <c r="S234"/>
  <c r="I274"/>
  <c r="I284"/>
  <c r="F284"/>
  <c r="I348"/>
  <c r="F348"/>
  <c r="K348" s="1"/>
  <c r="H370"/>
  <c r="H365"/>
  <c r="I381"/>
  <c r="F381"/>
  <c r="K377" s="1"/>
  <c r="I401"/>
  <c r="F401"/>
  <c r="K401" s="1"/>
  <c r="T442"/>
  <c r="I444"/>
  <c r="T444"/>
  <c r="I447"/>
  <c r="G463"/>
  <c r="G464"/>
  <c r="G469"/>
  <c r="H501"/>
  <c r="H495"/>
  <c r="G507"/>
  <c r="F507"/>
  <c r="K507" s="1"/>
  <c r="F470"/>
  <c r="G113"/>
  <c r="T12"/>
  <c r="E12"/>
  <c r="T20"/>
  <c r="E20"/>
  <c r="U20" s="1"/>
  <c r="T24"/>
  <c r="E24"/>
  <c r="U24" s="1"/>
  <c r="G76"/>
  <c r="E76"/>
  <c r="I76" s="1"/>
  <c r="G85"/>
  <c r="E85"/>
  <c r="I85" s="1"/>
  <c r="H116"/>
  <c r="E116"/>
  <c r="I113" s="1"/>
  <c r="G180"/>
  <c r="E180"/>
  <c r="G186"/>
  <c r="E186"/>
  <c r="I186" s="1"/>
  <c r="G205"/>
  <c r="E205"/>
  <c r="I207" s="1"/>
  <c r="G203"/>
  <c r="H236"/>
  <c r="S236"/>
  <c r="I279"/>
  <c r="F279"/>
  <c r="I336"/>
  <c r="F336"/>
  <c r="K333" s="1"/>
  <c r="I434"/>
  <c r="F434"/>
  <c r="T434"/>
  <c r="R442"/>
  <c r="G431"/>
  <c r="G446"/>
  <c r="F444"/>
  <c r="G438"/>
  <c r="G436"/>
  <c r="G437"/>
  <c r="G444"/>
  <c r="R444"/>
  <c r="G447"/>
  <c r="G466"/>
  <c r="F466"/>
  <c r="K466" s="1"/>
  <c r="G474"/>
  <c r="F474"/>
  <c r="K474" s="1"/>
  <c r="G478"/>
  <c r="F478"/>
  <c r="K478" s="1"/>
  <c r="G480"/>
  <c r="F480"/>
  <c r="K480" s="1"/>
  <c r="F502"/>
  <c r="G495"/>
  <c r="G512"/>
  <c r="F512"/>
  <c r="K512" s="1"/>
  <c r="J501"/>
  <c r="J500"/>
  <c r="J502"/>
  <c r="J495"/>
  <c r="J510"/>
  <c r="G468"/>
  <c r="F311"/>
  <c r="K303" s="1"/>
  <c r="J463"/>
  <c r="G175"/>
  <c r="G500"/>
  <c r="N236"/>
  <c r="I143"/>
  <c r="K110" i="59"/>
  <c r="K134" s="1"/>
  <c r="I148" i="22"/>
  <c r="I153"/>
  <c r="K244"/>
  <c r="K239"/>
  <c r="K371"/>
  <c r="K241"/>
  <c r="I145"/>
  <c r="I47"/>
  <c r="K367"/>
  <c r="K382"/>
  <c r="K372"/>
  <c r="K349"/>
  <c r="K380"/>
  <c r="K379"/>
  <c r="K374"/>
  <c r="V444"/>
  <c r="K447"/>
  <c r="I146"/>
  <c r="I144"/>
  <c r="K375"/>
  <c r="I151"/>
  <c r="I155"/>
  <c r="K376"/>
  <c r="K343"/>
  <c r="I149"/>
  <c r="I55"/>
  <c r="V431"/>
  <c r="K235"/>
  <c r="V235"/>
  <c r="K439"/>
  <c r="V438"/>
  <c r="U27"/>
  <c r="U21"/>
  <c r="U17"/>
  <c r="V443"/>
  <c r="K240"/>
  <c r="V239"/>
  <c r="K108" i="59"/>
  <c r="K132" s="1"/>
  <c r="K104"/>
  <c r="K128" s="1"/>
  <c r="K100"/>
  <c r="K124" s="1"/>
  <c r="I50" i="22"/>
  <c r="V246"/>
  <c r="K249"/>
  <c r="V441"/>
  <c r="K443"/>
  <c r="K252"/>
  <c r="V249"/>
  <c r="V244"/>
  <c r="K246"/>
  <c r="K449"/>
  <c r="V446"/>
  <c r="K432"/>
  <c r="V432"/>
  <c r="U25"/>
  <c r="U19"/>
  <c r="U10"/>
  <c r="V436"/>
  <c r="K242"/>
  <c r="V241"/>
  <c r="K234"/>
  <c r="V234"/>
  <c r="K237"/>
  <c r="K251"/>
  <c r="K250"/>
  <c r="K247"/>
  <c r="K245"/>
  <c r="K112" i="59"/>
  <c r="K136" s="1"/>
  <c r="K106"/>
  <c r="K130" s="1"/>
  <c r="K102"/>
  <c r="K126" s="1"/>
  <c r="I219" i="22"/>
  <c r="I138"/>
  <c r="I139"/>
  <c r="U15"/>
  <c r="U9"/>
  <c r="K415"/>
  <c r="I170"/>
  <c r="I91"/>
  <c r="I173"/>
  <c r="I123"/>
  <c r="I117"/>
  <c r="K414"/>
  <c r="I122"/>
  <c r="I106"/>
  <c r="I187"/>
  <c r="I183"/>
  <c r="I90"/>
  <c r="I59"/>
  <c r="I53"/>
  <c r="K369" l="1"/>
  <c r="K346"/>
  <c r="K344"/>
  <c r="K314"/>
  <c r="I45"/>
  <c r="I42"/>
  <c r="I48"/>
  <c r="I49"/>
  <c r="I43"/>
  <c r="I52"/>
  <c r="M131" i="59"/>
  <c r="I131" s="1"/>
  <c r="M121"/>
  <c r="I121" s="1"/>
  <c r="M136"/>
  <c r="I136" s="1"/>
  <c r="M125"/>
  <c r="I125" s="1"/>
  <c r="I60" i="22"/>
  <c r="I54"/>
  <c r="I57"/>
  <c r="M130" i="59"/>
  <c r="I130" s="1"/>
  <c r="M132"/>
  <c r="I132" s="1"/>
  <c r="M126"/>
  <c r="I126" s="1"/>
  <c r="M128"/>
  <c r="I128" s="1"/>
  <c r="M124"/>
  <c r="I124" s="1"/>
  <c r="M133"/>
  <c r="I133" s="1"/>
  <c r="M135"/>
  <c r="I135" s="1"/>
  <c r="K436" i="22"/>
  <c r="I27"/>
  <c r="K468"/>
  <c r="I112"/>
  <c r="K446"/>
  <c r="I21"/>
  <c r="I171"/>
  <c r="I25"/>
  <c r="I182"/>
  <c r="I82"/>
  <c r="I181"/>
  <c r="I185"/>
  <c r="I22"/>
  <c r="I89"/>
  <c r="I121"/>
  <c r="I77"/>
  <c r="I9"/>
  <c r="I15"/>
  <c r="I202"/>
  <c r="I19"/>
  <c r="I218"/>
  <c r="I220"/>
  <c r="K431"/>
  <c r="F274"/>
  <c r="K274" s="1"/>
  <c r="B273"/>
  <c r="D273"/>
  <c r="I273" s="1"/>
  <c r="C273"/>
  <c r="H273" s="1"/>
  <c r="E273"/>
  <c r="E272"/>
  <c r="J272" s="1"/>
  <c r="B272"/>
  <c r="D272"/>
  <c r="I272" s="1"/>
  <c r="C272"/>
  <c r="H272" s="1"/>
  <c r="K310"/>
  <c r="K313"/>
  <c r="K381"/>
  <c r="K438"/>
  <c r="K304"/>
  <c r="I214"/>
  <c r="I24"/>
  <c r="K364"/>
  <c r="K370"/>
  <c r="I84"/>
  <c r="J469"/>
  <c r="J308"/>
  <c r="J304"/>
  <c r="K463"/>
  <c r="K309"/>
  <c r="K341"/>
  <c r="K332"/>
  <c r="K305"/>
  <c r="I14"/>
  <c r="I177"/>
  <c r="I12"/>
  <c r="I109"/>
  <c r="I26"/>
  <c r="I119"/>
  <c r="I118"/>
  <c r="K469"/>
  <c r="I203"/>
  <c r="K437"/>
  <c r="I10"/>
  <c r="I176"/>
  <c r="K306"/>
  <c r="K301"/>
  <c r="K311"/>
  <c r="K298"/>
  <c r="I17"/>
  <c r="I210"/>
  <c r="I213"/>
  <c r="I20"/>
  <c r="I107"/>
  <c r="I114"/>
  <c r="K365"/>
  <c r="I215"/>
  <c r="K337"/>
  <c r="K299"/>
  <c r="K342"/>
  <c r="K336"/>
  <c r="K502"/>
  <c r="I180"/>
  <c r="K470"/>
  <c r="U12"/>
  <c r="I11"/>
  <c r="I44"/>
  <c r="K366"/>
  <c r="K347"/>
  <c r="K500"/>
  <c r="K334"/>
  <c r="K308"/>
  <c r="K510"/>
  <c r="K495"/>
  <c r="I74"/>
  <c r="K339"/>
  <c r="I111"/>
  <c r="I205"/>
  <c r="K331"/>
  <c r="K338"/>
  <c r="I81"/>
  <c r="I16"/>
  <c r="I175"/>
  <c r="I79"/>
  <c r="V442"/>
  <c r="K444"/>
  <c r="K434"/>
  <c r="V434"/>
  <c r="I116"/>
  <c r="I124"/>
  <c r="F273" l="1"/>
  <c r="G272"/>
  <c r="F272"/>
  <c r="K272" s="1"/>
  <c r="E271"/>
  <c r="B271"/>
  <c r="C271"/>
  <c r="H271" s="1"/>
  <c r="D271"/>
  <c r="I271" s="1"/>
  <c r="F271" l="1"/>
  <c r="C269"/>
  <c r="H269" s="1"/>
  <c r="B269"/>
  <c r="E269"/>
  <c r="D269"/>
  <c r="I269" s="1"/>
  <c r="C268"/>
  <c r="H268" s="1"/>
  <c r="B268"/>
  <c r="E268"/>
  <c r="J268" s="1"/>
  <c r="D268"/>
  <c r="I268" s="1"/>
  <c r="G268" l="1"/>
  <c r="F268"/>
  <c r="K268" s="1"/>
  <c r="F269"/>
  <c r="B264"/>
  <c r="E264"/>
  <c r="C264"/>
  <c r="D264"/>
  <c r="C266"/>
  <c r="B266"/>
  <c r="E266"/>
  <c r="D266"/>
  <c r="I266" s="1"/>
  <c r="B267"/>
  <c r="E267"/>
  <c r="J267" s="1"/>
  <c r="D267"/>
  <c r="I267" s="1"/>
  <c r="C267"/>
  <c r="H267" s="1"/>
  <c r="D10" i="21"/>
  <c r="B19"/>
  <c r="J21" i="53"/>
  <c r="M36"/>
  <c r="B24" i="21"/>
  <c r="J10"/>
  <c r="D28" i="53"/>
  <c r="O28"/>
  <c r="D9" i="21"/>
  <c r="J19"/>
  <c r="T30" i="53"/>
  <c r="L48"/>
  <c r="I24" i="21"/>
  <c r="J14" i="53"/>
  <c r="D13"/>
  <c r="O10"/>
  <c r="F14" i="21"/>
  <c r="L25"/>
  <c r="R12" i="53"/>
  <c r="J11"/>
  <c r="N21" i="21"/>
  <c r="M14"/>
  <c r="T55" i="53"/>
  <c r="T41"/>
  <c r="B27" i="21"/>
  <c r="I22"/>
  <c r="R20" i="53"/>
  <c r="S54"/>
  <c r="F10" i="21"/>
  <c r="M16"/>
  <c r="F44" i="53"/>
  <c r="T35"/>
  <c r="C17" i="21"/>
  <c r="D50" i="53"/>
  <c r="P53"/>
  <c r="S22"/>
  <c r="G10" i="21"/>
  <c r="S53" i="53"/>
  <c r="F40"/>
  <c r="G20"/>
  <c r="D22" i="21"/>
  <c r="S20" i="53"/>
  <c r="M49"/>
  <c r="D49"/>
  <c r="E25" i="21"/>
  <c r="N5" i="53"/>
  <c r="S45"/>
  <c r="D52"/>
  <c r="E27" i="21"/>
  <c r="N19"/>
  <c r="L41" i="53"/>
  <c r="T48"/>
  <c r="G7" i="21"/>
  <c r="T5" i="53"/>
  <c r="F30"/>
  <c r="N46"/>
  <c r="F20" i="21"/>
  <c r="K47" i="53"/>
  <c r="K11" i="21"/>
  <c r="J13" i="53"/>
  <c r="L12" i="21"/>
  <c r="M11" i="53"/>
  <c r="F53"/>
  <c r="L45"/>
  <c r="I17"/>
  <c r="G12"/>
  <c r="J17" i="21"/>
  <c r="J29" i="53"/>
  <c r="N7" i="21"/>
  <c r="K28" i="53"/>
  <c r="H34"/>
  <c r="C10" i="21"/>
  <c r="F54" i="53"/>
  <c r="H42"/>
  <c r="C12" i="21"/>
  <c r="M12" i="53"/>
  <c r="P11"/>
  <c r="Q22"/>
  <c r="E45"/>
  <c r="T19"/>
  <c r="T52"/>
  <c r="Q40"/>
  <c r="D17" i="21"/>
  <c r="M20" i="53"/>
  <c r="G9"/>
  <c r="N8"/>
  <c r="F5"/>
  <c r="Q28"/>
  <c r="F10"/>
  <c r="J55"/>
  <c r="M21" i="21"/>
  <c r="J9" i="53"/>
  <c r="I11" i="21"/>
  <c r="N26"/>
  <c r="M10"/>
  <c r="G16"/>
  <c r="M55" i="53"/>
  <c r="E43"/>
  <c r="D42"/>
  <c r="H41"/>
  <c r="N17" i="21"/>
  <c r="F25"/>
  <c r="S19" i="53"/>
  <c r="S35"/>
  <c r="G35"/>
  <c r="Q5"/>
  <c r="M12" i="21"/>
  <c r="H43" i="53"/>
  <c r="G24" i="21"/>
  <c r="H47" i="53"/>
  <c r="J46"/>
  <c r="E17"/>
  <c r="M17"/>
  <c r="D14"/>
  <c r="F11" i="21"/>
  <c r="E21"/>
  <c r="O19" i="53"/>
  <c r="R43"/>
  <c r="F12"/>
  <c r="J16"/>
  <c r="K12"/>
  <c r="P18"/>
  <c r="B25" i="21"/>
  <c r="N9"/>
  <c r="D9" i="53"/>
  <c r="N23"/>
  <c r="Q23"/>
  <c r="F42"/>
  <c r="D21" i="21"/>
  <c r="T23" i="53"/>
  <c r="S8"/>
  <c r="L26" i="21"/>
  <c r="G25"/>
  <c r="S23" i="53"/>
  <c r="S49"/>
  <c r="G32"/>
  <c r="F45"/>
  <c r="J35"/>
  <c r="S16"/>
  <c r="J9" i="21"/>
  <c r="S12" i="53"/>
  <c r="N35"/>
  <c r="K39"/>
  <c r="R40"/>
  <c r="M9" i="21"/>
  <c r="O21" i="53"/>
  <c r="G19" i="21"/>
  <c r="N16"/>
  <c r="E52" i="53"/>
  <c r="S40"/>
  <c r="H12"/>
  <c r="F51"/>
  <c r="N36"/>
  <c r="T29"/>
  <c r="F17" i="21"/>
  <c r="D45" i="53"/>
  <c r="R49"/>
  <c r="D39"/>
  <c r="K53"/>
  <c r="O35"/>
  <c r="P40"/>
  <c r="N28"/>
  <c r="I26" i="21"/>
  <c r="E24"/>
  <c r="T54" i="53"/>
  <c r="F36"/>
  <c r="R55"/>
  <c r="R46"/>
  <c r="L13"/>
  <c r="E20" i="21"/>
  <c r="G36" i="53"/>
  <c r="B7" i="21"/>
  <c r="B12"/>
  <c r="I14" i="53"/>
  <c r="G47"/>
  <c r="L10"/>
  <c r="T18"/>
  <c r="K14" i="21"/>
  <c r="N48" i="53"/>
  <c r="L20" i="21"/>
  <c r="K27"/>
  <c r="I22" i="53"/>
  <c r="G34"/>
  <c r="J20"/>
  <c r="K48"/>
  <c r="C19" i="21"/>
  <c r="S13" i="53"/>
  <c r="D35"/>
  <c r="I21"/>
  <c r="I27" i="21"/>
  <c r="K17" i="53"/>
  <c r="B9" i="21"/>
  <c r="E53" i="53"/>
  <c r="N24" i="21"/>
  <c r="I29" i="53"/>
  <c r="L20"/>
  <c r="S31"/>
  <c r="D17"/>
  <c r="I48"/>
  <c r="I44"/>
  <c r="K44"/>
  <c r="E16"/>
  <c r="H5"/>
  <c r="E19" i="21"/>
  <c r="C14"/>
  <c r="E47" i="53"/>
  <c r="O43"/>
  <c r="S18"/>
  <c r="I16"/>
  <c r="E23"/>
  <c r="D38"/>
  <c r="B14" i="21"/>
  <c r="E15"/>
  <c r="F14" i="53"/>
  <c r="I54"/>
  <c r="Q44"/>
  <c r="T16"/>
  <c r="E17" i="21"/>
  <c r="T51" i="53"/>
  <c r="K17" i="21"/>
  <c r="E22"/>
  <c r="E54" i="53"/>
  <c r="S42"/>
  <c r="D54"/>
  <c r="K32"/>
  <c r="E8"/>
  <c r="K8"/>
  <c r="J26" i="21"/>
  <c r="I14"/>
  <c r="N55" i="53"/>
  <c r="K21"/>
  <c r="T10"/>
  <c r="E55"/>
  <c r="G14"/>
  <c r="O5"/>
  <c r="I15" i="21"/>
  <c r="K49" i="53"/>
  <c r="Q31"/>
  <c r="I45"/>
  <c r="T21"/>
  <c r="G8"/>
  <c r="G22" i="21"/>
  <c r="B17"/>
  <c r="Q48" i="53"/>
  <c r="D15" i="21"/>
  <c r="C24"/>
  <c r="D48" i="53"/>
  <c r="J39"/>
  <c r="R32"/>
  <c r="Q55"/>
  <c r="F39"/>
  <c r="K31"/>
  <c r="L18"/>
  <c r="N19"/>
  <c r="J27" i="21"/>
  <c r="D12"/>
  <c r="J11"/>
  <c r="H21" i="53"/>
  <c r="B20" i="21"/>
  <c r="O36" i="53"/>
  <c r="L24" i="21"/>
  <c r="R36" i="53"/>
  <c r="I36"/>
  <c r="D19" i="21"/>
  <c r="N11"/>
  <c r="R30" i="53"/>
  <c r="N22" i="21"/>
  <c r="M40" i="53"/>
  <c r="K25" i="21"/>
  <c r="M52" i="53"/>
  <c r="Q52"/>
  <c r="I9"/>
  <c r="B15" i="21"/>
  <c r="Q12" i="53"/>
  <c r="D31"/>
  <c r="M13"/>
  <c r="D24" i="21"/>
  <c r="P13" i="53"/>
  <c r="J40"/>
  <c r="I53"/>
  <c r="L27" i="21"/>
  <c r="Q20" i="53"/>
  <c r="M16"/>
  <c r="K55"/>
  <c r="B11" i="21"/>
  <c r="E30" i="53"/>
  <c r="O31"/>
  <c r="T34"/>
  <c r="I19" i="21"/>
  <c r="K20" i="53"/>
  <c r="J7" i="21"/>
  <c r="E19" i="53"/>
  <c r="E14" i="21"/>
  <c r="H55" i="53"/>
  <c r="L15" i="21"/>
  <c r="C21"/>
  <c r="J24"/>
  <c r="M41" i="53"/>
  <c r="J16" i="21"/>
  <c r="G13" i="53"/>
  <c r="G26" i="21"/>
  <c r="N45" i="53"/>
  <c r="M19"/>
  <c r="R13"/>
  <c r="F7" i="21"/>
  <c r="J47" i="53"/>
  <c r="F12" i="21"/>
  <c r="G40" i="53"/>
  <c r="E11" i="21"/>
  <c r="S39" i="53"/>
  <c r="S43"/>
  <c r="D27" i="21"/>
  <c r="K42" i="53"/>
  <c r="I10" i="21"/>
  <c r="E29" i="53"/>
  <c r="O11"/>
  <c r="J10"/>
  <c r="O53"/>
  <c r="K50"/>
  <c r="R18"/>
  <c r="S14"/>
  <c r="D16" i="21"/>
  <c r="I12" i="53"/>
  <c r="L30"/>
  <c r="J18"/>
  <c r="K10"/>
  <c r="T45"/>
  <c r="T50"/>
  <c r="F52"/>
  <c r="K10" i="21"/>
  <c r="D55" i="53"/>
  <c r="N12"/>
  <c r="K16"/>
  <c r="K34"/>
  <c r="Q17"/>
  <c r="M23"/>
  <c r="P48"/>
  <c r="N15" i="21"/>
  <c r="J22" i="53"/>
  <c r="N20"/>
  <c r="D11"/>
  <c r="T40"/>
  <c r="P55"/>
  <c r="O44"/>
  <c r="E20"/>
  <c r="G15" i="21"/>
  <c r="J50" i="53"/>
  <c r="R11"/>
  <c r="K12" i="21"/>
  <c r="R19" i="53"/>
  <c r="N49"/>
  <c r="F18"/>
  <c r="I23"/>
  <c r="D34"/>
  <c r="D10"/>
  <c r="I43"/>
  <c r="D20" i="21"/>
  <c r="L51" i="53"/>
  <c r="K20" i="21"/>
  <c r="P46" i="53"/>
  <c r="L19"/>
  <c r="G11" i="21"/>
  <c r="K36" i="53"/>
  <c r="H51"/>
  <c r="L5"/>
  <c r="I49"/>
  <c r="R42"/>
  <c r="G31"/>
  <c r="D43"/>
  <c r="L10" i="21"/>
  <c r="F19"/>
  <c r="M24"/>
  <c r="Q49" i="53"/>
  <c r="D14" i="21"/>
  <c r="O55" i="53"/>
  <c r="K52"/>
  <c r="N18"/>
  <c r="F24" i="21"/>
  <c r="J21"/>
  <c r="D11"/>
  <c r="K19" i="53"/>
  <c r="L12"/>
  <c r="M44"/>
  <c r="P14"/>
  <c r="K22"/>
  <c r="F26" i="21"/>
  <c r="L23" i="53"/>
  <c r="F27" i="21"/>
  <c r="G22" i="53"/>
  <c r="G17" i="21"/>
  <c r="Q10" i="53"/>
  <c r="R53"/>
  <c r="E35"/>
  <c r="C26" i="21"/>
  <c r="H35" i="53"/>
  <c r="N10" i="21"/>
  <c r="T32" i="53"/>
  <c r="G20" i="21"/>
  <c r="L39" i="53"/>
  <c r="T11"/>
  <c r="M21"/>
  <c r="M15" i="21"/>
  <c r="K26"/>
  <c r="J20"/>
  <c r="R48" i="53"/>
  <c r="P5"/>
  <c r="H23"/>
  <c r="I17" i="21"/>
  <c r="R29" i="53"/>
  <c r="L16" i="21"/>
  <c r="M27"/>
  <c r="D8" i="53"/>
  <c r="D19"/>
  <c r="F9"/>
  <c r="H48"/>
  <c r="L35"/>
  <c r="I30"/>
  <c r="C25" i="21"/>
  <c r="L11"/>
  <c r="M26"/>
  <c r="S32" i="53"/>
  <c r="H13"/>
  <c r="G42"/>
  <c r="N25" i="21"/>
  <c r="M17"/>
  <c r="N43" i="53"/>
  <c r="E44"/>
  <c r="L7" i="21"/>
  <c r="H14" i="53"/>
  <c r="O22"/>
  <c r="K13"/>
  <c r="E18"/>
  <c r="I12" i="21"/>
  <c r="N29" i="53"/>
  <c r="O40"/>
  <c r="F21" i="21"/>
  <c r="H22" i="53"/>
  <c r="M8"/>
  <c r="S41"/>
  <c r="Q9"/>
  <c r="K16" i="21"/>
  <c r="F32" i="53"/>
  <c r="K11"/>
  <c r="O8"/>
  <c r="K24" i="21"/>
  <c r="I34" i="53"/>
  <c r="S29"/>
  <c r="N13"/>
  <c r="J22" i="21"/>
  <c r="I20" i="53"/>
  <c r="L29"/>
  <c r="O16"/>
  <c r="D5"/>
  <c r="S48"/>
  <c r="H30"/>
  <c r="O32"/>
  <c r="G11"/>
  <c r="I5"/>
  <c r="D41"/>
  <c r="E7" i="21"/>
  <c r="E39" i="53"/>
  <c r="M11" i="21"/>
  <c r="P8" i="53"/>
  <c r="E49"/>
  <c r="G19"/>
  <c r="G17"/>
  <c r="N16"/>
  <c r="L14" i="21"/>
  <c r="S5" i="53"/>
  <c r="B26" i="21"/>
  <c r="M31" i="53"/>
  <c r="M18"/>
  <c r="G14" i="21"/>
  <c r="O48" i="53"/>
  <c r="G46"/>
  <c r="C20" i="21"/>
  <c r="M53" i="53"/>
  <c r="I13"/>
  <c r="Q47"/>
  <c r="Q46"/>
  <c r="M5"/>
  <c r="O14"/>
  <c r="M14"/>
  <c r="G12" i="21"/>
  <c r="F55" i="53"/>
  <c r="I16" i="21"/>
  <c r="J12" i="53"/>
  <c r="T39"/>
  <c r="B21" i="21"/>
  <c r="D7"/>
  <c r="I25"/>
  <c r="C11"/>
  <c r="R14" i="53"/>
  <c r="L53"/>
  <c r="J8"/>
  <c r="N12" i="21"/>
  <c r="G21" i="53"/>
  <c r="N10"/>
  <c r="C15" i="21"/>
  <c r="K46" i="53"/>
  <c r="F22"/>
  <c r="R17"/>
  <c r="T20"/>
  <c r="S17"/>
  <c r="P35"/>
  <c r="E42"/>
  <c r="D18"/>
  <c r="N47"/>
  <c r="Q51"/>
  <c r="T28"/>
  <c r="O47"/>
  <c r="K54"/>
  <c r="H44"/>
  <c r="J12" i="21"/>
  <c r="M28" i="53"/>
  <c r="L28"/>
  <c r="D29"/>
  <c r="H19"/>
  <c r="E16" i="21"/>
  <c r="L22" i="53"/>
  <c r="Q38"/>
  <c r="O50"/>
  <c r="H40"/>
  <c r="F34"/>
  <c r="L19" i="21"/>
  <c r="D23" i="53"/>
  <c r="E13"/>
  <c r="H52"/>
  <c r="P38"/>
  <c r="I55"/>
  <c r="L50"/>
  <c r="L44"/>
  <c r="H18"/>
  <c r="J53"/>
  <c r="Q8"/>
  <c r="J32"/>
  <c r="I51"/>
  <c r="P16"/>
  <c r="I38"/>
  <c r="F9" i="21"/>
  <c r="L49" i="53"/>
  <c r="O45"/>
  <c r="C27" i="21"/>
  <c r="I50" i="53"/>
  <c r="P41"/>
  <c r="O18"/>
  <c r="S52"/>
  <c r="E22"/>
  <c r="M51"/>
  <c r="F46"/>
  <c r="O38"/>
  <c r="E41"/>
  <c r="P28"/>
  <c r="G54"/>
  <c r="L54"/>
  <c r="L16"/>
  <c r="S55"/>
  <c r="P49"/>
  <c r="D32"/>
  <c r="Q34"/>
  <c r="H39"/>
  <c r="L55"/>
  <c r="T36"/>
  <c r="M48"/>
  <c r="E46"/>
  <c r="P17"/>
  <c r="L34"/>
  <c r="G5"/>
  <c r="I8"/>
  <c r="G21" i="21"/>
  <c r="H16" i="53"/>
  <c r="M7" i="21"/>
  <c r="Q42" i="53"/>
  <c r="H10"/>
  <c r="F47"/>
  <c r="I18"/>
  <c r="M20" i="21"/>
  <c r="J5" i="53"/>
  <c r="J25" i="21"/>
  <c r="O17" i="53"/>
  <c r="L14"/>
  <c r="P9"/>
  <c r="G16"/>
  <c r="N20" i="21"/>
  <c r="P12" i="53"/>
  <c r="E38"/>
  <c r="P36"/>
  <c r="L43"/>
  <c r="H28"/>
  <c r="D51"/>
  <c r="R41"/>
  <c r="M19" i="21"/>
  <c r="P10" i="53"/>
  <c r="H31"/>
  <c r="O41"/>
  <c r="D44"/>
  <c r="H29"/>
  <c r="K9"/>
  <c r="I41"/>
  <c r="J49"/>
  <c r="J38"/>
  <c r="R28"/>
  <c r="G10"/>
  <c r="H17"/>
  <c r="M34"/>
  <c r="M46"/>
  <c r="L40"/>
  <c r="S21"/>
  <c r="P29"/>
  <c r="Q13"/>
  <c r="P19"/>
  <c r="O49"/>
  <c r="R9"/>
  <c r="R8"/>
  <c r="I42"/>
  <c r="Q54"/>
  <c r="E10"/>
  <c r="J30"/>
  <c r="K15" i="21"/>
  <c r="T46" i="53"/>
  <c r="H46"/>
  <c r="L46"/>
  <c r="Q45"/>
  <c r="I32"/>
  <c r="D16"/>
  <c r="T12"/>
  <c r="M42"/>
  <c r="S44"/>
  <c r="P34"/>
  <c r="J43"/>
  <c r="P20"/>
  <c r="S38"/>
  <c r="N17"/>
  <c r="N34"/>
  <c r="R38"/>
  <c r="J15" i="21"/>
  <c r="E5" i="53"/>
  <c r="P30"/>
  <c r="T42"/>
  <c r="I28"/>
  <c r="Q50"/>
  <c r="K19" i="21"/>
  <c r="F17" i="53"/>
  <c r="I52"/>
  <c r="D30"/>
  <c r="M38"/>
  <c r="K22" i="21"/>
  <c r="F23" i="53"/>
  <c r="L52"/>
  <c r="Q18"/>
  <c r="G38"/>
  <c r="L9" i="21"/>
  <c r="G45" i="53"/>
  <c r="E12" i="21"/>
  <c r="P32" i="53"/>
  <c r="F21"/>
  <c r="Q32"/>
  <c r="P43"/>
  <c r="S9"/>
  <c r="N39"/>
  <c r="M32"/>
  <c r="S30"/>
  <c r="F38"/>
  <c r="R23"/>
  <c r="N21"/>
  <c r="M47"/>
  <c r="E51"/>
  <c r="R10"/>
  <c r="O30"/>
  <c r="L21"/>
  <c r="G28"/>
  <c r="H11"/>
  <c r="D53"/>
  <c r="F43"/>
  <c r="D20"/>
  <c r="F48"/>
  <c r="E32"/>
  <c r="F16"/>
  <c r="O12"/>
  <c r="K23"/>
  <c r="S11"/>
  <c r="N22"/>
  <c r="P31"/>
  <c r="L9"/>
  <c r="T44"/>
  <c r="K9" i="21"/>
  <c r="N11" i="53"/>
  <c r="Q36"/>
  <c r="O54"/>
  <c r="B16" i="21"/>
  <c r="L17" i="53"/>
  <c r="N41"/>
  <c r="H45"/>
  <c r="Q21"/>
  <c r="M45"/>
  <c r="O13"/>
  <c r="M29"/>
  <c r="Q41"/>
  <c r="L31"/>
  <c r="N9"/>
  <c r="H50"/>
  <c r="N31"/>
  <c r="H54"/>
  <c r="T43"/>
  <c r="D40"/>
  <c r="G48"/>
  <c r="Q35"/>
  <c r="S47"/>
  <c r="G39"/>
  <c r="P44"/>
  <c r="S51"/>
  <c r="L32"/>
  <c r="I10"/>
  <c r="H9"/>
  <c r="P54"/>
  <c r="G55"/>
  <c r="O20"/>
  <c r="J19"/>
  <c r="J41"/>
  <c r="D47"/>
  <c r="Q29"/>
  <c r="R5"/>
  <c r="F19"/>
  <c r="N30"/>
  <c r="I40"/>
  <c r="E31"/>
  <c r="T13"/>
  <c r="C16" i="21"/>
  <c r="N27"/>
  <c r="S10" i="53"/>
  <c r="K30"/>
  <c r="L42"/>
  <c r="I21" i="21"/>
  <c r="M54" i="53"/>
  <c r="F8"/>
  <c r="N51"/>
  <c r="L47"/>
  <c r="K7" i="21"/>
  <c r="O34" i="53"/>
  <c r="G9" i="21"/>
  <c r="L8" i="53"/>
  <c r="P51"/>
  <c r="T22"/>
  <c r="C22" i="21"/>
  <c r="R50" i="53"/>
  <c r="I9" i="21"/>
  <c r="R52" i="53"/>
  <c r="M43"/>
  <c r="G29"/>
  <c r="T31"/>
  <c r="K21" i="21"/>
  <c r="C9"/>
  <c r="F49" i="53"/>
  <c r="M35"/>
  <c r="P22"/>
  <c r="S28"/>
  <c r="O42"/>
  <c r="J28"/>
  <c r="J23"/>
  <c r="J36"/>
  <c r="T9"/>
  <c r="I11"/>
  <c r="H38"/>
  <c r="M39"/>
  <c r="E40"/>
  <c r="O46"/>
  <c r="Q16"/>
  <c r="J17"/>
  <c r="T49"/>
  <c r="E11"/>
  <c r="P45"/>
  <c r="O29"/>
  <c r="H32"/>
  <c r="G41"/>
  <c r="H36"/>
  <c r="B10" i="21"/>
  <c r="E12" i="53"/>
  <c r="N53"/>
  <c r="L17" i="21"/>
  <c r="E26"/>
  <c r="I7"/>
  <c r="F41" i="53"/>
  <c r="M30"/>
  <c r="E21"/>
  <c r="E28"/>
  <c r="F15" i="21"/>
  <c r="H20" i="53"/>
  <c r="F35"/>
  <c r="D22"/>
  <c r="J31"/>
  <c r="I39"/>
  <c r="J14" i="21"/>
  <c r="G30" i="53"/>
  <c r="T14"/>
  <c r="K43"/>
  <c r="P42"/>
  <c r="R45"/>
  <c r="G18"/>
  <c r="N14" i="21"/>
  <c r="T17" i="53"/>
  <c r="K35"/>
  <c r="F11"/>
  <c r="E48"/>
  <c r="G50"/>
  <c r="K51"/>
  <c r="N44"/>
  <c r="G44"/>
  <c r="O39"/>
  <c r="Q53"/>
  <c r="I19"/>
  <c r="M10"/>
  <c r="H53"/>
  <c r="H8"/>
  <c r="O23"/>
  <c r="J44"/>
  <c r="K29"/>
  <c r="R21"/>
  <c r="F28"/>
  <c r="E9"/>
  <c r="Q19"/>
  <c r="I46"/>
  <c r="Q43"/>
  <c r="Q39"/>
  <c r="J52"/>
  <c r="J51"/>
  <c r="G43"/>
  <c r="P39"/>
  <c r="D25" i="21"/>
  <c r="J42" i="53"/>
  <c r="R47"/>
  <c r="D21"/>
  <c r="I47"/>
  <c r="M22"/>
  <c r="S34"/>
  <c r="P23"/>
  <c r="J45"/>
  <c r="O52"/>
  <c r="K18"/>
  <c r="O9"/>
  <c r="L36"/>
  <c r="R34"/>
  <c r="F31"/>
  <c r="L21" i="21"/>
  <c r="L38" i="53"/>
  <c r="C7" i="21"/>
  <c r="M50" i="53"/>
  <c r="P47"/>
  <c r="R16"/>
  <c r="N40"/>
  <c r="I20" i="21"/>
  <c r="P21" i="53"/>
  <c r="D36"/>
  <c r="F50"/>
  <c r="T38"/>
  <c r="M22" i="21"/>
  <c r="R39" i="53"/>
  <c r="E10" i="21"/>
  <c r="R22" i="53"/>
  <c r="G53"/>
  <c r="G49"/>
  <c r="I35"/>
  <c r="M25" i="21"/>
  <c r="R44" i="53"/>
  <c r="E9" i="21"/>
  <c r="D26"/>
  <c r="P50" i="53"/>
  <c r="E34"/>
  <c r="P52"/>
  <c r="N38"/>
  <c r="N52"/>
  <c r="S50"/>
  <c r="S46"/>
  <c r="B22" i="21"/>
  <c r="F20" i="53"/>
  <c r="K45"/>
  <c r="D12"/>
  <c r="K41"/>
  <c r="R54"/>
  <c r="Q30"/>
  <c r="S36"/>
  <c r="M9"/>
  <c r="F16" i="21"/>
  <c r="G23" i="53"/>
  <c r="E50"/>
  <c r="Q14"/>
  <c r="E36"/>
  <c r="N14"/>
  <c r="L22" i="21"/>
  <c r="N54" i="53"/>
  <c r="K14"/>
  <c r="G52"/>
  <c r="G27" i="21"/>
  <c r="J48" i="53"/>
  <c r="J34"/>
  <c r="G51"/>
  <c r="H49"/>
  <c r="Q11"/>
  <c r="N42"/>
  <c r="N32"/>
  <c r="E14"/>
  <c r="I31"/>
  <c r="D46"/>
  <c r="F22" i="21"/>
  <c r="K38" i="53"/>
  <c r="T53"/>
  <c r="T8"/>
  <c r="K5"/>
  <c r="T47"/>
  <c r="N50"/>
  <c r="F13"/>
  <c r="F29"/>
  <c r="K40"/>
  <c r="O51"/>
  <c r="R51"/>
  <c r="L11"/>
  <c r="R31"/>
  <c r="J54"/>
  <c r="R35"/>
  <c r="J15" i="52" l="1"/>
  <c r="K5"/>
  <c r="K7" s="1"/>
  <c r="T6" i="53"/>
  <c r="T14" i="52"/>
  <c r="K37" i="53"/>
  <c r="K13" i="52" s="1"/>
  <c r="N11"/>
  <c r="J33" i="53"/>
  <c r="J12" i="52" s="1"/>
  <c r="N15"/>
  <c r="G9"/>
  <c r="R15"/>
  <c r="H22" i="21"/>
  <c r="N37" i="53"/>
  <c r="N13" i="52" s="1"/>
  <c r="E33" i="53"/>
  <c r="E12" i="52" s="1"/>
  <c r="G14"/>
  <c r="T37" i="53"/>
  <c r="T13" i="52" s="1"/>
  <c r="R15" i="53"/>
  <c r="R8" i="52" s="1"/>
  <c r="L37" i="53"/>
  <c r="L13" i="52" s="1"/>
  <c r="R33" i="53"/>
  <c r="R12" i="52" s="1"/>
  <c r="P9"/>
  <c r="S33" i="53"/>
  <c r="S12" i="52" s="1"/>
  <c r="F27" i="53"/>
  <c r="F10" i="52" s="1"/>
  <c r="O9"/>
  <c r="H6" i="53"/>
  <c r="H14" i="52"/>
  <c r="Q14"/>
  <c r="O14" i="21"/>
  <c r="E27" i="53"/>
  <c r="E10" i="52" s="1"/>
  <c r="N14"/>
  <c r="H10" i="21"/>
  <c r="H11" i="52"/>
  <c r="Q15" i="53"/>
  <c r="Q8" i="52" s="1"/>
  <c r="H37" i="53"/>
  <c r="H13" i="52" s="1"/>
  <c r="J9"/>
  <c r="J27" i="53"/>
  <c r="J10" i="52" s="1"/>
  <c r="S27" i="53"/>
  <c r="S10" i="52" s="1"/>
  <c r="L6" i="53"/>
  <c r="O33"/>
  <c r="O12" i="52" s="1"/>
  <c r="F6" i="53"/>
  <c r="M15" i="52"/>
  <c r="R5"/>
  <c r="G16"/>
  <c r="P15"/>
  <c r="L11"/>
  <c r="H15"/>
  <c r="H16" i="21"/>
  <c r="O15" i="52"/>
  <c r="K9"/>
  <c r="F15" i="53"/>
  <c r="F8" i="52" s="1"/>
  <c r="E11"/>
  <c r="D14"/>
  <c r="G27" i="53"/>
  <c r="G10" i="52" s="1"/>
  <c r="R9"/>
  <c r="F37" i="53"/>
  <c r="F13" i="52" s="1"/>
  <c r="M11"/>
  <c r="Q11"/>
  <c r="P11"/>
  <c r="G37" i="53"/>
  <c r="G13" i="52" s="1"/>
  <c r="F9"/>
  <c r="M37" i="53"/>
  <c r="M13" i="52" s="1"/>
  <c r="I27" i="53"/>
  <c r="I10" i="52" s="1"/>
  <c r="E5"/>
  <c r="O15" i="21"/>
  <c r="R37" i="53"/>
  <c r="R13" i="52" s="1"/>
  <c r="N33" i="53"/>
  <c r="N12" i="52" s="1"/>
  <c r="S37" i="53"/>
  <c r="S13" i="52" s="1"/>
  <c r="P33" i="53"/>
  <c r="P12" i="52" s="1"/>
  <c r="D15" i="53"/>
  <c r="D8" i="52" s="1"/>
  <c r="I11"/>
  <c r="Q15"/>
  <c r="R6" i="53"/>
  <c r="M33"/>
  <c r="M12" i="52" s="1"/>
  <c r="R27" i="53"/>
  <c r="R10" i="52" s="1"/>
  <c r="J37" i="53"/>
  <c r="J13" i="52" s="1"/>
  <c r="H27" i="53"/>
  <c r="H10" i="52" s="1"/>
  <c r="E37" i="53"/>
  <c r="E13" i="52" s="1"/>
  <c r="G15" i="53"/>
  <c r="G8" i="52" s="1"/>
  <c r="O25" i="21"/>
  <c r="J5" i="52"/>
  <c r="H15" i="53"/>
  <c r="H8" i="52" s="1"/>
  <c r="I6" i="53"/>
  <c r="G5" i="52"/>
  <c r="L33" i="53"/>
  <c r="L12" i="52" s="1"/>
  <c r="L16"/>
  <c r="Q33" i="53"/>
  <c r="Q12" i="52" s="1"/>
  <c r="D11"/>
  <c r="S16"/>
  <c r="L15" i="53"/>
  <c r="L8" i="52" s="1"/>
  <c r="L15"/>
  <c r="G15"/>
  <c r="P27" i="53"/>
  <c r="P10" i="52" s="1"/>
  <c r="O37" i="53"/>
  <c r="O13" i="52" s="1"/>
  <c r="I37" i="53"/>
  <c r="I13" i="52" s="1"/>
  <c r="P15" i="53"/>
  <c r="P8" i="52" s="1"/>
  <c r="J11"/>
  <c r="Q6" i="53"/>
  <c r="J14" i="52"/>
  <c r="I16"/>
  <c r="P37" i="53"/>
  <c r="P13" i="52" s="1"/>
  <c r="D9"/>
  <c r="F33" i="53"/>
  <c r="F12" i="52" s="1"/>
  <c r="Q37" i="53"/>
  <c r="Q13" i="52" s="1"/>
  <c r="L27" i="53"/>
  <c r="L10" i="52" s="1"/>
  <c r="M27" i="53"/>
  <c r="M10" i="52" s="1"/>
  <c r="O12" i="21"/>
  <c r="K15" i="52"/>
  <c r="T27" i="53"/>
  <c r="T10" i="52" s="1"/>
  <c r="J6" i="53"/>
  <c r="L14" i="52"/>
  <c r="H21" i="21"/>
  <c r="F16" i="52"/>
  <c r="M5"/>
  <c r="M14"/>
  <c r="H26" i="21"/>
  <c r="S5" i="52"/>
  <c r="N15" i="53"/>
  <c r="N8" i="52" s="1"/>
  <c r="P6" i="53"/>
  <c r="I5" i="52"/>
  <c r="O11"/>
  <c r="D5"/>
  <c r="O15" i="53"/>
  <c r="O8" i="52" s="1"/>
  <c r="O22" i="21"/>
  <c r="P22" s="1"/>
  <c r="AB22" s="1"/>
  <c r="I33" i="53"/>
  <c r="I12" i="52" s="1"/>
  <c r="O6" i="53"/>
  <c r="F11" i="52"/>
  <c r="M6" i="53"/>
  <c r="S11" i="52"/>
  <c r="D6" i="53"/>
  <c r="H9" i="52"/>
  <c r="P5"/>
  <c r="O20" i="21"/>
  <c r="T11" i="52"/>
  <c r="R14"/>
  <c r="L9"/>
  <c r="O21" i="21"/>
  <c r="P21" s="1"/>
  <c r="X21" s="1"/>
  <c r="O16" i="52"/>
  <c r="L5"/>
  <c r="D33" i="53"/>
  <c r="D12" i="52" s="1"/>
  <c r="I9"/>
  <c r="P16"/>
  <c r="M9"/>
  <c r="K33" i="53"/>
  <c r="K12" i="52" s="1"/>
  <c r="K15" i="53"/>
  <c r="K8" i="52" s="1"/>
  <c r="D16"/>
  <c r="O14"/>
  <c r="O16" i="21"/>
  <c r="P16" s="1"/>
  <c r="W16" s="1"/>
  <c r="O24"/>
  <c r="T21"/>
  <c r="H16" i="52"/>
  <c r="O7" i="21"/>
  <c r="T33" i="53"/>
  <c r="T12" i="52" s="1"/>
  <c r="H11" i="21"/>
  <c r="K16" i="52"/>
  <c r="M15" i="53"/>
  <c r="M8" i="52" s="1"/>
  <c r="I14"/>
  <c r="H15" i="21"/>
  <c r="AE22"/>
  <c r="H20"/>
  <c r="O11"/>
  <c r="O27"/>
  <c r="Q16" i="52"/>
  <c r="R11"/>
  <c r="H17" i="21"/>
  <c r="X22"/>
  <c r="G6" i="53"/>
  <c r="O5" i="52"/>
  <c r="E16"/>
  <c r="N16"/>
  <c r="O26" i="21"/>
  <c r="P26" s="1"/>
  <c r="K6" i="53"/>
  <c r="K7" s="1"/>
  <c r="E6"/>
  <c r="K11" i="52"/>
  <c r="D15"/>
  <c r="E15"/>
  <c r="V22" i="21"/>
  <c r="T15" i="53"/>
  <c r="T8" i="52" s="1"/>
  <c r="I15"/>
  <c r="H14" i="21"/>
  <c r="D37" i="53"/>
  <c r="D13" i="52" s="1"/>
  <c r="E9"/>
  <c r="I15" i="53"/>
  <c r="I8" i="52" s="1"/>
  <c r="H5"/>
  <c r="E15" i="53"/>
  <c r="E8" i="52" s="1"/>
  <c r="E14"/>
  <c r="H9" i="21"/>
  <c r="G33" i="53"/>
  <c r="G12" i="52" s="1"/>
  <c r="H12" i="21"/>
  <c r="H7"/>
  <c r="R16" i="52"/>
  <c r="T15"/>
  <c r="N27" i="53"/>
  <c r="N10" i="52" s="1"/>
  <c r="K14"/>
  <c r="O9" i="21"/>
  <c r="P9" s="1"/>
  <c r="V9" s="1"/>
  <c r="S15" i="53"/>
  <c r="S8" i="52" s="1"/>
  <c r="G11"/>
  <c r="S9"/>
  <c r="S6" i="53"/>
  <c r="T9" i="52"/>
  <c r="Q9"/>
  <c r="N9"/>
  <c r="AE9" i="21"/>
  <c r="H25"/>
  <c r="J15" i="53"/>
  <c r="J8" i="52" s="1"/>
  <c r="V21" i="21"/>
  <c r="Q5" i="52"/>
  <c r="M16"/>
  <c r="X16" i="21"/>
  <c r="AD21"/>
  <c r="J16" i="52"/>
  <c r="Q27" i="53"/>
  <c r="Q10" i="52" s="1"/>
  <c r="F5"/>
  <c r="N6" i="53"/>
  <c r="F15" i="52"/>
  <c r="H33" i="53"/>
  <c r="H12" i="52" s="1"/>
  <c r="K27" i="53"/>
  <c r="K10" i="52" s="1"/>
  <c r="O17" i="21"/>
  <c r="P17" s="1"/>
  <c r="AB17" s="1"/>
  <c r="F14" i="52"/>
  <c r="T5"/>
  <c r="N5"/>
  <c r="U22" i="21"/>
  <c r="S14" i="52"/>
  <c r="P14"/>
  <c r="AD16" i="21"/>
  <c r="S15" i="52"/>
  <c r="Z22" i="21"/>
  <c r="H27"/>
  <c r="P27" s="1"/>
  <c r="T27" s="1"/>
  <c r="T16" i="52"/>
  <c r="O19" i="21"/>
  <c r="U9"/>
  <c r="O27" i="53"/>
  <c r="O10" i="52" s="1"/>
  <c r="D27" i="53"/>
  <c r="D10" i="52" s="1"/>
  <c r="O10" i="21"/>
  <c r="P10" s="1"/>
  <c r="S10" s="1"/>
  <c r="H24"/>
  <c r="H19"/>
  <c r="J6" i="52"/>
  <c r="J7" s="1"/>
  <c r="J7" i="53"/>
  <c r="J56" s="1"/>
  <c r="I7"/>
  <c r="I56" s="1"/>
  <c r="I6" i="52"/>
  <c r="I7" s="1"/>
  <c r="I17" s="1"/>
  <c r="H7" i="53"/>
  <c r="H56" s="1"/>
  <c r="H6" i="52"/>
  <c r="H7" s="1"/>
  <c r="H17" s="1"/>
  <c r="P24" i="21"/>
  <c r="AE21"/>
  <c r="AF21"/>
  <c r="U21"/>
  <c r="AE10"/>
  <c r="AE16"/>
  <c r="Z17"/>
  <c r="W17"/>
  <c r="P12"/>
  <c r="V16"/>
  <c r="D6" i="52"/>
  <c r="D7" i="53"/>
  <c r="AC16" i="21"/>
  <c r="AD17"/>
  <c r="P25"/>
  <c r="P14"/>
  <c r="P15"/>
  <c r="U26"/>
  <c r="V26"/>
  <c r="AF26"/>
  <c r="AE26"/>
  <c r="AD26"/>
  <c r="Z26"/>
  <c r="X26"/>
  <c r="AB26"/>
  <c r="T26"/>
  <c r="W26"/>
  <c r="AA26"/>
  <c r="S26"/>
  <c r="AC26"/>
  <c r="J269" i="22"/>
  <c r="J278"/>
  <c r="G278"/>
  <c r="F264"/>
  <c r="G279"/>
  <c r="G266"/>
  <c r="G284"/>
  <c r="F266"/>
  <c r="G273"/>
  <c r="G271"/>
  <c r="G269"/>
  <c r="G267"/>
  <c r="F267"/>
  <c r="K267" s="1"/>
  <c r="J266"/>
  <c r="J279"/>
  <c r="J284"/>
  <c r="J273"/>
  <c r="J271"/>
  <c r="H266"/>
  <c r="H279"/>
  <c r="T17" i="21" l="1"/>
  <c r="AA9"/>
  <c r="AF22"/>
  <c r="AD27"/>
  <c r="U10"/>
  <c r="AF9"/>
  <c r="AD9"/>
  <c r="P11"/>
  <c r="AE17"/>
  <c r="AF17"/>
  <c r="AA17"/>
  <c r="U17"/>
  <c r="S9"/>
  <c r="AF11"/>
  <c r="AA16"/>
  <c r="AA22"/>
  <c r="N7" i="53"/>
  <c r="N56" s="1"/>
  <c r="N6" i="52"/>
  <c r="N7" s="1"/>
  <c r="N17" s="1"/>
  <c r="S7" i="53"/>
  <c r="S56" s="1"/>
  <c r="S6" i="52"/>
  <c r="S7" s="1"/>
  <c r="S17" s="1"/>
  <c r="E7" i="53"/>
  <c r="E56" s="1"/>
  <c r="E6" i="52"/>
  <c r="E7" s="1"/>
  <c r="E17" s="1"/>
  <c r="G6"/>
  <c r="G7" s="1"/>
  <c r="G17" s="1"/>
  <c r="G7" i="53"/>
  <c r="G56" s="1"/>
  <c r="O7"/>
  <c r="O56" s="1"/>
  <c r="O6" i="52"/>
  <c r="O7" s="1"/>
  <c r="O17" s="1"/>
  <c r="P7" i="53"/>
  <c r="P56" s="1"/>
  <c r="P6" i="52"/>
  <c r="P7" s="1"/>
  <c r="P17" s="1"/>
  <c r="R6"/>
  <c r="R7" s="1"/>
  <c r="R17" s="1"/>
  <c r="R7" i="53"/>
  <c r="R56" s="1"/>
  <c r="F7"/>
  <c r="F56" s="1"/>
  <c r="F6" i="52"/>
  <c r="F7" s="1"/>
  <c r="F17" s="1"/>
  <c r="L6"/>
  <c r="L7" s="1"/>
  <c r="L17" s="1"/>
  <c r="L7" i="53"/>
  <c r="L56" s="1"/>
  <c r="T7"/>
  <c r="T56" s="1"/>
  <c r="T6" i="52"/>
  <c r="T7" s="1"/>
  <c r="T17" s="1"/>
  <c r="D56" i="53"/>
  <c r="AC10" i="21"/>
  <c r="J17" i="52"/>
  <c r="AA10" i="21"/>
  <c r="AF10"/>
  <c r="P19"/>
  <c r="S27"/>
  <c r="W10"/>
  <c r="X10"/>
  <c r="V27"/>
  <c r="AD10"/>
  <c r="S17"/>
  <c r="AF27"/>
  <c r="AA11"/>
  <c r="S11"/>
  <c r="AF16"/>
  <c r="Z10"/>
  <c r="U16"/>
  <c r="AA21"/>
  <c r="U11"/>
  <c r="W27"/>
  <c r="P20"/>
  <c r="W21"/>
  <c r="AB16"/>
  <c r="S21"/>
  <c r="Y21" s="1"/>
  <c r="AG21" s="1"/>
  <c r="AC9"/>
  <c r="T16"/>
  <c r="Z21"/>
  <c r="Z9"/>
  <c r="T9"/>
  <c r="AD22"/>
  <c r="S22"/>
  <c r="AC22"/>
  <c r="X27"/>
  <c r="M6" i="52"/>
  <c r="M7" s="1"/>
  <c r="M17" s="1"/>
  <c r="M7" i="53"/>
  <c r="M56" s="1"/>
  <c r="Q7"/>
  <c r="Q56" s="1"/>
  <c r="Q6" i="52"/>
  <c r="Q7" s="1"/>
  <c r="Q17" s="1"/>
  <c r="T10" i="21"/>
  <c r="AB27"/>
  <c r="Z27"/>
  <c r="V17"/>
  <c r="K56" i="53"/>
  <c r="AA27" i="21"/>
  <c r="AE11"/>
  <c r="AC27"/>
  <c r="P7"/>
  <c r="U27"/>
  <c r="AB10"/>
  <c r="X11"/>
  <c r="X17"/>
  <c r="Z16"/>
  <c r="T11"/>
  <c r="W9"/>
  <c r="AB9"/>
  <c r="S16"/>
  <c r="Y16" s="1"/>
  <c r="AG16" s="1"/>
  <c r="AE27"/>
  <c r="X9"/>
  <c r="T22"/>
  <c r="AB21"/>
  <c r="AC17"/>
  <c r="AC21"/>
  <c r="V10"/>
  <c r="W22"/>
  <c r="K17" i="52"/>
  <c r="X15" i="21"/>
  <c r="U15"/>
  <c r="Z15"/>
  <c r="T15"/>
  <c r="AC15"/>
  <c r="AE15"/>
  <c r="V15"/>
  <c r="AB15"/>
  <c r="AA15"/>
  <c r="AF15"/>
  <c r="AD15"/>
  <c r="S15"/>
  <c r="W15"/>
  <c r="X25"/>
  <c r="S25"/>
  <c r="Z25"/>
  <c r="V25"/>
  <c r="W25"/>
  <c r="AC25"/>
  <c r="T25"/>
  <c r="AB25"/>
  <c r="AA25"/>
  <c r="AF25"/>
  <c r="AE25"/>
  <c r="U25"/>
  <c r="AD25"/>
  <c r="D7" i="52"/>
  <c r="D17" s="1"/>
  <c r="C7"/>
  <c r="AF12" i="21"/>
  <c r="S12"/>
  <c r="X12"/>
  <c r="AE12"/>
  <c r="W12"/>
  <c r="AD12"/>
  <c r="AB12"/>
  <c r="T12"/>
  <c r="U12"/>
  <c r="AA12"/>
  <c r="V12"/>
  <c r="Z12"/>
  <c r="AC12"/>
  <c r="AE24"/>
  <c r="AF24"/>
  <c r="S24"/>
  <c r="U24"/>
  <c r="AA24"/>
  <c r="AB24"/>
  <c r="V24"/>
  <c r="X24"/>
  <c r="T24"/>
  <c r="W24"/>
  <c r="AC24"/>
  <c r="AD24"/>
  <c r="Z24"/>
  <c r="AD14"/>
  <c r="S14"/>
  <c r="AE14"/>
  <c r="AA14"/>
  <c r="W14"/>
  <c r="AC14"/>
  <c r="AB14"/>
  <c r="AF14"/>
  <c r="U14"/>
  <c r="X14"/>
  <c r="Z14"/>
  <c r="T14"/>
  <c r="V14"/>
  <c r="Y26"/>
  <c r="AG26" s="1"/>
  <c r="K269" i="22"/>
  <c r="K278"/>
  <c r="K266"/>
  <c r="K284"/>
  <c r="K279"/>
  <c r="K273"/>
  <c r="K271"/>
  <c r="W11" i="21" l="1"/>
  <c r="AB11"/>
  <c r="AD11"/>
  <c r="Z11"/>
  <c r="AC11"/>
  <c r="V11"/>
  <c r="Y11" s="1"/>
  <c r="AG11" s="1"/>
  <c r="T7"/>
  <c r="AB7"/>
  <c r="AD7"/>
  <c r="V7"/>
  <c r="AC7"/>
  <c r="AF7"/>
  <c r="X7"/>
  <c r="Z7"/>
  <c r="U7"/>
  <c r="W7"/>
  <c r="AA7"/>
  <c r="S7"/>
  <c r="AE7"/>
  <c r="AF20"/>
  <c r="AD20"/>
  <c r="AA20"/>
  <c r="AE20"/>
  <c r="U20"/>
  <c r="Z20"/>
  <c r="V20"/>
  <c r="X20"/>
  <c r="S20"/>
  <c r="T20"/>
  <c r="AB20"/>
  <c r="AC20"/>
  <c r="W20"/>
  <c r="AA19"/>
  <c r="AD19"/>
  <c r="U19"/>
  <c r="V19"/>
  <c r="X19"/>
  <c r="W19"/>
  <c r="AC19"/>
  <c r="AE19"/>
  <c r="AF19"/>
  <c r="S19"/>
  <c r="T19"/>
  <c r="AB19"/>
  <c r="Z19"/>
  <c r="Y15"/>
  <c r="AG15" s="1"/>
  <c r="Y10"/>
  <c r="AG10" s="1"/>
  <c r="Y22"/>
  <c r="AG22" s="1"/>
  <c r="Y9"/>
  <c r="AG9" s="1"/>
  <c r="Y17"/>
  <c r="AG17" s="1"/>
  <c r="Y27"/>
  <c r="AG27" s="1"/>
  <c r="Y25"/>
  <c r="AG25" s="1"/>
  <c r="Y14"/>
  <c r="AG14" s="1"/>
  <c r="Y24"/>
  <c r="AG24" s="1"/>
  <c r="Y12"/>
  <c r="AG12" s="1"/>
  <c r="Y19" l="1"/>
  <c r="AG19" s="1"/>
  <c r="Y7"/>
  <c r="AG7" s="1"/>
  <c r="Y20"/>
  <c r="AG20" s="1"/>
</calcChain>
</file>

<file path=xl/comments1.xml><?xml version="1.0" encoding="utf-8"?>
<comments xmlns="http://schemas.openxmlformats.org/spreadsheetml/2006/main">
  <authors>
    <author>JLM</author>
    <author>Susan Cagle</author>
    <author>jmarks</author>
    <author>ashleyp</author>
    <author>claudiag</author>
    <author>johnd</author>
    <author>Office 2004 Test Drive User</author>
    <author>aphillips</author>
    <author>dale.bradley</author>
    <author>mloverde</author>
    <author>Board of Regents</author>
    <author>Alicia A. Diaz</author>
    <author>Eugene S. Fields</author>
    <author>staff</author>
    <author>jcann</author>
    <author>areiner</author>
    <author>lfilipp</author>
    <author>cbrown</author>
    <author>THEC</author>
    <author>Administrator</author>
    <author>YanZheng</author>
    <author>AngelaDetlev</author>
    <author>WVHEPC</author>
  </authors>
  <commentList>
    <comment ref="F7" author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As of end of FY 08. Same for other "orange" columns.</t>
        </r>
      </text>
    </comment>
    <comment ref="G7" author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Reflecting cuts or adds know by Dec. 31, 08. Same for other "white" columns.</t>
        </r>
      </text>
    </comment>
    <comment ref="C42" authorId="1">
      <text>
        <r>
          <rPr>
            <b/>
            <sz val="8"/>
            <color indexed="81"/>
            <rFont val="Tahoma"/>
            <family val="2"/>
          </rPr>
          <t>Susan Cagle:</t>
        </r>
        <r>
          <rPr>
            <sz val="8"/>
            <color indexed="81"/>
            <rFont val="Tahoma"/>
            <family val="2"/>
          </rPr>
          <t xml:space="preserve">
New line</t>
        </r>
      </text>
    </comment>
    <comment ref="C58" authorId="1">
      <text>
        <r>
          <rPr>
            <b/>
            <sz val="8"/>
            <color indexed="81"/>
            <rFont val="Tahoma"/>
            <family val="2"/>
          </rPr>
          <t>Susan Cagle:</t>
        </r>
        <r>
          <rPr>
            <sz val="8"/>
            <color indexed="81"/>
            <rFont val="Tahoma"/>
            <family val="2"/>
          </rPr>
          <t xml:space="preserve">
New line</t>
        </r>
      </text>
    </comment>
    <comment ref="C76" authorId="1">
      <text>
        <r>
          <rPr>
            <b/>
            <sz val="8"/>
            <color indexed="81"/>
            <rFont val="Tahoma"/>
            <family val="2"/>
          </rPr>
          <t>Susan Cagle:</t>
        </r>
        <r>
          <rPr>
            <sz val="8"/>
            <color indexed="81"/>
            <rFont val="Tahoma"/>
            <family val="2"/>
          </rPr>
          <t xml:space="preserve">
New line</t>
        </r>
      </text>
    </comment>
    <comment ref="C85" authorId="1">
      <text>
        <r>
          <rPr>
            <b/>
            <sz val="8"/>
            <color indexed="81"/>
            <rFont val="Tahoma"/>
            <family val="2"/>
          </rPr>
          <t>Susan Cagle:</t>
        </r>
        <r>
          <rPr>
            <sz val="8"/>
            <color indexed="81"/>
            <rFont val="Tahoma"/>
            <family val="2"/>
          </rPr>
          <t xml:space="preserve">
New Line</t>
        </r>
      </text>
    </comment>
    <comment ref="C108" authorId="1">
      <text>
        <r>
          <rPr>
            <b/>
            <sz val="8"/>
            <color indexed="81"/>
            <rFont val="Tahoma"/>
            <family val="2"/>
          </rPr>
          <t>Susan Cagle:</t>
        </r>
        <r>
          <rPr>
            <sz val="8"/>
            <color indexed="81"/>
            <rFont val="Tahoma"/>
            <family val="2"/>
          </rPr>
          <t xml:space="preserve">
New Line</t>
        </r>
      </text>
    </comment>
    <comment ref="C133" authorId="1">
      <text>
        <r>
          <rPr>
            <b/>
            <sz val="8"/>
            <color indexed="81"/>
            <rFont val="Tahoma"/>
            <family val="2"/>
          </rPr>
          <t>Susan Cagle:</t>
        </r>
        <r>
          <rPr>
            <sz val="8"/>
            <color indexed="81"/>
            <rFont val="Tahoma"/>
            <family val="2"/>
          </rPr>
          <t xml:space="preserve">
New line</t>
        </r>
      </text>
    </comment>
    <comment ref="C293" authorId="1">
      <text>
        <r>
          <rPr>
            <b/>
            <sz val="8"/>
            <color indexed="81"/>
            <rFont val="Tahoma"/>
            <family val="2"/>
          </rPr>
          <t>Susan Cagle:</t>
        </r>
        <r>
          <rPr>
            <sz val="8"/>
            <color indexed="81"/>
            <rFont val="Tahoma"/>
            <family val="2"/>
          </rPr>
          <t xml:space="preserve">
New Program</t>
        </r>
      </text>
    </comment>
    <comment ref="C340" authorId="2">
      <text>
        <r>
          <rPr>
            <b/>
            <sz val="8"/>
            <color indexed="81"/>
            <rFont val="Tahoma"/>
            <family val="2"/>
          </rPr>
          <t xml:space="preserve">jmarks: </t>
        </r>
        <r>
          <rPr>
            <sz val="8"/>
            <color indexed="81"/>
            <rFont val="Tahoma"/>
            <family val="2"/>
          </rPr>
          <t xml:space="preserve">note statewide unit code to left: reported here for comparability among land grants
</t>
        </r>
      </text>
    </comment>
    <comment ref="C341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 jmarks: note statewide unit code to left: reported here for comparability among land grants
</t>
        </r>
      </text>
    </comment>
    <comment ref="C342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 jmarks: note statewide unit code to left: reported here for comparability among land grants
</t>
        </r>
      </text>
    </comment>
    <comment ref="I348" authorId="3">
      <text>
        <r>
          <rPr>
            <b/>
            <sz val="8"/>
            <color indexed="81"/>
            <rFont val="Tahoma"/>
            <family val="2"/>
          </rPr>
          <t>ashleyp:</t>
        </r>
        <r>
          <rPr>
            <sz val="8"/>
            <color indexed="81"/>
            <rFont val="Tahoma"/>
            <family val="2"/>
          </rPr>
          <t xml:space="preserve">
Merged with Arkansas State University-Newport in FY09
</t>
        </r>
      </text>
    </comment>
    <comment ref="O348" authorId="3">
      <text>
        <r>
          <rPr>
            <b/>
            <sz val="8"/>
            <color indexed="81"/>
            <rFont val="Tahoma"/>
            <family val="2"/>
          </rPr>
          <t>ashleyp:</t>
        </r>
        <r>
          <rPr>
            <sz val="8"/>
            <color indexed="81"/>
            <rFont val="Tahoma"/>
            <family val="2"/>
          </rPr>
          <t xml:space="preserve">
Merged with Arkansas State University-Newport in FY09</t>
        </r>
      </text>
    </comment>
    <comment ref="C364" authorId="2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reclassified--met the criteria for Four-Year 6 in 2006-07,2007-08, 2008-09</t>
        </r>
      </text>
    </comment>
    <comment ref="C365" authorId="3">
      <text>
        <r>
          <rPr>
            <b/>
            <sz val="8"/>
            <color indexed="81"/>
            <rFont val="Tahoma"/>
            <family val="2"/>
          </rPr>
          <t>ashleyp:</t>
        </r>
        <r>
          <rPr>
            <sz val="8"/>
            <color indexed="81"/>
            <rFont val="Tahoma"/>
            <family val="2"/>
          </rPr>
          <t xml:space="preserve">
include non-formula money here
</t>
        </r>
      </text>
    </comment>
    <comment ref="G371" authorId="3">
      <text>
        <r>
          <rPr>
            <b/>
            <sz val="8"/>
            <color indexed="81"/>
            <rFont val="Tahoma"/>
            <family val="2"/>
          </rPr>
          <t>ashleyp:</t>
        </r>
        <r>
          <rPr>
            <sz val="8"/>
            <color indexed="81"/>
            <rFont val="Tahoma"/>
            <family val="2"/>
          </rPr>
          <t xml:space="preserve">
Arkansas State University Technical Center-Marked Tree merged with this institution in FY09.</t>
        </r>
      </text>
    </comment>
    <comment ref="O371" authorId="3">
      <text>
        <r>
          <rPr>
            <b/>
            <sz val="8"/>
            <color indexed="81"/>
            <rFont val="Tahoma"/>
            <family val="2"/>
          </rPr>
          <t>ashleyp:</t>
        </r>
        <r>
          <rPr>
            <sz val="8"/>
            <color indexed="81"/>
            <rFont val="Tahoma"/>
            <family val="2"/>
          </rPr>
          <t xml:space="preserve">
Arkansas State University Technical Center-Marked Tree merged with this institution in FY09.</t>
        </r>
      </text>
    </comment>
    <comment ref="T399" authorId="4">
      <text>
        <r>
          <rPr>
            <b/>
            <sz val="8"/>
            <color indexed="81"/>
            <rFont val="Tahoma"/>
            <family val="2"/>
          </rPr>
          <t>claudiag:</t>
        </r>
        <r>
          <rPr>
            <sz val="8"/>
            <color indexed="81"/>
            <rFont val="Tahoma"/>
            <family val="2"/>
          </rPr>
          <t xml:space="preserve">
Included in Board amount above</t>
        </r>
      </text>
    </comment>
    <comment ref="U399" authorId="4">
      <text>
        <r>
          <rPr>
            <b/>
            <sz val="8"/>
            <color indexed="81"/>
            <rFont val="Tahoma"/>
            <family val="2"/>
          </rPr>
          <t>claudiag:</t>
        </r>
        <r>
          <rPr>
            <sz val="8"/>
            <color indexed="81"/>
            <rFont val="Tahoma"/>
            <family val="2"/>
          </rPr>
          <t xml:space="preserve">
Included in Board amount above</t>
        </r>
      </text>
    </comment>
    <comment ref="T400" authorId="4">
      <text>
        <r>
          <rPr>
            <b/>
            <sz val="8"/>
            <color indexed="81"/>
            <rFont val="Tahoma"/>
            <family val="2"/>
          </rPr>
          <t>claudiag:</t>
        </r>
        <r>
          <rPr>
            <sz val="8"/>
            <color indexed="81"/>
            <rFont val="Tahoma"/>
            <family val="2"/>
          </rPr>
          <t xml:space="preserve">
Included in Board amount above</t>
        </r>
      </text>
    </comment>
    <comment ref="U400" authorId="4">
      <text>
        <r>
          <rPr>
            <b/>
            <sz val="8"/>
            <color indexed="81"/>
            <rFont val="Tahoma"/>
            <family val="2"/>
          </rPr>
          <t>claudiag:</t>
        </r>
        <r>
          <rPr>
            <sz val="8"/>
            <color indexed="81"/>
            <rFont val="Tahoma"/>
            <family val="2"/>
          </rPr>
          <t xml:space="preserve">
Included in Board amount above</t>
        </r>
      </text>
    </comment>
    <comment ref="C406" authorId="5">
      <text>
        <r>
          <rPr>
            <b/>
            <sz val="8"/>
            <color indexed="81"/>
            <rFont val="Tahoma"/>
            <family val="2"/>
          </rPr>
          <t>johnd:</t>
        </r>
        <r>
          <rPr>
            <sz val="8"/>
            <color indexed="81"/>
            <rFont val="Tahoma"/>
            <family val="2"/>
          </rPr>
          <t xml:space="preserve">
changed name from Dr. William M Scholl College of Podiatric Medicine</t>
        </r>
      </text>
    </comment>
    <comment ref="C409" authorId="3">
      <text>
        <r>
          <rPr>
            <b/>
            <sz val="8"/>
            <color indexed="81"/>
            <rFont val="Tahoma"/>
            <family val="2"/>
          </rPr>
          <t>ashleyp:</t>
        </r>
        <r>
          <rPr>
            <sz val="8"/>
            <color indexed="81"/>
            <rFont val="Tahoma"/>
            <family val="2"/>
          </rPr>
          <t xml:space="preserve">
new institution added </t>
        </r>
      </text>
    </comment>
    <comment ref="C438" authorId="3">
      <text>
        <r>
          <rPr>
            <b/>
            <sz val="8"/>
            <color indexed="81"/>
            <rFont val="Tahoma"/>
            <family val="2"/>
          </rPr>
          <t>ashleyp:</t>
        </r>
        <r>
          <rPr>
            <sz val="8"/>
            <color indexed="81"/>
            <rFont val="Tahoma"/>
            <family val="2"/>
          </rPr>
          <t xml:space="preserve">
new program
</t>
        </r>
      </text>
    </comment>
    <comment ref="C445" authorId="4">
      <text>
        <r>
          <rPr>
            <b/>
            <sz val="8"/>
            <color indexed="81"/>
            <rFont val="Tahoma"/>
            <family val="2"/>
          </rPr>
          <t>claudiag:</t>
        </r>
        <r>
          <rPr>
            <sz val="8"/>
            <color indexed="81"/>
            <rFont val="Tahoma"/>
            <family val="2"/>
          </rPr>
          <t xml:space="preserve">
Name changedfrom Teacher Retraining Grants to Teacher Opportunity Program</t>
        </r>
      </text>
    </comment>
    <comment ref="F521" authorId="6">
      <text>
        <r>
          <rPr>
            <b/>
            <sz val="9"/>
            <color indexed="81"/>
            <rFont val="Arial"/>
            <family val="2"/>
          </rPr>
          <t>Office 2004 Test Drive Alan Phillips:</t>
        </r>
        <r>
          <rPr>
            <sz val="9"/>
            <color indexed="81"/>
            <rFont val="Arial"/>
            <family val="2"/>
          </rPr>
          <t xml:space="preserve">
FY08 Budget Reversion of 2,990.0 (3% of operating funds) has NOT been deducted.</t>
        </r>
      </text>
    </comment>
    <comment ref="F535" authorId="6">
      <text>
        <r>
          <rPr>
            <b/>
            <sz val="9"/>
            <color indexed="81"/>
            <rFont val="Arial"/>
            <family val="2"/>
          </rPr>
          <t>Office 2004 Test Drive Alan Phillips:</t>
        </r>
        <r>
          <rPr>
            <sz val="9"/>
            <color indexed="81"/>
            <rFont val="Arial"/>
            <family val="2"/>
          </rPr>
          <t xml:space="preserve">
Fy08 Budget Reversion of 884.0 has NOT been deducted</t>
        </r>
      </text>
    </comment>
    <comment ref="L535" authorId="7">
      <text>
        <r>
          <rPr>
            <b/>
            <sz val="8"/>
            <color indexed="81"/>
            <rFont val="Tahoma"/>
            <family val="2"/>
          </rPr>
          <t>aphillips:</t>
        </r>
        <r>
          <rPr>
            <sz val="8"/>
            <color indexed="81"/>
            <rFont val="Tahoma"/>
            <family val="2"/>
          </rPr>
          <t xml:space="preserve">
Del State could not provide an FY08 T&amp;F Revenue figure and requested I use FY07 figures for the survey.  I will give them an opportunity to correct it during the data review.</t>
        </r>
      </text>
    </comment>
    <comment ref="M535" authorId="7">
      <text>
        <r>
          <rPr>
            <b/>
            <sz val="8"/>
            <color indexed="81"/>
            <rFont val="Tahoma"/>
            <family val="2"/>
          </rPr>
          <t>aphillips:</t>
        </r>
        <r>
          <rPr>
            <sz val="8"/>
            <color indexed="81"/>
            <rFont val="Tahoma"/>
            <family val="2"/>
          </rPr>
          <t xml:space="preserve">
See note for T&amp;F Revenue.</t>
        </r>
      </text>
    </comment>
    <comment ref="F538" authorId="6">
      <text>
        <r>
          <rPr>
            <b/>
            <sz val="9"/>
            <color indexed="81"/>
            <rFont val="Arial"/>
            <family val="2"/>
          </rPr>
          <t>Office 2004 Test Drive Alan Phillips: FY 08 Budget Reversion of 490..0 has NOT been deducted.</t>
        </r>
        <r>
          <rPr>
            <sz val="9"/>
            <color indexed="81"/>
            <rFont val="Arial"/>
            <family val="2"/>
          </rPr>
          <t xml:space="preserve">
</t>
        </r>
      </text>
    </comment>
    <comment ref="F539" authorId="6">
      <text>
        <r>
          <rPr>
            <b/>
            <sz val="9"/>
            <color indexed="81"/>
            <rFont val="Arial"/>
            <family val="2"/>
          </rPr>
          <t>Office 2004 Test Drive Alan Phillips: FY08 Budget Reversion of 860.0 has NOT been deducted.</t>
        </r>
        <r>
          <rPr>
            <sz val="9"/>
            <color indexed="81"/>
            <rFont val="Arial"/>
            <family val="2"/>
          </rPr>
          <t xml:space="preserve">
</t>
        </r>
      </text>
    </comment>
    <comment ref="F540" authorId="6">
      <text>
        <r>
          <rPr>
            <b/>
            <sz val="9"/>
            <color indexed="81"/>
            <rFont val="Arial"/>
            <family val="2"/>
          </rPr>
          <t>Office 2004 Test Drive Alan Phillips:  FY08 Budget Reversion of 311.2 has NOT been deducted.</t>
        </r>
        <r>
          <rPr>
            <sz val="9"/>
            <color indexed="81"/>
            <rFont val="Arial"/>
            <family val="2"/>
          </rPr>
          <t xml:space="preserve">
</t>
        </r>
      </text>
    </comment>
    <comment ref="C553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 DE  H.Ed. Commisssion</t>
        </r>
      </text>
    </comment>
    <comment ref="C559" authorId="7">
      <text>
        <r>
          <rPr>
            <b/>
            <sz val="8"/>
            <color indexed="81"/>
            <rFont val="Tahoma"/>
            <family val="2"/>
          </rPr>
          <t xml:space="preserve">aphillips: </t>
        </r>
        <r>
          <rPr>
            <sz val="8"/>
            <color indexed="81"/>
            <rFont val="Tahoma"/>
            <family val="2"/>
          </rPr>
          <t xml:space="preserve">Delaware remits a total of $1,250,000 to private medical colleges to reserve admissions slots for DE residents.  The remainder is overhead support.
</t>
        </r>
      </text>
    </comment>
    <comment ref="C561" authorId="7">
      <text>
        <r>
          <rPr>
            <b/>
            <sz val="8"/>
            <color indexed="81"/>
            <rFont val="Tahoma"/>
            <family val="2"/>
          </rPr>
          <t xml:space="preserve">JMarks: clairfication coming. aphillips: </t>
        </r>
        <r>
          <rPr>
            <sz val="8"/>
            <color indexed="81"/>
            <rFont val="Tahoma"/>
            <family val="2"/>
          </rPr>
          <t xml:space="preserve">2007-08 $75,000 remitted to Temple University to reserve admission slots for DE residents. $90,000 awarded to students for non-need based scholarships ("stipends"). $60,000 awarded to students for need-based scholarships. Temple is a public Pennsylvania university.
</t>
        </r>
      </text>
    </comment>
    <comment ref="C676" authorId="7">
      <text>
        <r>
          <rPr>
            <b/>
            <sz val="8"/>
            <color indexed="81"/>
            <rFont val="Tahoma"/>
            <family val="2"/>
          </rPr>
          <t>aphillips:</t>
        </r>
        <r>
          <rPr>
            <sz val="8"/>
            <color indexed="81"/>
            <rFont val="Tahoma"/>
            <family val="2"/>
          </rPr>
          <t xml:space="preserve">
Program suspended effective 2008-2009.</t>
        </r>
      </text>
    </comment>
    <comment ref="T677" authorId="7">
      <text>
        <r>
          <rPr>
            <b/>
            <sz val="8"/>
            <color indexed="81"/>
            <rFont val="Tahoma"/>
            <family val="2"/>
          </rPr>
          <t>aphillips:</t>
        </r>
        <r>
          <rPr>
            <sz val="8"/>
            <color indexed="81"/>
            <rFont val="Tahoma"/>
            <family val="2"/>
          </rPr>
          <t xml:space="preserve">
Goes to teachers for portfolio creation, not necessarily for teacher education costs.  Suspended for 08-09.</t>
        </r>
      </text>
    </comment>
    <comment ref="C683" authorId="7">
      <text>
        <r>
          <rPr>
            <b/>
            <sz val="8"/>
            <color indexed="81"/>
            <rFont val="Tahoma"/>
            <family val="2"/>
          </rPr>
          <t>aphillips:</t>
        </r>
        <r>
          <rPr>
            <sz val="8"/>
            <color indexed="81"/>
            <rFont val="Tahoma"/>
            <family val="2"/>
          </rPr>
          <t xml:space="preserve">
Payments are made to individuals, not institutions for course reimbursements</t>
        </r>
      </text>
    </comment>
    <comment ref="C690" authorId="7">
      <text>
        <r>
          <rPr>
            <b/>
            <sz val="8"/>
            <color indexed="81"/>
            <rFont val="Tahoma"/>
            <family val="2"/>
          </rPr>
          <t>aphillips:</t>
        </r>
        <r>
          <rPr>
            <sz val="8"/>
            <color indexed="81"/>
            <rFont val="Tahoma"/>
            <family val="2"/>
          </rPr>
          <t xml:space="preserve">
Payments are made to individuals, not institutions, for application toward individual education debt.</t>
        </r>
      </text>
    </comment>
    <comment ref="T691" authorId="7">
      <text>
        <r>
          <rPr>
            <b/>
            <sz val="8"/>
            <color indexed="81"/>
            <rFont val="Tahoma"/>
            <family val="2"/>
          </rPr>
          <t>aphillips:</t>
        </r>
        <r>
          <rPr>
            <sz val="8"/>
            <color indexed="81"/>
            <rFont val="Tahoma"/>
            <family val="2"/>
          </rPr>
          <t xml:space="preserve">
Goes to practicing physicians to repay loans, not for current education costs.</t>
        </r>
      </text>
    </comment>
    <comment ref="C699" authorId="7">
      <text>
        <r>
          <rPr>
            <b/>
            <sz val="8"/>
            <color indexed="81"/>
            <rFont val="Tahoma"/>
            <family val="2"/>
          </rPr>
          <t>aphillips:</t>
        </r>
        <r>
          <rPr>
            <sz val="8"/>
            <color indexed="81"/>
            <rFont val="Tahoma"/>
            <family val="2"/>
          </rPr>
          <t xml:space="preserve">
New scholarship program effective 2006-2007, Dental Medicine student, Temple University only.</t>
        </r>
      </text>
    </comment>
    <comment ref="I724" authorId="8">
      <text>
        <r>
          <rPr>
            <b/>
            <sz val="8"/>
            <color indexed="81"/>
            <rFont val="Tahoma"/>
            <family val="2"/>
          </rPr>
          <t>dale.bradley:</t>
        </r>
        <r>
          <rPr>
            <sz val="8"/>
            <color indexed="81"/>
            <rFont val="Tahoma"/>
            <family val="2"/>
          </rPr>
          <t xml:space="preserve">
Fla Diagnostic &amp; Learning Resources Center. Spec Appropriation 96.</t>
        </r>
      </text>
    </comment>
    <comment ref="C726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state funds through DOE</t>
        </r>
      </text>
    </comment>
    <comment ref="I727" authorId="8">
      <text>
        <r>
          <rPr>
            <b/>
            <sz val="8"/>
            <color indexed="81"/>
            <rFont val="Tahoma"/>
            <family val="2"/>
          </rPr>
          <t>dale.bradley:</t>
        </r>
        <r>
          <rPr>
            <sz val="8"/>
            <color indexed="81"/>
            <rFont val="Tahoma"/>
            <family val="2"/>
          </rPr>
          <t xml:space="preserve">
Specific Appropriation 100.</t>
        </r>
      </text>
    </comment>
    <comment ref="AD734" authorId="2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New med school; first tuition will come in in 2009-10</t>
        </r>
      </text>
    </comment>
    <comment ref="AC743" authorId="8">
      <text>
        <r>
          <rPr>
            <b/>
            <sz val="8"/>
            <color indexed="81"/>
            <rFont val="Tahoma"/>
            <family val="2"/>
          </rPr>
          <t>dale.bradley:</t>
        </r>
        <r>
          <rPr>
            <sz val="8"/>
            <color indexed="81"/>
            <rFont val="Tahoma"/>
            <family val="2"/>
          </rPr>
          <t xml:space="preserve">
Autism info from Kathy Thrasher - UF HSC
Specific Approp. 100.</t>
        </r>
      </text>
    </comment>
    <comment ref="I745" authorId="8">
      <text>
        <r>
          <rPr>
            <b/>
            <sz val="8"/>
            <color indexed="81"/>
            <rFont val="Tahoma"/>
            <family val="2"/>
          </rPr>
          <t>dale.bradley:</t>
        </r>
        <r>
          <rPr>
            <sz val="8"/>
            <color indexed="81"/>
            <rFont val="Tahoma"/>
            <family val="2"/>
          </rPr>
          <t xml:space="preserve">
Fla Diagnostic &amp; Learning Resource Center. Spec Appropriation 96.</t>
        </r>
      </text>
    </comment>
    <comment ref="C746" authorId="2">
      <text>
        <r>
          <rPr>
            <b/>
            <sz val="8"/>
            <color indexed="81"/>
            <rFont val="Tahoma"/>
            <family val="2"/>
          </rPr>
          <t>jmarks:state funds through DOE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747" authorId="8">
      <text>
        <r>
          <rPr>
            <b/>
            <sz val="8"/>
            <color indexed="81"/>
            <rFont val="Tahoma"/>
            <family val="2"/>
          </rPr>
          <t>dale.bradley:</t>
        </r>
        <r>
          <rPr>
            <sz val="8"/>
            <color indexed="81"/>
            <rFont val="Tahoma"/>
            <family val="2"/>
          </rPr>
          <t xml:space="preserve">
Includes Incidental trust funds (no federal tf)</t>
        </r>
      </text>
    </comment>
    <comment ref="I754" authorId="8">
      <text>
        <r>
          <rPr>
            <b/>
            <sz val="8"/>
            <color indexed="81"/>
            <rFont val="Tahoma"/>
            <family val="2"/>
          </rPr>
          <t>dale.bradley:</t>
        </r>
        <r>
          <rPr>
            <sz val="8"/>
            <color indexed="81"/>
            <rFont val="Tahoma"/>
            <family val="2"/>
          </rPr>
          <t xml:space="preserve">
Fla Diagnostic &amp; Learning Resource Center. Spec Appropriation 96.</t>
        </r>
      </text>
    </comment>
    <comment ref="I763" authorId="8">
      <text>
        <r>
          <rPr>
            <b/>
            <sz val="8"/>
            <color indexed="81"/>
            <rFont val="Tahoma"/>
            <family val="2"/>
          </rPr>
          <t>dale.bradley:</t>
        </r>
        <r>
          <rPr>
            <sz val="8"/>
            <color indexed="81"/>
            <rFont val="Tahoma"/>
            <family val="2"/>
          </rPr>
          <t xml:space="preserve">
Specific Appropriation 100.</t>
        </r>
      </text>
    </comment>
    <comment ref="C765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state funds through DOE</t>
        </r>
      </text>
    </comment>
    <comment ref="C772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state funds through DOE</t>
        </r>
      </text>
    </comment>
    <comment ref="C785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Previously reported figures were not operating funds but additions to endownments.</t>
        </r>
      </text>
    </comment>
    <comment ref="I794" authorId="8">
      <text>
        <r>
          <rPr>
            <b/>
            <sz val="8"/>
            <color indexed="81"/>
            <rFont val="Tahoma"/>
            <family val="2"/>
          </rPr>
          <t>dale.bradley:</t>
        </r>
        <r>
          <rPr>
            <sz val="8"/>
            <color indexed="81"/>
            <rFont val="Tahoma"/>
            <family val="2"/>
          </rPr>
          <t xml:space="preserve">
From "back of the bill" HB 5001 Section 29(b). 2008-09 amounts distributed to universities.
</t>
        </r>
      </text>
    </comment>
    <comment ref="U800" authorId="8">
      <text>
        <r>
          <rPr>
            <b/>
            <sz val="8"/>
            <color indexed="81"/>
            <rFont val="Tahoma"/>
            <family val="2"/>
          </rPr>
          <t>dale.bradley:</t>
        </r>
        <r>
          <rPr>
            <sz val="8"/>
            <color indexed="81"/>
            <rFont val="Tahoma"/>
            <family val="2"/>
          </rPr>
          <t xml:space="preserve">
Per Dewey Phillips - DOE.</t>
        </r>
      </text>
    </comment>
    <comment ref="U808" authorId="8">
      <text>
        <r>
          <rPr>
            <b/>
            <sz val="8"/>
            <color indexed="81"/>
            <rFont val="Tahoma"/>
            <family val="2"/>
          </rPr>
          <t>dale.bradley:</t>
        </r>
        <r>
          <rPr>
            <sz val="8"/>
            <color indexed="81"/>
            <rFont val="Tahoma"/>
            <family val="2"/>
          </rPr>
          <t xml:space="preserve">
Specific Appropriation 100.</t>
        </r>
      </text>
    </comment>
    <comment ref="C863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with merit component</t>
        </r>
      </text>
    </comment>
    <comment ref="C916" authorId="2">
      <text>
        <r>
          <rPr>
            <sz val="10"/>
            <color indexed="81"/>
            <rFont val="Tahoma"/>
            <family val="2"/>
          </rPr>
          <t>Formerly Edison Community College</t>
        </r>
      </text>
    </comment>
    <comment ref="C985" authorId="9">
      <text>
        <r>
          <rPr>
            <b/>
            <sz val="8"/>
            <color indexed="81"/>
            <rFont val="Tahoma"/>
            <family val="2"/>
          </rPr>
          <t>according to Susan Wright, this is the first year this has been broken out</t>
        </r>
      </text>
    </comment>
    <comment ref="C1021" authorId="10">
      <text>
        <r>
          <rPr>
            <b/>
            <sz val="8"/>
            <color indexed="81"/>
            <rFont val="Tahoma"/>
            <family val="2"/>
          </rPr>
          <t>Board of Regents:</t>
        </r>
        <r>
          <rPr>
            <sz val="8"/>
            <color indexed="81"/>
            <rFont val="Tahoma"/>
            <family val="2"/>
          </rPr>
          <t xml:space="preserve">
formerly Clayton College &amp; State University
</t>
        </r>
      </text>
    </comment>
    <comment ref="C1027" authorId="2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Name change: formerly Coastal Georgia Community College</t>
        </r>
      </text>
    </comment>
    <comment ref="C1029" authorId="9">
      <text>
        <r>
          <rPr>
            <b/>
            <sz val="8"/>
            <color indexed="81"/>
            <rFont val="Tahoma"/>
            <family val="2"/>
          </rPr>
          <t>formerly Gainesville College -- offering limited baccalaureate programs</t>
        </r>
      </text>
    </comment>
    <comment ref="C1030" authorId="9">
      <text>
        <r>
          <rPr>
            <b/>
            <sz val="8"/>
            <color indexed="81"/>
            <rFont val="Tahoma"/>
            <family val="2"/>
          </rPr>
          <t>formerly Floyd College - effective April 2005</t>
        </r>
      </text>
    </comment>
    <comment ref="C1032" author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Now includes former Georgia Aviation Technical College</t>
        </r>
      </text>
    </comment>
    <comment ref="C1038" authorId="11">
      <text>
        <r>
          <rPr>
            <sz val="8"/>
            <color indexed="81"/>
            <rFont val="Tahoma"/>
            <family val="2"/>
          </rPr>
          <t>New in 2007-08: a start up college that will be SREB 6 when it meets criteira.</t>
        </r>
      </text>
    </comment>
    <comment ref="AB1041" authorId="10">
      <text>
        <r>
          <rPr>
            <b/>
            <sz val="8"/>
            <color indexed="81"/>
            <rFont val="Tahoma"/>
            <family val="2"/>
          </rPr>
          <t>Board of Regents:</t>
        </r>
        <r>
          <rPr>
            <sz val="8"/>
            <color indexed="81"/>
            <rFont val="Tahoma"/>
            <family val="2"/>
          </rPr>
          <t xml:space="preserve">
Hospitals and Clinics</t>
        </r>
      </text>
    </comment>
    <comment ref="C1048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Previously reported figures were not operating funds but additions to endownments.</t>
        </r>
      </text>
    </comment>
    <comment ref="C1056" authorId="2">
      <text>
        <r>
          <rPr>
            <sz val="10"/>
            <color indexed="81"/>
            <rFont val="Tahoma"/>
            <family val="2"/>
          </rPr>
          <t xml:space="preserve">Includes functions or positions in the System Office which directly support instruction or instruction related functions and programs at the institutions as well as for the University System in general. </t>
        </r>
      </text>
    </comment>
    <comment ref="C1057" authorId="2">
      <text>
        <r>
          <rPr>
            <sz val="10"/>
            <color indexed="81"/>
            <rFont val="Tahoma"/>
            <family val="2"/>
          </rPr>
          <t>Represents the portion of the System Office which supports non-instruction functions at the System Office and the institutions.</t>
        </r>
      </text>
    </comment>
    <comment ref="C1059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adjusted for building</t>
        </r>
      </text>
    </comment>
    <comment ref="T1065" authorId="10">
      <text>
        <r>
          <rPr>
            <b/>
            <sz val="8"/>
            <color indexed="81"/>
            <rFont val="Tahoma"/>
            <family val="2"/>
          </rPr>
          <t>Board of Regents:</t>
        </r>
        <r>
          <rPr>
            <sz val="8"/>
            <color indexed="81"/>
            <rFont val="Tahoma"/>
            <family val="2"/>
          </rPr>
          <t xml:space="preserve">
$5.5 Mill to expand Mercer medical program in Savannah</t>
        </r>
      </text>
    </comment>
    <comment ref="T1071" authorId="10">
      <text>
        <r>
          <rPr>
            <b/>
            <sz val="8"/>
            <color indexed="81"/>
            <rFont val="Tahoma"/>
            <family val="2"/>
          </rPr>
          <t>Board of Regents:</t>
        </r>
        <r>
          <rPr>
            <sz val="8"/>
            <color indexed="81"/>
            <rFont val="Tahoma"/>
            <family val="2"/>
          </rPr>
          <t xml:space="preserve">
28 slots at $13,100 
Source: SREB</t>
        </r>
      </text>
    </comment>
    <comment ref="T1072" authorId="10">
      <text>
        <r>
          <rPr>
            <b/>
            <sz val="8"/>
            <color indexed="81"/>
            <rFont val="Tahoma"/>
            <family val="2"/>
          </rPr>
          <t>Board of Regents:</t>
        </r>
        <r>
          <rPr>
            <sz val="8"/>
            <color indexed="81"/>
            <rFont val="Tahoma"/>
            <family val="2"/>
          </rPr>
          <t xml:space="preserve">
12 slots at $13,100 
Source: SREB</t>
        </r>
      </text>
    </comment>
    <comment ref="T1074" authorId="10">
      <text>
        <r>
          <rPr>
            <b/>
            <sz val="8"/>
            <color indexed="81"/>
            <rFont val="Tahoma"/>
            <family val="2"/>
          </rPr>
          <t>Board of Regents:</t>
        </r>
        <r>
          <rPr>
            <sz val="8"/>
            <color indexed="81"/>
            <rFont val="Tahoma"/>
            <family val="2"/>
          </rPr>
          <t xml:space="preserve">
8 slots at $13,100 
Source: SREB</t>
        </r>
      </text>
    </comment>
    <comment ref="C1075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Formerly SREB contract but now not. (In Dept. Community Health: GA. Bd. for Physician Workforce budgets.)</t>
        </r>
      </text>
    </comment>
    <comment ref="T1137" authorId="10">
      <text>
        <r>
          <rPr>
            <b/>
            <sz val="8"/>
            <color indexed="81"/>
            <rFont val="Tahoma"/>
            <family val="2"/>
          </rPr>
          <t>Board of Regents:</t>
        </r>
        <r>
          <rPr>
            <sz val="8"/>
            <color indexed="81"/>
            <rFont val="Tahoma"/>
            <family val="2"/>
          </rPr>
          <t xml:space="preserve">
Per HB95 Georgia Student Finance</t>
        </r>
      </text>
    </comment>
    <comment ref="G1220" authorId="2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direct approps 155m + 70m to syst off for statewide units and ops in syst budget pro-rated across schools</t>
        </r>
      </text>
    </comment>
    <comment ref="T1268" authorId="0">
      <text>
        <r>
          <rPr>
            <sz val="10"/>
            <color indexed="81"/>
            <rFont val="Tahoma"/>
            <family val="2"/>
          </rPr>
          <t xml:space="preserve">restricted funds/ self supporting
</t>
        </r>
      </text>
    </comment>
    <comment ref="C1304" authorId="2">
      <text>
        <r>
          <rPr>
            <b/>
            <sz val="8"/>
            <color indexed="81"/>
            <rFont val="Tahoma"/>
            <family val="2"/>
          </rPr>
          <t xml:space="preserve">jmarks: </t>
        </r>
        <r>
          <rPr>
            <sz val="8"/>
            <color indexed="81"/>
            <rFont val="Tahoma"/>
            <family val="2"/>
          </rPr>
          <t xml:space="preserve"> note statewide unit code to left: reported here for comparability among land grants
</t>
        </r>
      </text>
    </comment>
    <comment ref="C1308" authorId="2">
      <text>
        <r>
          <rPr>
            <b/>
            <sz val="8"/>
            <color indexed="81"/>
            <rFont val="Tahoma"/>
            <family val="2"/>
          </rPr>
          <t xml:space="preserve">jmarks: </t>
        </r>
        <r>
          <rPr>
            <sz val="8"/>
            <color indexed="81"/>
            <rFont val="Tahoma"/>
            <family val="2"/>
          </rPr>
          <t xml:space="preserve"> jmarks: note statewide unit code to left: reported here for comparability among land grants
</t>
        </r>
      </text>
    </comment>
    <comment ref="C1309" authorId="2">
      <text>
        <r>
          <rPr>
            <b/>
            <sz val="8"/>
            <color indexed="81"/>
            <rFont val="Tahoma"/>
            <family val="2"/>
          </rPr>
          <t xml:space="preserve">jmarks: </t>
        </r>
        <r>
          <rPr>
            <sz val="8"/>
            <color indexed="81"/>
            <rFont val="Tahoma"/>
            <family val="2"/>
          </rPr>
          <t xml:space="preserve"> reported here  for comparability among land grants</t>
        </r>
      </text>
    </comment>
    <comment ref="C1310" authorId="2">
      <text>
        <r>
          <rPr>
            <b/>
            <sz val="8"/>
            <color indexed="81"/>
            <rFont val="Tahoma"/>
            <family val="2"/>
          </rPr>
          <t xml:space="preserve">jmarks: </t>
        </r>
        <r>
          <rPr>
            <sz val="8"/>
            <color indexed="81"/>
            <rFont val="Tahoma"/>
            <family val="2"/>
          </rPr>
          <t>note statewide unit code to left: reported here for comparability among land grants</t>
        </r>
      </text>
    </comment>
    <comment ref="C1313" authorId="9">
      <text>
        <r>
          <rPr>
            <b/>
            <sz val="8"/>
            <color indexed="81"/>
            <rFont val="Tahoma"/>
            <family val="2"/>
          </rPr>
          <t>reclassified: met criteria for classification as a SREB Four-Year 2 institution in 2003-04, 2004-05 and 2005-06</t>
        </r>
      </text>
    </comment>
    <comment ref="C1316" authorId="2">
      <text>
        <r>
          <rPr>
            <b/>
            <sz val="8"/>
            <color indexed="81"/>
            <rFont val="Tahoma"/>
            <family val="2"/>
          </rPr>
          <t xml:space="preserve">jmarks: </t>
        </r>
        <r>
          <rPr>
            <sz val="8"/>
            <color indexed="81"/>
            <rFont val="Tahoma"/>
            <family val="2"/>
          </rPr>
          <t>note statewide unit code to left: reported here for comparability among land grants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318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 note statewide unit code to left: reported here for comparability among land grants</t>
        </r>
      </text>
    </comment>
    <comment ref="C1327" authorId="0">
      <text>
        <r>
          <rPr>
            <b/>
            <sz val="8"/>
            <color indexed="81"/>
            <rFont val="Tahoma"/>
            <family val="2"/>
          </rPr>
          <t>JLM:</t>
        </r>
        <r>
          <rPr>
            <sz val="8"/>
            <color indexed="81"/>
            <rFont val="Tahoma"/>
            <family val="2"/>
          </rPr>
          <t xml:space="preserve">
Awarded bacelor's degrees.</t>
        </r>
      </text>
    </comment>
    <comment ref="C1332" authorId="12">
      <text>
        <r>
          <rPr>
            <b/>
            <sz val="8"/>
            <color indexed="81"/>
            <rFont val="Tahoma"/>
            <family val="2"/>
          </rPr>
          <t>BoR: New Institution - Fall 2001.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381" authorId="0">
      <text>
        <r>
          <rPr>
            <b/>
            <sz val="8"/>
            <color indexed="81"/>
            <rFont val="Tahoma"/>
            <family val="2"/>
          </rPr>
          <t>JLM:</t>
        </r>
        <r>
          <rPr>
            <sz val="8"/>
            <color indexed="81"/>
            <rFont val="Tahoma"/>
            <family val="2"/>
          </rPr>
          <t xml:space="preserve">
New listing. Previously included in the LSU HSC New Orleans figures.</t>
        </r>
      </text>
    </comment>
    <comment ref="T1404" authorId="13">
      <text>
        <r>
          <rPr>
            <b/>
            <sz val="8"/>
            <color indexed="81"/>
            <rFont val="Tahoma"/>
            <family val="2"/>
          </rPr>
          <t>staff:</t>
        </r>
        <r>
          <rPr>
            <sz val="8"/>
            <color indexed="81"/>
            <rFont val="Tahoma"/>
            <family val="2"/>
          </rPr>
          <t xml:space="preserve">
Grapevine plus carryover ba-7s plus lacollege suppl.</t>
        </r>
      </text>
    </comment>
    <comment ref="H1471" authorId="14">
      <text>
        <r>
          <rPr>
            <b/>
            <sz val="8"/>
            <color indexed="81"/>
            <rFont val="Tahoma"/>
            <family val="2"/>
          </rPr>
          <t>jcann:</t>
        </r>
        <r>
          <rPr>
            <sz val="8"/>
            <color indexed="81"/>
            <rFont val="Tahoma"/>
            <family val="2"/>
          </rPr>
          <t xml:space="preserve">
SW, HMP, Garrett, Somerset grants
</t>
        </r>
      </text>
    </comment>
    <comment ref="T1476" authorId="15">
      <text>
        <r>
          <rPr>
            <b/>
            <sz val="8"/>
            <color indexed="81"/>
            <rFont val="Tahoma"/>
            <family val="2"/>
          </rPr>
          <t>areiner:</t>
        </r>
        <r>
          <rPr>
            <sz val="8"/>
            <color indexed="81"/>
            <rFont val="Tahoma"/>
            <family val="2"/>
          </rPr>
          <t xml:space="preserve">
Funding for Shady Grove and Hagerstown should be subtracted from this number
</t>
        </r>
      </text>
    </comment>
    <comment ref="T1489" authorId="0">
      <text>
        <r>
          <rPr>
            <b/>
            <sz val="10"/>
            <color indexed="81"/>
            <rFont val="Tahoma"/>
            <family val="2"/>
          </rPr>
          <t>JLM: To out-of-state students they don't know pub. or priv.</t>
        </r>
      </text>
    </comment>
    <comment ref="U1507" authorId="16">
      <text>
        <r>
          <rPr>
            <b/>
            <sz val="8"/>
            <color indexed="81"/>
            <rFont val="Tahoma"/>
            <family val="2"/>
          </rPr>
          <t>lfilipp:</t>
        </r>
        <r>
          <rPr>
            <sz val="8"/>
            <color indexed="81"/>
            <rFont val="Tahoma"/>
            <family val="2"/>
          </rPr>
          <t xml:space="preserve">
no awards this year to private sector students</t>
        </r>
      </text>
    </comment>
    <comment ref="T1526" authorId="0">
      <text>
        <r>
          <rPr>
            <b/>
            <sz val="10"/>
            <color indexed="81"/>
            <rFont val="Tahoma"/>
            <family val="2"/>
          </rPr>
          <t>JLM: To out-of-state students they don't know pub. or priv.</t>
        </r>
      </text>
    </comment>
    <comment ref="T1542" authorId="0">
      <text>
        <r>
          <rPr>
            <b/>
            <sz val="10"/>
            <color indexed="81"/>
            <rFont val="Tahoma"/>
            <family val="2"/>
          </rPr>
          <t>JLM: To out-of-state students they don't know pub. or priv.</t>
        </r>
      </text>
    </comment>
    <comment ref="U1565" authorId="16">
      <text>
        <r>
          <rPr>
            <b/>
            <sz val="8"/>
            <color indexed="81"/>
            <rFont val="Tahoma"/>
            <family val="2"/>
          </rPr>
          <t>lfilipp:</t>
        </r>
        <r>
          <rPr>
            <sz val="8"/>
            <color indexed="81"/>
            <rFont val="Tahoma"/>
            <family val="2"/>
          </rPr>
          <t xml:space="preserve">
no awds to pub sector students this yr
</t>
        </r>
      </text>
    </comment>
    <comment ref="T1642" authorId="0">
      <text>
        <r>
          <rPr>
            <b/>
            <sz val="10"/>
            <color indexed="81"/>
            <rFont val="Tahoma"/>
            <family val="2"/>
          </rPr>
          <t>JLM: To out-of-state students they don't know pub. or priv.</t>
        </r>
      </text>
    </comment>
    <comment ref="U1677" authorId="16">
      <text>
        <r>
          <rPr>
            <b/>
            <sz val="8"/>
            <color indexed="81"/>
            <rFont val="Tahoma"/>
            <family val="2"/>
          </rPr>
          <t>lfilipp:</t>
        </r>
        <r>
          <rPr>
            <sz val="8"/>
            <color indexed="81"/>
            <rFont val="Tahoma"/>
            <family val="2"/>
          </rPr>
          <t xml:space="preserve">
no programs </t>
        </r>
      </text>
    </comment>
    <comment ref="C1856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 the future, please identify amounts to public sector and private sector students, if possible.</t>
        </r>
      </text>
    </comment>
    <comment ref="C1913" authorId="0">
      <text>
        <r>
          <rPr>
            <sz val="9"/>
            <color indexed="81"/>
            <rFont val="Tahoma"/>
            <family val="2"/>
          </rPr>
          <t>This amount reflects the funding from the state appropriation and escheats to support need based financial aid.</t>
        </r>
      </text>
    </comment>
    <comment ref="C2172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funds to develop statewide computer information ststem (CIS).</t>
        </r>
      </text>
    </comment>
    <comment ref="C2238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 the future, please identify amounts to public sector students and to private sector students, if possible.</t>
        </r>
      </text>
    </comment>
    <comment ref="A2291" authorId="0">
      <text>
        <r>
          <rPr>
            <b/>
            <sz val="10"/>
            <color indexed="81"/>
            <rFont val="Tahoma"/>
            <family val="2"/>
          </rPr>
          <t>CB</t>
        </r>
        <r>
          <rPr>
            <sz val="10"/>
            <color indexed="81"/>
            <rFont val="Tahoma"/>
            <family val="2"/>
          </rPr>
          <t xml:space="preserve">
7% cuts announced Dec. '08. 2% cuts announced Mar. '09</t>
        </r>
      </text>
    </comment>
    <comment ref="AC2344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checked on this change-looks like USC took maj or cuts in medical school</t>
        </r>
      </text>
    </comment>
    <comment ref="AD2344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Includes 662,532 for debt service</t>
        </r>
      </text>
    </comment>
    <comment ref="C2369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Name change from Culinary Arts</t>
        </r>
      </text>
    </comment>
    <comment ref="C2437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Had been previously included in State Support to Private Colleges other than Student Aid
 </t>
        </r>
      </text>
    </comment>
    <comment ref="C2462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Name change 2004 reporting</t>
        </r>
      </text>
    </comment>
    <comment ref="E2548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Changed categories per SREB 2004 reporting</t>
        </r>
      </text>
    </comment>
    <comment ref="E2549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Changed categories per SREB 2004 reporting</t>
        </r>
      </text>
    </comment>
    <comment ref="E2550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Changed categories per SREB 2004 reporting</t>
        </r>
      </text>
    </comment>
    <comment ref="E2551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Changed categories per SREB 2004 reporting</t>
        </r>
      </text>
    </comment>
    <comment ref="E2552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Changed categories per SREB 2004 reporting</t>
        </r>
      </text>
    </comment>
    <comment ref="E2553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Changed categories per SREB 2004 reporting</t>
        </r>
      </text>
    </comment>
    <comment ref="E2554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Changed categories per SREB 2004 reporting</t>
        </r>
      </text>
    </comment>
    <comment ref="E2555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Changed categories per SREB 2004 reporting</t>
        </r>
      </text>
    </comment>
    <comment ref="E2556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Changed categories per SREB 2004 reporting</t>
        </r>
      </text>
    </comment>
    <comment ref="C2566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Name change from Spartanburg Technical </t>
        </r>
      </text>
    </comment>
    <comment ref="AD2655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Includes 7,567,774 for debt service</t>
        </r>
      </text>
    </comment>
    <comment ref="AE2655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Includes Debt service of 8,353,182</t>
        </r>
      </text>
    </comment>
    <comment ref="C2687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Slight name change</t>
        </r>
      </text>
    </comment>
    <comment ref="T2691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Majority has been allocated to institutions</t>
        </r>
      </text>
    </comment>
    <comment ref="T2694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A portion of the funds have been allocated to the institutions</t>
        </r>
      </text>
    </comment>
    <comment ref="T2706" authorId="17">
      <text>
        <r>
          <rPr>
            <b/>
            <sz val="8"/>
            <color indexed="81"/>
            <rFont val="Tahoma"/>
            <family val="2"/>
          </rPr>
          <t>cbrown:</t>
        </r>
        <r>
          <rPr>
            <sz val="8"/>
            <color indexed="81"/>
            <rFont val="Tahoma"/>
            <family val="2"/>
          </rPr>
          <t xml:space="preserve">
Doctoral Scholars Program moved to Other contract education programs</t>
        </r>
      </text>
    </comment>
    <comment ref="C2760" authorId="2">
      <text>
        <r>
          <rPr>
            <b/>
            <sz val="10"/>
            <color indexed="81"/>
            <rFont val="Tahoma"/>
            <family val="2"/>
          </rPr>
          <t>NG CAP is new and is replacing NG Tuition Repayment Pgm.  NG Tuition Repayment is being phased out-below</t>
        </r>
      </text>
    </comment>
    <comment ref="H2773" authorId="18">
      <text>
        <r>
          <rPr>
            <b/>
            <sz val="8"/>
            <color indexed="81"/>
            <rFont val="Tahoma"/>
            <family val="2"/>
          </rPr>
          <t>THEC:</t>
        </r>
        <r>
          <rPr>
            <sz val="8"/>
            <color indexed="81"/>
            <rFont val="Tahoma"/>
            <family val="2"/>
          </rPr>
          <t xml:space="preserve">
MTAS received some restricted state grant funds for 2007-08.</t>
        </r>
      </text>
    </comment>
    <comment ref="M2781" authorId="18">
      <text>
        <r>
          <rPr>
            <b/>
            <sz val="8"/>
            <color indexed="81"/>
            <rFont val="Tahoma"/>
            <family val="2"/>
          </rPr>
          <t>THEC:</t>
        </r>
        <r>
          <rPr>
            <sz val="8"/>
            <color indexed="81"/>
            <rFont val="Tahoma"/>
            <family val="2"/>
          </rPr>
          <t xml:space="preserve">
MTSU added a new debt service fee for a student union building.</t>
        </r>
      </text>
    </comment>
    <comment ref="M2785" authorId="18">
      <text>
        <r>
          <rPr>
            <b/>
            <sz val="8"/>
            <color indexed="81"/>
            <rFont val="Tahoma"/>
            <family val="2"/>
          </rPr>
          <t>THEC:</t>
        </r>
        <r>
          <rPr>
            <sz val="8"/>
            <color indexed="81"/>
            <rFont val="Tahoma"/>
            <family val="2"/>
          </rPr>
          <t xml:space="preserve">
UTC added a new debt service fee for a student wellness center.</t>
        </r>
      </text>
    </comment>
    <comment ref="C2818" authorId="2">
      <text>
        <r>
          <rPr>
            <b/>
            <sz val="8"/>
            <color indexed="81"/>
            <rFont val="Tahoma"/>
            <family val="2"/>
          </rPr>
          <t>reclassified: met the criteria for classification as a SREB TI/C 2 in 2003-04, 2004-05 and 2005-06</t>
        </r>
      </text>
    </comment>
    <comment ref="L2823" authorId="18">
      <text>
        <r>
          <rPr>
            <b/>
            <sz val="8"/>
            <color indexed="81"/>
            <rFont val="Tahoma"/>
            <family val="2"/>
          </rPr>
          <t>THEC:</t>
        </r>
        <r>
          <rPr>
            <sz val="8"/>
            <color indexed="81"/>
            <rFont val="Tahoma"/>
            <family val="2"/>
          </rPr>
          <t xml:space="preserve">
large enrollment increase, coupled with significant tuition increase.</t>
        </r>
      </text>
    </comment>
    <comment ref="C2914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the same way as SCH data (by campus) preferred.</t>
        </r>
      </text>
    </comment>
    <comment ref="C2918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the same way as SCH data (by campus) preferred.</t>
        </r>
      </text>
    </comment>
    <comment ref="C2925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the same way as SCH data (by campus) preferred.</t>
        </r>
      </text>
    </comment>
    <comment ref="C2926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the same way as SCH data (by campus) preferred.</t>
        </r>
      </text>
    </comment>
    <comment ref="C2927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the same way as SCH data (by campus) preferred.</t>
        </r>
      </text>
    </comment>
    <comment ref="C2928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the same way as SCH data (by campus) preferred.</t>
        </r>
      </text>
    </comment>
    <comment ref="C2929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the same way as SCH data (by campus) preferred.</t>
        </r>
      </text>
    </comment>
    <comment ref="C2933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the same way as SCH data (by campus) preferred.</t>
        </r>
      </text>
    </comment>
    <comment ref="C2940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the same way as SCH data (by campus) preferred.</t>
        </r>
      </text>
    </comment>
    <comment ref="C2944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the same way as SCH data (by campus) preferred.</t>
        </r>
      </text>
    </comment>
    <comment ref="C2952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the same way as SCH data (by campus) preferred.</t>
        </r>
      </text>
    </comment>
    <comment ref="C2971" authorId="11">
      <text>
        <r>
          <rPr>
            <b/>
            <sz val="8"/>
            <color indexed="81"/>
            <rFont val="Tahoma"/>
            <family val="2"/>
          </rPr>
          <t>Alicia A. Diaz:</t>
        </r>
        <r>
          <rPr>
            <sz val="8"/>
            <color indexed="81"/>
            <rFont val="Tahoma"/>
            <family val="2"/>
          </rPr>
          <t xml:space="preserve">
new in 2007-08</t>
        </r>
      </text>
    </comment>
    <comment ref="C2979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the same way as SCH data (by campus) preferred.</t>
        </r>
      </text>
    </comment>
    <comment ref="C2980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the same way as SCH data (by campus) preferred.</t>
        </r>
      </text>
    </comment>
    <comment ref="C3000" authorId="19">
      <text>
        <r>
          <rPr>
            <b/>
            <sz val="8"/>
            <color indexed="81"/>
            <rFont val="Tahoma"/>
            <family val="2"/>
          </rPr>
          <t>GreeneAA:</t>
        </r>
        <r>
          <rPr>
            <sz val="8"/>
            <color indexed="81"/>
            <rFont val="Tahoma"/>
            <family val="2"/>
          </rPr>
          <t xml:space="preserve">
Name Change</t>
        </r>
      </text>
    </comment>
    <comment ref="C3003" authorId="2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These $ to be allocated 80/20 to academics/student aid on criteria indevelopment.When allocated, they should be as lines under the appropriate institutions.</t>
        </r>
      </text>
    </comment>
    <comment ref="C3013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 HECB ?</t>
        </r>
      </text>
    </comment>
    <comment ref="C3100" authorId="19">
      <text>
        <r>
          <rPr>
            <b/>
            <sz val="8"/>
            <color indexed="81"/>
            <rFont val="Tahoma"/>
            <family val="2"/>
          </rPr>
          <t>GreeneAA:</t>
        </r>
        <r>
          <rPr>
            <sz val="8"/>
            <color indexed="81"/>
            <rFont val="Tahoma"/>
            <family val="2"/>
          </rPr>
          <t xml:space="preserve">
Name Change</t>
        </r>
      </text>
    </comment>
    <comment ref="E3104" authorId="20">
      <text>
        <r>
          <rPr>
            <sz val="8"/>
            <color indexed="81"/>
            <rFont val="Tahoma"/>
            <family val="2"/>
          </rPr>
          <t xml:space="preserve">2007-08 data were revised in yellow highlighted cells.  That is moving dollars from State General Purpose to State Special Purpose.
</t>
        </r>
      </text>
    </comment>
    <comment ref="M3104" authorId="21">
      <text>
        <r>
          <rPr>
            <b/>
            <sz val="8"/>
            <color indexed="81"/>
            <rFont val="Tahoma"/>
            <family val="2"/>
          </rPr>
          <t>AngelaDetlev:</t>
        </r>
        <r>
          <rPr>
            <sz val="8"/>
            <color indexed="81"/>
            <rFont val="Tahoma"/>
            <family val="2"/>
          </rPr>
          <t xml:space="preserve">
 the state doubled the required debt service amount which was allocated to institutions to generate through their tuition charges</t>
        </r>
      </text>
    </comment>
    <comment ref="AD3105" authorId="21">
      <text>
        <r>
          <rPr>
            <b/>
            <sz val="8"/>
            <color indexed="81"/>
            <rFont val="Tahoma"/>
            <family val="2"/>
          </rPr>
          <t>AngelaDetlev:</t>
        </r>
        <r>
          <rPr>
            <sz val="8"/>
            <color indexed="81"/>
            <rFont val="Tahoma"/>
            <family val="2"/>
          </rPr>
          <t xml:space="preserve">
UVA started using a new methodology to calculate the fund share of funding at medical school in 2007</t>
        </r>
      </text>
    </comment>
    <comment ref="C3126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27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28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29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30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31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32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33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34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35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36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37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38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39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40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41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42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43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44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45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47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48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C3149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Must be reported the same way as SCH data. By campus preferred.</t>
        </r>
      </text>
    </comment>
    <comment ref="J3149" authorId="21">
      <text>
        <r>
          <rPr>
            <b/>
            <sz val="8"/>
            <color indexed="81"/>
            <rFont val="Tahoma"/>
            <family val="2"/>
          </rPr>
          <t>AngelaDetlev:</t>
        </r>
        <r>
          <rPr>
            <sz val="8"/>
            <color indexed="81"/>
            <rFont val="Tahoma"/>
            <family val="2"/>
          </rPr>
          <t xml:space="preserve">
2007-08 figure is an estimate.  Actual is not yet available</t>
        </r>
      </text>
    </comment>
    <comment ref="W3150" authorId="21">
      <text>
        <r>
          <rPr>
            <b/>
            <sz val="8"/>
            <color indexed="81"/>
            <rFont val="Tahoma"/>
            <family val="2"/>
          </rPr>
          <t>AngelaDetlev:</t>
        </r>
        <r>
          <rPr>
            <sz val="8"/>
            <color indexed="81"/>
            <rFont val="Tahoma"/>
            <family val="2"/>
          </rPr>
          <t xml:space="preserve">
the state doubled the required debt service amount which was allocated to institutions to generate through their tuition charges</t>
        </r>
      </text>
    </comment>
    <comment ref="H3156" authorId="21">
      <text>
        <r>
          <rPr>
            <b/>
            <sz val="8"/>
            <color indexed="81"/>
            <rFont val="Tahoma"/>
            <family val="2"/>
          </rPr>
          <t>AngelaDetlev:</t>
        </r>
        <r>
          <rPr>
            <sz val="8"/>
            <color indexed="81"/>
            <rFont val="Tahoma"/>
            <family val="2"/>
          </rPr>
          <t xml:space="preserve">
Economic development, funding is always one-time.  It cannot be compared between years</t>
        </r>
      </text>
    </comment>
    <comment ref="C3186" authorId="2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Please itemize, if possible.</t>
        </r>
      </text>
    </comment>
    <comment ref="G3208" authorId="22">
      <text>
        <r>
          <rPr>
            <b/>
            <sz val="8"/>
            <color indexed="81"/>
            <rFont val="Tahoma"/>
            <family val="2"/>
          </rPr>
          <t>WVHEPC:</t>
        </r>
        <r>
          <rPr>
            <sz val="8"/>
            <color indexed="81"/>
            <rFont val="Tahoma"/>
            <family val="2"/>
          </rPr>
          <t xml:space="preserve">
Changed to include Supplemental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H3223" authorId="22">
      <text>
        <r>
          <rPr>
            <b/>
            <sz val="10"/>
            <color indexed="81"/>
            <rFont val="Tahoma"/>
            <family val="2"/>
          </rPr>
          <t>WVHEPC:</t>
        </r>
        <r>
          <rPr>
            <sz val="10"/>
            <color indexed="81"/>
            <rFont val="Tahoma"/>
            <family val="2"/>
          </rPr>
          <t xml:space="preserve">
New Funding Item 2008
</t>
        </r>
      </text>
    </comment>
    <comment ref="G3224" authorId="22">
      <text>
        <r>
          <rPr>
            <b/>
            <sz val="10"/>
            <color indexed="81"/>
            <rFont val="Tahoma"/>
            <family val="2"/>
          </rPr>
          <t>WVHEPC: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Vhanged to include Supplemental</t>
        </r>
      </text>
    </comment>
    <comment ref="AC3230" authorId="22">
      <text>
        <r>
          <rPr>
            <b/>
            <sz val="10"/>
            <color indexed="81"/>
            <rFont val="Tahoma"/>
            <family val="2"/>
          </rPr>
          <t>WVHEPC:</t>
        </r>
        <r>
          <rPr>
            <sz val="10"/>
            <color indexed="81"/>
            <rFont val="Tahoma"/>
            <family val="2"/>
          </rPr>
          <t xml:space="preserve">
Includes Supplemental
</t>
        </r>
      </text>
    </comment>
    <comment ref="G3236" authorId="22">
      <text>
        <r>
          <rPr>
            <b/>
            <sz val="10"/>
            <color indexed="81"/>
            <rFont val="Tahoma"/>
            <family val="2"/>
          </rPr>
          <t>WVHEPC:</t>
        </r>
        <r>
          <rPr>
            <sz val="10"/>
            <color indexed="81"/>
            <rFont val="Tahoma"/>
            <family val="2"/>
          </rPr>
          <t xml:space="preserve">
Includes Supplemental
</t>
        </r>
      </text>
    </comment>
    <comment ref="G3237" authorId="22">
      <text>
        <r>
          <rPr>
            <b/>
            <sz val="10"/>
            <color indexed="81"/>
            <rFont val="Tahoma"/>
            <family val="2"/>
          </rPr>
          <t>WVHEPC:</t>
        </r>
        <r>
          <rPr>
            <sz val="10"/>
            <color indexed="81"/>
            <rFont val="Tahoma"/>
            <family val="2"/>
          </rPr>
          <t xml:space="preserve">
Changed to include Supplemental
</t>
        </r>
      </text>
    </comment>
    <comment ref="C3251" authorId="22">
      <text>
        <r>
          <rPr>
            <b/>
            <sz val="10"/>
            <color indexed="81"/>
            <rFont val="Tahoma"/>
            <family val="2"/>
          </rPr>
          <t>WVHEPC:</t>
        </r>
        <r>
          <rPr>
            <sz val="10"/>
            <color indexed="81"/>
            <rFont val="Tahoma"/>
            <family val="2"/>
          </rPr>
          <t xml:space="preserve">
Name Change from Fairmont C&amp;TC to Pierpont C&amp;TC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G3280" authorId="22">
      <text>
        <r>
          <rPr>
            <b/>
            <sz val="10"/>
            <color indexed="81"/>
            <rFont val="Tahoma"/>
            <family val="2"/>
          </rPr>
          <t>WVHEPC:</t>
        </r>
        <r>
          <rPr>
            <sz val="10"/>
            <color indexed="81"/>
            <rFont val="Tahoma"/>
            <family val="2"/>
          </rPr>
          <t xml:space="preserve">
Includes Supplemental
</t>
        </r>
      </text>
    </comment>
    <comment ref="C3305" authorId="22">
      <text>
        <r>
          <rPr>
            <b/>
            <sz val="10"/>
            <color indexed="81"/>
            <rFont val="Tahoma"/>
            <family val="2"/>
          </rPr>
          <t xml:space="preserve">WVHEPC: New Funding Item 
2006-07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I3305" author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moved from oth sp purp
</t>
        </r>
      </text>
    </comment>
    <comment ref="I3306" authorId="22">
      <text>
        <r>
          <rPr>
            <b/>
            <sz val="10"/>
            <color indexed="81"/>
            <rFont val="Tahoma"/>
            <family val="2"/>
          </rPr>
          <t>WVHEPC:</t>
        </r>
        <r>
          <rPr>
            <sz val="10"/>
            <color indexed="81"/>
            <rFont val="Tahoma"/>
            <family val="2"/>
          </rPr>
          <t xml:space="preserve">
Supplemental Funding
</t>
        </r>
      </text>
    </comment>
    <comment ref="C3310" authorId="22">
      <text>
        <r>
          <rPr>
            <b/>
            <sz val="10"/>
            <color indexed="81"/>
            <rFont val="Tahoma"/>
            <family val="2"/>
          </rPr>
          <t>WVHEPC:</t>
        </r>
        <r>
          <rPr>
            <sz val="10"/>
            <color indexed="81"/>
            <rFont val="Tahoma"/>
            <family val="2"/>
          </rPr>
          <t xml:space="preserve">
New Funding Item 2006-07
</t>
        </r>
      </text>
    </comment>
    <comment ref="H3311" authorId="22">
      <text>
        <r>
          <rPr>
            <b/>
            <sz val="10"/>
            <color indexed="81"/>
            <rFont val="Tahoma"/>
            <family val="2"/>
          </rPr>
          <t>WVHEPC:</t>
        </r>
        <r>
          <rPr>
            <sz val="10"/>
            <color indexed="81"/>
            <rFont val="Tahoma"/>
            <family val="2"/>
          </rPr>
          <t xml:space="preserve">
New Supplemental Funding 2008 SB 1006, 1008 and 1011</t>
        </r>
      </text>
    </comment>
    <comment ref="T3320" authorId="22">
      <text>
        <r>
          <rPr>
            <b/>
            <sz val="8"/>
            <color indexed="81"/>
            <rFont val="Tahoma"/>
            <family val="2"/>
          </rPr>
          <t>WVHEPC:</t>
        </r>
        <r>
          <rPr>
            <sz val="8"/>
            <color indexed="81"/>
            <rFont val="Tahoma"/>
            <family val="2"/>
          </rPr>
          <t xml:space="preserve">
$713,360 actual activity 392 allocation and includes $700,000 appropriation from activity 099 in which $500,000 transferred to New River for Library project and $200,000 for CTC projects.</t>
        </r>
      </text>
    </comment>
    <comment ref="T3322" authorId="22">
      <text>
        <r>
          <rPr>
            <b/>
            <sz val="8"/>
            <color indexed="81"/>
            <rFont val="Tahoma"/>
            <family val="2"/>
          </rPr>
          <t>WVHEPC:</t>
        </r>
        <r>
          <rPr>
            <sz val="8"/>
            <color indexed="81"/>
            <rFont val="Tahoma"/>
            <family val="2"/>
          </rPr>
          <t xml:space="preserve">
Increase in HEGP funding from $25 million to $33 million led to increase in staff and administration</t>
        </r>
      </text>
    </comment>
    <comment ref="T3344" authorId="22">
      <text>
        <r>
          <rPr>
            <b/>
            <sz val="10"/>
            <color indexed="81"/>
            <rFont val="Tahoma"/>
            <family val="2"/>
          </rPr>
          <t>WVHEPC:</t>
        </r>
        <r>
          <rPr>
            <sz val="10"/>
            <color indexed="81"/>
            <rFont val="Tahoma"/>
            <family val="2"/>
          </rPr>
          <t xml:space="preserve">
Includes Supplemental Funding
</t>
        </r>
      </text>
    </comment>
  </commentList>
</comments>
</file>

<file path=xl/comments2.xml><?xml version="1.0" encoding="utf-8"?>
<comments xmlns="http://schemas.openxmlformats.org/spreadsheetml/2006/main">
  <authors>
    <author>jmarks</author>
  </authors>
  <commentList>
    <comment ref="K118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Must be range valued to sort right.</t>
        </r>
      </text>
    </comment>
  </commentList>
</comments>
</file>

<file path=xl/sharedStrings.xml><?xml version="1.0" encoding="utf-8"?>
<sst xmlns="http://schemas.openxmlformats.org/spreadsheetml/2006/main" count="12613" uniqueCount="2059">
  <si>
    <t>Technology Trust Fund</t>
  </si>
  <si>
    <t>Rural Development Center</t>
  </si>
  <si>
    <t>SREB Doctoral Scholar Program</t>
  </si>
  <si>
    <t>KY Postsecondary Education Network</t>
  </si>
  <si>
    <t>Commonweatlh Virtual Univ</t>
  </si>
  <si>
    <t>Adult Education Operations</t>
  </si>
  <si>
    <t xml:space="preserve"> Adult Education and Literacy Funding Program</t>
  </si>
  <si>
    <t>State Autism Training Center</t>
  </si>
  <si>
    <t>Science and Technology Trust Fund</t>
  </si>
  <si>
    <t xml:space="preserve"> Ky Council on Postsecondary Education</t>
  </si>
  <si>
    <t>Ky Community and Technical College System operations</t>
  </si>
  <si>
    <t>SREB (General Operations + Small Grants)</t>
  </si>
  <si>
    <t>Metroversity Consortia</t>
  </si>
  <si>
    <t>H. Ed. Asst. Authority</t>
  </si>
  <si>
    <t>Auburn University (Veterinary Medicine)</t>
  </si>
  <si>
    <t>Other contract education programs (Indiana University)</t>
  </si>
  <si>
    <t>KEES Kentucky Educational Excellence Scholarship</t>
  </si>
  <si>
    <t>College Access Program(CAP)</t>
  </si>
  <si>
    <t>Martin Luther King Scholarship</t>
  </si>
  <si>
    <t>Kentucky Tuition Grant (KTG)</t>
  </si>
  <si>
    <t xml:space="preserve">Hinds Community College </t>
  </si>
  <si>
    <t xml:space="preserve">Mississippi Gulf Coast Community College </t>
  </si>
  <si>
    <t xml:space="preserve">Northwest Mississippi Community College </t>
  </si>
  <si>
    <t xml:space="preserve">Copiah-Lincoln Community College </t>
  </si>
  <si>
    <t xml:space="preserve">East Central Community College </t>
  </si>
  <si>
    <t xml:space="preserve">East Mississippi Community College </t>
  </si>
  <si>
    <t xml:space="preserve">Holmes Community College </t>
  </si>
  <si>
    <t xml:space="preserve">Itawamba Community College </t>
  </si>
  <si>
    <t xml:space="preserve">Jones County Junior College </t>
  </si>
  <si>
    <t xml:space="preserve">Meridian Community College </t>
  </si>
  <si>
    <t xml:space="preserve">Mississippi Delta Community College </t>
  </si>
  <si>
    <t xml:space="preserve">Northeast Mississippi Community College </t>
  </si>
  <si>
    <t xml:space="preserve">Pearl River Community College </t>
  </si>
  <si>
    <t xml:space="preserve">Coahoma Community College </t>
  </si>
  <si>
    <t xml:space="preserve">Southwest Mississippi Community College  </t>
  </si>
  <si>
    <t>Education special purpose funds — statewide units</t>
  </si>
  <si>
    <t>Adult workforce education at community colleges</t>
  </si>
  <si>
    <t>Data Backbone for community colleges</t>
  </si>
  <si>
    <t>Post-Secondary Vocational Education @ Comm. Cols.</t>
  </si>
  <si>
    <t>Greenville Higher Education Center (MDCC via SBCJC)</t>
  </si>
  <si>
    <t>MS State Board for Com/Jr Colleges</t>
  </si>
  <si>
    <t>* Less than 0.1%</t>
  </si>
  <si>
    <r>
      <t>Net Tuition &amp; Fees</t>
    </r>
    <r>
      <rPr>
        <b/>
        <vertAlign val="superscript"/>
        <sz val="8"/>
        <color indexed="18"/>
        <rFont val="Arial"/>
        <family val="2"/>
      </rPr>
      <t xml:space="preserve"> </t>
    </r>
    <r>
      <rPr>
        <b/>
        <sz val="8"/>
        <color indexed="18"/>
        <rFont val="Arial"/>
        <family val="2"/>
      </rPr>
      <t>Available for Operations</t>
    </r>
    <r>
      <rPr>
        <b/>
        <vertAlign val="superscript"/>
        <sz val="8"/>
        <color indexed="18"/>
        <rFont val="Arial"/>
        <family val="2"/>
      </rPr>
      <t>3</t>
    </r>
  </si>
  <si>
    <r>
      <t>Total Funds Available for Operations</t>
    </r>
    <r>
      <rPr>
        <vertAlign val="superscript"/>
        <sz val="8"/>
        <color indexed="18"/>
        <rFont val="Arial"/>
        <family val="2"/>
      </rPr>
      <t xml:space="preserve">4 </t>
    </r>
  </si>
  <si>
    <r>
      <t>Totals</t>
    </r>
    <r>
      <rPr>
        <vertAlign val="superscript"/>
        <sz val="8"/>
        <color indexed="18"/>
        <rFont val="Arial"/>
        <family val="2"/>
      </rPr>
      <t>3</t>
    </r>
  </si>
  <si>
    <t>Academic Endowment</t>
  </si>
  <si>
    <t>SBTCE Special Schools (Economic Development)</t>
  </si>
  <si>
    <t>Pathways to Prosperity</t>
  </si>
  <si>
    <t xml:space="preserve"> National Foundation of Teaching Entrepreneurship (NFTE)</t>
  </si>
  <si>
    <t xml:space="preserve">Think Tec/Fastrac Entrepreneurial </t>
  </si>
  <si>
    <t>Education &amp; Economic Development Act</t>
  </si>
  <si>
    <t>SC Commission on H.Ed.</t>
  </si>
  <si>
    <t>SC Tech College System</t>
  </si>
  <si>
    <t>North Carolina School of the Arts</t>
  </si>
  <si>
    <t>Oklahoma State University (Veterinary Medicine)</t>
  </si>
  <si>
    <t>Life Scholarships</t>
  </si>
  <si>
    <t>Lottery Tuition Assistance Program</t>
  </si>
  <si>
    <t xml:space="preserve">  Palmetto Fellows Scholarships</t>
  </si>
  <si>
    <t>SC HOPE</t>
  </si>
  <si>
    <t>SC Need-Based Grants</t>
  </si>
  <si>
    <t>Sum of State Gen Purp-New</t>
  </si>
  <si>
    <t>Sum of Local-Old</t>
  </si>
  <si>
    <t>Sum of Local-New</t>
  </si>
  <si>
    <t>Total Sum of State Gen Purp-Old</t>
  </si>
  <si>
    <t>Total Sum of State Gen Purp-New</t>
  </si>
  <si>
    <t>Total Sum of Local-Old</t>
  </si>
  <si>
    <t>Total Sum of Local-New</t>
  </si>
  <si>
    <t>State</t>
  </si>
  <si>
    <t>Albany Technical College</t>
  </si>
  <si>
    <t>Altamaha Technical College</t>
  </si>
  <si>
    <t>Athens Technical College</t>
  </si>
  <si>
    <t>Atlanta Technical College</t>
  </si>
  <si>
    <t>Augusta Technical College</t>
  </si>
  <si>
    <t>Central Georgia Technical College</t>
  </si>
  <si>
    <t>Chattahoochee Technical College</t>
  </si>
  <si>
    <t>Columbus Technical College</t>
  </si>
  <si>
    <t>Coosa Valley Technical College</t>
  </si>
  <si>
    <t>University of Virginia</t>
  </si>
  <si>
    <t xml:space="preserve">Virginia Tech </t>
  </si>
  <si>
    <t>College of William &amp; Mary</t>
  </si>
  <si>
    <t>Va Inst of Marine Science</t>
  </si>
  <si>
    <t xml:space="preserve">George Mason University </t>
  </si>
  <si>
    <t xml:space="preserve">Old Dominion University </t>
  </si>
  <si>
    <t xml:space="preserve">Virginia Commonwealth University  </t>
  </si>
  <si>
    <t xml:space="preserve">James Madison University  </t>
  </si>
  <si>
    <t>Radford University</t>
  </si>
  <si>
    <t>Christopher Newport University</t>
  </si>
  <si>
    <t xml:space="preserve">Norfolk State University </t>
  </si>
  <si>
    <t>University of Memphis</t>
  </si>
  <si>
    <t xml:space="preserve">East Tennessee State University </t>
  </si>
  <si>
    <t xml:space="preserve">Middle Tennessee State University </t>
  </si>
  <si>
    <t xml:space="preserve">Tennessee State University </t>
  </si>
  <si>
    <t>McMinnville Center Station</t>
  </si>
  <si>
    <t>University of Tennessee at Chattanooga</t>
  </si>
  <si>
    <t xml:space="preserve">Austin Peay State University </t>
  </si>
  <si>
    <t xml:space="preserve">Tennessee Technological University </t>
  </si>
  <si>
    <t>University of Tennessee at Martin</t>
  </si>
  <si>
    <t xml:space="preserve">Chattanooga State Technical Community College </t>
  </si>
  <si>
    <t>Pellissippi State Technical Community College</t>
  </si>
  <si>
    <t>Southwest Tennessee Community College</t>
  </si>
  <si>
    <t xml:space="preserve">Cleveland State Community College </t>
  </si>
  <si>
    <t xml:space="preserve">Columbia State Community College </t>
  </si>
  <si>
    <t>By Purpose, Summary Distribution, 2008-09</t>
  </si>
  <si>
    <t>By Purpose, Detail Distribution, 2008-09</t>
  </si>
  <si>
    <t>By Source and Purpose, 2008-09</t>
  </si>
  <si>
    <t>Public Four-Year, 2008-09</t>
  </si>
  <si>
    <t>Public Four-Year 1, 2008-09</t>
  </si>
  <si>
    <t>Public Four-Year 2, 2008-09</t>
  </si>
  <si>
    <t>Public Four-Year 3, 2008-09</t>
  </si>
  <si>
    <t>Public Four-Year 4, 2008-09</t>
  </si>
  <si>
    <t>Public Four-Year 5, 2008-09</t>
  </si>
  <si>
    <t>Public Four-Year 6, 2008-09</t>
  </si>
  <si>
    <t>All Two-Year, 2008-09</t>
  </si>
  <si>
    <t>Two-Year with Bachelor's, 2008-09</t>
  </si>
  <si>
    <t>Two-Year 1, 2008-09</t>
  </si>
  <si>
    <t>Two-Year 2, 2008-09</t>
  </si>
  <si>
    <t>Two-Year 3, 2008-09</t>
  </si>
  <si>
    <t>Two-Year Size Unknown, 2008-09</t>
  </si>
  <si>
    <t>All Technical Institutes or Colleges, 2008-09</t>
  </si>
  <si>
    <t>Technical Institute or College 1, 2008-09</t>
  </si>
  <si>
    <t>Technical Institute or College 2, 2008-09</t>
  </si>
  <si>
    <t>Technical Institute or College Size Unknown, 2008-09</t>
  </si>
  <si>
    <t>2008-09 Base Table</t>
  </si>
  <si>
    <t>2008-09 Simplified Table</t>
  </si>
  <si>
    <t xml:space="preserve">Jackson State Community College </t>
  </si>
  <si>
    <t xml:space="preserve">Motlow State Community College </t>
  </si>
  <si>
    <t>Nashville State Technical Institute</t>
  </si>
  <si>
    <t>Northeast State Technical Community College</t>
  </si>
  <si>
    <t xml:space="preserve">Roane State Community College </t>
  </si>
  <si>
    <t xml:space="preserve">Volunteer State Community College </t>
  </si>
  <si>
    <t xml:space="preserve">Walters State Community College </t>
  </si>
  <si>
    <t>S.C. Tuition Grants</t>
  </si>
  <si>
    <t>National Guard College Assistance Program</t>
  </si>
  <si>
    <t>National Guard Tuition Repayment Program</t>
  </si>
  <si>
    <t>University of Tennessee, Knoxville</t>
  </si>
  <si>
    <t>Community/Public Service Units</t>
  </si>
  <si>
    <t>Municipal Technology Advisory Service</t>
  </si>
  <si>
    <t>County Technology Advisory Service</t>
  </si>
  <si>
    <t>Institute for Public Service</t>
  </si>
  <si>
    <t>A change of more than a 5% up or down will trigger a red warning.</t>
  </si>
  <si>
    <t>2008-09</t>
  </si>
  <si>
    <t>Center for Labor Ed &amp; Res</t>
  </si>
  <si>
    <t>Little River Canyon Field School</t>
  </si>
  <si>
    <t>Judical College</t>
  </si>
  <si>
    <t>Risk Watch Program</t>
  </si>
  <si>
    <t>Poison Control Center</t>
  </si>
  <si>
    <t>AL Teacher Recruitment Incentive Program</t>
  </si>
  <si>
    <t>Southeastern University College of Osteopathic Medicine (NOVA)</t>
  </si>
  <si>
    <t>Higher Education Opportunities Grant (GO! Opportunities Grant)</t>
  </si>
  <si>
    <t>Can be entries here just happens to be blank?</t>
  </si>
  <si>
    <t>No detail on sector?</t>
  </si>
  <si>
    <t>Atlantic Vocational-Technical Center</t>
  </si>
  <si>
    <t>132374</t>
  </si>
  <si>
    <t>Bradford Union Area Vocational-Technical Center</t>
  </si>
  <si>
    <t>132675</t>
  </si>
  <si>
    <t>Charlotte County Vocational-Technical Center</t>
  </si>
  <si>
    <t>132976</t>
  </si>
  <si>
    <t>David G. Erwin Area Vocational-Technical Center</t>
  </si>
  <si>
    <t>369419</t>
  </si>
  <si>
    <t>George Stone Area Vocational Center</t>
  </si>
  <si>
    <t>134291</t>
  </si>
  <si>
    <t>George T. Baker Aviation School</t>
  </si>
  <si>
    <t>Jackson Memorial Hospital School of Radiology Technology</t>
  </si>
  <si>
    <t>Lake County Area Vocational-Technical Center</t>
  </si>
  <si>
    <t>135179</t>
  </si>
  <si>
    <t>Lee County Area Vocational-Technical Center</t>
  </si>
  <si>
    <t>135267</t>
  </si>
  <si>
    <t>Lee County High Technical Center North</t>
  </si>
  <si>
    <t>Lindsey Hopkins Technical Education Center</t>
  </si>
  <si>
    <t>135294</t>
  </si>
  <si>
    <t>Lively Area Vocational-Technical Center</t>
  </si>
  <si>
    <t>135276</t>
  </si>
  <si>
    <t>Lorenzo Walker Institute of Technology</t>
  </si>
  <si>
    <t xml:space="preserve">Thomas Nelson Community College </t>
  </si>
  <si>
    <t xml:space="preserve">Tidewater Community College </t>
  </si>
  <si>
    <t xml:space="preserve">Blue Ridge Community College </t>
  </si>
  <si>
    <t xml:space="preserve">Central Virginia Community College </t>
  </si>
  <si>
    <t xml:space="preserve">Danville Community College </t>
  </si>
  <si>
    <t>Germanna Community College</t>
  </si>
  <si>
    <t>John Tyler Community College</t>
  </si>
  <si>
    <t xml:space="preserve">Lord Fairfax Community College  </t>
  </si>
  <si>
    <t xml:space="preserve">New River Community College </t>
  </si>
  <si>
    <t>Child Care Providers Scholarship</t>
  </si>
  <si>
    <t>Maryland Teacher Scholarship (Hope)</t>
  </si>
  <si>
    <t>General Hope Scholarship</t>
  </si>
  <si>
    <t xml:space="preserve">Developmental Disabilities, Mental Health, Child Welfare, and Juvenile Justice Workforce Tuition Assistance Program </t>
  </si>
  <si>
    <t>William Donald Schaefer Scholarship</t>
  </si>
  <si>
    <t>Distinguished Scholar Community College Transfer Program</t>
  </si>
  <si>
    <t>Gear Up Scholarship</t>
  </si>
  <si>
    <t xml:space="preserve">Graduate Nursing Faculy Scholarship </t>
  </si>
  <si>
    <t xml:space="preserve">Graduate Nursing Faculy Living Expenses Grant </t>
  </si>
  <si>
    <t xml:space="preserve">Veterans of Afghanistan and Iraq Conflicts Scholarship </t>
  </si>
  <si>
    <t>Workforce Shortage Student Assistance Grant</t>
  </si>
  <si>
    <t>Limited to public college students only</t>
  </si>
  <si>
    <t>West Virginia University</t>
  </si>
  <si>
    <t>238032</t>
  </si>
  <si>
    <t>Firemen's Tuition Reimbursement</t>
  </si>
  <si>
    <t>Distinguished Scholar Award</t>
  </si>
  <si>
    <t>Jack F. Tolbert Memorial Student Grant Program</t>
  </si>
  <si>
    <t xml:space="preserve">South Carolina State University </t>
  </si>
  <si>
    <t>Teacher Training &amp; Development</t>
  </si>
  <si>
    <t xml:space="preserve">S.C. State Univ. Business School </t>
  </si>
  <si>
    <t>Higher Education Excellence Enhancement Program (Lottery)</t>
  </si>
  <si>
    <t>Obesity Awareness &amp; Prevention</t>
  </si>
  <si>
    <t>S.C.  State Univ. Transportation Center</t>
  </si>
  <si>
    <t>Coastal Carolina University</t>
  </si>
  <si>
    <t>Other Operating</t>
  </si>
  <si>
    <t>University of South Carolina-Aiken</t>
  </si>
  <si>
    <t>University of South Carolina-Upstate</t>
  </si>
  <si>
    <t>Teaching Excellence Initiative</t>
  </si>
  <si>
    <t>University of South Carolina-Beaufort</t>
  </si>
  <si>
    <t>Penn Center</t>
  </si>
  <si>
    <t xml:space="preserve">Greenville Technical College </t>
  </si>
  <si>
    <t xml:space="preserve">Missing &amp; Exploited Children   </t>
  </si>
  <si>
    <t xml:space="preserve">Midlands Technical College </t>
  </si>
  <si>
    <t xml:space="preserve">Trident Technical College </t>
  </si>
  <si>
    <t>Culinary Arts</t>
  </si>
  <si>
    <t xml:space="preserve">Central Carolina Technical College </t>
  </si>
  <si>
    <t xml:space="preserve">Florence-Darlington Technical College </t>
  </si>
  <si>
    <t>SIMT</t>
  </si>
  <si>
    <t xml:space="preserve">Horry-Georgetown Technical College </t>
  </si>
  <si>
    <t xml:space="preserve">Orangeburg-Calhoun Technical College </t>
  </si>
  <si>
    <t xml:space="preserve">Piedmont Technical College </t>
  </si>
  <si>
    <t xml:space="preserve">Spartanburg Community College </t>
  </si>
  <si>
    <t>Spartanburg-Cherokee Expansion</t>
  </si>
  <si>
    <t xml:space="preserve">Tri-County Technical College </t>
  </si>
  <si>
    <t xml:space="preserve">York Technical College </t>
  </si>
  <si>
    <t xml:space="preserve">Aiken Technical College </t>
  </si>
  <si>
    <t xml:space="preserve">Denmark Technical College </t>
  </si>
  <si>
    <t>Northeastern Technical College</t>
  </si>
  <si>
    <t>Breathitt Veterinary Clinic</t>
  </si>
  <si>
    <t>Technical College of the Lowcountry</t>
  </si>
  <si>
    <t>University of South Carolina-Lancaster</t>
  </si>
  <si>
    <t>University of South Carolina-Salkehatchie</t>
  </si>
  <si>
    <t xml:space="preserve">  Salkehatchie Leadership Center</t>
  </si>
  <si>
    <t>University of South Carolina-Sumter</t>
  </si>
  <si>
    <t>University of South Carolina-Union</t>
  </si>
  <si>
    <t xml:space="preserve">Willamsburg Technical College </t>
  </si>
  <si>
    <t>Medical University of South Carolina</t>
  </si>
  <si>
    <t>Hypertension Initiative</t>
  </si>
  <si>
    <t>Diabetic Center (MUSC)</t>
  </si>
  <si>
    <t>Rural Dentist Incentive(MUSC)</t>
  </si>
  <si>
    <t>Professor of the Year Award</t>
  </si>
  <si>
    <t xml:space="preserve">  Desegregation (Access &amp; Equity)</t>
  </si>
  <si>
    <t xml:space="preserve">  Greenville H. Ed. Center</t>
  </si>
  <si>
    <t>Greenville Center Operating Cost</t>
  </si>
  <si>
    <t>Experimental Program for the Stimulation of Competitive Research (EPSCOR) Constortium</t>
  </si>
  <si>
    <t>Greenville Tech-Univ Center</t>
  </si>
  <si>
    <t>Innovative Tech Training (SBTCE)</t>
  </si>
  <si>
    <t>Educational special-purpose funds to statewide units</t>
  </si>
  <si>
    <t>Tuition Tot-New</t>
  </si>
  <si>
    <t>Sum of Tuition Ops-New</t>
  </si>
  <si>
    <t>Total Sum of Tuition Ops-New</t>
  </si>
  <si>
    <t>Amount for Debt Service</t>
  </si>
  <si>
    <t>Law Center</t>
  </si>
  <si>
    <t>DeKalb Technical College</t>
  </si>
  <si>
    <t>East Central Technical College</t>
  </si>
  <si>
    <t>Griffin Technical College</t>
  </si>
  <si>
    <t>Gwinnett Technical College</t>
  </si>
  <si>
    <t>Heart of Georgia Technical College</t>
  </si>
  <si>
    <t>Lanier Technical College</t>
  </si>
  <si>
    <t>Middle Georgia Technical College</t>
  </si>
  <si>
    <t>Moultrie Technical College</t>
  </si>
  <si>
    <t>North Georgia Technical College</t>
  </si>
  <si>
    <t>North Metro Technical College</t>
  </si>
  <si>
    <t>Northwestern Technical College</t>
  </si>
  <si>
    <t>Ogeechee Technical College</t>
  </si>
  <si>
    <t>Okefenokee Technical College</t>
  </si>
  <si>
    <t>Savannah Technical College</t>
  </si>
  <si>
    <t>South Georgia Technical College</t>
  </si>
  <si>
    <t>Southeastern Technical College</t>
  </si>
  <si>
    <t>Southwest Georgia Technical College</t>
  </si>
  <si>
    <t>Valdosta Technical College</t>
  </si>
  <si>
    <t>West Central Technical College</t>
  </si>
  <si>
    <t>West Georgia Technical College</t>
  </si>
  <si>
    <r>
      <t>1</t>
    </r>
    <r>
      <rPr>
        <sz val="8"/>
        <rFont val="Arial"/>
        <family val="2"/>
      </rPr>
      <t>Funds consist of (1) state and (2) local tax revenues allocated to colleges and universities or for higher education-related operating expenses, (3) other funds such as earnings from state-funded endowments used for operating purposes, (4) earmarked revenues such as from lotteries used for operating purposes and (5) tuition and fee revenue.</t>
    </r>
  </si>
  <si>
    <r>
      <t>Funds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for E&amp;G Operations Per Full-Time-Equivalent Student</t>
    </r>
  </si>
  <si>
    <t xml:space="preserve">Northwest-Shoals Community College </t>
  </si>
  <si>
    <t>???</t>
  </si>
  <si>
    <t xml:space="preserve">Georgia State University </t>
  </si>
  <si>
    <t>University of Georgia</t>
  </si>
  <si>
    <t>College of Veterinary Medicine</t>
  </si>
  <si>
    <t>Vet Med Teaching Hospital</t>
  </si>
  <si>
    <t>Minority Business Enterprise</t>
  </si>
  <si>
    <t>Athens/Tifton Vet Labs</t>
  </si>
  <si>
    <t>Ag Experiment Stations</t>
  </si>
  <si>
    <t>Research Units</t>
  </si>
  <si>
    <t>Marine Extension Service</t>
  </si>
  <si>
    <t>Vet Med Exp Station</t>
  </si>
  <si>
    <t>Marine Institute</t>
  </si>
  <si>
    <t>Forest Research</t>
  </si>
  <si>
    <t>Georgia Institute of Technology</t>
  </si>
  <si>
    <t>Advanced Technology Development Center</t>
  </si>
  <si>
    <t>Center for Assistive Tech &amp; Environ. Access</t>
  </si>
  <si>
    <t>Agricultural Research</t>
  </si>
  <si>
    <t>Eng Experiment Station (Ga. Tech. Resch Inst.)</t>
  </si>
  <si>
    <t>Georgia Southern University</t>
  </si>
  <si>
    <t>University of West Georgia</t>
  </si>
  <si>
    <t>Valdosta State University</t>
  </si>
  <si>
    <t xml:space="preserve">Albany State University </t>
  </si>
  <si>
    <t>Armstrong Atlantic State University</t>
  </si>
  <si>
    <t>Columbus State University</t>
  </si>
  <si>
    <t>Georgia College and State University</t>
  </si>
  <si>
    <t>Kennesaw State University</t>
  </si>
  <si>
    <t>Augusta State University</t>
  </si>
  <si>
    <t>Fort Valley State University</t>
  </si>
  <si>
    <t>Georgia Southwestern State University</t>
  </si>
  <si>
    <t>North Georgia College and State University</t>
  </si>
  <si>
    <t>Savannah State University</t>
  </si>
  <si>
    <t>Clayton State University</t>
  </si>
  <si>
    <t>Georgia Gwinnett College</t>
  </si>
  <si>
    <t xml:space="preserve">Macon State College </t>
  </si>
  <si>
    <t xml:space="preserve">Dalton State College </t>
  </si>
  <si>
    <t xml:space="preserve">Georgia Perimeter College </t>
  </si>
  <si>
    <t xml:space="preserve">Abraham Baldwin Agricultural College </t>
  </si>
  <si>
    <t xml:space="preserve">Darton College </t>
  </si>
  <si>
    <t xml:space="preserve">Gainesville State College </t>
  </si>
  <si>
    <t xml:space="preserve">Georgia Highlands College </t>
  </si>
  <si>
    <t xml:space="preserve">Gordon College </t>
  </si>
  <si>
    <t xml:space="preserve">Middle Georgia College </t>
  </si>
  <si>
    <t>Atlanta Metropolitan College</t>
  </si>
  <si>
    <t xml:space="preserve">Bainbridge College </t>
  </si>
  <si>
    <t>East Georgia College</t>
  </si>
  <si>
    <t xml:space="preserve">South Georgia College </t>
  </si>
  <si>
    <t xml:space="preserve">Waycross College </t>
  </si>
  <si>
    <t>Medical College of Georgia</t>
  </si>
  <si>
    <t>Student Education Enrichment Program</t>
  </si>
  <si>
    <t>Talmadge Memorial Hospital</t>
  </si>
  <si>
    <t xml:space="preserve">Ga Bd for Physician Workforce </t>
  </si>
  <si>
    <t>Medical Education Board</t>
  </si>
  <si>
    <t>Southern Polytechnic State University</t>
  </si>
  <si>
    <t>Skidaway Inst of Oceanography</t>
  </si>
  <si>
    <t>Residence Instruction Reserve</t>
  </si>
  <si>
    <t>Office of Information and Instructional Technology</t>
  </si>
  <si>
    <t>Other funds to be allocated over the year</t>
  </si>
  <si>
    <t>University System Regents</t>
  </si>
  <si>
    <t>"RCO A"</t>
  </si>
  <si>
    <t>"RCO B"</t>
  </si>
  <si>
    <t>Doctoral Scholars</t>
  </si>
  <si>
    <t>Ga Student Finance Commission</t>
  </si>
  <si>
    <t>Ga Military College</t>
  </si>
  <si>
    <t>Mercer University (Medicine)</t>
  </si>
  <si>
    <t>Morehouse School of Medicine</t>
  </si>
  <si>
    <t>Shelton State Community College</t>
  </si>
  <si>
    <t>Fire College</t>
  </si>
  <si>
    <t>Southern Union State Community College</t>
  </si>
  <si>
    <t>Wallace Community College - Hanceville</t>
  </si>
  <si>
    <t>Alabama Southern Community College</t>
  </si>
  <si>
    <t>Central Alabama Community College</t>
  </si>
  <si>
    <t xml:space="preserve">Chattahoochee Valley State Community College </t>
  </si>
  <si>
    <t xml:space="preserve">Enterprise-Ozark Community College </t>
  </si>
  <si>
    <t>Appalachian Technical College</t>
  </si>
  <si>
    <t>Flint River Technical College</t>
  </si>
  <si>
    <t>Sandersville Technical College</t>
  </si>
  <si>
    <t>Swainsboro Technical College</t>
  </si>
  <si>
    <t>School of Health Sciences</t>
  </si>
  <si>
    <t>HSTA Program</t>
  </si>
  <si>
    <t>Health Sciences Career Opportunities</t>
  </si>
  <si>
    <t>Nova SE Univ-health programs (osteopathy, pharmacy, optometry)</t>
  </si>
  <si>
    <t>Bethune-Cookman</t>
  </si>
  <si>
    <t>Edwards Waters College</t>
  </si>
  <si>
    <t>Fl Memorial College</t>
  </si>
  <si>
    <t>Library resources for HBCU's</t>
  </si>
  <si>
    <t>University of Miami academic program contracts</t>
  </si>
  <si>
    <t>Nova SE Univ academic program contracts</t>
  </si>
  <si>
    <t>FL Inst. Of Technology</t>
  </si>
  <si>
    <t>Barry University</t>
  </si>
  <si>
    <t>Bright Futures Scholarships</t>
  </si>
  <si>
    <t>Children of deceased/disabled Veterans</t>
  </si>
  <si>
    <t>Ethics in business</t>
  </si>
  <si>
    <t>Florida Work Experience</t>
  </si>
  <si>
    <t>Jose Marti Scholarship Challenge Grant</t>
  </si>
  <si>
    <t>Prepaid Tuition Scholarships</t>
  </si>
  <si>
    <t>Critical Teacher Shortage</t>
  </si>
  <si>
    <t>Florida Student Assistance - Public - Full &amp; Part-time</t>
  </si>
  <si>
    <t>Minority Teachers Scholarships</t>
  </si>
  <si>
    <t>Rosewood Family Scholarships</t>
  </si>
  <si>
    <t>Sum of Total E&amp;G-Old</t>
  </si>
  <si>
    <t>Total Sum of Total E&amp;G-Old</t>
  </si>
  <si>
    <t>Sum of Total E&amp;G-New</t>
  </si>
  <si>
    <t>Total Sum of Total E&amp;G-New</t>
  </si>
  <si>
    <t xml:space="preserve"> % change in total E&amp;G funds</t>
  </si>
  <si>
    <t>Total  % change in total E&amp;G funds</t>
  </si>
  <si>
    <r>
      <t>Distribution of Funds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for Higher Education-Related Operations</t>
    </r>
  </si>
  <si>
    <t>Tuition &amp; Fee Revenue (estimated)</t>
  </si>
  <si>
    <t>Table 77</t>
  </si>
  <si>
    <r>
      <t>3</t>
    </r>
    <r>
      <rPr>
        <sz val="8"/>
        <rFont val="Arial"/>
        <family val="2"/>
      </rPr>
      <t>Tuition &amp; fee revenue excluding state appropriations for student financial aid administered off campus awarded to public institution students &amp; excluding tuition &amp; fees revenues dedicated to debt service.</t>
    </r>
  </si>
  <si>
    <t>Virginia**</t>
  </si>
  <si>
    <t xml:space="preserve">Brazosport College </t>
  </si>
  <si>
    <t xml:space="preserve">Cisco Junior College </t>
  </si>
  <si>
    <t>Coastal Bend College</t>
  </si>
  <si>
    <t>College of the Mainland</t>
  </si>
  <si>
    <t>El Centro College  (DCCCD)</t>
  </si>
  <si>
    <t xml:space="preserve">Grayson County College </t>
  </si>
  <si>
    <t>Hill College</t>
  </si>
  <si>
    <t>Howard College</t>
  </si>
  <si>
    <t xml:space="preserve">Kilgore College </t>
  </si>
  <si>
    <t>Lamar Institute of Technology</t>
  </si>
  <si>
    <t>Lamar State College-Port Arthur</t>
  </si>
  <si>
    <t xml:space="preserve">Lee College </t>
  </si>
  <si>
    <t xml:space="preserve">Midland College </t>
  </si>
  <si>
    <t>Mountain View College  (DCCCD)</t>
  </si>
  <si>
    <t xml:space="preserve">Navarro College </t>
  </si>
  <si>
    <t>Lamar State College-Orange</t>
  </si>
  <si>
    <t xml:space="preserve">Northeast Texas Community College </t>
  </si>
  <si>
    <t xml:space="preserve">Frank Phillips College </t>
  </si>
  <si>
    <t xml:space="preserve">Galveston College </t>
  </si>
  <si>
    <t>FTE New</t>
  </si>
  <si>
    <t>FTE Old</t>
  </si>
  <si>
    <t>By Source and Purpose, All Types and Statewide, 2006-07</t>
  </si>
  <si>
    <t>Educational Special Purpose to Four-Year and Two-Year Universities, Colleges and Technical Institutes</t>
  </si>
  <si>
    <t>Educational Special Purpose to Statewide Units</t>
  </si>
  <si>
    <t>Health Professions Education</t>
  </si>
  <si>
    <t>General Purpose Appropriations to Public Four-Year Universities, Two-Year Colleges and Technical Institutes or Colleges</t>
  </si>
  <si>
    <t>Special Purpose Public Institutions Other Than Health Sciences</t>
  </si>
  <si>
    <t>Health Professions Education at Public Medical Schools</t>
  </si>
  <si>
    <t>African American Museum</t>
  </si>
  <si>
    <t>H. Ed. Coordinating Board</t>
  </si>
  <si>
    <t>Statewide Student Financial Aid Programs Administered Off Campus</t>
  </si>
  <si>
    <t>Available to public &amp; private sector students</t>
  </si>
  <si>
    <t>for medical students</t>
  </si>
  <si>
    <t>Amount to public sector students</t>
  </si>
  <si>
    <t>Amount to private sector students</t>
  </si>
  <si>
    <t>for dental students</t>
  </si>
  <si>
    <t>for optometry students</t>
  </si>
  <si>
    <t>for chiropractic students</t>
  </si>
  <si>
    <t>Board of Nursing program</t>
  </si>
  <si>
    <t>SREB minority doctoral fellows</t>
  </si>
  <si>
    <t>Health professions education funds - to specialized institutions</t>
  </si>
  <si>
    <t>State Funds</t>
  </si>
  <si>
    <t>For use in FB 77</t>
  </si>
  <si>
    <t>North Central Texas Community College</t>
  </si>
  <si>
    <t xml:space="preserve">Odessa College </t>
  </si>
  <si>
    <t>Paris Junior College</t>
  </si>
  <si>
    <t/>
  </si>
  <si>
    <t>Need Basis Not Identified</t>
  </si>
  <si>
    <t>Sector of Students &amp; Need Basis Not Identified</t>
  </si>
  <si>
    <t>SREB states</t>
  </si>
  <si>
    <t>Public Need Based</t>
  </si>
  <si>
    <t>Public Non Need Based</t>
  </si>
  <si>
    <t>Public Not Identified</t>
  </si>
  <si>
    <t>Private Need Based</t>
  </si>
  <si>
    <t>Private Non Need Based</t>
  </si>
  <si>
    <t>Private Not Identified</t>
  </si>
  <si>
    <t>Sector of Students Not Identified</t>
  </si>
  <si>
    <t>Sector Not Identified Need Based</t>
  </si>
  <si>
    <t>Sector Not Identified Non Need Based</t>
  </si>
  <si>
    <t>Sector &amp; Need Basis Not Identified</t>
  </si>
  <si>
    <t xml:space="preserve">Auburn University  </t>
  </si>
  <si>
    <t>Subtotal</t>
  </si>
  <si>
    <t>Tuition and Fee Revenue (estm.)</t>
  </si>
  <si>
    <t>Available to public &amp; priv. sect. students</t>
  </si>
  <si>
    <t>Educational Special Purpose to Public Four-Year Universities, Two-Year Colleges and Technical Institutes or Colleges</t>
  </si>
  <si>
    <r>
      <t>2</t>
    </r>
    <r>
      <rPr>
        <sz val="8"/>
        <rFont val="Arial"/>
        <family val="2"/>
      </rPr>
      <t>Tuition and fee revenue minus amounts dedicated to debt service. Includes tuition and fee revenue from students receiving state student financial aid.</t>
    </r>
  </si>
  <si>
    <t>Dollars Per FTE Student</t>
  </si>
  <si>
    <r>
      <t>SREB states</t>
    </r>
    <r>
      <rPr>
        <vertAlign val="superscript"/>
        <sz val="10"/>
        <rFont val="Arial"/>
        <family val="2"/>
      </rPr>
      <t>3</t>
    </r>
  </si>
  <si>
    <t xml:space="preserve"> % change in tuition total</t>
  </si>
  <si>
    <t>Total  % change in tuition total</t>
  </si>
  <si>
    <t xml:space="preserve"> % change in tuition sp ops</t>
  </si>
  <si>
    <t>Fire Ant Eradication</t>
  </si>
  <si>
    <t>Econ Res Services to St Dept of Finance</t>
  </si>
  <si>
    <t>Teacher In-service Center</t>
  </si>
  <si>
    <t>Veterinary School</t>
  </si>
  <si>
    <t xml:space="preserve">University of Alabama </t>
  </si>
  <si>
    <t>Health Center</t>
  </si>
  <si>
    <t>Minority Technology Network</t>
  </si>
  <si>
    <t>Special Outreach PGM</t>
  </si>
  <si>
    <t>University of Alabama at Birmingham</t>
  </si>
  <si>
    <t>Medical Center</t>
  </si>
  <si>
    <t>Chauncey-Sparks Mental Health Center</t>
  </si>
  <si>
    <t>James Cystic Fibrosis Ctr</t>
  </si>
  <si>
    <t>ADPE Transfer for EMS</t>
  </si>
  <si>
    <t>Summer Hlth Career Enrichment Pgm</t>
  </si>
  <si>
    <t>Dept of Emerg Med</t>
  </si>
  <si>
    <t>Minority Bus Training Econ Dev Pgm</t>
  </si>
  <si>
    <t>Agricultural Research Service</t>
  </si>
  <si>
    <t xml:space="preserve">University of North Carolina at Chapel Hill </t>
  </si>
  <si>
    <t>University of North Carolina at Greensboro</t>
  </si>
  <si>
    <t xml:space="preserve">Appalachian State University </t>
  </si>
  <si>
    <t>University of North Carolina at Charlotte</t>
  </si>
  <si>
    <t>University of North Carolina at Wilmington</t>
  </si>
  <si>
    <t xml:space="preserve">Western Carolina University </t>
  </si>
  <si>
    <t xml:space="preserve">Fayetteville State University </t>
  </si>
  <si>
    <t>University of North Carolina at Pembroke</t>
  </si>
  <si>
    <t xml:space="preserve">Elizabeth City State University </t>
  </si>
  <si>
    <t>University of North Carolina at Asheville</t>
  </si>
  <si>
    <t xml:space="preserve">Winston-Salem State University </t>
  </si>
  <si>
    <t>Education special purpose funds- statewide units</t>
  </si>
  <si>
    <t>Statewide Educational TV</t>
  </si>
  <si>
    <t>Univ Syst Community Service Programs</t>
  </si>
  <si>
    <t>Univ Syst Educational Computing Service</t>
  </si>
  <si>
    <t>UNC Hospitals</t>
  </si>
  <si>
    <t>UNC Area Health Education Centers Program</t>
  </si>
  <si>
    <t>Microelectronic Computing Center of North Carolina</t>
  </si>
  <si>
    <r>
      <t>3</t>
    </r>
    <r>
      <rPr>
        <sz val="8"/>
        <rFont val="Arial"/>
        <family val="2"/>
      </rPr>
      <t xml:space="preserve">The SREB SREB states' averages must be interpreted with caution because the number of states with each type of funding varies. </t>
    </r>
  </si>
  <si>
    <t>Board of Governors Medical Scholarships</t>
  </si>
  <si>
    <t>NC Student Incentive Grant</t>
  </si>
  <si>
    <t>NC Student Loan Program for Health, Science and Mathematics</t>
  </si>
  <si>
    <t>Nurse Scholars Program</t>
  </si>
  <si>
    <t>NC Veterans Scholarships</t>
  </si>
  <si>
    <t>UNC Need-Based Grant</t>
  </si>
  <si>
    <t>Teacher Assistant Scholarships</t>
  </si>
  <si>
    <t>UNC Incentive Scholarships for Certain Institutions</t>
  </si>
  <si>
    <t>Board of Governor's Dental Scholarships</t>
  </si>
  <si>
    <t>Principal Fellows Program</t>
  </si>
  <si>
    <t>State Contractual Scholarhip Fund</t>
  </si>
  <si>
    <t>Legislative Tuition Grant</t>
  </si>
  <si>
    <t>Asheville-Buncombe Technical Community College</t>
  </si>
  <si>
    <t>Nursing / allied health supplement</t>
  </si>
  <si>
    <t>Cape Fear Community College</t>
  </si>
  <si>
    <t>Catawba Valley Community College</t>
  </si>
  <si>
    <t>Central Carolina Commuity College</t>
  </si>
  <si>
    <t xml:space="preserve">Central Piedmont Community College </t>
  </si>
  <si>
    <t>Fayetteville Technical Community College</t>
  </si>
  <si>
    <t>Forsyth Technical Community College</t>
  </si>
  <si>
    <t>Guilford Technical Community College</t>
  </si>
  <si>
    <t>Pitt Community College</t>
  </si>
  <si>
    <t>Wake Technical Community College</t>
  </si>
  <si>
    <t>Durham Technical Community College</t>
  </si>
  <si>
    <t>Rowan-Cabarrus Community College</t>
  </si>
  <si>
    <t>Alamance Community College</t>
  </si>
  <si>
    <t>University of Houston (Optometry)</t>
  </si>
  <si>
    <t>Houston Community College</t>
  </si>
  <si>
    <t xml:space="preserve">Laredo Community College </t>
  </si>
  <si>
    <t xml:space="preserve">McLennan Community College </t>
  </si>
  <si>
    <t>North Harris Montgomery Community College District</t>
  </si>
  <si>
    <t>University of Alabama at Birmingham (Optometry)</t>
  </si>
  <si>
    <t>Community &amp; Technical College at WVU Tech</t>
  </si>
  <si>
    <t>Blueridge Community and Technical College</t>
  </si>
  <si>
    <t>Eastern West Virginia Community &amp; Technical College</t>
  </si>
  <si>
    <t>Marshall Community and Technical College</t>
  </si>
  <si>
    <t>New River Community &amp; Technical College</t>
  </si>
  <si>
    <t>Potomac State College of West Virginia University</t>
  </si>
  <si>
    <t xml:space="preserve">Lenoir Community College </t>
  </si>
  <si>
    <t xml:space="preserve">Mitchell Community College </t>
  </si>
  <si>
    <t>Nash Community College</t>
  </si>
  <si>
    <t>Piedmont Community College</t>
  </si>
  <si>
    <t>Randolph Community College</t>
  </si>
  <si>
    <t>Richmond Community College</t>
  </si>
  <si>
    <t>Robeson Community College</t>
  </si>
  <si>
    <t xml:space="preserve">Rockingham Community College </t>
  </si>
  <si>
    <t xml:space="preserve">Sandhills Community College </t>
  </si>
  <si>
    <t>South Piedmont Community College</t>
  </si>
  <si>
    <t xml:space="preserve">Southeastern Community College </t>
  </si>
  <si>
    <t xml:space="preserve">Southwestern Community College </t>
  </si>
  <si>
    <t>Stanly Community College</t>
  </si>
  <si>
    <t xml:space="preserve">Surry Community College </t>
  </si>
  <si>
    <t xml:space="preserve">Vance-Granville Community College </t>
  </si>
  <si>
    <t>Wayne Community College</t>
  </si>
  <si>
    <t xml:space="preserve">Western Piedmont Community College </t>
  </si>
  <si>
    <t xml:space="preserve">Wilkes Community College </t>
  </si>
  <si>
    <t>Wilson Technical Community College</t>
  </si>
  <si>
    <t>Bladen Community College</t>
  </si>
  <si>
    <t>Brunswick Community College</t>
  </si>
  <si>
    <t>Carteret Community College</t>
  </si>
  <si>
    <t xml:space="preserve">Halifax Community College </t>
  </si>
  <si>
    <t>James Sprunt Community College</t>
  </si>
  <si>
    <t xml:space="preserve">Martin Community College </t>
  </si>
  <si>
    <t>Mayland Community College</t>
  </si>
  <si>
    <t>Need-Based</t>
  </si>
  <si>
    <t>Non Need-Based</t>
  </si>
  <si>
    <t>To Public Sector Students</t>
  </si>
  <si>
    <t>Available to Public &amp; Private Sector Students</t>
  </si>
  <si>
    <t>To Private Sector Students</t>
  </si>
  <si>
    <t>Sector of Students Unknown</t>
  </si>
  <si>
    <t>Limited to Public College Students Only</t>
  </si>
  <si>
    <t>Limited to Private College Students Only</t>
  </si>
  <si>
    <t>Limited to private sector students</t>
  </si>
  <si>
    <t xml:space="preserve">Southwest Texas Junior College </t>
  </si>
  <si>
    <t xml:space="preserve">Temple College </t>
  </si>
  <si>
    <t xml:space="preserve">Texarkana College </t>
  </si>
  <si>
    <t xml:space="preserve">Texas State Technical College-Harlingen </t>
  </si>
  <si>
    <t xml:space="preserve">Oklahoma Panhandle State University </t>
  </si>
  <si>
    <t>207351</t>
  </si>
  <si>
    <t>University of Science and Arts of Oklahoma</t>
  </si>
  <si>
    <t>207722</t>
  </si>
  <si>
    <t>Rogers State University</t>
  </si>
  <si>
    <t>207661</t>
  </si>
  <si>
    <t xml:space="preserve">Oklahoma City Community College </t>
  </si>
  <si>
    <t>207449</t>
  </si>
  <si>
    <t xml:space="preserve">Tulsa Community College </t>
  </si>
  <si>
    <t>207935</t>
  </si>
  <si>
    <t xml:space="preserve">Northern Oklahoma College </t>
  </si>
  <si>
    <t>207281</t>
  </si>
  <si>
    <t xml:space="preserve">Oklahoma State University-Oklahoma City </t>
  </si>
  <si>
    <t>207397</t>
  </si>
  <si>
    <t xml:space="preserve">Oklahoma State University Technical Branch-Okmulgee </t>
  </si>
  <si>
    <t>207564</t>
  </si>
  <si>
    <t xml:space="preserve">Rose State College </t>
  </si>
  <si>
    <t>207670</t>
  </si>
  <si>
    <t>Carl Albert State College</t>
  </si>
  <si>
    <t>206923</t>
  </si>
  <si>
    <t xml:space="preserve">Connors State College </t>
  </si>
  <si>
    <t>206996</t>
  </si>
  <si>
    <t xml:space="preserve">Eastern Oklahoma State College </t>
  </si>
  <si>
    <t>207050</t>
  </si>
  <si>
    <t xml:space="preserve">Murray State College </t>
  </si>
  <si>
    <t>207236</t>
  </si>
  <si>
    <t xml:space="preserve">Northeastern Oklahoma A &amp; M College </t>
  </si>
  <si>
    <t>207290</t>
  </si>
  <si>
    <t>Redlands Community College</t>
  </si>
  <si>
    <t>207069</t>
  </si>
  <si>
    <t xml:space="preserve">Seminole State College </t>
  </si>
  <si>
    <t>207740</t>
  </si>
  <si>
    <t xml:space="preserve">Western Oklahoma State College </t>
  </si>
  <si>
    <t>Kerr Conference Center</t>
  </si>
  <si>
    <t>Educational special-purpose funds — all other</t>
  </si>
  <si>
    <t>Tulsa Provider Contracts for Restructuring</t>
  </si>
  <si>
    <t>Ardmore H.Ed. Program</t>
  </si>
  <si>
    <t>Jane Brooks School-USAO</t>
  </si>
  <si>
    <t>Fire Science Training</t>
  </si>
  <si>
    <t>Civil Rights Compliance</t>
  </si>
  <si>
    <t>Economic development initiatives</t>
  </si>
  <si>
    <t>Scholar Leadership Program</t>
  </si>
  <si>
    <t>Teacher Education Assistance</t>
  </si>
  <si>
    <t xml:space="preserve">Tallahassee Community College </t>
  </si>
  <si>
    <t>137759</t>
  </si>
  <si>
    <t xml:space="preserve">Valencia Community College </t>
  </si>
  <si>
    <t>138187</t>
  </si>
  <si>
    <t>Division of Community Colleges</t>
  </si>
  <si>
    <r>
      <t>Funds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for Public Colleges, Universities and Technical Institutes and for Other</t>
    </r>
    <r>
      <rPr>
        <b/>
        <vertAlign val="superscript"/>
        <sz val="10"/>
        <rFont val="Arial"/>
        <family val="2"/>
      </rPr>
      <t xml:space="preserve">2 </t>
    </r>
    <r>
      <rPr>
        <b/>
        <sz val="10"/>
        <rFont val="Arial"/>
        <family val="2"/>
      </rPr>
      <t>Higher Education-Related Operating Expenses</t>
    </r>
  </si>
  <si>
    <t>SREB Doctoral Scholars Program</t>
  </si>
  <si>
    <t>Geographical Critical Needs Teacher Scholarship</t>
  </si>
  <si>
    <t>Workforce Improvement Grant</t>
  </si>
  <si>
    <t>State Teacher Assistance Resource</t>
  </si>
  <si>
    <t>Surviving Chidren of Law Enforcement Offs.</t>
  </si>
  <si>
    <t>Sum of Tuition Tot-New</t>
  </si>
  <si>
    <t>Total Sum of Tuition Tot-New</t>
  </si>
  <si>
    <t>Sum of Other Spec Purp State-Old</t>
  </si>
  <si>
    <t>Total Sum of Other Spec Purp State-Old</t>
  </si>
  <si>
    <t>Sum of Other Spec Purp State-New</t>
  </si>
  <si>
    <t>Total Sum of Other Spec Purp State-New</t>
  </si>
  <si>
    <t xml:space="preserve"> % change in other spec purp state</t>
  </si>
  <si>
    <t>Total  % change in other spec purp state</t>
  </si>
  <si>
    <t>Sum of Health State-Old</t>
  </si>
  <si>
    <t>Total Sum of Health State-Old</t>
  </si>
  <si>
    <t>Sum of Health State-New</t>
  </si>
  <si>
    <t>Sum of Health Tuition-Old</t>
  </si>
  <si>
    <t>Total Sum of Health Tuition-Old</t>
  </si>
  <si>
    <r>
      <t>2</t>
    </r>
    <r>
      <rPr>
        <sz val="8"/>
        <rFont val="Arial"/>
        <family val="2"/>
      </rPr>
      <t>The SREB states' averages must be interpreted with caution because the number of states with each type of funding varies.</t>
    </r>
  </si>
  <si>
    <t>SREB contract program with priv. col.</t>
  </si>
  <si>
    <t>SREB contract program with pub. col.</t>
  </si>
  <si>
    <t>Educational special-purpose funds-- all other</t>
  </si>
  <si>
    <t>State General Purpose</t>
  </si>
  <si>
    <t>Local</t>
  </si>
  <si>
    <t>State Educational Special Purpose</t>
  </si>
  <si>
    <t>IPEDS ID</t>
  </si>
  <si>
    <t>Tennessee</t>
  </si>
  <si>
    <t xml:space="preserve"> </t>
  </si>
  <si>
    <t>Tuition &amp; Fees</t>
  </si>
  <si>
    <t>Other Special Purpose Funds and Funds for Health Professions Education</t>
  </si>
  <si>
    <t>Access to Better Learning and Education</t>
  </si>
  <si>
    <r>
      <t>1</t>
    </r>
    <r>
      <rPr>
        <sz val="8"/>
        <rFont val="Arial"/>
        <family val="2"/>
      </rPr>
      <t>Funds consist of (1) state and (2) local tax revenues allocated to colleges and universities or for higher education-related operating expenses, (3) other funds such as earnings from state-funded endowments used for operating purposes, (4) earmarked revenues such as from lotteries used for operating purposes and (5) tuition and fees revenue.</t>
    </r>
  </si>
  <si>
    <t>Statewide student financial aid progs. administered off campus</t>
  </si>
  <si>
    <r>
      <t>SREB</t>
    </r>
    <r>
      <rPr>
        <vertAlign val="superscript"/>
        <sz val="9"/>
        <rFont val="Arial"/>
        <family val="2"/>
      </rPr>
      <t>2</t>
    </r>
  </si>
  <si>
    <t>Angelo State University</t>
  </si>
  <si>
    <t>Lamar University</t>
  </si>
  <si>
    <t xml:space="preserve">Midwestern State University  </t>
  </si>
  <si>
    <t>Prairie View A&amp;M University</t>
  </si>
  <si>
    <t xml:space="preserve">Sam Houston State University </t>
  </si>
  <si>
    <t>Stephen F. Austin State University</t>
  </si>
  <si>
    <t xml:space="preserve">Sul Ross State University </t>
  </si>
  <si>
    <t xml:space="preserve">Tarleton State University  </t>
  </si>
  <si>
    <t>Texas A&amp;M University-Commerce</t>
  </si>
  <si>
    <t xml:space="preserve">Texas A&amp;M University-Corpus Christi </t>
  </si>
  <si>
    <t>Texas A&amp;M University-Kingsville</t>
  </si>
  <si>
    <t xml:space="preserve">Texas Southern University </t>
  </si>
  <si>
    <t>Texas State University - San Marcos</t>
  </si>
  <si>
    <t xml:space="preserve">University of Houston-Clear Lake </t>
  </si>
  <si>
    <r>
      <t>1</t>
    </r>
    <r>
      <rPr>
        <sz val="8"/>
        <rFont val="Arial"/>
        <family val="2"/>
      </rPr>
      <t>Public funds consist of (1) state and (2) local tax revenues allocated to colleges and universities or for higher education-related operating expenses, (3) other funds such as earnings from state-funded endowments used for operating purposes, (4) earmarked revenues such as from lotteries used for operating purposes and (5) tuition and fees revenue.</t>
    </r>
  </si>
  <si>
    <t>Total</t>
  </si>
  <si>
    <t>Calculated</t>
  </si>
  <si>
    <t>Four-Year Total</t>
  </si>
  <si>
    <t>Sum of Tuition SP Debt-New</t>
  </si>
  <si>
    <t>Total Sum of Tuition SP Debt-New</t>
  </si>
  <si>
    <t>Sum of Tuition SP Tot-New</t>
  </si>
  <si>
    <t xml:space="preserve">   
Local</t>
  </si>
  <si>
    <t>Total Sum of Tuition Tot-Old</t>
  </si>
  <si>
    <t>Tuition Ops-Old</t>
  </si>
  <si>
    <t>Tuition Debt-Old</t>
  </si>
  <si>
    <t>Tuition Ops-New</t>
  </si>
  <si>
    <t>Tuition Debt-New</t>
  </si>
  <si>
    <t>University of Arkansas, Fayetteville</t>
  </si>
  <si>
    <t>Univ of Ark. System Divison of Agriculture</t>
  </si>
  <si>
    <t>Univ of Ark. System Archeological Survey</t>
  </si>
  <si>
    <t>Univ of Ark. System Criminal Justice Institute</t>
  </si>
  <si>
    <t>Univ. of Ark. System Arkansas School of Mathematics, Sciences and the Arts</t>
  </si>
  <si>
    <t>Clinton School for Public Service</t>
  </si>
  <si>
    <t>Arkansas State University</t>
  </si>
  <si>
    <t>Arkansas State University Technical Center - Marked Tree</t>
  </si>
  <si>
    <t>University of Arkansas at Little Rock</t>
  </si>
  <si>
    <t>Research and Public Service Unit</t>
  </si>
  <si>
    <t xml:space="preserve">University of Central Arkansas </t>
  </si>
  <si>
    <t xml:space="preserve">Arkansas Tech University </t>
  </si>
  <si>
    <t xml:space="preserve">Henderson State University </t>
  </si>
  <si>
    <t>WV Advanced Workforce Development &amp; Technical  Programs</t>
  </si>
  <si>
    <t>Energy Savings Loan Program</t>
  </si>
  <si>
    <t xml:space="preserve">Allied Health Program Expansion </t>
  </si>
  <si>
    <t>Unclassified (Software WVU MU)</t>
  </si>
  <si>
    <t>Higher Education Policy Commission</t>
  </si>
  <si>
    <t>WV Network for Education Telecommunications Computer Center</t>
  </si>
  <si>
    <t>WV Council for Community &amp; Technical Education</t>
  </si>
  <si>
    <t>Ohio College of Podiatric Medicine</t>
  </si>
  <si>
    <t>Tuskegee University (Veterinary Medicine)</t>
  </si>
  <si>
    <t>Southern College of Optometry</t>
  </si>
  <si>
    <t>University of Georgia (Veterinary Medicine)</t>
  </si>
  <si>
    <t>Higher Education Grant Program</t>
  </si>
  <si>
    <t>PROMISE Scholarship</t>
  </si>
  <si>
    <t>SREB Minority Doctoral Fellows Program</t>
  </si>
  <si>
    <t>Underwood-Smith Teacher Scholarship Fund</t>
  </si>
  <si>
    <t>WV Engineering Science Technology Program</t>
  </si>
  <si>
    <t>Health Sciences Scholarship Fund</t>
  </si>
  <si>
    <t>HEAPS Grant Program</t>
  </si>
  <si>
    <t>Limited to private college students only</t>
  </si>
  <si>
    <t xml:space="preserve">Brevard Community College </t>
  </si>
  <si>
    <t>132693</t>
  </si>
  <si>
    <t xml:space="preserve">Broward Community College </t>
  </si>
  <si>
    <t>132709</t>
  </si>
  <si>
    <t xml:space="preserve">Central Florida Community College </t>
  </si>
  <si>
    <t>132851</t>
  </si>
  <si>
    <t xml:space="preserve">Chipola College </t>
  </si>
  <si>
    <t>133021</t>
  </si>
  <si>
    <t xml:space="preserve">Daytona Beach Community College </t>
  </si>
  <si>
    <t>133386</t>
  </si>
  <si>
    <t>West Virginia School of Osteopathic Medicine</t>
  </si>
  <si>
    <t>Rural Health Initiative</t>
  </si>
  <si>
    <t>133508</t>
  </si>
  <si>
    <t>Florida Community College at Jacksonville</t>
  </si>
  <si>
    <t>133702</t>
  </si>
  <si>
    <t xml:space="preserve">Florida Keys Community College </t>
  </si>
  <si>
    <t>133960</t>
  </si>
  <si>
    <t xml:space="preserve">Gulf Coast Community College </t>
  </si>
  <si>
    <t>134343</t>
  </si>
  <si>
    <t xml:space="preserve">Hillsborough Community College </t>
  </si>
  <si>
    <t>134495</t>
  </si>
  <si>
    <t xml:space="preserve">Indian River Community College </t>
  </si>
  <si>
    <t>134608</t>
  </si>
  <si>
    <t xml:space="preserve">Lake City Community College </t>
  </si>
  <si>
    <t>135160</t>
  </si>
  <si>
    <t xml:space="preserve">Lake-Sumter Community College </t>
  </si>
  <si>
    <t>135188</t>
  </si>
  <si>
    <t xml:space="preserve">Manatee Community College </t>
  </si>
  <si>
    <t>135391</t>
  </si>
  <si>
    <t xml:space="preserve">Miami Dade College </t>
  </si>
  <si>
    <t>135717</t>
  </si>
  <si>
    <t xml:space="preserve">North Florida Community College </t>
  </si>
  <si>
    <t>136145</t>
  </si>
  <si>
    <t>136233</t>
  </si>
  <si>
    <t xml:space="preserve">Palm Beach Community College </t>
  </si>
  <si>
    <t>136358</t>
  </si>
  <si>
    <t xml:space="preserve">Pasco-Hernando Community College </t>
  </si>
  <si>
    <t>136400</t>
  </si>
  <si>
    <t xml:space="preserve">Pensacola Junior College </t>
  </si>
  <si>
    <t>136473</t>
  </si>
  <si>
    <t xml:space="preserve">Polk Community College </t>
  </si>
  <si>
    <t>136516</t>
  </si>
  <si>
    <t xml:space="preserve">St. Johns River Community College </t>
  </si>
  <si>
    <t>137281</t>
  </si>
  <si>
    <t xml:space="preserve">St. Petersburg College </t>
  </si>
  <si>
    <t>137078</t>
  </si>
  <si>
    <t xml:space="preserve">Santa Fe Community College </t>
  </si>
  <si>
    <t>137096</t>
  </si>
  <si>
    <t xml:space="preserve">Seminole Community College </t>
  </si>
  <si>
    <t>137209</t>
  </si>
  <si>
    <t xml:space="preserve">South Florida Community College </t>
  </si>
  <si>
    <t>137315</t>
  </si>
  <si>
    <t>Oklahoma State University (Osteopathic Medicine)</t>
  </si>
  <si>
    <t>University of Tennessee (Dentistry)</t>
  </si>
  <si>
    <t>University of Oklahoma (Dentistry)</t>
  </si>
  <si>
    <t>Baylor College of Medicine-Texas A&amp;M (Dentistry)</t>
  </si>
  <si>
    <t>Louisiana State University (Veterinary Medicine)</t>
  </si>
  <si>
    <t xml:space="preserve">Patrick Henry Community College </t>
  </si>
  <si>
    <t xml:space="preserve">Piedmont Virginia Community College </t>
  </si>
  <si>
    <t xml:space="preserve">Southside Virginia Community College  </t>
  </si>
  <si>
    <t xml:space="preserve">Southwest Virginia Community College </t>
  </si>
  <si>
    <t xml:space="preserve">Virginia Western Community College </t>
  </si>
  <si>
    <t xml:space="preserve">D.S. Lancaster Community College </t>
  </si>
  <si>
    <t xml:space="preserve">Eastern Shore Community College  </t>
  </si>
  <si>
    <t xml:space="preserve">Mountain Empire Community College  </t>
  </si>
  <si>
    <t xml:space="preserve">Paul D. Camp Community College  </t>
  </si>
  <si>
    <t xml:space="preserve">Rappahannock Community College  </t>
  </si>
  <si>
    <t xml:space="preserve">Richard Bland College </t>
  </si>
  <si>
    <t xml:space="preserve">Virginia Highlands Community College </t>
  </si>
  <si>
    <t xml:space="preserve">Wytheville Community College </t>
  </si>
  <si>
    <t>All Community Colleges except R.Bland</t>
  </si>
  <si>
    <t>Virginia Military Institute</t>
  </si>
  <si>
    <t>Innovative Technology Authority</t>
  </si>
  <si>
    <t>Higher Education Research Initiatives</t>
  </si>
  <si>
    <t>Economic Development</t>
  </si>
  <si>
    <t>Eminent Scholars</t>
  </si>
  <si>
    <t>GEAR-UP</t>
  </si>
  <si>
    <t>Library Sharing</t>
  </si>
  <si>
    <t>VMI/MBC Contract</t>
  </si>
  <si>
    <t>Space Grant</t>
  </si>
  <si>
    <t>Melcher's-Monroe Memorials</t>
  </si>
  <si>
    <t>Medical College Hampton Rds./Eastern VA Medical Auth.</t>
  </si>
  <si>
    <t>VCBA-Eq Trust Fund</t>
  </si>
  <si>
    <t>Southern Virginia Higher Education Center</t>
  </si>
  <si>
    <t>SW Va Higher Education Center</t>
  </si>
  <si>
    <t>Roanoke H. Ed. Authority</t>
  </si>
  <si>
    <t>Institute of Advanced Learning and Research</t>
  </si>
  <si>
    <t>New College Institute</t>
  </si>
  <si>
    <t>nursing education programs</t>
  </si>
  <si>
    <t>University of North Carolina at Chapel Hill (Library Science)</t>
  </si>
  <si>
    <t>North Carolina State University (Pulp/Paper)</t>
  </si>
  <si>
    <t>North Carolina Central University (Library Science)</t>
  </si>
  <si>
    <t>Program name(s)???</t>
  </si>
  <si>
    <t>(Military tuition waiver) Non need-based</t>
  </si>
  <si>
    <t>Student Tuition Aid Grant</t>
  </si>
  <si>
    <t>Other Student Financial Aid</t>
  </si>
  <si>
    <t xml:space="preserve">Anne Arundel Community College </t>
  </si>
  <si>
    <t>Community College of Baltimore County</t>
  </si>
  <si>
    <t>Montgomery College</t>
  </si>
  <si>
    <t xml:space="preserve">Prince George's Community College </t>
  </si>
  <si>
    <t>Baltimore City Community College</t>
  </si>
  <si>
    <t>College of Southern Maryland</t>
  </si>
  <si>
    <t xml:space="preserve">Frederick Community College </t>
  </si>
  <si>
    <t xml:space="preserve">Harford Community College </t>
  </si>
  <si>
    <t xml:space="preserve">Howard Community College </t>
  </si>
  <si>
    <t>Allegany College of Maryland</t>
  </si>
  <si>
    <t>Carroll Community College</t>
  </si>
  <si>
    <t xml:space="preserve">Cecil Community College </t>
  </si>
  <si>
    <t xml:space="preserve">Chesapeake College </t>
  </si>
  <si>
    <t xml:space="preserve">Garrett College </t>
  </si>
  <si>
    <t xml:space="preserve">Hagerstown Community College </t>
  </si>
  <si>
    <t xml:space="preserve">Wor-Wic Community College </t>
  </si>
  <si>
    <t>University of Maryland University College</t>
  </si>
  <si>
    <t>University of Maryland at Baltimore</t>
  </si>
  <si>
    <t>Education special purpose funds — all other</t>
  </si>
  <si>
    <t>Community College Statewide Programs</t>
  </si>
  <si>
    <t>Welcome Grants</t>
  </si>
  <si>
    <t>Other Race Grants</t>
  </si>
  <si>
    <t>Univ MD System Adm</t>
  </si>
  <si>
    <t>Md Commission on Higher Education</t>
  </si>
  <si>
    <t>Campus-Based Educational Assistance Grant</t>
  </si>
  <si>
    <t>Part-Time Grant</t>
  </si>
  <si>
    <t>Early College Access Grant</t>
  </si>
  <si>
    <t>Graduate and Professional Scholarship Program</t>
  </si>
  <si>
    <t>Educational Excellence Awards</t>
  </si>
  <si>
    <t>Senatorial Scholarship</t>
  </si>
  <si>
    <t>Edward Conroy Grant</t>
  </si>
  <si>
    <t>Non-need based</t>
  </si>
  <si>
    <t>Delegate Scholarship</t>
  </si>
  <si>
    <t>Alabama Technology Network</t>
  </si>
  <si>
    <t>Mine Safety Training Pgm</t>
  </si>
  <si>
    <t>Telephone Revolving Fund</t>
  </si>
  <si>
    <t xml:space="preserve">Articulation </t>
  </si>
  <si>
    <t>Knight v Alabama</t>
  </si>
  <si>
    <t xml:space="preserve">School &amp; University Partnership for Education Renewal </t>
  </si>
  <si>
    <t>Statewide System Operations</t>
  </si>
  <si>
    <t>appropriations</t>
  </si>
  <si>
    <t>SREB ACHE Administrative Costs</t>
  </si>
  <si>
    <t>Adm. of Statewide Student Aid Progs. (including centralized guaranteed student loans)</t>
  </si>
  <si>
    <t>State Support to Private Colleges Other Than Student Aid</t>
  </si>
  <si>
    <t>AL A&amp;M-Miles College Consortium</t>
  </si>
  <si>
    <t>Talladega College</t>
  </si>
  <si>
    <t>Tuskegee University</t>
  </si>
  <si>
    <t>AL Agricultural LG Alliance Tuskegee University</t>
  </si>
  <si>
    <t>Contract Education Programs</t>
  </si>
  <si>
    <t>SREB contract program with private colleges</t>
  </si>
  <si>
    <t>Meharry Medical College (Dentistry &amp; Medicine)</t>
  </si>
  <si>
    <t>SREB contract program with public colleges</t>
  </si>
  <si>
    <t>For FB 75</t>
  </si>
  <si>
    <t>University of Maryland College Park</t>
  </si>
  <si>
    <t>Non-Credit Continuing Education</t>
  </si>
  <si>
    <t>Center for Environmental Science</t>
  </si>
  <si>
    <t>Biotechnology Institute</t>
  </si>
  <si>
    <t>University of Maryland, Baltimore County</t>
  </si>
  <si>
    <t xml:space="preserve">Towson University </t>
  </si>
  <si>
    <t xml:space="preserve">Bowie State University </t>
  </si>
  <si>
    <t xml:space="preserve">Frostburg State University </t>
  </si>
  <si>
    <t>Morgan State University</t>
  </si>
  <si>
    <t xml:space="preserve">Salisbury University </t>
  </si>
  <si>
    <t>University of Baltimore</t>
  </si>
  <si>
    <t xml:space="preserve">University of Maryland Eastern Shore </t>
  </si>
  <si>
    <t>Coppin State University</t>
  </si>
  <si>
    <t>Saint Mary's College of Maryland</t>
  </si>
  <si>
    <t xml:space="preserve"> % change in tuition sp debt</t>
  </si>
  <si>
    <t>Tuition &amp; Fees Revenues</t>
  </si>
  <si>
    <t>Limited to public sector students</t>
  </si>
  <si>
    <t>Doctoral Incentive Program</t>
  </si>
  <si>
    <t>TX Wildlife damage management service</t>
  </si>
  <si>
    <t>TX Vet Med Diagnostic Lab</t>
  </si>
  <si>
    <t xml:space="preserve">Texas Tech University </t>
  </si>
  <si>
    <t>UNIV TX Health Center at Tyler</t>
  </si>
  <si>
    <t>University of Texas M.D. Anderson Cancer Center</t>
  </si>
  <si>
    <t>Advanced Research Program (CB)</t>
  </si>
  <si>
    <t>Community College Enrollment Growth</t>
  </si>
  <si>
    <t>Other Health Related- Tobacco Settle-Nursing, Allied Health, etc.</t>
  </si>
  <si>
    <t>Other Health Related- Tobacco Settle-Minority Health Res. &amp; Ed.</t>
  </si>
  <si>
    <t>Preceptorships &amp; Primary Care</t>
  </si>
  <si>
    <t>Primary Care Residency</t>
  </si>
  <si>
    <t>Graduate Medical Education</t>
  </si>
  <si>
    <t>Nursing Shortage Reduction Program</t>
  </si>
  <si>
    <t>Alzheimer's Centers</t>
  </si>
  <si>
    <t>TX Student Aid</t>
  </si>
  <si>
    <t>Teach for TX Conditional Grants</t>
  </si>
  <si>
    <t>Joint Admission Medical Program</t>
  </si>
  <si>
    <t>Physician's Loan Repayment Program</t>
  </si>
  <si>
    <t>Dentist Education Loan Repayment Program</t>
  </si>
  <si>
    <t>Financial Aid - Prof Nursing</t>
  </si>
  <si>
    <t>Financial Aid - LV Nursing</t>
  </si>
  <si>
    <t>Border Faculty Loan Repayment Program</t>
  </si>
  <si>
    <t>State Ed Spec Purp-Old</t>
  </si>
  <si>
    <t>State Ed Spec Purp-New</t>
  </si>
  <si>
    <t>Tuition Tot-Old</t>
  </si>
  <si>
    <t xml:space="preserve"> % change in state gen purp</t>
  </si>
  <si>
    <t>Total  % change in state gen purp</t>
  </si>
  <si>
    <t>Data</t>
  </si>
  <si>
    <t>Rankings</t>
  </si>
  <si>
    <t>SREB Category</t>
  </si>
  <si>
    <t>Statewide system operations</t>
  </si>
  <si>
    <t>Limited to public college students</t>
  </si>
  <si>
    <t>state</t>
  </si>
  <si>
    <t>item</t>
  </si>
  <si>
    <t>group</t>
  </si>
  <si>
    <t>category</t>
  </si>
  <si>
    <t>ID #</t>
  </si>
  <si>
    <t>State Gen Purp-Old</t>
  </si>
  <si>
    <t>State Gen Purp-New</t>
  </si>
  <si>
    <t>Local-Old</t>
  </si>
  <si>
    <t>Local-New</t>
  </si>
  <si>
    <t>Health State-Old</t>
  </si>
  <si>
    <t>Health State-New</t>
  </si>
  <si>
    <t>Health Tuition-Old</t>
  </si>
  <si>
    <t>Health Tuition-New</t>
  </si>
  <si>
    <t>Other Spec Purp State-Old</t>
  </si>
  <si>
    <t>Other Spec Purp State-New</t>
  </si>
  <si>
    <t xml:space="preserve">Virginia State University </t>
  </si>
  <si>
    <t>Longwood University</t>
  </si>
  <si>
    <t>University of Mary Washington</t>
  </si>
  <si>
    <t xml:space="preserve">Dyersburg State Community College </t>
  </si>
  <si>
    <t>Tennessee Technology Center at Athens</t>
  </si>
  <si>
    <t>Tennessee Technology Center at Chattanooga</t>
  </si>
  <si>
    <t>219824B</t>
  </si>
  <si>
    <t>Tennessee Technology Center at Covington</t>
  </si>
  <si>
    <t>Tennessee Technology Center at Crossville</t>
  </si>
  <si>
    <t>Tennessee Technology Center at Crump</t>
  </si>
  <si>
    <t>Tennessee Technology Center at Dickson</t>
  </si>
  <si>
    <t>Tennessee Technology Center at Elizabethton</t>
  </si>
  <si>
    <t>Tennessee Technology Center at Harriman</t>
  </si>
  <si>
    <t>Tennessee Technology Center at Hartsville</t>
  </si>
  <si>
    <t>Tennessee Technology Center at Hohenwald</t>
  </si>
  <si>
    <t>Tennessee Technology Center at Jacksboro</t>
  </si>
  <si>
    <t>Tennessee Technology Center at Jackson</t>
  </si>
  <si>
    <t>Tennessee Technology Center at Knoxville</t>
  </si>
  <si>
    <t>Tennessee Technology Center at Livingston</t>
  </si>
  <si>
    <t>Tennessee Technology Center at McKenzie</t>
  </si>
  <si>
    <t>Tennessee Technology Center at McMinnville</t>
  </si>
  <si>
    <t>Tennessee Technology Center at Memphis</t>
  </si>
  <si>
    <t>Tennessee Technology Center at Morristown</t>
  </si>
  <si>
    <t>Tennessee Technology Center at Murfreesboro</t>
  </si>
  <si>
    <t>Tennessee Technology Center at Nashville</t>
  </si>
  <si>
    <t>Tennessee Technology Center at Newbern</t>
  </si>
  <si>
    <t>Other contract education programs</t>
  </si>
  <si>
    <t>National or regional associations, compacts or consortia</t>
  </si>
  <si>
    <t>Two-year system(s), if any</t>
  </si>
  <si>
    <t>Colleges and universities</t>
  </si>
  <si>
    <t>University of Kentucky</t>
  </si>
  <si>
    <t>Public Service Units</t>
  </si>
  <si>
    <t>Livestock Disease Diagnostic Laboratory</t>
  </si>
  <si>
    <t>Agriculture Public Service</t>
  </si>
  <si>
    <t>Kentucky Geological Survey</t>
  </si>
  <si>
    <t>University Press</t>
  </si>
  <si>
    <t>Japanese Saturday School</t>
  </si>
  <si>
    <t>Rural Health Care</t>
  </si>
  <si>
    <t>Center for Applied Energy Research</t>
  </si>
  <si>
    <t>KY Cancer Registry</t>
  </si>
  <si>
    <t>University of Louisville</t>
  </si>
  <si>
    <t>State Data Center</t>
  </si>
  <si>
    <t xml:space="preserve">Eastern Kentucky University </t>
  </si>
  <si>
    <t xml:space="preserve">Murray State University </t>
  </si>
  <si>
    <t xml:space="preserve">Western Kentucky University </t>
  </si>
  <si>
    <t>Kentucky Academy for Math and Science</t>
  </si>
  <si>
    <t xml:space="preserve">Morehead State University </t>
  </si>
  <si>
    <t>Appalachian Regional Service</t>
  </si>
  <si>
    <t>Institute for Correctional Training/Research</t>
  </si>
  <si>
    <t xml:space="preserve">Northern Kentucky University </t>
  </si>
  <si>
    <t>Kentucky Center for Mathamatics</t>
  </si>
  <si>
    <t xml:space="preserve">Kentucky State University </t>
  </si>
  <si>
    <t>Bluegrass Community and Technical College</t>
  </si>
  <si>
    <t xml:space="preserve">Jefferson Community and Technical College </t>
  </si>
  <si>
    <t>Ashland Community and Technical College</t>
  </si>
  <si>
    <t xml:space="preserve">Big Sandy Community and Technical College </t>
  </si>
  <si>
    <t xml:space="preserve">Elizabethtown Community and Technical College </t>
  </si>
  <si>
    <t xml:space="preserve">Hazard Community and Technical College </t>
  </si>
  <si>
    <t>Madisonville Community College</t>
  </si>
  <si>
    <t xml:space="preserve">Owensboro Community and Technical College </t>
  </si>
  <si>
    <t xml:space="preserve">Somerset Community College </t>
  </si>
  <si>
    <t xml:space="preserve">Southeast Kentucky Community and Technical College </t>
  </si>
  <si>
    <t>West Kentucky Community and Technical College</t>
  </si>
  <si>
    <t xml:space="preserve">Henderson Community College </t>
  </si>
  <si>
    <t xml:space="preserve">Hopkinsville Community College </t>
  </si>
  <si>
    <t xml:space="preserve">Maysville Community and Technical College </t>
  </si>
  <si>
    <t>Gateway Community and Technical College</t>
  </si>
  <si>
    <t>Bowling Green Technical College</t>
  </si>
  <si>
    <t>North American Racing Academy (non-recurring)</t>
  </si>
  <si>
    <t>Corrections</t>
  </si>
  <si>
    <t>KY WINS</t>
  </si>
  <si>
    <t>Kentucky Coal Academy</t>
  </si>
  <si>
    <t>University Health Insurance Premium Supplement</t>
  </si>
  <si>
    <t>Kentucky Board of Emergency Medical Services</t>
  </si>
  <si>
    <t>Telecommunications</t>
  </si>
  <si>
    <t>(PEPP) Health Programs</t>
  </si>
  <si>
    <t>Minority Student Col Prep</t>
  </si>
  <si>
    <t>Research Challenge Trust Fund-Lung Cancer Research</t>
  </si>
  <si>
    <t>Preventive Medicine Capitation ( residency programs at Morehouse &amp; Emory)</t>
  </si>
  <si>
    <t>Georgia Military College</t>
  </si>
  <si>
    <t>Southern College (Optometry)</t>
  </si>
  <si>
    <t>Nova Southeastern University (Osteopathic Medicine)</t>
  </si>
  <si>
    <t>University of Alabama at Birmingham (Medicine)</t>
  </si>
  <si>
    <t>Other contracted programs (Med. Student Capitation Grants)</t>
  </si>
  <si>
    <t>Meharry Medical College</t>
  </si>
  <si>
    <t>Emory University (Medicine)</t>
  </si>
  <si>
    <t>Medical Scholarships</t>
  </si>
  <si>
    <t>X</t>
  </si>
  <si>
    <t>LEPD Grants</t>
  </si>
  <si>
    <t>Public Safety Memorial Grant</t>
  </si>
  <si>
    <t>Teacher Scholarships</t>
  </si>
  <si>
    <t>Promise I &amp; II Scholarships</t>
  </si>
  <si>
    <t>Engineer Scholarships</t>
  </si>
  <si>
    <t>HOPE Scholarships</t>
  </si>
  <si>
    <t>Georgia Military College Scholarships</t>
  </si>
  <si>
    <t>Quick Start??? Was listed last year.</t>
  </si>
  <si>
    <t>Louisiana State University and A &amp; M College</t>
  </si>
  <si>
    <t>Paul M. Hebert Law Center</t>
  </si>
  <si>
    <t>Vet School</t>
  </si>
  <si>
    <t>Agricultural Center</t>
  </si>
  <si>
    <t>Administration</t>
  </si>
  <si>
    <t>University of Louisiana at Lafayette</t>
  </si>
  <si>
    <t>University of New Orleans</t>
  </si>
  <si>
    <t xml:space="preserve">Louisiana Tech University </t>
  </si>
  <si>
    <t xml:space="preserve">Southern University and A&amp;M College at Baton Rouge </t>
  </si>
  <si>
    <t>Agriculture Center</t>
  </si>
  <si>
    <t>University of Louisiana at Monroe</t>
  </si>
  <si>
    <t xml:space="preserve">Southeastern Louisiana University </t>
  </si>
  <si>
    <t>Grambling State University</t>
  </si>
  <si>
    <t>Louisiana State University in Shreveport</t>
  </si>
  <si>
    <t>McNeese State University</t>
  </si>
  <si>
    <t>Northwestern State University</t>
  </si>
  <si>
    <t xml:space="preserve">Nicholls State University </t>
  </si>
  <si>
    <t>Southern University at New Orleans</t>
  </si>
  <si>
    <t>Louisiana State University at Alexandria</t>
  </si>
  <si>
    <t xml:space="preserve">Delgado Community College </t>
  </si>
  <si>
    <t>Baton Rouge Community College</t>
  </si>
  <si>
    <t>Bossier Parish Community College</t>
  </si>
  <si>
    <t>Louisiana State University at Eunice</t>
  </si>
  <si>
    <t>Southern University in Shreveport</t>
  </si>
  <si>
    <t>Louisiana Delta Community College</t>
  </si>
  <si>
    <t>Nunez Community College</t>
  </si>
  <si>
    <t>River Parishes Community College</t>
  </si>
  <si>
    <t>South Louisiana Community College</t>
  </si>
  <si>
    <t>Sowela Technical Community College</t>
  </si>
  <si>
    <t>L.E. Fletcher Technical Community College</t>
  </si>
  <si>
    <t>Louisiana Technical College-Acadian Campus</t>
  </si>
  <si>
    <t>Louisiana Technical College-Alexandria Campus</t>
  </si>
  <si>
    <t>Louisiana Technical College-Ascension Campus</t>
  </si>
  <si>
    <t>Louisiana Technical College-Avoyelles Campus</t>
  </si>
  <si>
    <t>Louisiana Technical College-Bastrop Campus</t>
  </si>
  <si>
    <t>Louisiana Technical College-Baton Rouge Campus</t>
  </si>
  <si>
    <t>Louisiana Technical College-Charles B. Coreil Campus</t>
  </si>
  <si>
    <t>Louisiana Technical College-Delta/Ouachita Campus</t>
  </si>
  <si>
    <t>Louisiana Technical College-Evangeline Campus</t>
  </si>
  <si>
    <t>Louisiana Technical College-Florida Parishes Campus</t>
  </si>
  <si>
    <t>Louisiana Technical College-Folkes Campus</t>
  </si>
  <si>
    <t>Louisiana Technical College-Gulf Area Campus</t>
  </si>
  <si>
    <t>Louisiana Technical College-Hammond Area Campus</t>
  </si>
  <si>
    <t>Louisiana Technical College-Huey P. Long Campus</t>
  </si>
  <si>
    <t>Louisiana Technical College-Jefferson Campus</t>
  </si>
  <si>
    <t>Louisiana Technical College-Jumonville Memorial Campus</t>
  </si>
  <si>
    <t>Louisiana Technical College-Lafayette Campus</t>
  </si>
  <si>
    <t>Louisiana Technical College-Lafourche Campus</t>
  </si>
  <si>
    <t>Louisiana Technical College-Lamar Salter Campus</t>
  </si>
  <si>
    <t>Louisiana Technical College-Mansfield Campus</t>
  </si>
  <si>
    <t>Louisiana Technical College-Morgan Smith Campus</t>
  </si>
  <si>
    <t>Louisiana Technical College-Nachitoches Campus</t>
  </si>
  <si>
    <t>Louisiana Technical College-North Central Campus</t>
  </si>
  <si>
    <t>Louisiana Technical College-Northeast Louisiana Campus</t>
  </si>
  <si>
    <t>Louisiana Technical College-Northwest Louisiana Campus</t>
  </si>
  <si>
    <t>Louisiana Technical College-Oakdale Campus</t>
  </si>
  <si>
    <t>Louisiana Technical College-River Parishes Campus</t>
  </si>
  <si>
    <t>Louisiana Technical College-Ruston Campus</t>
  </si>
  <si>
    <t>Louisiana Technical College-Sabine Valley Campus</t>
  </si>
  <si>
    <t>Louisiana Technical College-Shelby M. Jackson Campus</t>
  </si>
  <si>
    <t>Louisiana Technical College-Shreveport/Bossier Campus</t>
  </si>
  <si>
    <t>Louisiana Technical College-Sidney N. Collier Campus</t>
  </si>
  <si>
    <t>Louisiana Technical College-Slidell Campus</t>
  </si>
  <si>
    <t>Louisiana Technical College-Sullivan Campus</t>
  </si>
  <si>
    <t>Louisiana Technical College-T.H. Harris Campus</t>
  </si>
  <si>
    <t>Louisiana Technical College-Tallulah Campus</t>
  </si>
  <si>
    <t>Louisiana Technical College-Teche Area Campus</t>
  </si>
  <si>
    <t>Louisiana Technical College-West Jefferson Campus</t>
  </si>
  <si>
    <t>Louisiana Technical College-Westside Campus</t>
  </si>
  <si>
    <t>Louisiana Technical College-Young Memorial Campus</t>
  </si>
  <si>
    <t>Louisiana Technical Colleges -- all campuses</t>
  </si>
  <si>
    <t>Louisiana State University Health Sciences Center—New Orleans</t>
  </si>
  <si>
    <t>Louisiana State University Health Sciences Center — Shreveport</t>
  </si>
  <si>
    <t>Center for Innovative Teaching and Learning (CITAL)</t>
  </si>
  <si>
    <t>Audubon Center for Research of Endangered Species (ACRES)</t>
  </si>
  <si>
    <t>LA Universities' Marine Consortium</t>
  </si>
  <si>
    <t>Pennington Biomedical Research Center</t>
  </si>
  <si>
    <t>Health Care WorkForce</t>
  </si>
  <si>
    <t>Distance learning</t>
  </si>
  <si>
    <t>LA Online Library Network (LOUIS)</t>
  </si>
  <si>
    <t>Gene Therapy</t>
  </si>
  <si>
    <t>LA Endowment for the Humanities</t>
  </si>
  <si>
    <t>Endowed Chairs/Professorships</t>
  </si>
  <si>
    <t>Endowed Scholarships</t>
  </si>
  <si>
    <t>Secure Campus Funding</t>
  </si>
  <si>
    <t>LONI</t>
  </si>
  <si>
    <t>Other Initiatives</t>
  </si>
  <si>
    <t>Dual Enrollment</t>
  </si>
  <si>
    <t>Adult Education</t>
  </si>
  <si>
    <t>Board of Regents</t>
  </si>
  <si>
    <t>Southern University System Office</t>
  </si>
  <si>
    <t>LA State University System Office</t>
  </si>
  <si>
    <t>Univ. of LA System Office</t>
  </si>
  <si>
    <t>LA Community and Technical College System Office</t>
  </si>
  <si>
    <t>Louisiana Office of Student Financial Aid (LOSFA)</t>
  </si>
  <si>
    <t>State Support to Private Colleges Other Than Student Aid (ATI)</t>
  </si>
  <si>
    <t>TOPS,GO GRANT, LEAP</t>
  </si>
  <si>
    <t>ROCKEFELLER/DUAL ENROLLMENT (Public sec students)</t>
  </si>
  <si>
    <t>No program(s) of this type? - NO</t>
  </si>
  <si>
    <t>Mississippi State University</t>
  </si>
  <si>
    <t>Agricultural Cooperative Extension</t>
  </si>
  <si>
    <t>Agricultural Experiment Stations</t>
  </si>
  <si>
    <t>State Chemical Lab</t>
  </si>
  <si>
    <t>Forest/wildlife Research Center</t>
  </si>
  <si>
    <t>Water resources institute</t>
  </si>
  <si>
    <t>Stennis Institute</t>
  </si>
  <si>
    <t>Advanced Vehicular Systems</t>
  </si>
  <si>
    <t>University of Southern Mississippi</t>
  </si>
  <si>
    <t>Gulf-Coast Research Lab</t>
  </si>
  <si>
    <t>Polymer Institute</t>
  </si>
  <si>
    <t>Stennis Center</t>
  </si>
  <si>
    <t xml:space="preserve">Jackson State University </t>
  </si>
  <si>
    <t>Urban Research Center</t>
  </si>
  <si>
    <t>University of Mississippi</t>
  </si>
  <si>
    <t>Community/Public Service  Units</t>
  </si>
  <si>
    <t>Small Business Development Ctr.</t>
  </si>
  <si>
    <t>Pharmaceutical research</t>
  </si>
  <si>
    <t>Law Research Institute</t>
  </si>
  <si>
    <t>Mineral Resources Institute</t>
  </si>
  <si>
    <t>Supercomputer</t>
  </si>
  <si>
    <t>Alcorn State University</t>
  </si>
  <si>
    <t>Agricultural Units</t>
  </si>
  <si>
    <t>Delta State University</t>
  </si>
  <si>
    <t>Mississippi University for Women</t>
  </si>
  <si>
    <t>Mississippi Valley State University</t>
  </si>
  <si>
    <t>University of Mississippi Medical Center</t>
  </si>
  <si>
    <t>Volunteer Commission</t>
  </si>
  <si>
    <t>AYERS Endowment/Summer Programs</t>
  </si>
  <si>
    <t>Board Initiative:  Core Course Redesign</t>
  </si>
  <si>
    <t>System Cost: Audit</t>
  </si>
  <si>
    <t>Ms Board of Trustees I.H.L</t>
  </si>
  <si>
    <t>Student Financial Aid Administration</t>
  </si>
  <si>
    <t>Edward Via VA College of Osteopathic Medicine</t>
  </si>
  <si>
    <t>Higher Education Legislative Plan</t>
  </si>
  <si>
    <t>Loan/Scholarship Programs</t>
  </si>
  <si>
    <t>Critical NeedsTeacherScholarship</t>
  </si>
  <si>
    <t>MS Resident Tuition Assistance Grant</t>
  </si>
  <si>
    <t>MS Eminent Scholars Grant</t>
  </si>
  <si>
    <t>BRIM insurance subsidy</t>
  </si>
  <si>
    <t>Research Trust Fund (one time)</t>
  </si>
  <si>
    <t>na</t>
  </si>
  <si>
    <t>Manatee Area Vocational-Technical Center</t>
  </si>
  <si>
    <t>135407</t>
  </si>
  <si>
    <t>Marion County School of Radiological Technology</t>
  </si>
  <si>
    <t>Martin County High School Adult Education Center</t>
  </si>
  <si>
    <t>Maynard A. Traviss Vocational-Technical Center</t>
  </si>
  <si>
    <t>135522</t>
  </si>
  <si>
    <t>Miami Lakes Technical Education Center</t>
  </si>
  <si>
    <t>135647</t>
  </si>
  <si>
    <t>Miami Skill Center</t>
  </si>
  <si>
    <t>Mid-Florida Technical Institute</t>
  </si>
  <si>
    <t>135735</t>
  </si>
  <si>
    <t>North Technical Education Center</t>
  </si>
  <si>
    <t>136190</t>
  </si>
  <si>
    <t>Okaloosa Applied Technology Center</t>
  </si>
  <si>
    <t>Orlando Vocational-Technical Center</t>
  </si>
  <si>
    <t>136303</t>
  </si>
  <si>
    <t>Pinellas Vocational-Technical Institute--Clearwater</t>
  </si>
  <si>
    <t>136491</t>
  </si>
  <si>
    <t>Pinellas Vocational-Technical Institute--St. Petersburg</t>
  </si>
  <si>
    <t>137087</t>
  </si>
  <si>
    <t>Radford M. Locklin Vocational-Technical Center</t>
  </si>
  <si>
    <t>136659</t>
  </si>
  <si>
    <t>Ridge Vocational-Technical Center</t>
  </si>
  <si>
    <t>136765</t>
  </si>
  <si>
    <t>Robert Morgan Vocational-Technical Institute</t>
  </si>
  <si>
    <t>Sarasota County Vocational-Technical Center</t>
  </si>
  <si>
    <t>137120</t>
  </si>
  <si>
    <t>Sheridan Technical Center</t>
  </si>
  <si>
    <t>137245</t>
  </si>
  <si>
    <t xml:space="preserve">South Dade Skill Center                      </t>
  </si>
  <si>
    <t>South Technical Education Center</t>
  </si>
  <si>
    <t>137360</t>
  </si>
  <si>
    <t>St. Augustine Technical Center</t>
  </si>
  <si>
    <t>137023</t>
  </si>
  <si>
    <t>Suwanee-Hamilton Area Vocational and Adult Center</t>
  </si>
  <si>
    <t>137713</t>
  </si>
  <si>
    <t>Tampa Bay Area Vocational-Technical Center</t>
  </si>
  <si>
    <t>367875</t>
  </si>
  <si>
    <t>Taylor County Area Vocational-Technical Center</t>
  </si>
  <si>
    <t>137856</t>
  </si>
  <si>
    <t>Thomas P. Haney Area Vocational-Technical Center</t>
  </si>
  <si>
    <t>137865</t>
  </si>
  <si>
    <t>Washington-Holmes Area Vocational-Technical Center</t>
  </si>
  <si>
    <t>138284</t>
  </si>
  <si>
    <t>West Technical Education Center</t>
  </si>
  <si>
    <t>138363</t>
  </si>
  <si>
    <t>Westside Tech</t>
  </si>
  <si>
    <t>William T. McFatter Vocational-Technical Center</t>
  </si>
  <si>
    <t>138479</t>
  </si>
  <si>
    <t>Winter Park Tech</t>
  </si>
  <si>
    <t>Withlachoochee Vocational and Adult Education Center</t>
  </si>
  <si>
    <t>138497</t>
  </si>
  <si>
    <t>Division of Community Colleges and Workforce Education</t>
  </si>
  <si>
    <t>TCSG Technical Divisions at USG Schools</t>
  </si>
  <si>
    <t>TCSG Oversight Unit</t>
  </si>
  <si>
    <t>Can there be awards to private sector students; there just happen to be none?</t>
  </si>
  <si>
    <t>Can there be awards to public sector students; there just happen to be none?</t>
  </si>
  <si>
    <t>No program(s) of these types?</t>
  </si>
  <si>
    <t>Nurse Education Scholarship/Loans</t>
  </si>
  <si>
    <t>No detail on sector or basis?</t>
  </si>
  <si>
    <t>No detail on basis?</t>
  </si>
  <si>
    <t>Academic Scholarships</t>
  </si>
  <si>
    <t>No program(s) of this type?</t>
  </si>
  <si>
    <t>?????</t>
  </si>
  <si>
    <t>No detail on basis or sector?</t>
  </si>
  <si>
    <t>Is this program still in operation?</t>
  </si>
  <si>
    <t>Agricultural &amp; Foresty Research</t>
  </si>
  <si>
    <t>Cooperative Extension</t>
  </si>
  <si>
    <t>Jefferson Science Associates</t>
  </si>
  <si>
    <t>Transfer grant</t>
  </si>
  <si>
    <t>Florida Energy Systems Consortium</t>
  </si>
  <si>
    <t>Distance Learning Consortium</t>
  </si>
  <si>
    <t>Other Operating Expenses</t>
  </si>
  <si>
    <t>Access &amp; Equity</t>
  </si>
  <si>
    <t>EEDA Implementation</t>
  </si>
  <si>
    <t>217864</t>
  </si>
  <si>
    <t>Transportation Center Match</t>
  </si>
  <si>
    <t>South Carolina Alliance for Minority Participation (SCAMP)</t>
  </si>
  <si>
    <t>African American Loan Program</t>
  </si>
  <si>
    <t>Public Service Activities</t>
  </si>
  <si>
    <t>218724</t>
  </si>
  <si>
    <t>Other Operating Funds</t>
  </si>
  <si>
    <t>Entrepreneurial Operations Equipment</t>
  </si>
  <si>
    <t>Area Health Education Consortium (AHEC)</t>
  </si>
  <si>
    <t>University Center of Greenville</t>
  </si>
  <si>
    <t>Lowcountry Graduate Center</t>
  </si>
  <si>
    <t>South Carolina Manufacturing Extension Program (SCMEP)</t>
  </si>
  <si>
    <t>Statewide Electronic Library</t>
  </si>
  <si>
    <t>Youth Leadership Program</t>
  </si>
  <si>
    <t>Charleston Transition Connection</t>
  </si>
  <si>
    <t>North Carolina School of the Arts (moved to Other Contract because is a high school and not a college)</t>
  </si>
  <si>
    <t>Doctoral Scholars Program</t>
  </si>
  <si>
    <t>Tennessee Technology Center at Oneida</t>
  </si>
  <si>
    <t>Tennessee Technology Center at Paris</t>
  </si>
  <si>
    <t>Tennessee Technology Center at Pulaski</t>
  </si>
  <si>
    <t>Tennessee Technology Center at Ripley</t>
  </si>
  <si>
    <t>Tennessee Technology Center at Shelbyville</t>
  </si>
  <si>
    <t>Tennessee Technology Center at Whiteville</t>
  </si>
  <si>
    <t>University of Tennessee Health Science Center</t>
  </si>
  <si>
    <t>University of Tennessee Space Institute</t>
  </si>
  <si>
    <t>Foreign Language Institute</t>
  </si>
  <si>
    <t>TN H.Ed. Commission</t>
  </si>
  <si>
    <t>Univ TN System Adm &amp; TN Board of Regents</t>
  </si>
  <si>
    <t>Meharry Medical College (Dentistry, Medicine, Special Aid)</t>
  </si>
  <si>
    <t>Administration of Statewide Student Aid Programs (including centralized guaranteed student loans)</t>
  </si>
  <si>
    <t>AL</t>
  </si>
  <si>
    <t>AR</t>
  </si>
  <si>
    <t>GA</t>
  </si>
  <si>
    <t>LA</t>
  </si>
  <si>
    <t>SC</t>
  </si>
  <si>
    <t>TX</t>
  </si>
  <si>
    <t>DE</t>
  </si>
  <si>
    <t>FL</t>
  </si>
  <si>
    <t>KY</t>
  </si>
  <si>
    <t>MD</t>
  </si>
  <si>
    <t>MS</t>
  </si>
  <si>
    <t>NC</t>
  </si>
  <si>
    <t>OK</t>
  </si>
  <si>
    <t>TN</t>
  </si>
  <si>
    <t>VA</t>
  </si>
  <si>
    <t>WV</t>
  </si>
  <si>
    <r>
      <t>SREB states</t>
    </r>
    <r>
      <rPr>
        <vertAlign val="superscript"/>
        <sz val="10"/>
        <rFont val="Arial"/>
        <family val="2"/>
      </rPr>
      <t>5</t>
    </r>
  </si>
  <si>
    <t>Sum of Tuition SP Debt-Old</t>
  </si>
  <si>
    <t>Total Sum of Tuition SP Debt-Old</t>
  </si>
  <si>
    <t>Sum of Tuition SP Tot-Old</t>
  </si>
  <si>
    <t>Total Sum of Tuition SP Tot-Old</t>
  </si>
  <si>
    <t>Sum of Tuition SP Ops-New</t>
  </si>
  <si>
    <t>Total Sum of Tuition SP Ops-New</t>
  </si>
  <si>
    <t>Sharon Christa McAuliffe Memorial Teacher Award</t>
  </si>
  <si>
    <t>Distinguished Scholar Teacher Education Award</t>
  </si>
  <si>
    <t>State Nursing Scholarship</t>
  </si>
  <si>
    <t>Physical and Occupational Therapists and Assistants Program</t>
  </si>
  <si>
    <t>WVU HSC - Blanchette Rockefeller Neuroligical Institute</t>
  </si>
  <si>
    <t>Public Health Program &amp; Health Science Technology</t>
  </si>
  <si>
    <t>WVUHSC - Graduate Medical Education</t>
  </si>
  <si>
    <t>WVU - PRT</t>
  </si>
  <si>
    <t>Center for Excellence in Disabilities</t>
  </si>
  <si>
    <t xml:space="preserve">Marshall University </t>
  </si>
  <si>
    <t>MU SOM- Graduate Medical Education</t>
  </si>
  <si>
    <t>MUSOM - Center for Rural Health</t>
  </si>
  <si>
    <t>MU/SWVVCTC 2+2 Program</t>
  </si>
  <si>
    <t>Autism Training Center</t>
  </si>
  <si>
    <t>Forensic Lab</t>
  </si>
  <si>
    <t xml:space="preserve">Concord University </t>
  </si>
  <si>
    <t xml:space="preserve">Fairmont State University </t>
  </si>
  <si>
    <t xml:space="preserve">Glenville State College </t>
  </si>
  <si>
    <t xml:space="preserve">Shepherd University </t>
  </si>
  <si>
    <t xml:space="preserve">West Liberty State College </t>
  </si>
  <si>
    <t xml:space="preserve">West Virginia State University </t>
  </si>
  <si>
    <t>West Virginia University Institute of Technology</t>
  </si>
  <si>
    <t>Accreditation supplement</t>
  </si>
  <si>
    <t>West Virginia University at Parkersburg</t>
  </si>
  <si>
    <t>Vet Med School</t>
  </si>
  <si>
    <r>
      <t>Net Tuition &amp; Fees</t>
    </r>
    <r>
      <rPr>
        <b/>
        <vertAlign val="superscript"/>
        <sz val="8"/>
        <rFont val="Arial"/>
        <family val="2"/>
      </rPr>
      <t xml:space="preserve">2 </t>
    </r>
    <r>
      <rPr>
        <b/>
        <sz val="8"/>
        <rFont val="Arial"/>
        <family val="2"/>
      </rPr>
      <t>Available for Operations</t>
    </r>
  </si>
  <si>
    <t>Sum of Tuition Debt-New</t>
  </si>
  <si>
    <t>Total Sum of Tuition Debt-New</t>
  </si>
  <si>
    <r>
      <t>Total Public Funds Available for Operations</t>
    </r>
    <r>
      <rPr>
        <vertAlign val="superscript"/>
        <sz val="8"/>
        <rFont val="Arial"/>
        <family val="2"/>
      </rPr>
      <t xml:space="preserve">4 </t>
    </r>
  </si>
  <si>
    <t>Total for Ops (Net debt serv)</t>
  </si>
  <si>
    <r>
      <t>SREB states</t>
    </r>
    <r>
      <rPr>
        <vertAlign val="superscript"/>
        <sz val="10"/>
        <rFont val="Arial"/>
        <family val="2"/>
      </rPr>
      <t>2</t>
    </r>
  </si>
  <si>
    <t>Technical</t>
  </si>
  <si>
    <t>Tuition SP Ops-Old</t>
  </si>
  <si>
    <t>Tuition SP Debt-Old</t>
  </si>
  <si>
    <t>Tuition SP Tot-Old</t>
  </si>
  <si>
    <t>Tuition SP Ops-New</t>
  </si>
  <si>
    <t>Tuition SP Debt-New</t>
  </si>
  <si>
    <t xml:space="preserve"> % change in tuition debt</t>
  </si>
  <si>
    <t>Total  % change in tuition debt</t>
  </si>
  <si>
    <t>Texas*</t>
  </si>
  <si>
    <t>Virginia*</t>
  </si>
  <si>
    <t>Specialized</t>
  </si>
  <si>
    <t>(blank)</t>
  </si>
  <si>
    <t>Public Four-Year Universities, Two-Year Colleges and Technical Institutes</t>
  </si>
  <si>
    <r>
      <t>SREB states</t>
    </r>
    <r>
      <rPr>
        <vertAlign val="superscript"/>
        <sz val="9"/>
        <rFont val="Arial"/>
        <family val="2"/>
      </rPr>
      <t>5</t>
    </r>
  </si>
  <si>
    <t>Total  % change in tuition sp debt</t>
  </si>
  <si>
    <t xml:space="preserve"> % change in tuition sp total</t>
  </si>
  <si>
    <t>Total  % change in tuition sp total</t>
  </si>
  <si>
    <t>category2</t>
  </si>
  <si>
    <t>Four-Year</t>
  </si>
  <si>
    <t>Two-Year</t>
  </si>
  <si>
    <t>State support to private colleges other than student financial aid</t>
  </si>
  <si>
    <t>Contract education programs</t>
  </si>
  <si>
    <r>
      <t>5</t>
    </r>
    <r>
      <rPr>
        <sz val="8"/>
        <rFont val="Arial"/>
        <family val="2"/>
      </rPr>
      <t>The SREB states averages must be interpreted with caution because the number of states with each type of funding varies.</t>
    </r>
  </si>
  <si>
    <t>Sum of State Gen Purp-Old</t>
  </si>
  <si>
    <t>**Reflects Richard Bland only.</t>
  </si>
  <si>
    <t>Chiropractic Colleges</t>
  </si>
  <si>
    <t>Baylor College of Medicine</t>
  </si>
  <si>
    <t>Knight Alabama Student Assistance Program</t>
  </si>
  <si>
    <t>Alabama Student Assistance Program</t>
  </si>
  <si>
    <t>American Legion program</t>
  </si>
  <si>
    <t>Dependents of blind parents program</t>
  </si>
  <si>
    <t>Department of Veterans Affairs programs</t>
  </si>
  <si>
    <t>Policeman's' scholarships</t>
  </si>
  <si>
    <t>National Guard Ed Assistance</t>
  </si>
  <si>
    <t>Alabama Student Grant Program</t>
  </si>
  <si>
    <t>Two-Year Total</t>
  </si>
  <si>
    <t>Technical Total</t>
  </si>
  <si>
    <t>Other Total</t>
  </si>
  <si>
    <t>Specialized Total</t>
  </si>
  <si>
    <t>Health professions education funds to public campuses</t>
  </si>
  <si>
    <t>Table 96</t>
  </si>
  <si>
    <t>Total Funds</t>
  </si>
  <si>
    <t>Total Funds-Old</t>
  </si>
  <si>
    <t>Total Funds-New</t>
  </si>
  <si>
    <t>Sp Inst. Tuition for Debt Serv</t>
  </si>
  <si>
    <t>Sp Inst. Tuition Total</t>
  </si>
  <si>
    <t>Sum of State Ed Spec Purp-Old</t>
  </si>
  <si>
    <t>Total Sum of State Ed Spec Purp-Old</t>
  </si>
  <si>
    <t>Table 78</t>
  </si>
  <si>
    <t>2007-08 Base Table</t>
  </si>
  <si>
    <t>2007-08 Simplified Table</t>
  </si>
  <si>
    <t>Total-Old</t>
  </si>
  <si>
    <t>Total Total-Old</t>
  </si>
  <si>
    <t>Total-New</t>
  </si>
  <si>
    <t>Total Total-New</t>
  </si>
  <si>
    <t xml:space="preserve">East Carolina University </t>
  </si>
  <si>
    <t>North Carolina Agricultural &amp; Technical State University</t>
  </si>
  <si>
    <t xml:space="preserve">North Carolina Central University </t>
  </si>
  <si>
    <t>Northeast Lakeview College (ACCD)</t>
  </si>
  <si>
    <t>University of Arkansas at Fort Smith</t>
  </si>
  <si>
    <t>College of Medicine Autism Program</t>
  </si>
  <si>
    <t>Jacksonville Autism Program</t>
  </si>
  <si>
    <t xml:space="preserve">University of South Florida </t>
  </si>
  <si>
    <t>Phosphate research</t>
  </si>
  <si>
    <t>Mental Health Institute Autism Program</t>
  </si>
  <si>
    <t xml:space="preserve">Florida Atlantic University </t>
  </si>
  <si>
    <t>Autism Program</t>
  </si>
  <si>
    <t>Florida International University</t>
  </si>
  <si>
    <t xml:space="preserve">University of Central Florida </t>
  </si>
  <si>
    <t xml:space="preserve">Florida Agricultural &amp; Mechanical University </t>
  </si>
  <si>
    <t>University of North Florida</t>
  </si>
  <si>
    <t>University of West Florida</t>
  </si>
  <si>
    <t>Florida Gulf Coast University</t>
  </si>
  <si>
    <t>New College of Florida</t>
  </si>
  <si>
    <t>Major gifts and Eminent Scholars Programs Matching Funds</t>
  </si>
  <si>
    <t>Moffitt Cancer Center</t>
  </si>
  <si>
    <t xml:space="preserve">Institute for Human and Machine Cognition </t>
  </si>
  <si>
    <t>Centers of Excellence</t>
  </si>
  <si>
    <t>FL. Board of Governors</t>
  </si>
  <si>
    <t>SREB membership</t>
  </si>
  <si>
    <t>1st Accredited Medical School Support for Univ Miami</t>
  </si>
  <si>
    <t>Medical Training Simulation Laboratory at Univ Miami</t>
  </si>
  <si>
    <t>Integrated Marine Research Program - Univ of Miami</t>
  </si>
  <si>
    <t>Spinal Chord Research at Univ Miami</t>
  </si>
  <si>
    <t>Regional Diabetes Center at Univ of Miami</t>
  </si>
  <si>
    <t xml:space="preserve">*Texas reflects colleges except those in the Alamo Community College District and the Dallas County Community College District that were not reported by campus. </t>
  </si>
  <si>
    <t>Total E&amp;G-Old</t>
  </si>
  <si>
    <t>Total E&amp;G-New</t>
  </si>
  <si>
    <t>2D1c2</t>
  </si>
  <si>
    <t>2D1d</t>
  </si>
  <si>
    <t>Autism Program at Univ Miami</t>
  </si>
  <si>
    <t>University of Alabama in Huntsville</t>
  </si>
  <si>
    <t>Alabama Agricultural &amp; Mechanical University</t>
  </si>
  <si>
    <t xml:space="preserve">Agricultural </t>
  </si>
  <si>
    <t>AL Agricultural LG Alliance</t>
  </si>
  <si>
    <t>Black Archives Museum</t>
  </si>
  <si>
    <t xml:space="preserve">Jacksonville State University </t>
  </si>
  <si>
    <t>AL Small Business Institute of Commerce</t>
  </si>
  <si>
    <t>University of South Alabama</t>
  </si>
  <si>
    <t>Ctr for Strategic Hlth Innovations</t>
  </si>
  <si>
    <t>Cancer Res Institute</t>
  </si>
  <si>
    <t xml:space="preserve">Alabama State University </t>
  </si>
  <si>
    <t>Title VI Enhancement</t>
  </si>
  <si>
    <t>Cooperative Efforts to Enhance Community Ed Institute</t>
  </si>
  <si>
    <t>Auburn University at Montgomery</t>
  </si>
  <si>
    <t>Health professions education</t>
  </si>
  <si>
    <t>SREB</t>
  </si>
  <si>
    <t>Educational special purpose funds - to statewide units</t>
  </si>
  <si>
    <t>Educational special purpose funds - all other</t>
  </si>
  <si>
    <t>Education special purpose funds -all other</t>
  </si>
  <si>
    <t>Education special purpose funds -statewide units</t>
  </si>
  <si>
    <t>Educational special purpose funds — all other</t>
  </si>
  <si>
    <t>Veterinary Medicine School</t>
  </si>
  <si>
    <t>TX Engineering extension service</t>
  </si>
  <si>
    <t>TX Forest Service</t>
  </si>
  <si>
    <t>TX Transportation Institute</t>
  </si>
  <si>
    <t>University of Texas at Brownsville</t>
  </si>
  <si>
    <t>University of Texas of the Permian Basin</t>
  </si>
  <si>
    <t>Sul Ross State University-Rio Grande College</t>
  </si>
  <si>
    <t>University of Houston-Downtown</t>
  </si>
  <si>
    <t>University of Houston-Victoria</t>
  </si>
  <si>
    <t>Texas A&amp;M University at Galveston</t>
  </si>
  <si>
    <t xml:space="preserve">Amarillo College </t>
  </si>
  <si>
    <t xml:space="preserve">Austin Community College </t>
  </si>
  <si>
    <t xml:space="preserve">Blinn College </t>
  </si>
  <si>
    <t>Brookhaven College  (DCCCD)</t>
  </si>
  <si>
    <t xml:space="preserve">Central Texas College </t>
  </si>
  <si>
    <t>Collin County Community College District</t>
  </si>
  <si>
    <t xml:space="preserve">Del Mar College </t>
  </si>
  <si>
    <t>Eastfield College  (DCCCD)</t>
  </si>
  <si>
    <t>El Paso County Community College District</t>
  </si>
  <si>
    <t>Centers for Teacher Education</t>
  </si>
  <si>
    <t>North Lake College  (DCCCD)</t>
  </si>
  <si>
    <t>Northwest Vista College (ACCD)</t>
  </si>
  <si>
    <t>Palo Alto College  (ACCD)</t>
  </si>
  <si>
    <t>Richland College  (DCCCD)</t>
  </si>
  <si>
    <t>San Antonio College (ACCD)</t>
  </si>
  <si>
    <t>San Jacinto College (SJCDS)</t>
  </si>
  <si>
    <t xml:space="preserve">South Plains College </t>
  </si>
  <si>
    <t>South Texas College</t>
  </si>
  <si>
    <t>St. Philip's College  (ACCD)</t>
  </si>
  <si>
    <t>Tarrant County College (TCJCD)</t>
  </si>
  <si>
    <t xml:space="preserve">Texas Southmost College </t>
  </si>
  <si>
    <t xml:space="preserve">Tyler Junior College </t>
  </si>
  <si>
    <t xml:space="preserve">Alvin Community College </t>
  </si>
  <si>
    <t xml:space="preserve">Angelina College </t>
  </si>
  <si>
    <t xml:space="preserve">Beaufort County Community College </t>
  </si>
  <si>
    <t>Blue Ridge Community College</t>
  </si>
  <si>
    <t>Caldwell Community College  &amp; Technical Institute</t>
  </si>
  <si>
    <t>Cleveland Community College</t>
  </si>
  <si>
    <t xml:space="preserve">Coastal Carolina Community College </t>
  </si>
  <si>
    <t>College of the Albemarle</t>
  </si>
  <si>
    <t xml:space="preserve">Craven Community College </t>
  </si>
  <si>
    <t xml:space="preserve">Davidson County Community College </t>
  </si>
  <si>
    <t>Edgecombe Community College</t>
  </si>
  <si>
    <t xml:space="preserve">Gaston College </t>
  </si>
  <si>
    <t>Haywood Community College</t>
  </si>
  <si>
    <t xml:space="preserve">Isothermal Community College </t>
  </si>
  <si>
    <t>Johnston Community College</t>
  </si>
  <si>
    <t>Texas State Technical College-Waco</t>
  </si>
  <si>
    <t>Trinity Valley Community College</t>
  </si>
  <si>
    <t xml:space="preserve">Vernon College </t>
  </si>
  <si>
    <t xml:space="preserve">Victoria College </t>
  </si>
  <si>
    <t xml:space="preserve">Weatherford College </t>
  </si>
  <si>
    <t xml:space="preserve">Wharton County Junior College </t>
  </si>
  <si>
    <t xml:space="preserve">Clarendon College </t>
  </si>
  <si>
    <t>Table 79</t>
  </si>
  <si>
    <t>Table 80</t>
  </si>
  <si>
    <t>Table 81</t>
  </si>
  <si>
    <t>Table 82</t>
  </si>
  <si>
    <t>Table 83</t>
  </si>
  <si>
    <t>Table 84</t>
  </si>
  <si>
    <t>Table 85</t>
  </si>
  <si>
    <t>Table 86</t>
  </si>
  <si>
    <t>Table 87</t>
  </si>
  <si>
    <t>Table 88</t>
  </si>
  <si>
    <t>Table 89</t>
  </si>
  <si>
    <t>Table 90</t>
  </si>
  <si>
    <t>Table 91</t>
  </si>
  <si>
    <t>Table 92</t>
  </si>
  <si>
    <t>Table 93</t>
  </si>
  <si>
    <t>Table 94</t>
  </si>
  <si>
    <t>Table 95</t>
  </si>
  <si>
    <t>Tuition SP Tot-New</t>
  </si>
  <si>
    <t>Gross Tuition and Fees Revenue</t>
  </si>
  <si>
    <t>Special Purpose Institutions Other Than Health Sciences</t>
  </si>
  <si>
    <t>2D1c</t>
  </si>
  <si>
    <t>2D1c1</t>
  </si>
  <si>
    <t>Total Sum of Tuition SP Tot-New</t>
  </si>
  <si>
    <t>Four-Year and Two-Year Universities, Colleges and Technical Institutes</t>
  </si>
  <si>
    <t>General Purpose Appropriations to Four-Year and Two-Year Universities, Colleges and Technical Institutes</t>
  </si>
  <si>
    <t>Panola College</t>
  </si>
  <si>
    <t xml:space="preserve">Ranger College </t>
  </si>
  <si>
    <t xml:space="preserve">Southwest Collegiate Institute for the Deaf </t>
  </si>
  <si>
    <t>Texas State Technical College-Marshall</t>
  </si>
  <si>
    <t>Texas State Technical College-West Texas</t>
  </si>
  <si>
    <t xml:space="preserve">Western Texas College </t>
  </si>
  <si>
    <t>Alamo Community College District (ACCD)</t>
  </si>
  <si>
    <t>Dallas County Community College District (DCCD)</t>
  </si>
  <si>
    <t>Texas A&amp;M University System Health Science Center</t>
  </si>
  <si>
    <t>Texas Tech University Health Sciences Center</t>
  </si>
  <si>
    <t xml:space="preserve">North Carolina State University </t>
  </si>
  <si>
    <t>Tuition Saving Act Implementation</t>
  </si>
  <si>
    <t>Academic Scholar Program</t>
  </si>
  <si>
    <t>Minority Teacher Recruitment Center</t>
  </si>
  <si>
    <t>OneNet User Fee Charges</t>
  </si>
  <si>
    <t>Student Preparation  Program</t>
  </si>
  <si>
    <t>Statewide Literacy Program</t>
  </si>
  <si>
    <t>Ok State Regents for H. Ed.</t>
  </si>
  <si>
    <t>SREB Dues</t>
  </si>
  <si>
    <t>Chiropractic Education Assistance</t>
  </si>
  <si>
    <t>Prospective Teachers Scholars</t>
  </si>
  <si>
    <t>Regional University Scholarships</t>
  </si>
  <si>
    <t>OTAG</t>
  </si>
  <si>
    <t>OTEG</t>
  </si>
  <si>
    <t>Total Sum of Health State-New</t>
  </si>
  <si>
    <t xml:space="preserve"> % change in health state</t>
  </si>
  <si>
    <t>Total  % change in health state</t>
  </si>
  <si>
    <t>2007-08</t>
  </si>
  <si>
    <t>Veterinary School Large Animal PGM</t>
  </si>
  <si>
    <t>Jules Collins Smith Art Museum</t>
  </si>
  <si>
    <t>AL Center for Civic Life</t>
  </si>
  <si>
    <t>High School Athletic Training Pgm</t>
  </si>
  <si>
    <t>AL Writing Project</t>
  </si>
  <si>
    <t>Wellness Intiaitive</t>
  </si>
  <si>
    <t>Ctr for International Bus &amp; Econ Development</t>
  </si>
  <si>
    <t>Regional Wellness &amp; Fitness Center</t>
  </si>
  <si>
    <t>Black Belt Treasures Initiative</t>
  </si>
  <si>
    <t>National Young Farmers Ed Assoc</t>
  </si>
  <si>
    <t>Marion Military Institute</t>
  </si>
  <si>
    <t>MESC/Dauphin Isl Sealab/Marine Environmental Sci Consort.</t>
  </si>
  <si>
    <t>Prison Education - Theraputic Training</t>
  </si>
  <si>
    <t>Small Business Center Network</t>
  </si>
  <si>
    <t>Military Operations Program</t>
  </si>
  <si>
    <t>Workforce Development</t>
  </si>
  <si>
    <t>Commercialization Assistance Grant Program</t>
  </si>
  <si>
    <t>Performance Incentive Funding</t>
  </si>
  <si>
    <t>Le Comm/Florida Health Programs</t>
  </si>
  <si>
    <t>Cr itical Training Needs - Univ of Tampa</t>
  </si>
  <si>
    <t xml:space="preserve">Texas A&amp;M University </t>
  </si>
  <si>
    <t>University of Houston</t>
  </si>
  <si>
    <t>University of North Texas</t>
  </si>
  <si>
    <t>University of Texas at Austin</t>
  </si>
  <si>
    <t>Texas Woman's University</t>
  </si>
  <si>
    <t>University of Texas at Arlington</t>
  </si>
  <si>
    <t>University of Texas at Dallas</t>
  </si>
  <si>
    <t>Louisiana*</t>
  </si>
  <si>
    <t>Education special purpose funds- all other</t>
  </si>
  <si>
    <t>UNC Reserve for Future Allocation</t>
  </si>
  <si>
    <t>UNC General Administration</t>
  </si>
  <si>
    <t>Capitation pymnts &amp; fnncl ad for rsdnt stdnts nrlld at prvt md schls</t>
  </si>
  <si>
    <t>Grants for Teacher Education</t>
  </si>
  <si>
    <t>University of North Texas Health Science Center at Fort Worth</t>
  </si>
  <si>
    <t>University of Texas Health Science Center at Houston</t>
  </si>
  <si>
    <t>University of Texas Health Science Center at San Antonio</t>
  </si>
  <si>
    <t>University of Texas Medical Branch at Galveston</t>
  </si>
  <si>
    <t>University of Texas Southwestern Medical Center at Dallas</t>
  </si>
  <si>
    <t xml:space="preserve">Family practice residency </t>
  </si>
  <si>
    <t>2D1d1</t>
  </si>
  <si>
    <t>2D1d2</t>
  </si>
  <si>
    <t>For Operations</t>
  </si>
  <si>
    <t>For Debt Service</t>
  </si>
  <si>
    <t>To private sector students</t>
  </si>
  <si>
    <t>Sub-Total Tuition &amp; Fee Revenue [calculated]</t>
  </si>
  <si>
    <t>Sum of Tuition Ops-Old</t>
  </si>
  <si>
    <t>Total Sum of Tuition Ops-Old</t>
  </si>
  <si>
    <t>Sum of Tuition Debt-Old</t>
  </si>
  <si>
    <t>System operations</t>
  </si>
  <si>
    <t>National or regional associations</t>
  </si>
  <si>
    <t>Administration of statewide student aid</t>
  </si>
  <si>
    <t>SREB contract program with private institutions</t>
  </si>
  <si>
    <t>SREB contract program with public institutions</t>
  </si>
  <si>
    <t>Statewide student financial aid</t>
  </si>
  <si>
    <t>Educational special purpose funds - to public campuses</t>
  </si>
  <si>
    <r>
      <t>3</t>
    </r>
    <r>
      <rPr>
        <sz val="8"/>
        <rFont val="Arial"/>
        <family val="2"/>
      </rPr>
      <t>Tuition and fee revenue excluding state appropriations for student financial aid administered off campus awarded to public institution students and excluding tuition and fees revenues dedicated to debt service.</t>
    </r>
  </si>
  <si>
    <r>
      <t>3</t>
    </r>
    <r>
      <rPr>
        <sz val="8"/>
        <rFont val="Arial"/>
        <family val="2"/>
      </rPr>
      <t>Totals may not equal sum of the column due to rounding.</t>
    </r>
  </si>
  <si>
    <r>
      <t>3</t>
    </r>
    <r>
      <rPr>
        <sz val="8"/>
        <rFont val="Arial"/>
        <family val="2"/>
      </rPr>
      <t>The SREB states' averages must be interpreted with caution because the number of states with each type of funding varies.</t>
    </r>
  </si>
  <si>
    <t>Public Special Purpose Institutions Other Than Health Sciences</t>
  </si>
  <si>
    <t>Total Sum of Health Tuition-New</t>
  </si>
  <si>
    <t xml:space="preserve"> % change in health tuition</t>
  </si>
  <si>
    <t>Total  % change in health tuition</t>
  </si>
  <si>
    <t>Health professions education funds - to public campuses</t>
  </si>
  <si>
    <t>Adm. of Statewide Student Aid Progs. (incldng centralized guaranteed student loans)</t>
  </si>
  <si>
    <t>Total Sum of Tuition Debt-Old</t>
  </si>
  <si>
    <t>Sum of Tuition SP Ops-Old</t>
  </si>
  <si>
    <t>Total Sum of Tuition SP Ops-Old</t>
  </si>
  <si>
    <t>*Reflects all community colleges except Richard Bland.</t>
  </si>
  <si>
    <t>Sum of State Ed Spec Purp-New</t>
  </si>
  <si>
    <t>Total Sum of State Ed Spec Purp-New</t>
  </si>
  <si>
    <t xml:space="preserve"> % change in state ed spec purp</t>
  </si>
  <si>
    <t>Medical School</t>
  </si>
  <si>
    <t>Off-Campus Volunteers</t>
  </si>
  <si>
    <t>Developmental Research School</t>
  </si>
  <si>
    <t>Col of Communications Autism Program</t>
  </si>
  <si>
    <t>General purpose funds to public campuses</t>
  </si>
  <si>
    <t>Student Financial Aid</t>
  </si>
  <si>
    <t>Risk Management/Casualty Insurance</t>
  </si>
  <si>
    <t>University of Florida</t>
  </si>
  <si>
    <t xml:space="preserve">Southern West Virginia Community &amp; Technical College </t>
  </si>
  <si>
    <t>West Virginia Northern Community College</t>
  </si>
  <si>
    <t>West Virginia State Community &amp; Technical College</t>
  </si>
  <si>
    <t>RHI Program and Site Support - Gradutate Medical Education Fiscal Oversight</t>
  </si>
  <si>
    <t>RHI Program and Site Support - District Consortia</t>
  </si>
  <si>
    <t>Vice Chancellor for Health Sciences/Rural Health Program Support</t>
  </si>
  <si>
    <t>College Transition Program</t>
  </si>
  <si>
    <t>Research Challenge NonAppropriated Spending Authorization</t>
  </si>
  <si>
    <t>McDowell Technical Community College</t>
  </si>
  <si>
    <t>Montgomery Community College</t>
  </si>
  <si>
    <t>Pamlico Community College</t>
  </si>
  <si>
    <t>Roanoke-Chowan Community College</t>
  </si>
  <si>
    <t>Sampson Community College</t>
  </si>
  <si>
    <t xml:space="preserve">Tri-County Community College </t>
  </si>
  <si>
    <t>Prison Education</t>
  </si>
  <si>
    <t>New &amp; Expanding Industry</t>
  </si>
  <si>
    <t>Nursing</t>
  </si>
  <si>
    <t>NC State Board for Community Colleges</t>
  </si>
  <si>
    <t>Oklahoma State University Main Campus</t>
  </si>
  <si>
    <t>207388</t>
  </si>
  <si>
    <t>College of Osteopathic Medicine</t>
  </si>
  <si>
    <t>207389</t>
  </si>
  <si>
    <t>Tulsa Branch</t>
  </si>
  <si>
    <t>University of Oklahoma Norman Campus</t>
  </si>
  <si>
    <t>207500</t>
  </si>
  <si>
    <t>Health Sciences Center</t>
  </si>
  <si>
    <t>University of Central Oklahoma</t>
  </si>
  <si>
    <t>206941</t>
  </si>
  <si>
    <t>Northeastern State University</t>
  </si>
  <si>
    <t>207263</t>
  </si>
  <si>
    <t xml:space="preserve">Cameron University </t>
  </si>
  <si>
    <t>206914</t>
  </si>
  <si>
    <t xml:space="preserve">East Central University </t>
  </si>
  <si>
    <t>207041</t>
  </si>
  <si>
    <t>Langston University</t>
  </si>
  <si>
    <t>207209</t>
  </si>
  <si>
    <t xml:space="preserve">Northwestern Oklahoma State University </t>
  </si>
  <si>
    <t>207306</t>
  </si>
  <si>
    <t xml:space="preserve">Southeastern Oklahoma State University </t>
  </si>
  <si>
    <t>207847</t>
  </si>
  <si>
    <t>Southwestern Oklahoma State University</t>
  </si>
  <si>
    <t>207865</t>
  </si>
  <si>
    <t>Northeastern University (Optometry)</t>
  </si>
  <si>
    <t>University of Louisville (Dentistry)</t>
  </si>
  <si>
    <t>University of Alabama - Birmingham (Dentistry)</t>
  </si>
  <si>
    <t>Governor's Scholars</t>
  </si>
  <si>
    <t>Arkansas Academic Challenge Scholarship</t>
  </si>
  <si>
    <t>Teacher Opportunity Program</t>
  </si>
  <si>
    <t>Second Effort Scholarships</t>
  </si>
  <si>
    <t>MIA/KIA Dependents' Scholarship</t>
  </si>
  <si>
    <t>National Guard Scholarships</t>
  </si>
  <si>
    <t>Junior/Senior Minority Scholarships</t>
  </si>
  <si>
    <t>Minority Master's Fellows Program</t>
  </si>
  <si>
    <t>Clemson University</t>
  </si>
  <si>
    <t>Critical Needs Nursing Initiative</t>
  </si>
  <si>
    <t>Academic Roadmap</t>
  </si>
  <si>
    <t>Comset</t>
  </si>
  <si>
    <t>Call Me Mister</t>
  </si>
  <si>
    <t>Municipal Services</t>
  </si>
  <si>
    <t>Ag Research, Extension Service, and Inspection</t>
  </si>
  <si>
    <t>Ag Cooperative Extension Service</t>
  </si>
  <si>
    <t>Research Centers/institutes</t>
  </si>
  <si>
    <t>Center for Wireless Research</t>
  </si>
  <si>
    <t>Engineering Research Center</t>
  </si>
  <si>
    <t>Advanced Engineering Fiber &amp; Film</t>
  </si>
  <si>
    <t>International Center for Auto Research</t>
  </si>
  <si>
    <t>University of South Carolina-Columbia</t>
  </si>
  <si>
    <t>National Hydrogen Association</t>
  </si>
  <si>
    <t>Law Library</t>
  </si>
  <si>
    <t>African-American Professor Program</t>
  </si>
  <si>
    <t>Faculty Excellence Initiative</t>
  </si>
  <si>
    <t>One Carolina</t>
  </si>
  <si>
    <t>USC - Institute of Public Affairs</t>
  </si>
  <si>
    <t xml:space="preserve"> USC Sm.Bus Dvlp Cent</t>
  </si>
  <si>
    <t>Congaree Initiative</t>
  </si>
  <si>
    <t>Palmetto Poison Center</t>
  </si>
  <si>
    <t>City of Columbia Incubator Program</t>
  </si>
  <si>
    <t>USC: Nano - Technology</t>
  </si>
  <si>
    <t>Hydrogen Research</t>
  </si>
  <si>
    <t>School of Public Health-Epilepsy</t>
  </si>
  <si>
    <t>Allied Health Programs</t>
  </si>
  <si>
    <t xml:space="preserve">Winthrop University </t>
  </si>
  <si>
    <t>E &amp; G Funds</t>
  </si>
  <si>
    <t>College of Charleston</t>
  </si>
  <si>
    <t>Marine Genomics</t>
  </si>
  <si>
    <t>Hospitality, Mgt. &amp; Tourism Program</t>
  </si>
  <si>
    <t>Education-Effective Teaching &amp; Learning</t>
  </si>
  <si>
    <t>Gov. School Gifted &amp; Talented</t>
  </si>
  <si>
    <t>Real Estate Program</t>
  </si>
  <si>
    <t>School of Business:  Office of Tourism Analysis</t>
  </si>
  <si>
    <t>Grice Marine Biology Laboratory</t>
  </si>
  <si>
    <t>Business Economic Partnership</t>
  </si>
  <si>
    <t>Avery Research Center</t>
  </si>
  <si>
    <t>Global Trade &amp; Resource Center</t>
  </si>
  <si>
    <t xml:space="preserve">The Citadel, the Military College of South Carolina </t>
  </si>
  <si>
    <t xml:space="preserve">Francis Marion University </t>
  </si>
  <si>
    <t>Nursing Program</t>
  </si>
  <si>
    <t>Teacher Education Initiative</t>
  </si>
  <si>
    <t>Early Childhood Training Program</t>
  </si>
  <si>
    <t>Women &amp; Minorities in Science &amp; Math</t>
  </si>
  <si>
    <t>Accreditation &amp; Program Enhancement</t>
  </si>
  <si>
    <t>OMEGA  PROJECT (Francis Marion)</t>
  </si>
  <si>
    <t>Small &amp; Minority Business Assistance</t>
  </si>
  <si>
    <t>Rural Assistance Initiative</t>
  </si>
  <si>
    <t>Lander University</t>
  </si>
  <si>
    <t>University of Montevallo</t>
  </si>
  <si>
    <t>University of West Alabama</t>
  </si>
  <si>
    <t>Medical Schools without Walls</t>
  </si>
  <si>
    <t>Econ &amp; Small Bus Devel Prm</t>
  </si>
  <si>
    <t>Athens State University</t>
  </si>
  <si>
    <t xml:space="preserve">John C. Calhoun State Community College </t>
  </si>
  <si>
    <t>Bevill State Community College</t>
  </si>
  <si>
    <t>Special Population Training</t>
  </si>
  <si>
    <t>Jefferson State Community College</t>
  </si>
  <si>
    <t>Bishop State Community College</t>
  </si>
  <si>
    <t>Gadsden State Community College</t>
  </si>
  <si>
    <t>George C. Wallace Community College - Dothan</t>
  </si>
  <si>
    <t>James H. Faulkner State Community College</t>
  </si>
  <si>
    <t>George Corley Wallace State Community College - Selma</t>
  </si>
  <si>
    <t>Jefferson Davis Community College</t>
  </si>
  <si>
    <t xml:space="preserve">Commission on Higher Education (CHE) Operations </t>
  </si>
  <si>
    <t>Department of Postsecondary Education Operations</t>
  </si>
  <si>
    <t>SREB Membership  *</t>
  </si>
  <si>
    <t xml:space="preserve">Lawson State Community College </t>
  </si>
  <si>
    <t xml:space="preserve">Lurleen B. Wallace Community College </t>
  </si>
  <si>
    <t xml:space="preserve">Northeast Alabama State Community College </t>
  </si>
  <si>
    <t xml:space="preserve">Snead State Community College </t>
  </si>
  <si>
    <t>Trenholm State Technical College</t>
  </si>
  <si>
    <t xml:space="preserve">J.F. Drake State Technical College </t>
  </si>
  <si>
    <t xml:space="preserve">J.F. Ingram State Technical College </t>
  </si>
  <si>
    <t xml:space="preserve">Reid State Technical College </t>
  </si>
  <si>
    <t>Statewide Special-Purpose Units</t>
  </si>
  <si>
    <t>Exprmntl Prog. for the Stimulation of Competitive Rsrch (EPSCOR) Consort.</t>
  </si>
  <si>
    <t>Network of Al Academic Libraries (NAAL)</t>
  </si>
  <si>
    <t>C.I.T.Y Program</t>
  </si>
  <si>
    <t>Adult Basic Education</t>
  </si>
  <si>
    <r>
      <t>4</t>
    </r>
    <r>
      <rPr>
        <sz val="8"/>
        <rFont val="Arial"/>
        <family val="2"/>
      </rPr>
      <t>Total of state appropriations, local appropriations and net tuition revenues available for operations.</t>
    </r>
  </si>
  <si>
    <t xml:space="preserve"> % change in tuition ops</t>
  </si>
  <si>
    <t>Total  % change in tuition ops</t>
  </si>
  <si>
    <t>Non need-based</t>
  </si>
  <si>
    <t>To public sector students</t>
  </si>
  <si>
    <t>2D1b</t>
  </si>
  <si>
    <t>2D2a</t>
  </si>
  <si>
    <t>2D2b</t>
  </si>
  <si>
    <t>2D3a</t>
  </si>
  <si>
    <t>2D3b</t>
  </si>
  <si>
    <t>Agricultural experiment stations</t>
  </si>
  <si>
    <t>Agricultural cooperative extension</t>
  </si>
  <si>
    <t>Non-credit continuing education</t>
  </si>
  <si>
    <t>Statewide student financial aid programs administered off campus</t>
  </si>
  <si>
    <t>FTE</t>
  </si>
  <si>
    <r>
      <t>Other Special Purpose</t>
    </r>
    <r>
      <rPr>
        <b/>
        <vertAlign val="superscript"/>
        <sz val="8"/>
        <rFont val="Arial"/>
        <family val="2"/>
      </rPr>
      <t>2</t>
    </r>
  </si>
  <si>
    <t>Item Group</t>
  </si>
  <si>
    <t>Item Group Code</t>
  </si>
  <si>
    <t>1A</t>
  </si>
  <si>
    <t>1B</t>
  </si>
  <si>
    <t>1B1</t>
  </si>
  <si>
    <t>1B2</t>
  </si>
  <si>
    <t>1B3</t>
  </si>
  <si>
    <t>1B4</t>
  </si>
  <si>
    <t>1B5</t>
  </si>
  <si>
    <t>1B6</t>
  </si>
  <si>
    <t>1B7</t>
  </si>
  <si>
    <t>1C</t>
  </si>
  <si>
    <t>1C1</t>
  </si>
  <si>
    <t>1C2</t>
  </si>
  <si>
    <t>1C3</t>
  </si>
  <si>
    <t>1C4</t>
  </si>
  <si>
    <t>1C5</t>
  </si>
  <si>
    <t>1C6</t>
  </si>
  <si>
    <t>1C7</t>
  </si>
  <si>
    <t>1D</t>
  </si>
  <si>
    <t>2A</t>
  </si>
  <si>
    <t>2A1</t>
  </si>
  <si>
    <t>2A2</t>
  </si>
  <si>
    <t>2A3</t>
  </si>
  <si>
    <t>2A4</t>
  </si>
  <si>
    <t>2B</t>
  </si>
  <si>
    <t>2C</t>
  </si>
  <si>
    <t>2C1</t>
  </si>
  <si>
    <t>2C2</t>
  </si>
  <si>
    <t>2C3</t>
  </si>
  <si>
    <t>2D</t>
  </si>
  <si>
    <t>2D1</t>
  </si>
  <si>
    <t>2D2</t>
  </si>
  <si>
    <t>2D3</t>
  </si>
  <si>
    <t>Other</t>
  </si>
  <si>
    <t>Sp Inst. Tuition for Ops</t>
  </si>
  <si>
    <t>Total  % change in tuition sp ops</t>
  </si>
  <si>
    <t>Florida Resident Access Grant</t>
  </si>
  <si>
    <t>Postsecondary Student Assistance Grant</t>
  </si>
  <si>
    <t>Private Student Assistance Grants</t>
  </si>
  <si>
    <t>Mary McCleod Bethune Scholarship</t>
  </si>
  <si>
    <t>Total  % change in state ed spec purp</t>
  </si>
  <si>
    <t xml:space="preserve"> % change in local</t>
  </si>
  <si>
    <t>Total  % change in local</t>
  </si>
  <si>
    <t>Support to private colleges other than student financial aid</t>
  </si>
  <si>
    <t>1E</t>
  </si>
  <si>
    <t>1F</t>
  </si>
  <si>
    <t>1G</t>
  </si>
  <si>
    <t>Health professions education funds to specialized institutions</t>
  </si>
  <si>
    <t>Special purpose institutions other than health professions education</t>
  </si>
  <si>
    <t>S.E.R.I.E.S. Pgm</t>
  </si>
  <si>
    <t>Implementation of SMART Budgeting</t>
  </si>
  <si>
    <t>GAAT/CPM Prm</t>
  </si>
  <si>
    <t>Troy University</t>
  </si>
  <si>
    <t>University of Texas at El Paso</t>
  </si>
  <si>
    <t>University of Texas at San Antonio</t>
  </si>
  <si>
    <t>University of Texas at Tyler</t>
  </si>
  <si>
    <t>University of Texas-Pan American</t>
  </si>
  <si>
    <t>West Texas A&amp;M University</t>
  </si>
  <si>
    <t>Texas A&amp;M International University</t>
  </si>
  <si>
    <t>Texas A&amp;M -Texarkana</t>
  </si>
  <si>
    <r>
      <t>Net Tuition &amp; Fee Revenue</t>
    </r>
    <r>
      <rPr>
        <b/>
        <vertAlign val="superscript"/>
        <sz val="8"/>
        <rFont val="Arial"/>
        <family val="2"/>
      </rPr>
      <t>2</t>
    </r>
  </si>
  <si>
    <t>Southwest Arkansas Tech Learning Center</t>
  </si>
  <si>
    <t>Southern Arkansas University</t>
  </si>
  <si>
    <t>Arkansas Valley Technical Institute</t>
  </si>
  <si>
    <t>University of Arkansas at Monticello</t>
  </si>
  <si>
    <t>UAM College of Technology-McGehee</t>
  </si>
  <si>
    <t xml:space="preserve">UAM College of Technology-Crossett </t>
  </si>
  <si>
    <t>University of Arkansas at Pine Bluff</t>
  </si>
  <si>
    <t>Pulaski Technical College</t>
  </si>
  <si>
    <t>Arkansas State University-Beebe</t>
  </si>
  <si>
    <t xml:space="preserve">Northwest Arkansas Community College </t>
  </si>
  <si>
    <t>Arkansas Northeastern College</t>
  </si>
  <si>
    <t>Arkansas State University Mountain Home</t>
  </si>
  <si>
    <t>Arkansas State University-Newport</t>
  </si>
  <si>
    <t>Black River Technical College</t>
  </si>
  <si>
    <t>Cossatot Community College of the University of Arkansas</t>
  </si>
  <si>
    <t xml:space="preserve">East Arkansas Community College </t>
  </si>
  <si>
    <t xml:space="preserve">Mid-South Community College </t>
  </si>
  <si>
    <t>National Park Community College</t>
  </si>
  <si>
    <t>North Arkansas College</t>
  </si>
  <si>
    <t xml:space="preserve">Ouachita Technical College </t>
  </si>
  <si>
    <t xml:space="preserve">Ozarka College </t>
  </si>
  <si>
    <t>Phillips Community College of the Univ of Arkansas</t>
  </si>
  <si>
    <t xml:space="preserve">Rich Mountain Community College </t>
  </si>
  <si>
    <t>South Arkansas Community College</t>
  </si>
  <si>
    <t>Southeast Arkansas College</t>
  </si>
  <si>
    <t>Southern Arkansas University Tech</t>
  </si>
  <si>
    <t>Environmental Control Academy &amp; Fire Control Academy</t>
  </si>
  <si>
    <t>University of Arkansas Community College at Batesville</t>
  </si>
  <si>
    <t>University of Arkansas Community College at Hope</t>
  </si>
  <si>
    <t>University of Arkansas Community College at Morrilton</t>
  </si>
  <si>
    <t>University of Arkansas for Medical Sciences</t>
  </si>
  <si>
    <t>All Other State Operating Appropriations Related to Postsecondary Education</t>
  </si>
  <si>
    <t>Y.O.U. Program for At-Risk Youth</t>
  </si>
  <si>
    <t>Tuition Waiver Adjustments</t>
  </si>
  <si>
    <t>Higher Education Coordinating Board</t>
  </si>
  <si>
    <t>Univ. of Ark System Office</t>
  </si>
  <si>
    <t>Arkansas State University System Office</t>
  </si>
  <si>
    <t>SREB Membership</t>
  </si>
  <si>
    <t>Meharry Medical College (Dentistry)</t>
  </si>
  <si>
    <t>Rosalind Franklin University</t>
  </si>
  <si>
    <t>Virginia College of Osteopathic Medicine</t>
  </si>
  <si>
    <t>Louisiana State Univ. Medical Center (Dentistry)</t>
  </si>
  <si>
    <t>Mississippi State University (Veterinary Medicine)</t>
  </si>
  <si>
    <t>Limited to private college students</t>
  </si>
  <si>
    <t>Engineering experiment stations</t>
  </si>
  <si>
    <t>Research centers/institutes</t>
  </si>
  <si>
    <t>2D1a</t>
  </si>
  <si>
    <t>Need-based</t>
  </si>
  <si>
    <r>
      <t>2</t>
    </r>
    <r>
      <rPr>
        <sz val="8"/>
        <rFont val="Arial"/>
        <family val="2"/>
      </rPr>
      <t>System operations, state support to private colleges other than student aid, contract education and statewide student financial aid administered off campus.</t>
    </r>
  </si>
  <si>
    <r>
      <t>Distribution of Public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Funds for Higher Education-Related Operations</t>
    </r>
  </si>
  <si>
    <r>
      <t>Other Special Purpose</t>
    </r>
    <r>
      <rPr>
        <b/>
        <vertAlign val="superscript"/>
        <sz val="8"/>
        <rFont val="Arial"/>
        <family val="2"/>
      </rPr>
      <t>3</t>
    </r>
  </si>
  <si>
    <t>Health Professions</t>
  </si>
  <si>
    <t>Sub-Total</t>
  </si>
  <si>
    <t>Sum of Tuition Tot-Old</t>
  </si>
  <si>
    <t>Sum of Health Tuition-New</t>
  </si>
  <si>
    <t>Community or public service units</t>
  </si>
  <si>
    <t>Alabama</t>
  </si>
  <si>
    <t>Delaware</t>
  </si>
  <si>
    <t>Kentucky</t>
  </si>
  <si>
    <t>Mississippi</t>
  </si>
  <si>
    <t>North Carolina</t>
  </si>
  <si>
    <t>South Carolina</t>
  </si>
  <si>
    <t>Texas</t>
  </si>
  <si>
    <t>Virginia</t>
  </si>
  <si>
    <t>Florida</t>
  </si>
  <si>
    <t>Georgia</t>
  </si>
  <si>
    <t>Louisiana</t>
  </si>
  <si>
    <t>Oklahoma</t>
  </si>
  <si>
    <t>West Virginia</t>
  </si>
  <si>
    <t>Maryland</t>
  </si>
  <si>
    <t>Arkansas</t>
  </si>
  <si>
    <t>Grand Total</t>
  </si>
  <si>
    <t xml:space="preserve">University of Virginia's College at Wise </t>
  </si>
  <si>
    <t>J.S. Reynolds Community College</t>
  </si>
  <si>
    <t xml:space="preserve">Northern Virginia Community College </t>
  </si>
  <si>
    <r>
      <t>(</t>
    </r>
    <r>
      <rPr>
        <vertAlign val="superscript"/>
        <sz val="10"/>
        <rFont val="Arial"/>
        <family val="2"/>
      </rPr>
      <t xml:space="preserve">1 </t>
    </r>
    <r>
      <rPr>
        <sz val="10"/>
        <rFont val="Arial"/>
        <family val="2"/>
      </rPr>
      <t xml:space="preserve">State + local + tuition and fees. </t>
    </r>
    <r>
      <rPr>
        <vertAlign val="superscript"/>
        <sz val="10"/>
        <rFont val="Arial"/>
        <family val="2"/>
      </rPr>
      <t xml:space="preserve"> 2</t>
    </r>
    <r>
      <rPr>
        <sz val="10"/>
        <rFont val="Arial"/>
        <family val="2"/>
      </rPr>
      <t>System operations, state support to private colleges other than student aid, contract education and statewide student financial aid administered off campus and Special Purpose institutions.)</t>
    </r>
  </si>
  <si>
    <t>College of Coastal Georgia</t>
  </si>
  <si>
    <t>Texas State Technical College System Office</t>
  </si>
  <si>
    <r>
      <t xml:space="preserve">Amount to </t>
    </r>
    <r>
      <rPr>
        <i/>
        <sz val="10"/>
        <rFont val="Arial"/>
        <family val="2"/>
      </rPr>
      <t>public</t>
    </r>
    <r>
      <rPr>
        <sz val="10"/>
        <rFont val="Arial"/>
        <family val="2"/>
      </rPr>
      <t xml:space="preserve"> sector students</t>
    </r>
  </si>
  <si>
    <r>
      <t xml:space="preserve">Amount to </t>
    </r>
    <r>
      <rPr>
        <i/>
        <sz val="10"/>
        <rFont val="Arial"/>
        <family val="2"/>
      </rPr>
      <t>private</t>
    </r>
    <r>
      <rPr>
        <sz val="10"/>
        <rFont val="Arial"/>
        <family val="2"/>
      </rPr>
      <t xml:space="preserve"> sector students</t>
    </r>
  </si>
  <si>
    <r>
      <t xml:space="preserve">Amount to </t>
    </r>
    <r>
      <rPr>
        <i/>
        <sz val="10"/>
        <rFont val="Arial"/>
        <family val="2"/>
      </rPr>
      <t xml:space="preserve">public </t>
    </r>
    <r>
      <rPr>
        <sz val="10"/>
        <rFont val="Arial"/>
        <family val="2"/>
      </rPr>
      <t>sector students</t>
    </r>
  </si>
  <si>
    <t xml:space="preserve"> % Change</t>
  </si>
  <si>
    <t>Total  % Change</t>
  </si>
  <si>
    <t>"—" indicates data not available. Delaware State University did not report this year.</t>
  </si>
  <si>
    <t>Non-med Sp Inst. Tuition for Ops</t>
  </si>
  <si>
    <t>Non-med Sp Inst. Tuition for Debt Serv</t>
  </si>
  <si>
    <t>A. Funds for E&amp;G Operations</t>
  </si>
  <si>
    <t>B. System Operations, State Support to Private Colleges other than student aid, contract education and statewide student aid adm. off campus and non-med Special purp insts.</t>
  </si>
  <si>
    <t>C. Health Professions Education &amp; Institutions</t>
  </si>
  <si>
    <t>Funds for 
Non-Specialized Campus Operations</t>
  </si>
  <si>
    <t>Special Purpose Funds</t>
  </si>
  <si>
    <r>
      <t>1</t>
    </r>
    <r>
      <rPr>
        <sz val="8"/>
        <rFont val="Arial"/>
        <family val="2"/>
      </rPr>
      <t>Funds consist of (1) state and (2) local tax revenues allocated to colleges and universities or for higher education-related operating expenses, (3) other funds such as earnings from state-funded endowments used for operating purposes, (4) earmarked revenues such as from lotteries used for operating purposes and (5) tuition and fee revenue. Items in "A. General-purpose funds to public campuses and educational special-purpose funds to public campuses are the basis for the per student funding statistics.</t>
    </r>
  </si>
  <si>
    <r>
      <t>Distribution of Funds</t>
    </r>
    <r>
      <rPr>
        <b/>
        <sz val="12"/>
        <rFont val="Arial"/>
        <family val="2"/>
      </rPr>
      <t xml:space="preserve"> for Higher Education-Related Operations</t>
    </r>
  </si>
  <si>
    <r>
      <t>General-purpose funds to public campuses</t>
    </r>
    <r>
      <rPr>
        <b/>
        <vertAlign val="superscript"/>
        <sz val="10"/>
        <rFont val="Arial"/>
        <family val="2"/>
      </rPr>
      <t>1</t>
    </r>
  </si>
  <si>
    <r>
      <t>Educational special-purpose funds to public campuses</t>
    </r>
    <r>
      <rPr>
        <b/>
        <vertAlign val="superscript"/>
        <sz val="10"/>
        <rFont val="Arial"/>
        <family val="2"/>
      </rPr>
      <t>1</t>
    </r>
  </si>
  <si>
    <t>December 2009</t>
  </si>
  <si>
    <t>University of Delaware</t>
  </si>
  <si>
    <t>Community/Public Service</t>
  </si>
  <si>
    <t>The College School</t>
  </si>
  <si>
    <t>Delaware Biotech Institute Operating Funds</t>
  </si>
  <si>
    <t>Sea Grant</t>
  </si>
  <si>
    <t>Urban Agent</t>
  </si>
  <si>
    <t>Public Service &amp; Applied Research Projects</t>
  </si>
  <si>
    <t>Local Government Research &amp; Assistance</t>
  </si>
  <si>
    <t>Research on School Finance</t>
  </si>
  <si>
    <t>Delaware Education Research &amp; Development Center</t>
  </si>
  <si>
    <t>Geological Survey</t>
  </si>
  <si>
    <t>Delaware State University</t>
  </si>
  <si>
    <t>Delaware Technical and Community College--Owens</t>
  </si>
  <si>
    <t>Delaware Technical and Community College--Stanton-Wilmington</t>
  </si>
  <si>
    <t>Delaware Technical and Community College--Terry</t>
  </si>
  <si>
    <t>Matching Funds Minority Engineering Recruitment</t>
  </si>
  <si>
    <t>Matching Funds; Advancement of Minorities in Engineering</t>
  </si>
  <si>
    <t>Associate in Arts Program (joint Del. Tech - UD program administered by Del Tech)</t>
  </si>
  <si>
    <t>Occupational Teacher Program (Del. Tech.)</t>
  </si>
  <si>
    <t>DE Higher Education Commission</t>
  </si>
  <si>
    <t>Delaware Tech College System Office</t>
  </si>
  <si>
    <t>Adm. of Statewide Student Aid Programs (including centralized guaranteed student loans)</t>
  </si>
  <si>
    <t>Del Institute for Medical Ed &amp; Rsch (DIMER)</t>
  </si>
  <si>
    <t>Del Institute for Vet Medical Education (DIVME)</t>
  </si>
  <si>
    <t>Del Institute for Dental Ed &amp; Rsch (DIDER)</t>
  </si>
  <si>
    <t>Scholarship Incentive Program</t>
  </si>
  <si>
    <t>Diamond State Scholarship</t>
  </si>
  <si>
    <t>Ed Benefits for Children of Deceased Vets &amp; Others</t>
  </si>
  <si>
    <t>Christa McAuliffe Teacher Scholarship Loan</t>
  </si>
  <si>
    <t>Librarian and Archivist Incentive Program</t>
  </si>
  <si>
    <t>Delaware Nursing Incentive Program</t>
  </si>
  <si>
    <t>B. Bradford Barnes Memorial Scholarship</t>
  </si>
  <si>
    <t>Speech/Language Pathologist Incentive Program</t>
  </si>
  <si>
    <t>Herman M. Holloway, Sr. Memorial Scholarship</t>
  </si>
  <si>
    <t>Legislative Essay Scholarship</t>
  </si>
  <si>
    <t>Charles L. Hebner Memorial Scholarship</t>
  </si>
  <si>
    <t>Governor's Workforce Development Grant</t>
  </si>
  <si>
    <t>Del. Institute for Med. Ed. &amp; Research</t>
  </si>
  <si>
    <t>Ivy D.F. Davis Memorial Scholarship</t>
  </si>
  <si>
    <t>Michael C. Ferguson Achievement Scholarship</t>
  </si>
  <si>
    <t>Delaware Optometric Institutional Aid</t>
  </si>
  <si>
    <t>National Board for Professional Teaching Standards Loan</t>
  </si>
  <si>
    <t>Critical Need Scholarship</t>
  </si>
  <si>
    <t>DE State Loan Repayment Program/Physicians &amp; Dentists</t>
  </si>
  <si>
    <t>DE Institute for Dental Education &amp; Research Scholarships</t>
  </si>
  <si>
    <t>2008-09 $</t>
  </si>
  <si>
    <t>Percent Change 2007-08 to 2008-09</t>
  </si>
  <si>
    <t>billion</t>
  </si>
  <si>
    <t>million</t>
  </si>
  <si>
    <t>Oklahoma Promise</t>
  </si>
  <si>
    <r>
      <t>General-purpose funds to public campuses</t>
    </r>
    <r>
      <rPr>
        <b/>
        <vertAlign val="superscript"/>
        <sz val="8"/>
        <rFont val="Arial"/>
        <family val="2"/>
      </rPr>
      <t>1</t>
    </r>
  </si>
  <si>
    <r>
      <t>Educational special-purpose funds to public campuses</t>
    </r>
    <r>
      <rPr>
        <b/>
        <vertAlign val="superscript"/>
        <sz val="8"/>
        <rFont val="Arial"/>
        <family val="2"/>
      </rPr>
      <t>1</t>
    </r>
  </si>
  <si>
    <t>Statewide workforce devlopment (administered by AL Industrial Development Training Institute)</t>
  </si>
  <si>
    <t>Incentive funding trust fund</t>
  </si>
  <si>
    <t>Fire Commission</t>
  </si>
  <si>
    <t xml:space="preserve">Florida State University </t>
  </si>
  <si>
    <t>Fringe Benefits</t>
  </si>
  <si>
    <t>LightRai l(NR)</t>
  </si>
  <si>
    <t>Agribusiness, Biotech, Genetics (NR)</t>
  </si>
  <si>
    <t>Sparatanburg Humane Society (NR)</t>
  </si>
  <si>
    <t>Ag Research, Ext. Svc, &amp; Insp. Supplemental for Other Op.Exp. (NR)</t>
  </si>
  <si>
    <t>Deferred Maintenance (NR)</t>
  </si>
  <si>
    <t>One Carolina (NR)</t>
  </si>
  <si>
    <t>SC Inst. Of Archaeology &amp; Anthropology Equip.</t>
  </si>
  <si>
    <t>SC Inst. Of Archaeology &amp; Anthropology Bldg. Renovation</t>
  </si>
  <si>
    <t>Gibbs Green Renovation</t>
  </si>
  <si>
    <t>Lottery Technology (NR)</t>
  </si>
  <si>
    <t>Lake Wylie SBDC</t>
  </si>
  <si>
    <t>Deferred Maintenance/Property Acquisition</t>
  </si>
  <si>
    <t>Randolph Hall</t>
  </si>
  <si>
    <t>Center for the Performing Arts (NR)</t>
  </si>
  <si>
    <t>I-95 Corridor Study (NR)</t>
  </si>
  <si>
    <t>Renovation Needs</t>
  </si>
  <si>
    <t>Greenwood-Lander Performing Arts Outreach Program</t>
  </si>
  <si>
    <t>South Carolina Alliance for Minority Participation (SCAMP) (NR)</t>
  </si>
  <si>
    <t>Operating Funds (Lottery) (NR)</t>
  </si>
  <si>
    <t>Higher Education Excellence Enhancement Program (Lottery)(NR)</t>
  </si>
  <si>
    <t>SC State Bridge Program (NR)</t>
  </si>
  <si>
    <t>Allied Health Programs (NR)</t>
  </si>
  <si>
    <t>Northwest Campus Heritage Hall (NR)</t>
  </si>
  <si>
    <t>Center of Excellence for Technology (NR)</t>
  </si>
  <si>
    <t>Nursing Program (NR)</t>
  </si>
  <si>
    <t>Trucking Program (NR)</t>
  </si>
  <si>
    <t>Pottery Program (NR)</t>
  </si>
  <si>
    <t>Chester Technology (NR)</t>
  </si>
  <si>
    <t>Supplmental (NR)</t>
  </si>
  <si>
    <t>Repairs &amp; Renovations</t>
  </si>
  <si>
    <t>Trades Program</t>
  </si>
  <si>
    <t>Greenville Center Operating Cost Supplemental (NR)</t>
  </si>
  <si>
    <t>South Carolina Manufacturing Extension Program (SCMEP) Supp.(NR)</t>
  </si>
  <si>
    <t>Statewide Electronic Library Supplemental (NR)</t>
  </si>
  <si>
    <t>Centers of Excellence - Endowed Chairs (NR)</t>
  </si>
  <si>
    <t>Enhance Technology - Supplemental (NR)</t>
  </si>
  <si>
    <t>Higher Education Study Committee - Supplemental (NR)</t>
  </si>
  <si>
    <t>SC Community Enterprise Center - Supplemental (NR)</t>
  </si>
  <si>
    <t>GEAR-UP Supplemental (NR)</t>
  </si>
  <si>
    <t>SBTCE CATT (NR)</t>
  </si>
  <si>
    <t>SBTCE Lottery Technology - Technology Initiative (NR)</t>
  </si>
  <si>
    <t>National Guard Tuition Repayment  Prog. Lottery</t>
  </si>
  <si>
    <t>National Guard Tuition Repayment  Prog. Lottery (NR)</t>
  </si>
  <si>
    <t>AHEC-Rural Dentists Initiative (NR)</t>
  </si>
  <si>
    <t>Hollings Cancer Center (Supp)</t>
  </si>
  <si>
    <t>LightRail(NR)</t>
  </si>
  <si>
    <t>Reid House-Health Ed. &amp; Disease Prevention Initiative (NR)</t>
  </si>
  <si>
    <t>Charleston Breast Center Equipment (NR)</t>
  </si>
  <si>
    <t>Special Line items for education operations</t>
  </si>
  <si>
    <t>SC State enhancement</t>
  </si>
  <si>
    <t>Special line items for education operations</t>
  </si>
  <si>
    <t>Edison State College</t>
  </si>
  <si>
    <t>Northwest Florida State College</t>
  </si>
  <si>
    <t>Heatlh Professions Education</t>
  </si>
  <si>
    <r>
      <t xml:space="preserve">Educational special purpose funds - </t>
    </r>
    <r>
      <rPr>
        <u/>
        <sz val="10"/>
        <rFont val="Arial"/>
        <family val="2"/>
      </rPr>
      <t>to public campuses</t>
    </r>
  </si>
  <si>
    <r>
      <t xml:space="preserve">Educational special purpose funds - to </t>
    </r>
    <r>
      <rPr>
        <u/>
        <sz val="10"/>
        <rFont val="Arial"/>
        <family val="2"/>
      </rPr>
      <t>statewide units</t>
    </r>
  </si>
  <si>
    <r>
      <t xml:space="preserve">Educational special purpose funds - </t>
    </r>
    <r>
      <rPr>
        <u/>
        <sz val="10"/>
        <rFont val="Arial"/>
        <family val="2"/>
      </rPr>
      <t>all other</t>
    </r>
  </si>
  <si>
    <t>Funds for Non- Specialized Campus Operations</t>
  </si>
  <si>
    <t>Sub-total for per FTE Funding Statistics</t>
  </si>
  <si>
    <r>
      <t xml:space="preserve">Must be range valued to sort right -- </t>
    </r>
    <r>
      <rPr>
        <b/>
        <sz val="10"/>
        <color rgb="FFFF0000"/>
        <rFont val="Courier"/>
        <family val="3"/>
      </rPr>
      <t>do sorting in Highlights sheet to keep ability to calculate here.</t>
    </r>
  </si>
  <si>
    <t xml:space="preserve">Bluefield State College </t>
  </si>
  <si>
    <t>University of North Alabama</t>
  </si>
  <si>
    <t>Software purchase</t>
  </si>
  <si>
    <t>College Transition Progran</t>
  </si>
  <si>
    <t>Pierpont Community &amp; Technical College</t>
  </si>
  <si>
    <t>Equipment Surplus Funds</t>
  </si>
  <si>
    <t>Unclassified Supplemental (SB 2003)</t>
  </si>
  <si>
    <t>Supplemental Appropriation (SB 2001)</t>
  </si>
  <si>
    <t>1B8</t>
  </si>
  <si>
    <t>February 2010</t>
  </si>
</sst>
</file>

<file path=xl/styles.xml><?xml version="1.0" encoding="utf-8"?>
<styleSheet xmlns="http://schemas.openxmlformats.org/spreadsheetml/2006/main">
  <numFmts count="9"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"/>
    <numFmt numFmtId="165" formatCode="0_)"/>
    <numFmt numFmtId="166" formatCode="_(* #,##0_);_(* \(#,##0\);_(* &quot;-&quot;??_);_(@_)"/>
    <numFmt numFmtId="167" formatCode="#,##0.000_);\(#,##0.000\)"/>
    <numFmt numFmtId="168" formatCode="#,##0.0"/>
    <numFmt numFmtId="169" formatCode="0.0%"/>
    <numFmt numFmtId="170" formatCode="&quot;$&quot;#,##0.00"/>
  </numFmts>
  <fonts count="72">
    <font>
      <sz val="10"/>
      <name val="Courier"/>
    </font>
    <font>
      <sz val="10"/>
      <name val="Arial"/>
      <family val="2"/>
    </font>
    <font>
      <sz val="10"/>
      <name val="Courier"/>
      <family val="3"/>
    </font>
    <font>
      <b/>
      <sz val="8"/>
      <name val="Arial"/>
      <family val="2"/>
    </font>
    <font>
      <sz val="8"/>
      <name val="Arial"/>
      <family val="2"/>
    </font>
    <font>
      <sz val="8"/>
      <name val="Courier"/>
      <family val="3"/>
    </font>
    <font>
      <b/>
      <sz val="12"/>
      <name val="Arial"/>
      <family val="2"/>
    </font>
    <font>
      <vertAlign val="superscript"/>
      <sz val="8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12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sz val="8.5"/>
      <name val="Arial"/>
      <family val="2"/>
    </font>
    <font>
      <sz val="12"/>
      <name val="AGaramond"/>
      <family val="1"/>
    </font>
    <font>
      <sz val="10"/>
      <color indexed="18"/>
      <name val="Arial"/>
      <family val="2"/>
    </font>
    <font>
      <sz val="8"/>
      <color indexed="18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vertAlign val="superscript"/>
      <sz val="9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2"/>
      <name val="Arial"/>
      <family val="2"/>
    </font>
    <font>
      <b/>
      <sz val="9"/>
      <color indexed="18"/>
      <name val="Arial"/>
      <family val="2"/>
    </font>
    <font>
      <sz val="9"/>
      <color indexed="8"/>
      <name val="Arial"/>
      <family val="2"/>
    </font>
    <font>
      <sz val="4"/>
      <name val="Arial"/>
      <family val="2"/>
    </font>
    <font>
      <b/>
      <sz val="6"/>
      <name val="Arial"/>
      <family val="2"/>
    </font>
    <font>
      <b/>
      <sz val="10"/>
      <color indexed="12"/>
      <name val="Arial"/>
      <family val="2"/>
    </font>
    <font>
      <b/>
      <vertAlign val="superscript"/>
      <sz val="10"/>
      <name val="Arial"/>
      <family val="2"/>
    </font>
    <font>
      <i/>
      <sz val="10"/>
      <name val="Arial"/>
      <family val="2"/>
    </font>
    <font>
      <b/>
      <i/>
      <sz val="10"/>
      <color indexed="12"/>
      <name val="Arial"/>
      <family val="2"/>
    </font>
    <font>
      <u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name val="Arial"/>
      <family val="2"/>
    </font>
    <font>
      <b/>
      <i/>
      <sz val="10"/>
      <name val="Arial"/>
      <family val="2"/>
    </font>
    <font>
      <sz val="10"/>
      <name val="Verdana"/>
      <family val="2"/>
    </font>
    <font>
      <sz val="10"/>
      <color indexed="16"/>
      <name val="Verdana"/>
      <family val="2"/>
    </font>
    <font>
      <sz val="10"/>
      <color indexed="12"/>
      <name val="Arial"/>
      <family val="2"/>
    </font>
    <font>
      <b/>
      <i/>
      <sz val="10"/>
      <color indexed="8"/>
      <name val="Arial"/>
      <family val="2"/>
    </font>
    <font>
      <sz val="9"/>
      <color indexed="81"/>
      <name val="Tahoma"/>
      <family val="2"/>
    </font>
    <font>
      <b/>
      <sz val="8"/>
      <color indexed="12"/>
      <name val="Arial"/>
      <family val="2"/>
    </font>
    <font>
      <sz val="10"/>
      <color indexed="16"/>
      <name val="Arial"/>
      <family val="2"/>
    </font>
    <font>
      <b/>
      <sz val="10"/>
      <color indexed="16"/>
      <name val="Arial"/>
      <family val="2"/>
    </font>
    <font>
      <sz val="6"/>
      <color indexed="16"/>
      <name val="Arial"/>
      <family val="2"/>
    </font>
    <font>
      <b/>
      <sz val="8"/>
      <color indexed="16"/>
      <name val="Arial"/>
      <family val="2"/>
    </font>
    <font>
      <sz val="8"/>
      <color indexed="16"/>
      <name val="Arial"/>
      <family val="2"/>
    </font>
    <font>
      <b/>
      <sz val="8"/>
      <color indexed="18"/>
      <name val="Arial"/>
      <family val="2"/>
    </font>
    <font>
      <sz val="9"/>
      <color indexed="18"/>
      <name val="Arial"/>
      <family val="2"/>
    </font>
    <font>
      <b/>
      <vertAlign val="superscript"/>
      <sz val="8"/>
      <color indexed="18"/>
      <name val="Arial"/>
      <family val="2"/>
    </font>
    <font>
      <vertAlign val="superscript"/>
      <sz val="8"/>
      <color indexed="18"/>
      <name val="Arial"/>
      <family val="2"/>
    </font>
    <font>
      <b/>
      <u/>
      <sz val="10"/>
      <color indexed="12"/>
      <name val="Arial"/>
      <family val="2"/>
    </font>
    <font>
      <sz val="10"/>
      <color indexed="61"/>
      <name val="Arial"/>
      <family val="2"/>
    </font>
    <font>
      <sz val="10"/>
      <color indexed="36"/>
      <name val="Arial"/>
      <family val="2"/>
    </font>
    <font>
      <sz val="10"/>
      <color indexed="60"/>
      <name val="Arial"/>
      <family val="2"/>
    </font>
    <font>
      <b/>
      <sz val="10"/>
      <color indexed="18"/>
      <name val="Arial"/>
      <family val="2"/>
    </font>
    <font>
      <b/>
      <sz val="9"/>
      <color indexed="81"/>
      <name val="Arial"/>
      <family val="2"/>
    </font>
    <font>
      <sz val="9"/>
      <color indexed="81"/>
      <name val="Arial"/>
      <family val="2"/>
    </font>
    <font>
      <sz val="12"/>
      <name val="AGaramond"/>
      <family val="3"/>
    </font>
    <font>
      <u/>
      <sz val="7.5"/>
      <color indexed="12"/>
      <name val="Arial"/>
      <family val="2"/>
    </font>
    <font>
      <sz val="10"/>
      <color indexed="17"/>
      <name val="Arial"/>
      <family val="2"/>
    </font>
    <font>
      <b/>
      <sz val="18"/>
      <color rgb="FFFF0000"/>
      <name val="Arial"/>
      <family val="2"/>
    </font>
    <font>
      <sz val="10"/>
      <color rgb="FFFF0000"/>
      <name val="Courier"/>
      <family val="3"/>
    </font>
    <font>
      <sz val="10"/>
      <color rgb="FFFF0000"/>
      <name val="Arial"/>
      <family val="2"/>
    </font>
    <font>
      <b/>
      <sz val="10"/>
      <color rgb="FFFF0000"/>
      <name val="Courier"/>
      <family val="3"/>
    </font>
    <font>
      <b/>
      <sz val="10"/>
      <color indexed="61"/>
      <name val="Arial"/>
      <family val="2"/>
    </font>
    <font>
      <sz val="10"/>
      <color rgb="FFC00000"/>
      <name val="Arial"/>
      <family val="2"/>
    </font>
    <font>
      <b/>
      <sz val="10"/>
      <color rgb="FF7030A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42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2F63D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34"/>
        <bgColor indexed="64"/>
      </patternFill>
    </fill>
  </fills>
  <borders count="12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65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5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5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22"/>
      </top>
      <bottom style="thin">
        <color theme="0" tint="-0.24994659260841701"/>
      </bottom>
      <diagonal/>
    </border>
    <border>
      <left/>
      <right/>
      <top style="thin">
        <color indexed="22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5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5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4"/>
      </bottom>
      <diagonal/>
    </border>
    <border>
      <left style="thin">
        <color indexed="65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</borders>
  <cellStyleXfs count="24">
    <xf numFmtId="0" fontId="0" fillId="0" borderId="0">
      <alignment horizontal="left" wrapText="1"/>
    </xf>
    <xf numFmtId="43" fontId="1" fillId="0" borderId="0" applyFont="0" applyFill="0" applyBorder="0" applyAlignment="0" applyProtection="0"/>
    <xf numFmtId="37" fontId="2" fillId="0" borderId="0"/>
    <xf numFmtId="37" fontId="2" fillId="0" borderId="0"/>
    <xf numFmtId="165" fontId="16" fillId="0" borderId="0"/>
    <xf numFmtId="165" fontId="16" fillId="0" borderId="0"/>
    <xf numFmtId="165" fontId="16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165" fontId="16" fillId="0" borderId="0"/>
    <xf numFmtId="3" fontId="4" fillId="0" borderId="0"/>
    <xf numFmtId="165" fontId="16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1" fillId="0" borderId="0">
      <alignment horizontal="left" wrapText="1"/>
    </xf>
    <xf numFmtId="165" fontId="62" fillId="0" borderId="0"/>
    <xf numFmtId="165" fontId="62" fillId="0" borderId="0"/>
    <xf numFmtId="165" fontId="16" fillId="0" borderId="0"/>
    <xf numFmtId="9" fontId="62" fillId="0" borderId="0" applyFont="0" applyFill="0" applyBorder="0" applyAlignment="0" applyProtection="0"/>
  </cellStyleXfs>
  <cellXfs count="1213">
    <xf numFmtId="37" fontId="0" fillId="0" borderId="0" xfId="0" applyNumberFormat="1" applyAlignment="1"/>
    <xf numFmtId="37" fontId="4" fillId="0" borderId="0" xfId="0" applyNumberFormat="1" applyFont="1" applyFill="1" applyAlignment="1"/>
    <xf numFmtId="37" fontId="4" fillId="0" borderId="0" xfId="0" applyNumberFormat="1" applyFont="1" applyAlignment="1"/>
    <xf numFmtId="9" fontId="4" fillId="0" borderId="0" xfId="15" applyFont="1" applyFill="1"/>
    <xf numFmtId="37" fontId="8" fillId="0" borderId="0" xfId="0" applyNumberFormat="1" applyFont="1" applyFill="1" applyAlignment="1">
      <alignment horizontal="center"/>
    </xf>
    <xf numFmtId="37" fontId="8" fillId="0" borderId="0" xfId="0" applyNumberFormat="1" applyFont="1" applyFill="1" applyBorder="1" applyAlignment="1">
      <alignment horizontal="center"/>
    </xf>
    <xf numFmtId="37" fontId="8" fillId="0" borderId="0" xfId="0" applyNumberFormat="1" applyFont="1" applyFill="1" applyAlignment="1"/>
    <xf numFmtId="37" fontId="8" fillId="0" borderId="0" xfId="0" applyNumberFormat="1" applyFont="1" applyFill="1" applyBorder="1" applyAlignment="1"/>
    <xf numFmtId="37" fontId="8" fillId="0" borderId="2" xfId="0" applyNumberFormat="1" applyFont="1" applyFill="1" applyBorder="1" applyAlignment="1"/>
    <xf numFmtId="9" fontId="4" fillId="0" borderId="0" xfId="15" applyFont="1" applyFill="1" applyBorder="1"/>
    <xf numFmtId="37" fontId="8" fillId="0" borderId="0" xfId="0" applyNumberFormat="1" applyFont="1" applyAlignment="1"/>
    <xf numFmtId="0" fontId="8" fillId="0" borderId="8" xfId="1" applyNumberFormat="1" applyFont="1" applyFill="1" applyBorder="1" applyAlignment="1" applyProtection="1">
      <alignment horizontal="center" vertical="center" wrapText="1"/>
    </xf>
    <xf numFmtId="0" fontId="8" fillId="0" borderId="9" xfId="1" applyNumberFormat="1" applyFont="1" applyFill="1" applyBorder="1" applyAlignment="1" applyProtection="1">
      <alignment horizontal="center" vertical="center"/>
    </xf>
    <xf numFmtId="37" fontId="8" fillId="0" borderId="9" xfId="0" applyNumberFormat="1" applyFont="1" applyFill="1" applyBorder="1" applyAlignment="1" applyProtection="1">
      <alignment horizontal="center" vertical="center"/>
    </xf>
    <xf numFmtId="37" fontId="8" fillId="0" borderId="9" xfId="0" applyNumberFormat="1" applyFont="1" applyFill="1" applyBorder="1" applyAlignment="1">
      <alignment horizontal="center" vertical="center"/>
    </xf>
    <xf numFmtId="169" fontId="8" fillId="0" borderId="2" xfId="15" applyNumberFormat="1" applyFont="1" applyFill="1" applyBorder="1" applyAlignment="1">
      <alignment horizontal="center" vertical="center"/>
    </xf>
    <xf numFmtId="37" fontId="8" fillId="0" borderId="0" xfId="0" applyNumberFormat="1" applyFont="1" applyFill="1" applyBorder="1" applyAlignment="1">
      <alignment horizontal="centerContinuous"/>
    </xf>
    <xf numFmtId="37" fontId="6" fillId="0" borderId="0" xfId="0" applyNumberFormat="1" applyFont="1" applyFill="1" applyBorder="1" applyAlignment="1">
      <alignment horizontal="centerContinuous"/>
    </xf>
    <xf numFmtId="37" fontId="8" fillId="0" borderId="0" xfId="0" applyNumberFormat="1" applyFont="1" applyFill="1" applyAlignment="1">
      <alignment horizontal="left"/>
    </xf>
    <xf numFmtId="37" fontId="3" fillId="0" borderId="6" xfId="0" applyNumberFormat="1" applyFont="1" applyFill="1" applyBorder="1" applyAlignment="1">
      <alignment horizontal="center" wrapText="1"/>
    </xf>
    <xf numFmtId="167" fontId="3" fillId="0" borderId="10" xfId="0" applyNumberFormat="1" applyFont="1" applyFill="1" applyBorder="1" applyAlignment="1">
      <alignment horizontal="center" wrapText="1"/>
    </xf>
    <xf numFmtId="37" fontId="3" fillId="0" borderId="11" xfId="0" applyNumberFormat="1" applyFont="1" applyFill="1" applyBorder="1" applyAlignment="1" applyProtection="1">
      <alignment horizontal="centerContinuous"/>
    </xf>
    <xf numFmtId="37" fontId="6" fillId="0" borderId="14" xfId="0" applyNumberFormat="1" applyFont="1" applyFill="1" applyBorder="1" applyAlignment="1">
      <alignment horizontal="centerContinuous"/>
    </xf>
    <xf numFmtId="37" fontId="6" fillId="0" borderId="11" xfId="0" applyNumberFormat="1" applyFont="1" applyFill="1" applyBorder="1" applyAlignment="1">
      <alignment horizontal="centerContinuous"/>
    </xf>
    <xf numFmtId="37" fontId="8" fillId="0" borderId="14" xfId="0" applyNumberFormat="1" applyFont="1" applyFill="1" applyBorder="1" applyAlignment="1">
      <alignment horizontal="center"/>
    </xf>
    <xf numFmtId="9" fontId="4" fillId="0" borderId="0" xfId="15" applyFont="1" applyFill="1" applyAlignment="1"/>
    <xf numFmtId="169" fontId="8" fillId="0" borderId="16" xfId="15" applyNumberFormat="1" applyFont="1" applyFill="1" applyBorder="1" applyAlignment="1">
      <alignment horizontal="center" vertical="center"/>
    </xf>
    <xf numFmtId="9" fontId="18" fillId="0" borderId="0" xfId="15" applyFont="1" applyFill="1"/>
    <xf numFmtId="37" fontId="18" fillId="0" borderId="0" xfId="0" applyNumberFormat="1" applyFont="1" applyFill="1" applyAlignment="1"/>
    <xf numFmtId="166" fontId="8" fillId="0" borderId="14" xfId="1" quotePrefix="1" applyNumberFormat="1" applyFont="1" applyFill="1" applyBorder="1" applyAlignment="1">
      <alignment horizontal="center"/>
    </xf>
    <xf numFmtId="37" fontId="6" fillId="3" borderId="0" xfId="0" applyNumberFormat="1" applyFont="1" applyFill="1" applyBorder="1" applyAlignment="1">
      <alignment horizontal="centerContinuous"/>
    </xf>
    <xf numFmtId="37" fontId="3" fillId="3" borderId="2" xfId="0" applyNumberFormat="1" applyFont="1" applyFill="1" applyBorder="1" applyAlignment="1">
      <alignment horizontal="center" wrapText="1"/>
    </xf>
    <xf numFmtId="9" fontId="8" fillId="3" borderId="0" xfId="15" applyFont="1" applyFill="1" applyBorder="1" applyAlignment="1">
      <alignment horizontal="center"/>
    </xf>
    <xf numFmtId="166" fontId="8" fillId="3" borderId="0" xfId="1" quotePrefix="1" applyNumberFormat="1" applyFont="1" applyFill="1" applyBorder="1" applyAlignment="1">
      <alignment horizontal="center"/>
    </xf>
    <xf numFmtId="9" fontId="8" fillId="3" borderId="2" xfId="15" applyFont="1" applyFill="1" applyBorder="1" applyAlignment="1">
      <alignment horizontal="center"/>
    </xf>
    <xf numFmtId="37" fontId="8" fillId="3" borderId="0" xfId="0" applyNumberFormat="1" applyFont="1" applyFill="1" applyBorder="1" applyAlignment="1">
      <alignment horizontal="center"/>
    </xf>
    <xf numFmtId="37" fontId="3" fillId="0" borderId="17" xfId="0" applyNumberFormat="1" applyFont="1" applyFill="1" applyBorder="1" applyAlignment="1" applyProtection="1">
      <alignment horizontal="centerContinuous"/>
    </xf>
    <xf numFmtId="37" fontId="6" fillId="0" borderId="17" xfId="0" applyNumberFormat="1" applyFont="1" applyFill="1" applyBorder="1" applyAlignment="1">
      <alignment horizontal="centerContinuous"/>
    </xf>
    <xf numFmtId="37" fontId="3" fillId="0" borderId="18" xfId="0" applyNumberFormat="1" applyFont="1" applyFill="1" applyBorder="1" applyAlignment="1" applyProtection="1">
      <alignment horizontal="centerContinuous" wrapText="1"/>
    </xf>
    <xf numFmtId="37" fontId="3" fillId="0" borderId="9" xfId="0" applyNumberFormat="1" applyFont="1" applyFill="1" applyBorder="1" applyAlignment="1" applyProtection="1">
      <alignment horizontal="centerContinuous" wrapText="1"/>
    </xf>
    <xf numFmtId="37" fontId="3" fillId="0" borderId="17" xfId="0" applyNumberFormat="1" applyFont="1" applyFill="1" applyBorder="1" applyAlignment="1">
      <alignment horizontal="center" wrapText="1"/>
    </xf>
    <xf numFmtId="37" fontId="4" fillId="0" borderId="19" xfId="0" applyNumberFormat="1" applyFont="1" applyFill="1" applyBorder="1" applyAlignment="1" applyProtection="1">
      <alignment horizontal="left"/>
    </xf>
    <xf numFmtId="37" fontId="8" fillId="0" borderId="0" xfId="0" applyNumberFormat="1" applyFont="1" applyAlignment="1">
      <alignment horizontal="centerContinuous"/>
    </xf>
    <xf numFmtId="37" fontId="8" fillId="0" borderId="0" xfId="0" applyNumberFormat="1" applyFont="1" applyBorder="1" applyAlignment="1">
      <alignment horizontal="centerContinuous"/>
    </xf>
    <xf numFmtId="37" fontId="8" fillId="0" borderId="20" xfId="0" applyNumberFormat="1" applyFont="1" applyBorder="1" applyAlignment="1"/>
    <xf numFmtId="37" fontId="17" fillId="0" borderId="0" xfId="0" applyNumberFormat="1" applyFont="1" applyFill="1" applyAlignment="1"/>
    <xf numFmtId="9" fontId="8" fillId="0" borderId="0" xfId="15" applyFont="1" applyFill="1"/>
    <xf numFmtId="37" fontId="4" fillId="0" borderId="0" xfId="0" applyNumberFormat="1" applyFont="1" applyBorder="1" applyAlignment="1"/>
    <xf numFmtId="37" fontId="8" fillId="0" borderId="0" xfId="0" applyNumberFormat="1" applyFont="1" applyBorder="1" applyAlignment="1"/>
    <xf numFmtId="37" fontId="8" fillId="0" borderId="11" xfId="0" applyNumberFormat="1" applyFont="1" applyBorder="1" applyAlignment="1">
      <alignment horizontal="center" wrapText="1"/>
    </xf>
    <xf numFmtId="37" fontId="8" fillId="0" borderId="2" xfId="0" applyNumberFormat="1" applyFont="1" applyFill="1" applyBorder="1" applyAlignment="1" applyProtection="1">
      <alignment horizontal="center" wrapText="1"/>
    </xf>
    <xf numFmtId="167" fontId="3" fillId="0" borderId="9" xfId="0" applyNumberFormat="1" applyFont="1" applyFill="1" applyBorder="1" applyAlignment="1" applyProtection="1">
      <alignment horizontal="center" wrapText="1"/>
    </xf>
    <xf numFmtId="37" fontId="3" fillId="0" borderId="9" xfId="0" applyNumberFormat="1" applyFont="1" applyFill="1" applyBorder="1" applyAlignment="1">
      <alignment horizontal="center" wrapText="1"/>
    </xf>
    <xf numFmtId="167" fontId="3" fillId="0" borderId="18" xfId="0" applyNumberFormat="1" applyFont="1" applyFill="1" applyBorder="1" applyAlignment="1" applyProtection="1">
      <alignment horizontal="center" wrapText="1"/>
    </xf>
    <xf numFmtId="37" fontId="8" fillId="0" borderId="2" xfId="0" applyNumberFormat="1" applyFont="1" applyFill="1" applyBorder="1" applyAlignment="1" applyProtection="1">
      <alignment horizontal="center"/>
    </xf>
    <xf numFmtId="37" fontId="7" fillId="0" borderId="0" xfId="0" applyNumberFormat="1" applyFont="1" applyBorder="1" applyAlignment="1"/>
    <xf numFmtId="37" fontId="6" fillId="0" borderId="20" xfId="0" applyNumberFormat="1" applyFont="1" applyFill="1" applyBorder="1" applyAlignment="1">
      <alignment horizontal="center" vertical="center"/>
    </xf>
    <xf numFmtId="37" fontId="3" fillId="0" borderId="18" xfId="0" applyNumberFormat="1" applyFont="1" applyFill="1" applyBorder="1" applyAlignment="1">
      <alignment horizontal="centerContinuous" vertical="center" wrapText="1"/>
    </xf>
    <xf numFmtId="37" fontId="3" fillId="0" borderId="9" xfId="0" applyNumberFormat="1" applyFont="1" applyFill="1" applyBorder="1" applyAlignment="1">
      <alignment horizontal="centerContinuous" vertical="center" wrapText="1"/>
    </xf>
    <xf numFmtId="37" fontId="8" fillId="0" borderId="0" xfId="0" applyNumberFormat="1" applyFont="1" applyFill="1" applyAlignment="1">
      <alignment horizontal="center" vertical="center"/>
    </xf>
    <xf numFmtId="37" fontId="6" fillId="0" borderId="20" xfId="0" applyNumberFormat="1" applyFont="1" applyFill="1" applyBorder="1" applyAlignment="1">
      <alignment vertical="center"/>
    </xf>
    <xf numFmtId="37" fontId="8" fillId="0" borderId="0" xfId="0" applyNumberFormat="1" applyFont="1" applyFill="1" applyAlignment="1">
      <alignment vertical="center"/>
    </xf>
    <xf numFmtId="37" fontId="14" fillId="0" borderId="0" xfId="0" applyNumberFormat="1" applyFont="1" applyFill="1" applyBorder="1" applyAlignment="1">
      <alignment horizontal="centerContinuous"/>
    </xf>
    <xf numFmtId="37" fontId="20" fillId="0" borderId="0" xfId="0" applyNumberFormat="1" applyFont="1" applyFill="1" applyBorder="1" applyAlignment="1"/>
    <xf numFmtId="166" fontId="20" fillId="0" borderId="14" xfId="15" applyNumberFormat="1" applyFont="1" applyFill="1" applyBorder="1" applyAlignment="1">
      <alignment horizontal="center"/>
    </xf>
    <xf numFmtId="9" fontId="20" fillId="3" borderId="0" xfId="15" applyFont="1" applyFill="1" applyBorder="1" applyAlignment="1">
      <alignment horizontal="center"/>
    </xf>
    <xf numFmtId="37" fontId="20" fillId="0" borderId="0" xfId="0" applyNumberFormat="1" applyFont="1" applyFill="1" applyAlignment="1"/>
    <xf numFmtId="37" fontId="13" fillId="0" borderId="0" xfId="0" applyNumberFormat="1" applyFont="1" applyFill="1" applyBorder="1" applyAlignment="1"/>
    <xf numFmtId="37" fontId="13" fillId="0" borderId="2" xfId="0" applyNumberFormat="1" applyFont="1" applyFill="1" applyBorder="1" applyAlignment="1"/>
    <xf numFmtId="37" fontId="8" fillId="0" borderId="0" xfId="0" applyNumberFormat="1" applyFont="1" applyAlignment="1">
      <alignment vertical="top"/>
    </xf>
    <xf numFmtId="37" fontId="7" fillId="0" borderId="0" xfId="0" applyNumberFormat="1" applyFont="1" applyBorder="1" applyAlignment="1">
      <alignment vertical="top"/>
    </xf>
    <xf numFmtId="37" fontId="4" fillId="0" borderId="0" xfId="0" applyNumberFormat="1" applyFont="1" applyAlignment="1">
      <alignment vertical="top"/>
    </xf>
    <xf numFmtId="37" fontId="4" fillId="0" borderId="0" xfId="0" applyNumberFormat="1" applyFont="1" applyBorder="1" applyAlignment="1">
      <alignment vertical="top"/>
    </xf>
    <xf numFmtId="37" fontId="8" fillId="0" borderId="0" xfId="0" applyNumberFormat="1" applyFont="1" applyFill="1" applyBorder="1" applyAlignment="1">
      <alignment vertical="center"/>
    </xf>
    <xf numFmtId="37" fontId="8" fillId="0" borderId="2" xfId="0" applyNumberFormat="1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horizontal="right" vertical="center"/>
    </xf>
    <xf numFmtId="37" fontId="14" fillId="0" borderId="0" xfId="0" applyNumberFormat="1" applyFont="1" applyFill="1" applyAlignment="1">
      <alignment vertical="center"/>
    </xf>
    <xf numFmtId="37" fontId="8" fillId="0" borderId="2" xfId="0" applyNumberFormat="1" applyFont="1" applyBorder="1" applyAlignment="1">
      <alignment horizontal="center"/>
    </xf>
    <xf numFmtId="37" fontId="3" fillId="0" borderId="6" xfId="0" applyNumberFormat="1" applyFont="1" applyFill="1" applyBorder="1" applyAlignment="1" applyProtection="1">
      <alignment horizontal="center"/>
    </xf>
    <xf numFmtId="0" fontId="13" fillId="0" borderId="8" xfId="1" applyNumberFormat="1" applyFont="1" applyFill="1" applyBorder="1" applyAlignment="1" applyProtection="1">
      <alignment horizontal="center" vertical="center" wrapText="1"/>
    </xf>
    <xf numFmtId="37" fontId="13" fillId="0" borderId="9" xfId="0" applyNumberFormat="1" applyFont="1" applyBorder="1" applyAlignment="1">
      <alignment horizontal="center"/>
    </xf>
    <xf numFmtId="0" fontId="13" fillId="0" borderId="9" xfId="1" applyNumberFormat="1" applyFont="1" applyFill="1" applyBorder="1" applyAlignment="1" applyProtection="1">
      <alignment horizontal="center" vertical="center"/>
    </xf>
    <xf numFmtId="37" fontId="13" fillId="0" borderId="9" xfId="0" applyNumberFormat="1" applyFont="1" applyFill="1" applyBorder="1" applyAlignment="1" applyProtection="1">
      <alignment horizontal="center" vertical="center"/>
    </xf>
    <xf numFmtId="37" fontId="13" fillId="0" borderId="9" xfId="0" applyNumberFormat="1" applyFont="1" applyFill="1" applyBorder="1" applyAlignment="1">
      <alignment horizontal="center" vertical="center"/>
    </xf>
    <xf numFmtId="37" fontId="13" fillId="0" borderId="0" xfId="0" applyNumberFormat="1" applyFont="1" applyAlignment="1">
      <alignment horizontal="center"/>
    </xf>
    <xf numFmtId="37" fontId="27" fillId="0" borderId="0" xfId="0" applyNumberFormat="1" applyFont="1" applyFill="1" applyBorder="1" applyAlignment="1"/>
    <xf numFmtId="166" fontId="27" fillId="0" borderId="14" xfId="15" applyNumberFormat="1" applyFont="1" applyFill="1" applyBorder="1" applyAlignment="1">
      <alignment horizontal="center"/>
    </xf>
    <xf numFmtId="9" fontId="27" fillId="3" borderId="0" xfId="15" applyFont="1" applyFill="1" applyBorder="1" applyAlignment="1">
      <alignment horizontal="center"/>
    </xf>
    <xf numFmtId="37" fontId="27" fillId="0" borderId="0" xfId="0" applyNumberFormat="1" applyFont="1" applyFill="1" applyAlignment="1"/>
    <xf numFmtId="37" fontId="8" fillId="0" borderId="0" xfId="0" applyNumberFormat="1" applyFont="1" applyFill="1" applyBorder="1" applyAlignment="1">
      <alignment horizontal="center" vertical="center"/>
    </xf>
    <xf numFmtId="37" fontId="14" fillId="0" borderId="0" xfId="0" applyNumberFormat="1" applyFont="1" applyFill="1" applyBorder="1" applyAlignment="1">
      <alignment vertical="center"/>
    </xf>
    <xf numFmtId="37" fontId="6" fillId="0" borderId="0" xfId="0" applyNumberFormat="1" applyFont="1" applyFill="1" applyBorder="1" applyAlignment="1">
      <alignment horizontal="centerContinuous" vertical="center"/>
    </xf>
    <xf numFmtId="37" fontId="24" fillId="0" borderId="0" xfId="0" applyNumberFormat="1" applyFont="1" applyFill="1" applyBorder="1" applyAlignment="1">
      <alignment horizontal="centerContinuous" vertical="center"/>
    </xf>
    <xf numFmtId="37" fontId="24" fillId="0" borderId="0" xfId="0" applyNumberFormat="1" applyFont="1" applyFill="1" applyBorder="1" applyAlignment="1">
      <alignment vertical="center"/>
    </xf>
    <xf numFmtId="37" fontId="24" fillId="0" borderId="0" xfId="0" applyNumberFormat="1" applyFont="1" applyFill="1" applyAlignment="1">
      <alignment vertical="center"/>
    </xf>
    <xf numFmtId="37" fontId="6" fillId="0" borderId="0" xfId="0" applyNumberFormat="1" applyFont="1" applyFill="1" applyBorder="1" applyAlignment="1">
      <alignment vertical="center"/>
    </xf>
    <xf numFmtId="37" fontId="3" fillId="0" borderId="0" xfId="0" applyNumberFormat="1" applyFont="1" applyFill="1" applyBorder="1" applyAlignment="1">
      <alignment horizontal="centerContinuous" vertical="center"/>
    </xf>
    <xf numFmtId="37" fontId="3" fillId="0" borderId="2" xfId="0" applyNumberFormat="1" applyFont="1" applyFill="1" applyBorder="1" applyAlignment="1">
      <alignment horizontal="centerContinuous" vertical="center"/>
    </xf>
    <xf numFmtId="37" fontId="4" fillId="0" borderId="0" xfId="0" applyNumberFormat="1" applyFont="1" applyFill="1" applyBorder="1" applyAlignment="1">
      <alignment horizontal="centerContinuous" vertical="center"/>
    </xf>
    <xf numFmtId="37" fontId="4" fillId="0" borderId="0" xfId="0" applyNumberFormat="1" applyFont="1" applyFill="1" applyBorder="1" applyAlignment="1">
      <alignment vertical="center"/>
    </xf>
    <xf numFmtId="37" fontId="4" fillId="0" borderId="0" xfId="0" applyNumberFormat="1" applyFont="1" applyFill="1" applyAlignment="1">
      <alignment vertical="center"/>
    </xf>
    <xf numFmtId="37" fontId="8" fillId="0" borderId="0" xfId="0" applyNumberFormat="1" applyFont="1" applyFill="1" applyBorder="1" applyAlignment="1">
      <alignment horizontal="centerContinuous" vertical="center"/>
    </xf>
    <xf numFmtId="164" fontId="8" fillId="0" borderId="0" xfId="0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vertical="center"/>
    </xf>
    <xf numFmtId="3" fontId="8" fillId="0" borderId="2" xfId="0" applyNumberFormat="1" applyFont="1" applyFill="1" applyBorder="1" applyAlignment="1">
      <alignment horizontal="right" vertical="center"/>
    </xf>
    <xf numFmtId="3" fontId="8" fillId="0" borderId="22" xfId="0" applyNumberFormat="1" applyFont="1" applyFill="1" applyBorder="1" applyAlignment="1">
      <alignment horizontal="right" vertical="center"/>
    </xf>
    <xf numFmtId="37" fontId="8" fillId="0" borderId="0" xfId="0" applyNumberFormat="1" applyFont="1" applyFill="1" applyBorder="1" applyAlignment="1">
      <alignment vertical="center" wrapText="1"/>
    </xf>
    <xf numFmtId="3" fontId="8" fillId="0" borderId="0" xfId="0" applyNumberFormat="1" applyFont="1" applyFill="1" applyBorder="1" applyAlignment="1">
      <alignment horizontal="center" vertical="center"/>
    </xf>
    <xf numFmtId="37" fontId="6" fillId="0" borderId="2" xfId="0" applyNumberFormat="1" applyFont="1" applyFill="1" applyBorder="1" applyAlignment="1">
      <alignment horizontal="centerContinuous" vertical="center"/>
    </xf>
    <xf numFmtId="37" fontId="3" fillId="0" borderId="20" xfId="0" applyNumberFormat="1" applyFont="1" applyFill="1" applyBorder="1" applyAlignment="1" applyProtection="1">
      <alignment horizontal="centerContinuous" vertical="center" wrapText="1"/>
    </xf>
    <xf numFmtId="37" fontId="8" fillId="0" borderId="20" xfId="0" applyNumberFormat="1" applyFont="1" applyFill="1" applyBorder="1" applyAlignment="1">
      <alignment horizontal="centerContinuous" vertical="center" wrapText="1"/>
    </xf>
    <xf numFmtId="37" fontId="20" fillId="0" borderId="0" xfId="0" applyNumberFormat="1" applyFont="1" applyFill="1" applyBorder="1" applyAlignment="1">
      <alignment vertical="center"/>
    </xf>
    <xf numFmtId="3" fontId="20" fillId="0" borderId="0" xfId="0" applyNumberFormat="1" applyFont="1" applyFill="1" applyBorder="1" applyAlignment="1">
      <alignment horizontal="right" vertical="center"/>
    </xf>
    <xf numFmtId="37" fontId="20" fillId="0" borderId="0" xfId="0" applyNumberFormat="1" applyFont="1" applyFill="1" applyAlignment="1">
      <alignment vertical="center"/>
    </xf>
    <xf numFmtId="37" fontId="4" fillId="0" borderId="0" xfId="0" applyNumberFormat="1" applyFont="1" applyFill="1" applyBorder="1" applyAlignment="1">
      <alignment vertical="center" wrapText="1"/>
    </xf>
    <xf numFmtId="164" fontId="8" fillId="0" borderId="23" xfId="0" applyNumberFormat="1" applyFont="1" applyFill="1" applyBorder="1" applyAlignment="1">
      <alignment horizontal="center" vertical="center"/>
    </xf>
    <xf numFmtId="164" fontId="8" fillId="0" borderId="0" xfId="0" applyNumberFormat="1" applyFont="1" applyFill="1" applyBorder="1" applyAlignment="1">
      <alignment horizontal="center" vertical="center"/>
    </xf>
    <xf numFmtId="3" fontId="8" fillId="0" borderId="23" xfId="0" applyNumberFormat="1" applyFont="1" applyFill="1" applyBorder="1" applyAlignment="1">
      <alignment horizontal="center" vertical="center"/>
    </xf>
    <xf numFmtId="3" fontId="8" fillId="0" borderId="10" xfId="0" applyNumberFormat="1" applyFont="1" applyFill="1" applyBorder="1" applyAlignment="1">
      <alignment horizontal="center" vertical="center"/>
    </xf>
    <xf numFmtId="3" fontId="8" fillId="0" borderId="2" xfId="0" applyNumberFormat="1" applyFont="1" applyFill="1" applyBorder="1" applyAlignment="1">
      <alignment horizontal="center" vertical="center"/>
    </xf>
    <xf numFmtId="3" fontId="20" fillId="0" borderId="23" xfId="0" applyNumberFormat="1" applyFont="1" applyFill="1" applyBorder="1" applyAlignment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3" fontId="8" fillId="0" borderId="0" xfId="0" quotePrefix="1" applyNumberFormat="1" applyFont="1" applyFill="1" applyBorder="1" applyAlignment="1">
      <alignment horizontal="center" vertical="center"/>
    </xf>
    <xf numFmtId="37" fontId="8" fillId="0" borderId="0" xfId="0" applyNumberFormat="1" applyFont="1" applyAlignment="1">
      <alignment vertical="center"/>
    </xf>
    <xf numFmtId="37" fontId="8" fillId="0" borderId="0" xfId="0" applyNumberFormat="1" applyFont="1" applyFill="1" applyAlignment="1">
      <alignment horizontal="centerContinuous" vertical="center"/>
    </xf>
    <xf numFmtId="37" fontId="8" fillId="0" borderId="0" xfId="0" applyNumberFormat="1" applyFont="1" applyAlignment="1">
      <alignment horizontal="centerContinuous" vertical="center"/>
    </xf>
    <xf numFmtId="37" fontId="13" fillId="0" borderId="19" xfId="0" applyNumberFormat="1" applyFont="1" applyFill="1" applyBorder="1" applyAlignment="1" applyProtection="1">
      <alignment horizontal="center" vertical="center"/>
    </xf>
    <xf numFmtId="37" fontId="25" fillId="0" borderId="3" xfId="0" applyNumberFormat="1" applyFont="1" applyFill="1" applyBorder="1" applyAlignment="1">
      <alignment horizontal="left" vertical="center" wrapText="1"/>
    </xf>
    <xf numFmtId="37" fontId="26" fillId="0" borderId="3" xfId="0" applyNumberFormat="1" applyFont="1" applyFill="1" applyBorder="1" applyAlignment="1" applyProtection="1">
      <alignment horizontal="right" vertical="center"/>
    </xf>
    <xf numFmtId="37" fontId="19" fillId="0" borderId="4" xfId="0" applyNumberFormat="1" applyFont="1" applyFill="1" applyBorder="1" applyAlignment="1">
      <alignment horizontal="left" vertical="center" wrapText="1"/>
    </xf>
    <xf numFmtId="37" fontId="19" fillId="0" borderId="5" xfId="0" applyNumberFormat="1" applyFont="1" applyFill="1" applyBorder="1" applyAlignment="1">
      <alignment horizontal="left" vertical="center" wrapText="1"/>
    </xf>
    <xf numFmtId="37" fontId="13" fillId="0" borderId="3" xfId="0" applyNumberFormat="1" applyFont="1" applyFill="1" applyBorder="1" applyAlignment="1">
      <alignment horizontal="right" vertical="center" wrapText="1"/>
    </xf>
    <xf numFmtId="37" fontId="19" fillId="0" borderId="3" xfId="0" applyNumberFormat="1" applyFont="1" applyFill="1" applyBorder="1" applyAlignment="1">
      <alignment horizontal="left" vertical="center" wrapText="1"/>
    </xf>
    <xf numFmtId="37" fontId="19" fillId="0" borderId="20" xfId="0" applyNumberFormat="1" applyFont="1" applyFill="1" applyBorder="1" applyAlignment="1">
      <alignment horizontal="right" vertical="center" wrapText="1"/>
    </xf>
    <xf numFmtId="37" fontId="4" fillId="0" borderId="0" xfId="0" applyNumberFormat="1" applyFont="1" applyAlignment="1">
      <alignment vertical="center"/>
    </xf>
    <xf numFmtId="37" fontId="13" fillId="0" borderId="20" xfId="0" applyNumberFormat="1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horizontal="centerContinuous" vertical="center"/>
    </xf>
    <xf numFmtId="9" fontId="8" fillId="0" borderId="0" xfId="15" applyFont="1" applyFill="1" applyAlignment="1">
      <alignment horizontal="centerContinuous" vertical="center"/>
    </xf>
    <xf numFmtId="37" fontId="6" fillId="0" borderId="0" xfId="0" applyNumberFormat="1" applyFont="1" applyFill="1" applyBorder="1" applyAlignment="1" applyProtection="1">
      <alignment horizontal="centerContinuous" vertical="center"/>
    </xf>
    <xf numFmtId="37" fontId="8" fillId="0" borderId="0" xfId="0" applyNumberFormat="1" applyFont="1" applyBorder="1" applyAlignment="1">
      <alignment horizontal="centerContinuous" vertical="center"/>
    </xf>
    <xf numFmtId="37" fontId="8" fillId="0" borderId="0" xfId="0" applyNumberFormat="1" applyFont="1" applyAlignment="1">
      <alignment horizontal="left" vertical="center"/>
    </xf>
    <xf numFmtId="37" fontId="6" fillId="0" borderId="0" xfId="0" applyNumberFormat="1" applyFont="1" applyFill="1" applyBorder="1" applyAlignment="1">
      <alignment horizontal="center" vertical="center"/>
    </xf>
    <xf numFmtId="37" fontId="24" fillId="0" borderId="0" xfId="0" applyNumberFormat="1" applyFont="1" applyFill="1" applyBorder="1" applyAlignment="1">
      <alignment horizontal="center" vertical="center"/>
    </xf>
    <xf numFmtId="37" fontId="24" fillId="0" borderId="0" xfId="0" applyNumberFormat="1" applyFont="1" applyFill="1" applyAlignment="1">
      <alignment horizontal="center" vertical="center"/>
    </xf>
    <xf numFmtId="37" fontId="24" fillId="0" borderId="14" xfId="0" applyNumberFormat="1" applyFont="1" applyFill="1" applyBorder="1" applyAlignment="1">
      <alignment horizontal="center" vertical="center"/>
    </xf>
    <xf numFmtId="37" fontId="24" fillId="3" borderId="0" xfId="0" applyNumberFormat="1" applyFont="1" applyFill="1" applyBorder="1" applyAlignment="1">
      <alignment horizontal="center" vertical="center"/>
    </xf>
    <xf numFmtId="37" fontId="6" fillId="0" borderId="14" xfId="0" applyNumberFormat="1" applyFont="1" applyFill="1" applyBorder="1" applyAlignment="1">
      <alignment horizontal="center" vertical="center"/>
    </xf>
    <xf numFmtId="37" fontId="6" fillId="3" borderId="0" xfId="0" applyNumberFormat="1" applyFont="1" applyFill="1" applyBorder="1" applyAlignment="1">
      <alignment horizontal="center" vertical="center"/>
    </xf>
    <xf numFmtId="166" fontId="8" fillId="0" borderId="14" xfId="1" quotePrefix="1" applyNumberFormat="1" applyFont="1" applyFill="1" applyBorder="1" applyAlignment="1">
      <alignment horizontal="center" vertical="center"/>
    </xf>
    <xf numFmtId="9" fontId="8" fillId="3" borderId="0" xfId="15" applyFont="1" applyFill="1" applyBorder="1" applyAlignment="1">
      <alignment horizontal="center" vertical="center"/>
    </xf>
    <xf numFmtId="37" fontId="13" fillId="0" borderId="0" xfId="0" applyNumberFormat="1" applyFont="1" applyFill="1" applyBorder="1" applyAlignment="1">
      <alignment vertical="center"/>
    </xf>
    <xf numFmtId="169" fontId="13" fillId="0" borderId="14" xfId="15" quotePrefix="1" applyNumberFormat="1" applyFont="1" applyFill="1" applyBorder="1" applyAlignment="1">
      <alignment horizontal="center" vertical="center"/>
    </xf>
    <xf numFmtId="37" fontId="6" fillId="0" borderId="20" xfId="0" applyNumberFormat="1" applyFont="1" applyFill="1" applyBorder="1" applyAlignment="1">
      <alignment horizontal="centerContinuous" vertical="center"/>
    </xf>
    <xf numFmtId="37" fontId="3" fillId="0" borderId="9" xfId="0" applyNumberFormat="1" applyFont="1" applyFill="1" applyBorder="1" applyAlignment="1" applyProtection="1">
      <alignment horizontal="centerContinuous" vertical="center"/>
    </xf>
    <xf numFmtId="37" fontId="6" fillId="0" borderId="9" xfId="0" applyNumberFormat="1" applyFont="1" applyFill="1" applyBorder="1" applyAlignment="1">
      <alignment horizontal="centerContinuous" vertical="center"/>
    </xf>
    <xf numFmtId="37" fontId="6" fillId="0" borderId="19" xfId="0" applyNumberFormat="1" applyFont="1" applyFill="1" applyBorder="1" applyAlignment="1">
      <alignment horizontal="centerContinuous" vertical="center"/>
    </xf>
    <xf numFmtId="37" fontId="3" fillId="0" borderId="11" xfId="0" applyNumberFormat="1" applyFont="1" applyFill="1" applyBorder="1" applyAlignment="1" applyProtection="1">
      <alignment horizontal="centerContinuous" vertical="center"/>
    </xf>
    <xf numFmtId="37" fontId="3" fillId="0" borderId="19" xfId="0" applyNumberFormat="1" applyFont="1" applyFill="1" applyBorder="1" applyAlignment="1" applyProtection="1">
      <alignment horizontal="centerContinuous" vertical="center"/>
    </xf>
    <xf numFmtId="37" fontId="6" fillId="0" borderId="11" xfId="0" applyNumberFormat="1" applyFont="1" applyFill="1" applyBorder="1" applyAlignment="1">
      <alignment horizontal="centerContinuous" vertical="center"/>
    </xf>
    <xf numFmtId="37" fontId="6" fillId="3" borderId="20" xfId="0" applyNumberFormat="1" applyFont="1" applyFill="1" applyBorder="1" applyAlignment="1">
      <alignment horizontal="centerContinuous" vertical="center"/>
    </xf>
    <xf numFmtId="37" fontId="6" fillId="0" borderId="18" xfId="0" applyNumberFormat="1" applyFont="1" applyFill="1" applyBorder="1" applyAlignment="1">
      <alignment horizontal="centerContinuous" vertical="center"/>
    </xf>
    <xf numFmtId="37" fontId="6" fillId="0" borderId="24" xfId="0" applyNumberFormat="1" applyFont="1" applyFill="1" applyBorder="1" applyAlignment="1">
      <alignment horizontal="centerContinuous" vertical="center"/>
    </xf>
    <xf numFmtId="37" fontId="8" fillId="3" borderId="0" xfId="0" applyNumberFormat="1" applyFont="1" applyFill="1" applyBorder="1" applyAlignment="1">
      <alignment vertical="center" wrapText="1"/>
    </xf>
    <xf numFmtId="37" fontId="8" fillId="0" borderId="0" xfId="0" applyNumberFormat="1" applyFont="1" applyBorder="1" applyAlignment="1">
      <alignment vertical="center" wrapText="1"/>
    </xf>
    <xf numFmtId="3" fontId="8" fillId="4" borderId="0" xfId="0" applyNumberFormat="1" applyFont="1" applyFill="1" applyBorder="1" applyAlignment="1">
      <alignment horizontal="right"/>
    </xf>
    <xf numFmtId="37" fontId="24" fillId="5" borderId="0" xfId="0" applyNumberFormat="1" applyFont="1" applyFill="1" applyAlignment="1">
      <alignment vertical="center"/>
    </xf>
    <xf numFmtId="37" fontId="6" fillId="5" borderId="0" xfId="0" applyNumberFormat="1" applyFont="1" applyFill="1" applyBorder="1" applyAlignment="1">
      <alignment horizontal="center" vertical="center" wrapText="1"/>
    </xf>
    <xf numFmtId="37" fontId="3" fillId="5" borderId="0" xfId="0" applyNumberFormat="1" applyFont="1" applyFill="1" applyBorder="1" applyAlignment="1">
      <alignment horizontal="center" vertical="center" wrapText="1"/>
    </xf>
    <xf numFmtId="37" fontId="3" fillId="5" borderId="0" xfId="0" applyNumberFormat="1" applyFont="1" applyFill="1" applyBorder="1" applyAlignment="1">
      <alignment vertical="center"/>
    </xf>
    <xf numFmtId="164" fontId="8" fillId="5" borderId="0" xfId="0" applyNumberFormat="1" applyFont="1" applyFill="1" applyBorder="1" applyAlignment="1">
      <alignment horizontal="center"/>
    </xf>
    <xf numFmtId="3" fontId="8" fillId="5" borderId="0" xfId="0" applyNumberFormat="1" applyFont="1" applyFill="1" applyBorder="1" applyAlignment="1">
      <alignment horizontal="center" vertical="center"/>
    </xf>
    <xf numFmtId="37" fontId="14" fillId="5" borderId="0" xfId="0" applyNumberFormat="1" applyFont="1" applyFill="1" applyAlignment="1">
      <alignment vertical="center"/>
    </xf>
    <xf numFmtId="37" fontId="8" fillId="5" borderId="0" xfId="0" applyNumberFormat="1" applyFont="1" applyFill="1" applyAlignment="1">
      <alignment vertical="center"/>
    </xf>
    <xf numFmtId="37" fontId="8" fillId="5" borderId="0" xfId="0" applyNumberFormat="1" applyFont="1" applyFill="1" applyBorder="1" applyAlignment="1">
      <alignment vertical="center"/>
    </xf>
    <xf numFmtId="167" fontId="3" fillId="5" borderId="0" xfId="0" applyNumberFormat="1" applyFont="1" applyFill="1" applyBorder="1" applyAlignment="1">
      <alignment horizontal="center" wrapText="1"/>
    </xf>
    <xf numFmtId="167" fontId="3" fillId="5" borderId="0" xfId="0" applyNumberFormat="1" applyFont="1" applyFill="1" applyBorder="1" applyAlignment="1">
      <alignment horizontal="center" vertical="center" wrapText="1"/>
    </xf>
    <xf numFmtId="3" fontId="8" fillId="5" borderId="0" xfId="0" applyNumberFormat="1" applyFont="1" applyFill="1" applyBorder="1" applyAlignment="1">
      <alignment horizontal="right" vertical="center"/>
    </xf>
    <xf numFmtId="3" fontId="20" fillId="5" borderId="0" xfId="0" applyNumberFormat="1" applyFont="1" applyFill="1" applyBorder="1" applyAlignment="1">
      <alignment horizontal="center" vertical="center"/>
    </xf>
    <xf numFmtId="164" fontId="8" fillId="5" borderId="0" xfId="0" applyNumberFormat="1" applyFont="1" applyFill="1" applyBorder="1" applyAlignment="1">
      <alignment horizontal="center" wrapText="1"/>
    </xf>
    <xf numFmtId="37" fontId="8" fillId="0" borderId="0" xfId="0" applyNumberFormat="1" applyFont="1" applyFill="1" applyBorder="1" applyAlignment="1">
      <alignment wrapText="1"/>
    </xf>
    <xf numFmtId="37" fontId="8" fillId="0" borderId="0" xfId="0" applyNumberFormat="1" applyFont="1" applyFill="1" applyAlignment="1">
      <alignment wrapText="1"/>
    </xf>
    <xf numFmtId="170" fontId="8" fillId="0" borderId="0" xfId="0" applyNumberFormat="1" applyFont="1" applyFill="1" applyBorder="1" applyAlignment="1">
      <alignment horizontal="right" vertical="center"/>
    </xf>
    <xf numFmtId="37" fontId="0" fillId="0" borderId="0" xfId="0" applyNumberFormat="1" applyFill="1" applyAlignment="1"/>
    <xf numFmtId="37" fontId="8" fillId="0" borderId="0" xfId="0" applyNumberFormat="1" applyFont="1" applyFill="1" applyAlignment="1">
      <alignment horizontal="centerContinuous"/>
    </xf>
    <xf numFmtId="169" fontId="8" fillId="0" borderId="0" xfId="15" applyNumberFormat="1" applyFont="1" applyFill="1" applyAlignment="1">
      <alignment horizontal="centerContinuous"/>
    </xf>
    <xf numFmtId="169" fontId="8" fillId="0" borderId="9" xfId="15" applyNumberFormat="1" applyFont="1" applyFill="1" applyBorder="1" applyAlignment="1">
      <alignment horizontal="center" vertical="center"/>
    </xf>
    <xf numFmtId="37" fontId="4" fillId="0" borderId="0" xfId="0" applyNumberFormat="1" applyFont="1" applyFill="1" applyAlignment="1">
      <alignment vertical="top"/>
    </xf>
    <xf numFmtId="169" fontId="4" fillId="0" borderId="0" xfId="15" applyNumberFormat="1" applyFont="1" applyFill="1" applyAlignment="1">
      <alignment vertical="top"/>
    </xf>
    <xf numFmtId="169" fontId="8" fillId="0" borderId="0" xfId="15" applyNumberFormat="1" applyFont="1" applyFill="1"/>
    <xf numFmtId="37" fontId="7" fillId="0" borderId="0" xfId="0" applyNumberFormat="1" applyFont="1" applyFill="1" applyBorder="1" applyAlignment="1">
      <alignment vertical="center" wrapText="1"/>
    </xf>
    <xf numFmtId="37" fontId="8" fillId="0" borderId="0" xfId="0" applyNumberFormat="1" applyFont="1" applyFill="1" applyAlignment="1">
      <alignment vertical="center" wrapText="1"/>
    </xf>
    <xf numFmtId="37" fontId="7" fillId="0" borderId="0" xfId="0" applyNumberFormat="1" applyFont="1" applyFill="1" applyBorder="1" applyAlignment="1">
      <alignment vertical="center"/>
    </xf>
    <xf numFmtId="164" fontId="20" fillId="0" borderId="0" xfId="0" applyNumberFormat="1" applyFont="1" applyFill="1" applyBorder="1" applyAlignment="1">
      <alignment horizontal="right" vertical="center"/>
    </xf>
    <xf numFmtId="164" fontId="20" fillId="0" borderId="23" xfId="0" applyNumberFormat="1" applyFont="1" applyFill="1" applyBorder="1" applyAlignment="1">
      <alignment horizontal="center" vertical="center"/>
    </xf>
    <xf numFmtId="164" fontId="20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right" vertical="center"/>
    </xf>
    <xf numFmtId="37" fontId="28" fillId="0" borderId="0" xfId="0" applyNumberFormat="1" applyFont="1" applyFill="1" applyBorder="1" applyAlignment="1">
      <alignment horizontal="centerContinuous" vertical="center"/>
    </xf>
    <xf numFmtId="37" fontId="28" fillId="0" borderId="2" xfId="0" applyNumberFormat="1" applyFont="1" applyFill="1" applyBorder="1" applyAlignment="1">
      <alignment horizontal="centerContinuous" vertical="center"/>
    </xf>
    <xf numFmtId="37" fontId="28" fillId="5" borderId="0" xfId="0" applyNumberFormat="1" applyFont="1" applyFill="1" applyBorder="1" applyAlignment="1">
      <alignment horizontal="center" vertical="center" wrapText="1"/>
    </xf>
    <xf numFmtId="164" fontId="8" fillId="0" borderId="24" xfId="0" applyNumberFormat="1" applyFont="1" applyFill="1" applyBorder="1" applyAlignment="1">
      <alignment horizontal="center" vertical="center"/>
    </xf>
    <xf numFmtId="37" fontId="28" fillId="0" borderId="23" xfId="0" applyNumberFormat="1" applyFont="1" applyFill="1" applyBorder="1" applyAlignment="1">
      <alignment horizontal="centerContinuous" vertical="center"/>
    </xf>
    <xf numFmtId="37" fontId="29" fillId="0" borderId="0" xfId="7" applyNumberFormat="1" applyFont="1" applyFill="1" applyBorder="1" applyAlignment="1" applyProtection="1">
      <alignment horizontal="right"/>
    </xf>
    <xf numFmtId="37" fontId="10" fillId="0" borderId="0" xfId="9" applyFont="1" applyFill="1" applyBorder="1" applyAlignment="1" applyProtection="1">
      <alignment horizontal="left"/>
    </xf>
    <xf numFmtId="37" fontId="29" fillId="0" borderId="0" xfId="9" applyNumberFormat="1" applyFont="1" applyFill="1" applyBorder="1"/>
    <xf numFmtId="37" fontId="9" fillId="0" borderId="2" xfId="9" applyFont="1" applyFill="1" applyBorder="1" applyAlignment="1" applyProtection="1">
      <alignment horizontal="left"/>
    </xf>
    <xf numFmtId="37" fontId="9" fillId="0" borderId="2" xfId="9" applyNumberFormat="1" applyFont="1" applyFill="1" applyBorder="1" applyAlignment="1" applyProtection="1">
      <alignment horizontal="left"/>
    </xf>
    <xf numFmtId="37" fontId="32" fillId="0" borderId="2" xfId="9" applyNumberFormat="1" applyFont="1" applyFill="1" applyBorder="1" applyAlignment="1" applyProtection="1">
      <alignment horizontal="left"/>
    </xf>
    <xf numFmtId="37" fontId="29" fillId="0" borderId="2" xfId="9" applyNumberFormat="1" applyFont="1" applyFill="1" applyBorder="1" applyAlignment="1"/>
    <xf numFmtId="167" fontId="29" fillId="0" borderId="2" xfId="9" applyNumberFormat="1" applyFont="1" applyFill="1" applyBorder="1" applyAlignment="1"/>
    <xf numFmtId="37" fontId="29" fillId="0" borderId="2" xfId="9" applyNumberFormat="1" applyFont="1" applyFill="1" applyBorder="1"/>
    <xf numFmtId="37" fontId="29" fillId="0" borderId="2" xfId="9" applyNumberFormat="1" applyFont="1" applyFill="1" applyBorder="1" applyAlignment="1">
      <alignment horizontal="left" wrapText="1"/>
    </xf>
    <xf numFmtId="37" fontId="29" fillId="0" borderId="17" xfId="9" applyNumberFormat="1" applyFont="1" applyFill="1" applyBorder="1" applyAlignment="1" applyProtection="1">
      <alignment horizontal="center" wrapText="1"/>
    </xf>
    <xf numFmtId="37" fontId="29" fillId="0" borderId="26" xfId="9" applyNumberFormat="1" applyFont="1" applyFill="1" applyBorder="1" applyAlignment="1">
      <alignment horizontal="centerContinuous" wrapText="1"/>
    </xf>
    <xf numFmtId="37" fontId="29" fillId="4" borderId="27" xfId="9" applyFont="1" applyFill="1" applyBorder="1" applyAlignment="1">
      <alignment horizontal="center" wrapText="1"/>
    </xf>
    <xf numFmtId="3" fontId="8" fillId="0" borderId="0" xfId="0" applyNumberFormat="1" applyFont="1" applyFill="1" applyBorder="1" applyAlignment="1"/>
    <xf numFmtId="3" fontId="10" fillId="0" borderId="0" xfId="15" applyNumberFormat="1" applyFont="1" applyFill="1" applyBorder="1"/>
    <xf numFmtId="3" fontId="10" fillId="0" borderId="0" xfId="15" applyNumberFormat="1" applyFont="1" applyFill="1" applyBorder="1" applyAlignment="1">
      <alignment horizontal="right"/>
    </xf>
    <xf numFmtId="3" fontId="8" fillId="0" borderId="0" xfId="15" applyNumberFormat="1" applyFont="1" applyFill="1" applyBorder="1" applyAlignment="1">
      <alignment horizontal="right"/>
    </xf>
    <xf numFmtId="37" fontId="3" fillId="5" borderId="0" xfId="0" applyNumberFormat="1" applyFont="1" applyFill="1" applyAlignment="1">
      <alignment vertical="center"/>
    </xf>
    <xf numFmtId="37" fontId="3" fillId="0" borderId="0" xfId="0" applyNumberFormat="1" applyFont="1" applyFill="1" applyAlignment="1">
      <alignment vertical="center"/>
    </xf>
    <xf numFmtId="37" fontId="3" fillId="0" borderId="0" xfId="0" applyNumberFormat="1" applyFont="1" applyFill="1" applyBorder="1" applyAlignment="1">
      <alignment vertical="center"/>
    </xf>
    <xf numFmtId="37" fontId="4" fillId="0" borderId="0" xfId="0" applyNumberFormat="1" applyFont="1" applyAlignment="1">
      <alignment horizontal="centerContinuous"/>
    </xf>
    <xf numFmtId="37" fontId="4" fillId="0" borderId="8" xfId="0" applyNumberFormat="1" applyFont="1" applyBorder="1" applyAlignment="1">
      <alignment horizontal="center" vertical="center" wrapText="1"/>
    </xf>
    <xf numFmtId="37" fontId="4" fillId="0" borderId="0" xfId="0" applyNumberFormat="1" applyFont="1" applyFill="1" applyBorder="1" applyAlignment="1">
      <alignment horizontal="center" vertical="center" wrapText="1"/>
    </xf>
    <xf numFmtId="37" fontId="4" fillId="0" borderId="2" xfId="0" applyNumberFormat="1" applyFont="1" applyFill="1" applyBorder="1" applyAlignment="1">
      <alignment horizontal="center" vertical="center" wrapText="1"/>
    </xf>
    <xf numFmtId="37" fontId="4" fillId="0" borderId="20" xfId="0" applyNumberFormat="1" applyFont="1" applyFill="1" applyBorder="1" applyAlignment="1">
      <alignment horizontal="center" vertical="center" wrapText="1"/>
    </xf>
    <xf numFmtId="37" fontId="23" fillId="0" borderId="0" xfId="0" applyNumberFormat="1" applyFont="1" applyFill="1" applyBorder="1" applyAlignment="1"/>
    <xf numFmtId="37" fontId="10" fillId="0" borderId="29" xfId="0" applyNumberFormat="1" applyFont="1" applyFill="1" applyBorder="1" applyAlignment="1">
      <alignment horizontal="right"/>
    </xf>
    <xf numFmtId="3" fontId="10" fillId="0" borderId="2" xfId="15" applyNumberFormat="1" applyFont="1" applyFill="1" applyBorder="1" applyAlignment="1">
      <alignment horizontal="right"/>
    </xf>
    <xf numFmtId="3" fontId="8" fillId="0" borderId="23" xfId="0" applyNumberFormat="1" applyFont="1" applyFill="1" applyBorder="1" applyAlignment="1"/>
    <xf numFmtId="3" fontId="8" fillId="0" borderId="14" xfId="0" applyNumberFormat="1" applyFont="1" applyFill="1" applyBorder="1" applyAlignment="1"/>
    <xf numFmtId="37" fontId="29" fillId="0" borderId="14" xfId="9" applyNumberFormat="1" applyFont="1" applyFill="1" applyBorder="1" applyAlignment="1" applyProtection="1">
      <alignment horizontal="center" wrapText="1"/>
    </xf>
    <xf numFmtId="37" fontId="10" fillId="0" borderId="12" xfId="0" applyNumberFormat="1" applyFont="1" applyFill="1" applyBorder="1" applyAlignment="1"/>
    <xf numFmtId="9" fontId="8" fillId="0" borderId="0" xfId="15" applyFont="1" applyFill="1" applyBorder="1" applyAlignment="1"/>
    <xf numFmtId="3" fontId="10" fillId="0" borderId="0" xfId="0" applyNumberFormat="1" applyFont="1" applyFill="1" applyBorder="1" applyAlignment="1"/>
    <xf numFmtId="3" fontId="10" fillId="0" borderId="2" xfId="15" applyNumberFormat="1" applyFont="1" applyFill="1" applyBorder="1"/>
    <xf numFmtId="37" fontId="25" fillId="0" borderId="4" xfId="0" applyNumberFormat="1" applyFont="1" applyFill="1" applyBorder="1" applyAlignment="1">
      <alignment horizontal="left" vertical="center" wrapText="1"/>
    </xf>
    <xf numFmtId="37" fontId="33" fillId="6" borderId="0" xfId="7" applyFont="1" applyFill="1" applyBorder="1" applyAlignment="1">
      <alignment horizontal="right"/>
    </xf>
    <xf numFmtId="37" fontId="33" fillId="6" borderId="0" xfId="7" applyFont="1" applyFill="1" applyBorder="1" applyAlignment="1" applyProtection="1">
      <alignment horizontal="right"/>
    </xf>
    <xf numFmtId="37" fontId="33" fillId="9" borderId="0" xfId="7" applyFont="1" applyFill="1" applyBorder="1" applyAlignment="1" applyProtection="1">
      <alignment horizontal="right"/>
    </xf>
    <xf numFmtId="37" fontId="33" fillId="9" borderId="0" xfId="7" applyFont="1" applyFill="1" applyBorder="1" applyAlignment="1">
      <alignment horizontal="right"/>
    </xf>
    <xf numFmtId="167" fontId="33" fillId="9" borderId="0" xfId="7" applyNumberFormat="1" applyFont="1" applyFill="1" applyBorder="1" applyAlignment="1">
      <alignment horizontal="right"/>
    </xf>
    <xf numFmtId="37" fontId="9" fillId="0" borderId="2" xfId="9" applyNumberFormat="1" applyFont="1" applyFill="1" applyBorder="1" applyAlignment="1" applyProtection="1">
      <alignment horizontal="center"/>
    </xf>
    <xf numFmtId="3" fontId="10" fillId="0" borderId="17" xfId="0" applyNumberFormat="1" applyFont="1" applyFill="1" applyBorder="1" applyAlignment="1"/>
    <xf numFmtId="37" fontId="6" fillId="0" borderId="0" xfId="0" applyNumberFormat="1" applyFont="1" applyFill="1" applyBorder="1" applyAlignment="1">
      <alignment horizontal="left" vertical="center"/>
    </xf>
    <xf numFmtId="37" fontId="10" fillId="6" borderId="0" xfId="7" applyFont="1" applyFill="1" applyBorder="1" applyAlignment="1" applyProtection="1"/>
    <xf numFmtId="167" fontId="10" fillId="6" borderId="0" xfId="7" applyNumberFormat="1" applyFont="1" applyFill="1" applyBorder="1" applyAlignment="1">
      <alignment horizontal="left"/>
    </xf>
    <xf numFmtId="37" fontId="39" fillId="6" borderId="0" xfId="7" applyFont="1" applyFill="1" applyBorder="1" applyAlignment="1">
      <alignment horizontal="right"/>
    </xf>
    <xf numFmtId="37" fontId="10" fillId="9" borderId="0" xfId="7" applyFont="1" applyFill="1" applyBorder="1" applyAlignment="1"/>
    <xf numFmtId="37" fontId="39" fillId="9" borderId="0" xfId="8" applyFont="1" applyFill="1" applyBorder="1" applyAlignment="1">
      <alignment horizontal="right"/>
    </xf>
    <xf numFmtId="37" fontId="10" fillId="6" borderId="0" xfId="7" applyFont="1" applyFill="1" applyBorder="1" applyAlignment="1"/>
    <xf numFmtId="37" fontId="39" fillId="9" borderId="0" xfId="7" applyFont="1" applyFill="1" applyBorder="1" applyAlignment="1">
      <alignment horizontal="right"/>
    </xf>
    <xf numFmtId="37" fontId="40" fillId="0" borderId="0" xfId="0" applyNumberFormat="1" applyFont="1" applyAlignment="1"/>
    <xf numFmtId="37" fontId="41" fillId="0" borderId="0" xfId="0" applyNumberFormat="1" applyFont="1" applyAlignment="1"/>
    <xf numFmtId="9" fontId="8" fillId="0" borderId="0" xfId="15" applyFont="1" applyFill="1" applyBorder="1" applyAlignment="1">
      <alignment vertical="center"/>
    </xf>
    <xf numFmtId="37" fontId="22" fillId="0" borderId="0" xfId="0" applyNumberFormat="1" applyFont="1" applyFill="1" applyAlignment="1">
      <alignment vertical="center"/>
    </xf>
    <xf numFmtId="3" fontId="8" fillId="0" borderId="0" xfId="0" quotePrefix="1" applyNumberFormat="1" applyFont="1" applyFill="1" applyBorder="1" applyAlignment="1">
      <alignment horizontal="right" vertical="center"/>
    </xf>
    <xf numFmtId="3" fontId="8" fillId="0" borderId="23" xfId="0" quotePrefix="1" applyNumberFormat="1" applyFont="1" applyFill="1" applyBorder="1" applyAlignment="1">
      <alignment horizontal="center" vertical="center"/>
    </xf>
    <xf numFmtId="39" fontId="8" fillId="0" borderId="0" xfId="0" applyNumberFormat="1" applyFont="1" applyFill="1" applyAlignment="1">
      <alignment vertical="center"/>
    </xf>
    <xf numFmtId="37" fontId="3" fillId="0" borderId="0" xfId="0" applyNumberFormat="1" applyFont="1" applyFill="1" applyBorder="1" applyAlignment="1">
      <alignment horizontal="center" vertical="center" wrapText="1"/>
    </xf>
    <xf numFmtId="37" fontId="10" fillId="0" borderId="2" xfId="9" applyFont="1" applyFill="1" applyBorder="1" applyAlignment="1" applyProtection="1">
      <alignment horizontal="left"/>
    </xf>
    <xf numFmtId="167" fontId="29" fillId="0" borderId="0" xfId="9" applyNumberFormat="1" applyFont="1" applyFill="1" applyBorder="1"/>
    <xf numFmtId="167" fontId="29" fillId="4" borderId="20" xfId="9" applyNumberFormat="1" applyFont="1" applyFill="1" applyBorder="1"/>
    <xf numFmtId="37" fontId="10" fillId="0" borderId="33" xfId="9" applyNumberFormat="1" applyFont="1" applyFill="1" applyBorder="1"/>
    <xf numFmtId="167" fontId="10" fillId="0" borderId="18" xfId="7" applyNumberFormat="1" applyFont="1" applyFill="1" applyBorder="1" applyAlignment="1">
      <alignment horizontal="left"/>
    </xf>
    <xf numFmtId="167" fontId="29" fillId="0" borderId="9" xfId="9" applyNumberFormat="1" applyFont="1" applyFill="1" applyBorder="1"/>
    <xf numFmtId="167" fontId="29" fillId="4" borderId="0" xfId="9" applyNumberFormat="1" applyFont="1" applyFill="1" applyBorder="1"/>
    <xf numFmtId="37" fontId="10" fillId="0" borderId="33" xfId="9" applyNumberFormat="1" applyFont="1" applyFill="1" applyBorder="1" applyAlignment="1"/>
    <xf numFmtId="37" fontId="10" fillId="0" borderId="9" xfId="9" applyNumberFormat="1" applyFont="1" applyFill="1" applyBorder="1" applyAlignment="1">
      <alignment horizontal="centerContinuous" wrapText="1"/>
    </xf>
    <xf numFmtId="37" fontId="10" fillId="0" borderId="33" xfId="9" applyNumberFormat="1" applyFont="1" applyFill="1" applyBorder="1" applyAlignment="1" applyProtection="1">
      <alignment horizontal="centerContinuous" wrapText="1"/>
    </xf>
    <xf numFmtId="167" fontId="10" fillId="4" borderId="0" xfId="9" applyNumberFormat="1" applyFont="1" applyFill="1" applyBorder="1"/>
    <xf numFmtId="167" fontId="29" fillId="7" borderId="23" xfId="7" applyNumberFormat="1" applyFont="1" applyFill="1" applyBorder="1" applyAlignment="1">
      <alignment horizontal="left"/>
    </xf>
    <xf numFmtId="37" fontId="29" fillId="4" borderId="0" xfId="9" applyFont="1" applyFill="1" applyBorder="1" applyAlignment="1">
      <alignment horizontal="center" wrapText="1"/>
    </xf>
    <xf numFmtId="37" fontId="29" fillId="4" borderId="23" xfId="7" applyFont="1" applyFill="1" applyBorder="1" applyAlignment="1">
      <alignment horizontal="center" wrapText="1"/>
    </xf>
    <xf numFmtId="37" fontId="29" fillId="4" borderId="23" xfId="7" applyNumberFormat="1" applyFont="1" applyFill="1" applyBorder="1" applyAlignment="1">
      <alignment horizontal="right"/>
    </xf>
    <xf numFmtId="37" fontId="29" fillId="4" borderId="0" xfId="7" applyNumberFormat="1" applyFont="1" applyFill="1" applyBorder="1" applyAlignment="1">
      <alignment horizontal="right"/>
    </xf>
    <xf numFmtId="37" fontId="29" fillId="4" borderId="27" xfId="7" applyNumberFormat="1" applyFont="1" applyFill="1" applyBorder="1" applyAlignment="1">
      <alignment horizontal="right"/>
    </xf>
    <xf numFmtId="37" fontId="33" fillId="11" borderId="0" xfId="7" applyFont="1" applyFill="1" applyBorder="1" applyAlignment="1">
      <alignment horizontal="right"/>
    </xf>
    <xf numFmtId="37" fontId="33" fillId="11" borderId="0" xfId="7" applyFont="1" applyFill="1" applyBorder="1" applyAlignment="1" applyProtection="1">
      <alignment horizontal="right"/>
    </xf>
    <xf numFmtId="37" fontId="10" fillId="11" borderId="0" xfId="7" applyFont="1" applyFill="1" applyBorder="1" applyAlignment="1"/>
    <xf numFmtId="37" fontId="43" fillId="11" borderId="0" xfId="7" applyFont="1" applyFill="1" applyBorder="1" applyAlignment="1" applyProtection="1">
      <alignment horizontal="right"/>
    </xf>
    <xf numFmtId="37" fontId="39" fillId="11" borderId="0" xfId="10" applyFont="1" applyFill="1" applyBorder="1" applyAlignment="1">
      <alignment horizontal="center"/>
    </xf>
    <xf numFmtId="167" fontId="33" fillId="8" borderId="0" xfId="7" applyNumberFormat="1" applyFont="1" applyFill="1" applyBorder="1" applyAlignment="1">
      <alignment horizontal="right"/>
    </xf>
    <xf numFmtId="37" fontId="33" fillId="8" borderId="0" xfId="7" applyFont="1" applyFill="1" applyBorder="1" applyAlignment="1">
      <alignment horizontal="right"/>
    </xf>
    <xf numFmtId="37" fontId="10" fillId="8" borderId="0" xfId="7" applyFont="1" applyFill="1" applyBorder="1" applyAlignment="1"/>
    <xf numFmtId="37" fontId="39" fillId="8" borderId="0" xfId="7" applyFont="1" applyFill="1" applyBorder="1" applyAlignment="1">
      <alignment horizontal="right"/>
    </xf>
    <xf numFmtId="37" fontId="33" fillId="12" borderId="0" xfId="7" applyFont="1" applyFill="1" applyBorder="1" applyAlignment="1" applyProtection="1">
      <alignment horizontal="right"/>
    </xf>
    <xf numFmtId="37" fontId="10" fillId="12" borderId="0" xfId="7" applyFont="1" applyFill="1" applyBorder="1" applyAlignment="1"/>
    <xf numFmtId="37" fontId="33" fillId="12" borderId="0" xfId="7" applyFont="1" applyFill="1" applyBorder="1" applyAlignment="1">
      <alignment horizontal="right"/>
    </xf>
    <xf numFmtId="37" fontId="10" fillId="12" borderId="0" xfId="7" applyFont="1" applyFill="1" applyBorder="1" applyAlignment="1">
      <alignment horizontal="left"/>
    </xf>
    <xf numFmtId="37" fontId="38" fillId="12" borderId="0" xfId="8" applyFont="1" applyFill="1" applyBorder="1" applyAlignment="1">
      <alignment horizontal="right"/>
    </xf>
    <xf numFmtId="37" fontId="39" fillId="12" borderId="0" xfId="7" applyFont="1" applyFill="1" applyBorder="1" applyAlignment="1">
      <alignment horizontal="right"/>
    </xf>
    <xf numFmtId="167" fontId="33" fillId="7" borderId="0" xfId="7" applyNumberFormat="1" applyFont="1" applyFill="1" applyBorder="1" applyAlignment="1" applyProtection="1">
      <alignment horizontal="right"/>
    </xf>
    <xf numFmtId="167" fontId="33" fillId="7" borderId="0" xfId="7" applyNumberFormat="1" applyFont="1" applyFill="1" applyBorder="1" applyAlignment="1">
      <alignment horizontal="right"/>
    </xf>
    <xf numFmtId="167" fontId="10" fillId="7" borderId="0" xfId="7" applyNumberFormat="1" applyFont="1" applyFill="1" applyBorder="1" applyAlignment="1"/>
    <xf numFmtId="37" fontId="33" fillId="7" borderId="0" xfId="7" applyFont="1" applyFill="1" applyBorder="1" applyAlignment="1">
      <alignment horizontal="right"/>
    </xf>
    <xf numFmtId="167" fontId="39" fillId="7" borderId="0" xfId="7" applyNumberFormat="1" applyFont="1" applyFill="1" applyBorder="1" applyAlignment="1">
      <alignment horizontal="right"/>
    </xf>
    <xf numFmtId="37" fontId="33" fillId="13" borderId="0" xfId="7" applyFont="1" applyFill="1" applyBorder="1" applyAlignment="1">
      <alignment horizontal="right"/>
    </xf>
    <xf numFmtId="0" fontId="33" fillId="13" borderId="0" xfId="7" applyNumberFormat="1" applyFont="1" applyFill="1" applyBorder="1" applyAlignment="1">
      <alignment horizontal="right"/>
    </xf>
    <xf numFmtId="37" fontId="33" fillId="13" borderId="0" xfId="7" applyFont="1" applyFill="1" applyBorder="1" applyAlignment="1" applyProtection="1">
      <alignment horizontal="right"/>
    </xf>
    <xf numFmtId="37" fontId="10" fillId="13" borderId="0" xfId="7" applyFont="1" applyFill="1" applyBorder="1" applyAlignment="1">
      <alignment horizontal="left"/>
    </xf>
    <xf numFmtId="37" fontId="39" fillId="13" borderId="0" xfId="7" applyFont="1" applyFill="1" applyBorder="1" applyAlignment="1" applyProtection="1">
      <alignment horizontal="right"/>
    </xf>
    <xf numFmtId="167" fontId="33" fillId="11" borderId="0" xfId="7" applyNumberFormat="1" applyFont="1" applyFill="1" applyBorder="1" applyAlignment="1">
      <alignment horizontal="right"/>
    </xf>
    <xf numFmtId="167" fontId="10" fillId="11" borderId="0" xfId="7" applyNumberFormat="1" applyFont="1" applyFill="1" applyBorder="1" applyAlignment="1"/>
    <xf numFmtId="167" fontId="39" fillId="11" borderId="0" xfId="7" applyNumberFormat="1" applyFont="1" applyFill="1" applyBorder="1" applyAlignment="1" applyProtection="1">
      <alignment horizontal="right"/>
    </xf>
    <xf numFmtId="37" fontId="33" fillId="14" borderId="0" xfId="7" applyFont="1" applyFill="1" applyBorder="1" applyAlignment="1" applyProtection="1">
      <alignment horizontal="right"/>
    </xf>
    <xf numFmtId="37" fontId="33" fillId="14" borderId="0" xfId="7" applyFont="1" applyFill="1" applyBorder="1" applyAlignment="1">
      <alignment horizontal="right"/>
    </xf>
    <xf numFmtId="37" fontId="10" fillId="14" borderId="0" xfId="7" applyFont="1" applyFill="1" applyBorder="1" applyAlignment="1">
      <alignment horizontal="left"/>
    </xf>
    <xf numFmtId="37" fontId="33" fillId="8" borderId="0" xfId="7" applyFont="1" applyFill="1" applyBorder="1" applyAlignment="1" applyProtection="1">
      <alignment horizontal="right"/>
    </xf>
    <xf numFmtId="37" fontId="10" fillId="14" borderId="0" xfId="7" applyFont="1" applyFill="1" applyBorder="1" applyAlignment="1" applyProtection="1">
      <alignment horizontal="left"/>
    </xf>
    <xf numFmtId="37" fontId="39" fillId="6" borderId="0" xfId="7" applyFont="1" applyFill="1" applyBorder="1" applyAlignment="1" applyProtection="1">
      <alignment horizontal="right"/>
    </xf>
    <xf numFmtId="3" fontId="10" fillId="0" borderId="23" xfId="0" applyNumberFormat="1" applyFont="1" applyFill="1" applyBorder="1" applyAlignment="1"/>
    <xf numFmtId="37" fontId="22" fillId="8" borderId="0" xfId="7" applyNumberFormat="1" applyFont="1" applyFill="1" applyBorder="1" applyAlignment="1">
      <alignment horizontal="center"/>
    </xf>
    <xf numFmtId="37" fontId="29" fillId="0" borderId="0" xfId="9" applyNumberFormat="1" applyFont="1" applyFill="1" applyAlignment="1">
      <alignment horizontal="left"/>
    </xf>
    <xf numFmtId="167" fontId="29" fillId="0" borderId="0" xfId="9" applyNumberFormat="1" applyFont="1" applyFill="1" applyAlignment="1">
      <alignment horizontal="left"/>
    </xf>
    <xf numFmtId="37" fontId="39" fillId="13" borderId="0" xfId="8" applyFont="1" applyFill="1" applyBorder="1" applyAlignment="1">
      <alignment horizontal="right"/>
    </xf>
    <xf numFmtId="37" fontId="10" fillId="0" borderId="7" xfId="0" applyNumberFormat="1" applyFont="1" applyFill="1" applyBorder="1" applyAlignment="1"/>
    <xf numFmtId="37" fontId="33" fillId="0" borderId="21" xfId="0" applyNumberFormat="1" applyFont="1" applyBorder="1" applyAlignment="1">
      <alignment horizontal="right" vertical="top"/>
    </xf>
    <xf numFmtId="37" fontId="10" fillId="0" borderId="37" xfId="0" applyNumberFormat="1" applyFont="1" applyFill="1" applyBorder="1" applyAlignment="1"/>
    <xf numFmtId="37" fontId="10" fillId="0" borderId="44" xfId="0" applyNumberFormat="1" applyFont="1" applyFill="1" applyBorder="1" applyAlignment="1"/>
    <xf numFmtId="37" fontId="10" fillId="0" borderId="38" xfId="0" applyNumberFormat="1" applyFont="1" applyFill="1" applyBorder="1" applyAlignment="1"/>
    <xf numFmtId="37" fontId="10" fillId="0" borderId="46" xfId="0" applyNumberFormat="1" applyFont="1" applyFill="1" applyBorder="1" applyAlignment="1"/>
    <xf numFmtId="37" fontId="10" fillId="8" borderId="0" xfId="8" applyFont="1" applyFill="1" applyBorder="1" applyAlignment="1">
      <alignment horizontal="right"/>
    </xf>
    <xf numFmtId="37" fontId="3" fillId="0" borderId="18" xfId="0" applyNumberFormat="1" applyFont="1" applyFill="1" applyBorder="1" applyAlignment="1" applyProtection="1">
      <alignment horizontal="centerContinuous" vertical="center" wrapText="1"/>
    </xf>
    <xf numFmtId="37" fontId="3" fillId="0" borderId="9" xfId="0" applyNumberFormat="1" applyFont="1" applyFill="1" applyBorder="1" applyAlignment="1" applyProtection="1">
      <alignment horizontal="centerContinuous" vertical="center" wrapText="1"/>
    </xf>
    <xf numFmtId="37" fontId="3" fillId="0" borderId="19" xfId="0" applyNumberFormat="1" applyFont="1" applyFill="1" applyBorder="1" applyAlignment="1" applyProtection="1">
      <alignment horizontal="centerContinuous" vertical="center" wrapText="1"/>
    </xf>
    <xf numFmtId="37" fontId="3" fillId="0" borderId="19" xfId="0" applyNumberFormat="1" applyFont="1" applyFill="1" applyBorder="1" applyAlignment="1">
      <alignment horizontal="center" wrapText="1"/>
    </xf>
    <xf numFmtId="37" fontId="3" fillId="0" borderId="10" xfId="0" applyNumberFormat="1" applyFont="1" applyFill="1" applyBorder="1" applyAlignment="1" applyProtection="1">
      <alignment horizontal="centerContinuous" vertical="center" wrapText="1"/>
    </xf>
    <xf numFmtId="37" fontId="3" fillId="0" borderId="2" xfId="0" applyNumberFormat="1" applyFont="1" applyFill="1" applyBorder="1" applyAlignment="1" applyProtection="1">
      <alignment horizontal="centerContinuous" vertical="center" wrapText="1"/>
    </xf>
    <xf numFmtId="37" fontId="3" fillId="0" borderId="24" xfId="0" applyNumberFormat="1" applyFont="1" applyFill="1" applyBorder="1" applyAlignment="1" applyProtection="1">
      <alignment horizontal="centerContinuous" vertical="center" wrapText="1"/>
    </xf>
    <xf numFmtId="37" fontId="45" fillId="0" borderId="9" xfId="0" applyNumberFormat="1" applyFont="1" applyFill="1" applyBorder="1" applyAlignment="1" applyProtection="1">
      <alignment horizontal="centerContinuous" vertical="center" wrapText="1"/>
    </xf>
    <xf numFmtId="167" fontId="45" fillId="0" borderId="9" xfId="0" applyNumberFormat="1" applyFont="1" applyFill="1" applyBorder="1" applyAlignment="1" applyProtection="1">
      <alignment horizontal="center" wrapText="1"/>
    </xf>
    <xf numFmtId="37" fontId="45" fillId="0" borderId="9" xfId="0" applyNumberFormat="1" applyFont="1" applyFill="1" applyBorder="1" applyAlignment="1">
      <alignment horizontal="center" wrapText="1"/>
    </xf>
    <xf numFmtId="164" fontId="8" fillId="0" borderId="23" xfId="0" applyNumberFormat="1" applyFont="1" applyFill="1" applyBorder="1" applyAlignment="1">
      <alignment vertical="center"/>
    </xf>
    <xf numFmtId="164" fontId="8" fillId="0" borderId="0" xfId="0" applyNumberFormat="1" applyFont="1" applyFill="1" applyBorder="1" applyAlignment="1">
      <alignment vertical="center"/>
    </xf>
    <xf numFmtId="164" fontId="8" fillId="0" borderId="14" xfId="0" applyNumberFormat="1" applyFont="1" applyFill="1" applyBorder="1" applyAlignment="1">
      <alignment vertical="center"/>
    </xf>
    <xf numFmtId="3" fontId="42" fillId="0" borderId="23" xfId="0" applyNumberFormat="1" applyFont="1" applyFill="1" applyBorder="1" applyAlignment="1">
      <alignment vertical="center"/>
    </xf>
    <xf numFmtId="3" fontId="8" fillId="0" borderId="23" xfId="0" applyNumberFormat="1" applyFont="1" applyFill="1" applyBorder="1" applyAlignment="1">
      <alignment vertical="center"/>
    </xf>
    <xf numFmtId="3" fontId="8" fillId="0" borderId="23" xfId="0" quotePrefix="1" applyNumberFormat="1" applyFont="1" applyFill="1" applyBorder="1" applyAlignment="1">
      <alignment vertical="center"/>
    </xf>
    <xf numFmtId="3" fontId="8" fillId="0" borderId="14" xfId="0" quotePrefix="1" applyNumberFormat="1" applyFont="1" applyFill="1" applyBorder="1" applyAlignment="1">
      <alignment vertical="center"/>
    </xf>
    <xf numFmtId="3" fontId="42" fillId="0" borderId="0" xfId="0" quotePrefix="1" applyNumberFormat="1" applyFont="1" applyFill="1" applyBorder="1" applyAlignment="1">
      <alignment vertical="center"/>
    </xf>
    <xf numFmtId="3" fontId="8" fillId="0" borderId="0" xfId="0" quotePrefix="1" applyNumberFormat="1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vertical="center"/>
    </xf>
    <xf numFmtId="3" fontId="8" fillId="0" borderId="14" xfId="0" applyNumberFormat="1" applyFont="1" applyFill="1" applyBorder="1" applyAlignment="1">
      <alignment vertical="center"/>
    </xf>
    <xf numFmtId="3" fontId="42" fillId="0" borderId="0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3" fontId="8" fillId="0" borderId="22" xfId="0" applyNumberFormat="1" applyFont="1" applyFill="1" applyBorder="1" applyAlignment="1">
      <alignment vertical="center"/>
    </xf>
    <xf numFmtId="3" fontId="42" fillId="0" borderId="2" xfId="0" applyNumberFormat="1" applyFont="1" applyFill="1" applyBorder="1" applyAlignment="1">
      <alignment vertical="center"/>
    </xf>
    <xf numFmtId="37" fontId="8" fillId="0" borderId="23" xfId="0" applyNumberFormat="1" applyFont="1" applyFill="1" applyBorder="1" applyAlignment="1"/>
    <xf numFmtId="37" fontId="45" fillId="0" borderId="6" xfId="0" applyNumberFormat="1" applyFont="1" applyFill="1" applyBorder="1" applyAlignment="1" applyProtection="1">
      <alignment horizontal="centerContinuous" vertical="center" wrapText="1"/>
    </xf>
    <xf numFmtId="37" fontId="3" fillId="0" borderId="11" xfId="0" applyNumberFormat="1" applyFont="1" applyFill="1" applyBorder="1" applyAlignment="1" applyProtection="1">
      <alignment horizontal="centerContinuous" vertical="center" wrapText="1"/>
    </xf>
    <xf numFmtId="37" fontId="8" fillId="0" borderId="10" xfId="0" applyNumberFormat="1" applyFont="1" applyFill="1" applyBorder="1" applyAlignment="1"/>
    <xf numFmtId="3" fontId="8" fillId="0" borderId="20" xfId="0" applyNumberFormat="1" applyFont="1" applyFill="1" applyBorder="1" applyAlignment="1">
      <alignment vertical="center"/>
    </xf>
    <xf numFmtId="3" fontId="8" fillId="0" borderId="47" xfId="0" applyNumberFormat="1" applyFont="1" applyFill="1" applyBorder="1" applyAlignment="1">
      <alignment vertical="center"/>
    </xf>
    <xf numFmtId="37" fontId="8" fillId="0" borderId="24" xfId="0" applyNumberFormat="1" applyFont="1" applyFill="1" applyBorder="1" applyAlignment="1"/>
    <xf numFmtId="37" fontId="45" fillId="0" borderId="10" xfId="0" applyNumberFormat="1" applyFont="1" applyFill="1" applyBorder="1" applyAlignment="1" applyProtection="1">
      <alignment horizontal="centerContinuous" vertical="center" wrapText="1"/>
    </xf>
    <xf numFmtId="37" fontId="8" fillId="0" borderId="0" xfId="0" quotePrefix="1" applyNumberFormat="1" applyFont="1" applyFill="1" applyAlignment="1"/>
    <xf numFmtId="37" fontId="8" fillId="0" borderId="2" xfId="0" quotePrefix="1" applyNumberFormat="1" applyFont="1" applyFill="1" applyBorder="1" applyAlignment="1"/>
    <xf numFmtId="37" fontId="6" fillId="0" borderId="9" xfId="0" applyNumberFormat="1" applyFont="1" applyFill="1" applyBorder="1" applyAlignment="1">
      <alignment vertical="center"/>
    </xf>
    <xf numFmtId="3" fontId="42" fillId="0" borderId="17" xfId="0" applyNumberFormat="1" applyFont="1" applyFill="1" applyBorder="1" applyAlignment="1">
      <alignment vertical="center"/>
    </xf>
    <xf numFmtId="3" fontId="42" fillId="0" borderId="6" xfId="0" applyNumberFormat="1" applyFont="1" applyFill="1" applyBorder="1" applyAlignment="1">
      <alignment vertical="center"/>
    </xf>
    <xf numFmtId="37" fontId="42" fillId="0" borderId="24" xfId="0" applyNumberFormat="1" applyFont="1" applyFill="1" applyBorder="1" applyAlignment="1"/>
    <xf numFmtId="37" fontId="42" fillId="0" borderId="23" xfId="0" applyNumberFormat="1" applyFont="1" applyFill="1" applyBorder="1" applyAlignment="1"/>
    <xf numFmtId="37" fontId="42" fillId="0" borderId="10" xfId="0" applyNumberFormat="1" applyFont="1" applyFill="1" applyBorder="1" applyAlignment="1"/>
    <xf numFmtId="37" fontId="0" fillId="0" borderId="2" xfId="0" applyNumberFormat="1" applyFill="1" applyBorder="1" applyAlignment="1"/>
    <xf numFmtId="37" fontId="45" fillId="0" borderId="10" xfId="0" applyNumberFormat="1" applyFont="1" applyFill="1" applyBorder="1" applyAlignment="1" applyProtection="1">
      <alignment horizontal="centerContinuous" wrapText="1"/>
    </xf>
    <xf numFmtId="3" fontId="42" fillId="0" borderId="0" xfId="0" applyNumberFormat="1" applyFont="1" applyFill="1" applyBorder="1" applyAlignment="1">
      <alignment horizontal="right" vertical="center"/>
    </xf>
    <xf numFmtId="3" fontId="8" fillId="0" borderId="24" xfId="0" applyNumberFormat="1" applyFont="1" applyFill="1" applyBorder="1" applyAlignment="1">
      <alignment horizontal="right" vertical="center"/>
    </xf>
    <xf numFmtId="3" fontId="42" fillId="0" borderId="47" xfId="0" applyNumberFormat="1" applyFont="1" applyFill="1" applyBorder="1" applyAlignment="1">
      <alignment horizontal="right" vertical="center"/>
    </xf>
    <xf numFmtId="3" fontId="42" fillId="0" borderId="20" xfId="0" applyNumberFormat="1" applyFont="1" applyFill="1" applyBorder="1" applyAlignment="1">
      <alignment horizontal="right" vertical="center"/>
    </xf>
    <xf numFmtId="3" fontId="42" fillId="0" borderId="2" xfId="0" applyNumberFormat="1" applyFont="1" applyFill="1" applyBorder="1" applyAlignment="1">
      <alignment horizontal="right" vertical="center"/>
    </xf>
    <xf numFmtId="3" fontId="42" fillId="0" borderId="14" xfId="0" applyNumberFormat="1" applyFont="1" applyFill="1" applyBorder="1" applyAlignment="1">
      <alignment horizontal="right" vertical="center"/>
    </xf>
    <xf numFmtId="3" fontId="42" fillId="0" borderId="22" xfId="0" applyNumberFormat="1" applyFont="1" applyFill="1" applyBorder="1" applyAlignment="1">
      <alignment horizontal="right" vertical="center"/>
    </xf>
    <xf numFmtId="37" fontId="3" fillId="0" borderId="6" xfId="0" applyNumberFormat="1" applyFont="1" applyFill="1" applyBorder="1" applyAlignment="1" applyProtection="1">
      <alignment horizontal="centerContinuous" vertical="center" wrapText="1"/>
    </xf>
    <xf numFmtId="37" fontId="45" fillId="0" borderId="9" xfId="0" applyNumberFormat="1" applyFont="1" applyFill="1" applyBorder="1" applyAlignment="1" applyProtection="1">
      <alignment horizontal="centerContinuous" wrapText="1"/>
    </xf>
    <xf numFmtId="9" fontId="42" fillId="0" borderId="20" xfId="15" applyFont="1" applyFill="1" applyBorder="1" applyAlignment="1">
      <alignment horizontal="right" vertical="center"/>
    </xf>
    <xf numFmtId="9" fontId="42" fillId="0" borderId="0" xfId="15" applyFont="1" applyFill="1" applyBorder="1" applyAlignment="1">
      <alignment horizontal="right" vertical="center"/>
    </xf>
    <xf numFmtId="9" fontId="42" fillId="0" borderId="14" xfId="15" applyFont="1" applyFill="1" applyBorder="1" applyAlignment="1">
      <alignment horizontal="right" vertical="center"/>
    </xf>
    <xf numFmtId="9" fontId="42" fillId="0" borderId="2" xfId="15" applyFont="1" applyFill="1" applyBorder="1" applyAlignment="1">
      <alignment horizontal="right" vertical="center"/>
    </xf>
    <xf numFmtId="9" fontId="42" fillId="0" borderId="22" xfId="15" applyFont="1" applyFill="1" applyBorder="1" applyAlignment="1">
      <alignment horizontal="right" vertical="center"/>
    </xf>
    <xf numFmtId="37" fontId="8" fillId="0" borderId="9" xfId="0" applyNumberFormat="1" applyFont="1" applyFill="1" applyBorder="1" applyAlignment="1" applyProtection="1">
      <alignment horizontal="center" wrapText="1"/>
    </xf>
    <xf numFmtId="9" fontId="42" fillId="0" borderId="24" xfId="15" applyFont="1" applyFill="1" applyBorder="1" applyAlignment="1">
      <alignment horizontal="right" vertical="center"/>
    </xf>
    <xf numFmtId="9" fontId="42" fillId="0" borderId="47" xfId="15" applyFont="1" applyFill="1" applyBorder="1" applyAlignment="1">
      <alignment horizontal="right" vertical="center"/>
    </xf>
    <xf numFmtId="9" fontId="42" fillId="0" borderId="23" xfId="15" applyFont="1" applyFill="1" applyBorder="1" applyAlignment="1">
      <alignment horizontal="right" vertical="center"/>
    </xf>
    <xf numFmtId="9" fontId="42" fillId="0" borderId="10" xfId="15" applyFont="1" applyFill="1" applyBorder="1" applyAlignment="1">
      <alignment horizontal="right" vertical="center"/>
    </xf>
    <xf numFmtId="3" fontId="8" fillId="0" borderId="2" xfId="0" applyNumberFormat="1" applyFont="1" applyFill="1" applyBorder="1" applyAlignment="1">
      <alignment horizontal="right"/>
    </xf>
    <xf numFmtId="168" fontId="8" fillId="0" borderId="0" xfId="0" applyNumberFormat="1" applyFont="1" applyFill="1" applyBorder="1" applyAlignment="1">
      <alignment horizontal="right" vertical="center"/>
    </xf>
    <xf numFmtId="9" fontId="42" fillId="0" borderId="24" xfId="15" applyFont="1" applyFill="1" applyBorder="1" applyAlignment="1">
      <alignment horizontal="center" vertical="center"/>
    </xf>
    <xf numFmtId="9" fontId="42" fillId="0" borderId="23" xfId="15" applyFont="1" applyFill="1" applyBorder="1" applyAlignment="1">
      <alignment horizontal="center" vertical="center"/>
    </xf>
    <xf numFmtId="9" fontId="42" fillId="0" borderId="10" xfId="15" applyFont="1" applyFill="1" applyBorder="1" applyAlignment="1">
      <alignment horizontal="center" vertical="center"/>
    </xf>
    <xf numFmtId="169" fontId="42" fillId="0" borderId="0" xfId="15" applyNumberFormat="1" applyFont="1" applyFill="1" applyBorder="1" applyAlignment="1">
      <alignment horizontal="right" vertical="center"/>
    </xf>
    <xf numFmtId="37" fontId="0" fillId="0" borderId="48" xfId="0" applyNumberFormat="1" applyFill="1" applyBorder="1" applyAlignment="1"/>
    <xf numFmtId="9" fontId="8" fillId="0" borderId="48" xfId="15" applyFont="1" applyFill="1" applyBorder="1"/>
    <xf numFmtId="37" fontId="6" fillId="0" borderId="2" xfId="0" applyNumberFormat="1" applyFont="1" applyFill="1" applyBorder="1" applyAlignment="1">
      <alignment horizontal="left" vertical="center"/>
    </xf>
    <xf numFmtId="3" fontId="46" fillId="4" borderId="0" xfId="0" applyNumberFormat="1" applyFont="1" applyFill="1" applyBorder="1" applyAlignment="1">
      <alignment horizontal="right"/>
    </xf>
    <xf numFmtId="37" fontId="46" fillId="4" borderId="0" xfId="0" applyNumberFormat="1" applyFont="1" applyFill="1" applyAlignment="1">
      <alignment horizontal="right"/>
    </xf>
    <xf numFmtId="3" fontId="46" fillId="4" borderId="0" xfId="0" applyNumberFormat="1" applyFont="1" applyFill="1" applyBorder="1" applyAlignment="1">
      <alignment horizontal="right" wrapText="1"/>
    </xf>
    <xf numFmtId="37" fontId="46" fillId="4" borderId="0" xfId="0" applyNumberFormat="1" applyFont="1" applyFill="1" applyAlignment="1">
      <alignment horizontal="right" vertical="center"/>
    </xf>
    <xf numFmtId="3" fontId="47" fillId="4" borderId="0" xfId="0" applyNumberFormat="1" applyFont="1" applyFill="1" applyBorder="1" applyAlignment="1">
      <alignment horizontal="right"/>
    </xf>
    <xf numFmtId="37" fontId="48" fillId="4" borderId="0" xfId="0" applyNumberFormat="1" applyFont="1" applyFill="1" applyAlignment="1">
      <alignment horizontal="right" vertical="center"/>
    </xf>
    <xf numFmtId="37" fontId="49" fillId="0" borderId="0" xfId="0" applyNumberFormat="1" applyFont="1" applyFill="1" applyAlignment="1">
      <alignment vertical="center"/>
    </xf>
    <xf numFmtId="49" fontId="50" fillId="0" borderId="0" xfId="0" applyNumberFormat="1" applyFont="1" applyFill="1" applyAlignment="1">
      <alignment horizontal="right" vertical="center"/>
    </xf>
    <xf numFmtId="3" fontId="46" fillId="0" borderId="0" xfId="0" applyNumberFormat="1" applyFont="1" applyFill="1" applyBorder="1" applyAlignment="1">
      <alignment horizontal="right"/>
    </xf>
    <xf numFmtId="37" fontId="46" fillId="0" borderId="0" xfId="0" applyNumberFormat="1" applyFont="1" applyFill="1" applyAlignment="1">
      <alignment horizontal="right" vertical="center"/>
    </xf>
    <xf numFmtId="3" fontId="48" fillId="4" borderId="0" xfId="0" applyNumberFormat="1" applyFont="1" applyFill="1" applyBorder="1" applyAlignment="1">
      <alignment horizontal="right"/>
    </xf>
    <xf numFmtId="3" fontId="47" fillId="4" borderId="0" xfId="0" applyNumberFormat="1" applyFont="1" applyFill="1" applyBorder="1" applyAlignment="1">
      <alignment horizontal="right" wrapText="1"/>
    </xf>
    <xf numFmtId="37" fontId="4" fillId="0" borderId="0" xfId="0" applyNumberFormat="1" applyFont="1" applyFill="1" applyAlignment="1">
      <alignment horizontal="centerContinuous" vertical="center"/>
    </xf>
    <xf numFmtId="37" fontId="3" fillId="0" borderId="0" xfId="0" applyNumberFormat="1" applyFont="1" applyFill="1" applyBorder="1" applyAlignment="1" applyProtection="1">
      <alignment horizontal="centerContinuous" vertical="center"/>
    </xf>
    <xf numFmtId="37" fontId="4" fillId="0" borderId="8" xfId="0" applyNumberFormat="1" applyFont="1" applyFill="1" applyBorder="1" applyAlignment="1">
      <alignment horizontal="center" wrapText="1"/>
    </xf>
    <xf numFmtId="37" fontId="4" fillId="0" borderId="20" xfId="0" applyNumberFormat="1" applyFont="1" applyFill="1" applyBorder="1" applyAlignment="1">
      <alignment horizontal="left" vertical="center"/>
    </xf>
    <xf numFmtId="37" fontId="4" fillId="0" borderId="0" xfId="0" applyNumberFormat="1" applyFont="1" applyFill="1" applyAlignment="1">
      <alignment horizontal="left"/>
    </xf>
    <xf numFmtId="9" fontId="19" fillId="0" borderId="0" xfId="15" quotePrefix="1" applyFont="1" applyFill="1" applyBorder="1" applyAlignment="1" applyProtection="1">
      <alignment horizontal="centerContinuous" vertical="center"/>
    </xf>
    <xf numFmtId="37" fontId="8" fillId="0" borderId="9" xfId="0" applyNumberFormat="1" applyFont="1" applyFill="1" applyBorder="1" applyAlignment="1"/>
    <xf numFmtId="9" fontId="19" fillId="0" borderId="0" xfId="15" quotePrefix="1" applyNumberFormat="1" applyFont="1" applyFill="1" applyBorder="1" applyAlignment="1">
      <alignment horizontal="centerContinuous" vertical="center"/>
    </xf>
    <xf numFmtId="169" fontId="8" fillId="0" borderId="28" xfId="15" applyNumberFormat="1" applyFont="1" applyFill="1" applyBorder="1" applyAlignment="1">
      <alignment horizontal="center" vertical="center"/>
    </xf>
    <xf numFmtId="169" fontId="8" fillId="0" borderId="49" xfId="15" applyNumberFormat="1" applyFont="1" applyFill="1" applyBorder="1" applyAlignment="1">
      <alignment horizontal="center" vertical="center"/>
    </xf>
    <xf numFmtId="169" fontId="8" fillId="0" borderId="10" xfId="15" applyNumberFormat="1" applyFont="1" applyFill="1" applyBorder="1" applyAlignment="1">
      <alignment horizontal="center" vertical="center"/>
    </xf>
    <xf numFmtId="169" fontId="8" fillId="0" borderId="23" xfId="15" applyNumberFormat="1" applyFont="1" applyFill="1" applyBorder="1" applyAlignment="1">
      <alignment horizontal="center" vertical="center"/>
    </xf>
    <xf numFmtId="169" fontId="8" fillId="0" borderId="0" xfId="15" applyNumberFormat="1" applyFont="1" applyFill="1" applyBorder="1" applyAlignment="1">
      <alignment horizontal="center" vertical="center"/>
    </xf>
    <xf numFmtId="9" fontId="52" fillId="0" borderId="0" xfId="15" quotePrefix="1" applyNumberFormat="1" applyFont="1" applyFill="1" applyBorder="1" applyAlignment="1">
      <alignment horizontal="center" vertical="center"/>
    </xf>
    <xf numFmtId="37" fontId="18" fillId="0" borderId="0" xfId="0" applyNumberFormat="1" applyFont="1" applyFill="1" applyAlignment="1">
      <alignment horizontal="right" vertical="center"/>
    </xf>
    <xf numFmtId="37" fontId="18" fillId="0" borderId="0" xfId="0" applyNumberFormat="1" applyFont="1" applyFill="1" applyAlignment="1">
      <alignment vertical="center"/>
    </xf>
    <xf numFmtId="9" fontId="17" fillId="0" borderId="0" xfId="15" applyNumberFormat="1" applyFont="1" applyFill="1" applyAlignment="1">
      <alignment vertical="center"/>
    </xf>
    <xf numFmtId="169" fontId="13" fillId="0" borderId="22" xfId="15" quotePrefix="1" applyNumberFormat="1" applyFont="1" applyFill="1" applyBorder="1" applyAlignment="1">
      <alignment horizontal="center" vertical="center"/>
    </xf>
    <xf numFmtId="169" fontId="52" fillId="0" borderId="14" xfId="15" quotePrefix="1" applyNumberFormat="1" applyFont="1" applyFill="1" applyBorder="1" applyAlignment="1">
      <alignment horizontal="center" vertical="center"/>
    </xf>
    <xf numFmtId="9" fontId="52" fillId="0" borderId="10" xfId="15" quotePrefix="1" applyNumberFormat="1" applyFont="1" applyFill="1" applyBorder="1" applyAlignment="1">
      <alignment horizontal="center" vertical="center"/>
    </xf>
    <xf numFmtId="169" fontId="17" fillId="0" borderId="11" xfId="15" quotePrefix="1" applyNumberFormat="1" applyFont="1" applyFill="1" applyBorder="1" applyAlignment="1">
      <alignment horizontal="center" vertical="center"/>
    </xf>
    <xf numFmtId="169" fontId="17" fillId="0" borderId="17" xfId="15" quotePrefix="1" applyNumberFormat="1" applyFont="1" applyFill="1" applyBorder="1" applyAlignment="1">
      <alignment horizontal="center" vertical="center"/>
    </xf>
    <xf numFmtId="169" fontId="52" fillId="0" borderId="6" xfId="15" quotePrefix="1" applyNumberFormat="1" applyFont="1" applyFill="1" applyBorder="1" applyAlignment="1">
      <alignment horizontal="center" vertical="center"/>
    </xf>
    <xf numFmtId="169" fontId="17" fillId="0" borderId="6" xfId="15" quotePrefix="1" applyNumberFormat="1" applyFont="1" applyFill="1" applyBorder="1" applyAlignment="1">
      <alignment horizontal="center" vertical="center"/>
    </xf>
    <xf numFmtId="169" fontId="13" fillId="0" borderId="6" xfId="15" quotePrefix="1" applyNumberFormat="1" applyFont="1" applyFill="1" applyBorder="1" applyAlignment="1">
      <alignment horizontal="center" vertical="center"/>
    </xf>
    <xf numFmtId="169" fontId="8" fillId="0" borderId="50" xfId="15" applyNumberFormat="1" applyFont="1" applyFill="1" applyBorder="1" applyAlignment="1">
      <alignment horizontal="center" vertical="center"/>
    </xf>
    <xf numFmtId="9" fontId="15" fillId="0" borderId="20" xfId="15" applyNumberFormat="1" applyFont="1" applyFill="1" applyBorder="1" applyAlignment="1">
      <alignment horizontal="center" vertical="center"/>
    </xf>
    <xf numFmtId="37" fontId="4" fillId="0" borderId="0" xfId="0" applyNumberFormat="1" applyFont="1" applyBorder="1" applyAlignment="1">
      <alignment vertical="center"/>
    </xf>
    <xf numFmtId="37" fontId="4" fillId="0" borderId="0" xfId="0" applyNumberFormat="1" applyFont="1" applyFill="1" applyBorder="1" applyAlignment="1"/>
    <xf numFmtId="37" fontId="9" fillId="15" borderId="0" xfId="9" applyFont="1" applyFill="1" applyBorder="1" applyAlignment="1"/>
    <xf numFmtId="37" fontId="9" fillId="15" borderId="0" xfId="9" applyFont="1" applyFill="1" applyBorder="1" applyAlignment="1">
      <alignment horizontal="left"/>
    </xf>
    <xf numFmtId="0" fontId="31" fillId="15" borderId="0" xfId="1" applyNumberFormat="1" applyFont="1" applyFill="1" applyBorder="1" applyAlignment="1" applyProtection="1">
      <alignment horizontal="center"/>
    </xf>
    <xf numFmtId="37" fontId="9" fillId="15" borderId="0" xfId="9" applyNumberFormat="1" applyFont="1" applyFill="1" applyBorder="1" applyAlignment="1" applyProtection="1">
      <alignment horizontal="center"/>
    </xf>
    <xf numFmtId="169" fontId="42" fillId="0" borderId="2" xfId="15" applyNumberFormat="1" applyFont="1" applyFill="1" applyBorder="1" applyAlignment="1">
      <alignment horizontal="right" vertical="center"/>
    </xf>
    <xf numFmtId="49" fontId="31" fillId="0" borderId="2" xfId="1" applyNumberFormat="1" applyFont="1" applyFill="1" applyBorder="1" applyAlignment="1" applyProtection="1">
      <alignment horizontal="center"/>
    </xf>
    <xf numFmtId="1" fontId="23" fillId="0" borderId="2" xfId="3" applyNumberFormat="1" applyFont="1" applyFill="1" applyBorder="1" applyAlignment="1">
      <alignment horizontal="left"/>
    </xf>
    <xf numFmtId="1" fontId="22" fillId="0" borderId="2" xfId="3" applyNumberFormat="1" applyFont="1" applyFill="1" applyBorder="1" applyAlignment="1">
      <alignment horizontal="left"/>
    </xf>
    <xf numFmtId="37" fontId="55" fillId="4" borderId="24" xfId="9" applyNumberFormat="1" applyFont="1" applyFill="1" applyBorder="1" applyAlignment="1">
      <alignment horizontal="center" wrapText="1"/>
    </xf>
    <xf numFmtId="37" fontId="29" fillId="8" borderId="25" xfId="9" applyFont="1" applyFill="1" applyBorder="1" applyAlignment="1">
      <alignment horizontal="center" wrapText="1"/>
    </xf>
    <xf numFmtId="37" fontId="29" fillId="4" borderId="25" xfId="9" applyFont="1" applyFill="1" applyBorder="1" applyAlignment="1">
      <alignment horizontal="center" wrapText="1"/>
    </xf>
    <xf numFmtId="49" fontId="31" fillId="15" borderId="0" xfId="1" applyNumberFormat="1" applyFont="1" applyFill="1" applyBorder="1" applyAlignment="1" applyProtection="1">
      <alignment horizontal="center"/>
    </xf>
    <xf numFmtId="37" fontId="29" fillId="0" borderId="8" xfId="9" applyNumberFormat="1" applyFont="1" applyFill="1" applyBorder="1" applyAlignment="1" applyProtection="1">
      <alignment horizontal="center" wrapText="1"/>
    </xf>
    <xf numFmtId="37" fontId="29" fillId="0" borderId="9" xfId="9" applyNumberFormat="1" applyFont="1" applyFill="1" applyBorder="1" applyAlignment="1" applyProtection="1">
      <alignment horizontal="centerContinuous" wrapText="1"/>
    </xf>
    <xf numFmtId="37" fontId="29" fillId="0" borderId="26" xfId="9" applyNumberFormat="1" applyFont="1" applyFill="1" applyBorder="1" applyAlignment="1" applyProtection="1">
      <alignment horizontal="centerContinuous" wrapText="1"/>
    </xf>
    <xf numFmtId="37" fontId="29" fillId="4" borderId="17" xfId="9" applyNumberFormat="1" applyFont="1" applyFill="1" applyBorder="1" applyAlignment="1">
      <alignment horizontal="center" wrapText="1"/>
    </xf>
    <xf numFmtId="37" fontId="55" fillId="4" borderId="23" xfId="9" applyNumberFormat="1" applyFont="1" applyFill="1" applyBorder="1" applyAlignment="1">
      <alignment horizontal="center" wrapText="1"/>
    </xf>
    <xf numFmtId="37" fontId="29" fillId="8" borderId="23" xfId="9" applyNumberFormat="1" applyFont="1" applyFill="1" applyBorder="1" applyAlignment="1">
      <alignment horizontal="center" wrapText="1"/>
    </xf>
    <xf numFmtId="37" fontId="29" fillId="4" borderId="27" xfId="9" applyNumberFormat="1" applyFont="1" applyFill="1" applyBorder="1" applyAlignment="1">
      <alignment horizontal="center" wrapText="1"/>
    </xf>
    <xf numFmtId="37" fontId="56" fillId="7" borderId="17" xfId="7" applyNumberFormat="1" applyFont="1" applyFill="1" applyBorder="1" applyAlignment="1" applyProtection="1">
      <alignment horizontal="right"/>
    </xf>
    <xf numFmtId="37" fontId="56" fillId="8" borderId="17" xfId="7" applyNumberFormat="1" applyFont="1" applyFill="1" applyBorder="1" applyAlignment="1">
      <alignment horizontal="right"/>
    </xf>
    <xf numFmtId="37" fontId="42" fillId="6" borderId="0" xfId="7" applyFont="1" applyFill="1" applyBorder="1" applyAlignment="1">
      <alignment horizontal="right"/>
    </xf>
    <xf numFmtId="37" fontId="56" fillId="7" borderId="34" xfId="7" applyNumberFormat="1" applyFont="1" applyFill="1" applyBorder="1" applyAlignment="1" applyProtection="1">
      <alignment horizontal="right"/>
    </xf>
    <xf numFmtId="37" fontId="33" fillId="6" borderId="0" xfId="7" applyFont="1" applyFill="1" applyBorder="1" applyAlignment="1">
      <alignment horizontal="left"/>
    </xf>
    <xf numFmtId="37" fontId="33" fillId="6" borderId="0" xfId="8" applyFont="1" applyFill="1" applyBorder="1" applyAlignment="1">
      <alignment horizontal="left"/>
    </xf>
    <xf numFmtId="37" fontId="22" fillId="7" borderId="17" xfId="7" applyNumberFormat="1" applyFont="1" applyFill="1" applyBorder="1" applyAlignment="1" applyProtection="1">
      <alignment horizontal="right"/>
    </xf>
    <xf numFmtId="37" fontId="22" fillId="7" borderId="34" xfId="7" applyNumberFormat="1" applyFont="1" applyFill="1" applyBorder="1" applyAlignment="1" applyProtection="1">
      <alignment horizontal="right"/>
    </xf>
    <xf numFmtId="37" fontId="22" fillId="7" borderId="25" xfId="7" applyNumberFormat="1" applyFont="1" applyFill="1" applyBorder="1" applyAlignment="1" applyProtection="1">
      <alignment horizontal="right"/>
    </xf>
    <xf numFmtId="37" fontId="29" fillId="0" borderId="58" xfId="3" applyFont="1" applyFill="1" applyBorder="1" applyAlignment="1">
      <alignment horizontal="right"/>
    </xf>
    <xf numFmtId="167" fontId="22" fillId="7" borderId="0" xfId="7" applyNumberFormat="1" applyFont="1" applyFill="1" applyBorder="1" applyAlignment="1">
      <alignment horizontal="right"/>
    </xf>
    <xf numFmtId="167" fontId="33" fillId="7" borderId="0" xfId="7" applyNumberFormat="1" applyFont="1" applyFill="1" applyBorder="1" applyAlignment="1">
      <alignment horizontal="left"/>
    </xf>
    <xf numFmtId="37" fontId="23" fillId="7" borderId="0" xfId="8" applyFont="1" applyFill="1" applyBorder="1" applyAlignment="1">
      <alignment horizontal="right"/>
    </xf>
    <xf numFmtId="37" fontId="22" fillId="7" borderId="0" xfId="8" applyFont="1" applyFill="1" applyBorder="1" applyAlignment="1">
      <alignment horizontal="right"/>
    </xf>
    <xf numFmtId="37" fontId="33" fillId="7" borderId="0" xfId="8" applyFont="1" applyFill="1" applyBorder="1" applyAlignment="1">
      <alignment horizontal="left"/>
    </xf>
    <xf numFmtId="9" fontId="29" fillId="0" borderId="23" xfId="3" applyNumberFormat="1" applyFont="1" applyFill="1" applyBorder="1" applyAlignment="1">
      <alignment horizontal="right"/>
    </xf>
    <xf numFmtId="37" fontId="29" fillId="0" borderId="63" xfId="3" applyFont="1" applyFill="1" applyBorder="1" applyAlignment="1">
      <alignment horizontal="right"/>
    </xf>
    <xf numFmtId="37" fontId="10" fillId="8" borderId="0" xfId="7" applyFont="1" applyFill="1" applyBorder="1" applyAlignment="1" applyProtection="1"/>
    <xf numFmtId="37" fontId="33" fillId="11" borderId="0" xfId="7" applyFont="1" applyFill="1" applyBorder="1" applyAlignment="1">
      <alignment horizontal="left"/>
    </xf>
    <xf numFmtId="37" fontId="39" fillId="11" borderId="0" xfId="10" applyFont="1" applyFill="1" applyBorder="1" applyAlignment="1">
      <alignment horizontal="right"/>
    </xf>
    <xf numFmtId="37" fontId="33" fillId="11" borderId="0" xfId="8" applyFont="1" applyFill="1" applyBorder="1" applyAlignment="1">
      <alignment horizontal="left"/>
    </xf>
    <xf numFmtId="37" fontId="33" fillId="8" borderId="0" xfId="7" applyFont="1" applyFill="1" applyBorder="1" applyAlignment="1">
      <alignment horizontal="left"/>
    </xf>
    <xf numFmtId="37" fontId="33" fillId="8" borderId="0" xfId="8" applyFont="1" applyFill="1" applyBorder="1" applyAlignment="1">
      <alignment horizontal="left"/>
    </xf>
    <xf numFmtId="37" fontId="33" fillId="8" borderId="0" xfId="7" applyFont="1" applyFill="1" applyBorder="1" applyAlignment="1" applyProtection="1">
      <alignment horizontal="left"/>
    </xf>
    <xf numFmtId="37" fontId="33" fillId="6" borderId="0" xfId="7" applyFont="1" applyFill="1" applyBorder="1" applyAlignment="1" applyProtection="1">
      <alignment horizontal="left"/>
    </xf>
    <xf numFmtId="167" fontId="33" fillId="11" borderId="0" xfId="7" applyNumberFormat="1" applyFont="1" applyFill="1" applyBorder="1" applyAlignment="1">
      <alignment horizontal="left"/>
    </xf>
    <xf numFmtId="49" fontId="23" fillId="9" borderId="0" xfId="7" applyNumberFormat="1" applyFont="1" applyFill="1" applyBorder="1" applyAlignment="1">
      <alignment horizontal="center"/>
    </xf>
    <xf numFmtId="37" fontId="33" fillId="9" borderId="0" xfId="7" applyFont="1" applyFill="1" applyBorder="1" applyAlignment="1">
      <alignment horizontal="left"/>
    </xf>
    <xf numFmtId="9" fontId="29" fillId="0" borderId="23" xfId="15" applyFont="1" applyFill="1" applyBorder="1" applyAlignment="1">
      <alignment horizontal="right"/>
    </xf>
    <xf numFmtId="37" fontId="33" fillId="12" borderId="0" xfId="7" applyFont="1" applyFill="1" applyBorder="1" applyAlignment="1">
      <alignment horizontal="left"/>
    </xf>
    <xf numFmtId="37" fontId="33" fillId="12" borderId="0" xfId="8" applyFont="1" applyFill="1" applyBorder="1" applyAlignment="1">
      <alignment horizontal="left"/>
    </xf>
    <xf numFmtId="49" fontId="22" fillId="8" borderId="0" xfId="7" applyNumberFormat="1" applyFont="1" applyFill="1" applyBorder="1" applyAlignment="1"/>
    <xf numFmtId="37" fontId="29" fillId="0" borderId="23" xfId="3" applyFont="1" applyFill="1" applyBorder="1" applyAlignment="1">
      <alignment horizontal="right"/>
    </xf>
    <xf numFmtId="37" fontId="33" fillId="13" borderId="0" xfId="7" applyFont="1" applyFill="1" applyBorder="1" applyAlignment="1">
      <alignment horizontal="left"/>
    </xf>
    <xf numFmtId="37" fontId="29" fillId="0" borderId="0" xfId="3" applyNumberFormat="1" applyFont="1" applyFill="1" applyBorder="1"/>
    <xf numFmtId="167" fontId="29" fillId="0" borderId="0" xfId="3" applyNumberFormat="1" applyFont="1" applyFill="1" applyBorder="1"/>
    <xf numFmtId="37" fontId="33" fillId="7" borderId="0" xfId="7" applyFont="1" applyFill="1" applyBorder="1" applyAlignment="1" applyProtection="1">
      <alignment horizontal="right"/>
    </xf>
    <xf numFmtId="37" fontId="10" fillId="7" borderId="0" xfId="7" applyFont="1" applyFill="1" applyBorder="1" applyAlignment="1">
      <alignment horizontal="left"/>
    </xf>
    <xf numFmtId="37" fontId="33" fillId="7" borderId="0" xfId="7" applyFont="1" applyFill="1" applyBorder="1" applyAlignment="1">
      <alignment horizontal="left"/>
    </xf>
    <xf numFmtId="37" fontId="39" fillId="7" borderId="0" xfId="8" applyFont="1" applyFill="1" applyBorder="1" applyAlignment="1">
      <alignment horizontal="right"/>
    </xf>
    <xf numFmtId="37" fontId="39" fillId="7" borderId="0" xfId="7" applyFont="1" applyFill="1" applyBorder="1" applyAlignment="1" applyProtection="1">
      <alignment horizontal="right"/>
    </xf>
    <xf numFmtId="167" fontId="10" fillId="12" borderId="0" xfId="7" applyNumberFormat="1" applyFont="1" applyFill="1" applyBorder="1" applyAlignment="1"/>
    <xf numFmtId="167" fontId="33" fillId="12" borderId="0" xfId="7" applyNumberFormat="1" applyFont="1" applyFill="1" applyBorder="1" applyAlignment="1" applyProtection="1">
      <alignment horizontal="right"/>
    </xf>
    <xf numFmtId="167" fontId="33" fillId="12" borderId="0" xfId="7" applyNumberFormat="1" applyFont="1" applyFill="1" applyBorder="1" applyAlignment="1">
      <alignment horizontal="right"/>
    </xf>
    <xf numFmtId="37" fontId="29" fillId="0" borderId="68" xfId="3" applyFont="1" applyFill="1" applyBorder="1" applyAlignment="1">
      <alignment horizontal="right"/>
    </xf>
    <xf numFmtId="37" fontId="10" fillId="14" borderId="0" xfId="7" applyFont="1" applyFill="1" applyBorder="1" applyAlignment="1"/>
    <xf numFmtId="37" fontId="33" fillId="14" borderId="0" xfId="7" applyFont="1" applyFill="1" applyBorder="1" applyAlignment="1">
      <alignment horizontal="left"/>
    </xf>
    <xf numFmtId="37" fontId="39" fillId="14" borderId="0" xfId="7" applyFont="1" applyFill="1" applyBorder="1" applyAlignment="1">
      <alignment horizontal="right"/>
    </xf>
    <xf numFmtId="37" fontId="33" fillId="14" borderId="0" xfId="8" applyFont="1" applyFill="1" applyBorder="1" applyAlignment="1">
      <alignment horizontal="left"/>
    </xf>
    <xf numFmtId="37" fontId="22" fillId="10" borderId="0" xfId="7" applyFont="1" applyFill="1" applyBorder="1" applyAlignment="1" applyProtection="1">
      <alignment horizontal="right"/>
    </xf>
    <xf numFmtId="37" fontId="10" fillId="7" borderId="0" xfId="7" applyFont="1" applyFill="1" applyBorder="1" applyAlignment="1" applyProtection="1">
      <alignment horizontal="left"/>
    </xf>
    <xf numFmtId="167" fontId="33" fillId="13" borderId="0" xfId="7" applyNumberFormat="1" applyFont="1" applyFill="1" applyBorder="1" applyAlignment="1">
      <alignment horizontal="right"/>
    </xf>
    <xf numFmtId="167" fontId="10" fillId="13" borderId="0" xfId="7" applyNumberFormat="1" applyFont="1" applyFill="1" applyBorder="1" applyAlignment="1"/>
    <xf numFmtId="167" fontId="33" fillId="13" borderId="0" xfId="7" applyNumberFormat="1" applyFont="1" applyFill="1" applyBorder="1" applyAlignment="1" applyProtection="1">
      <alignment horizontal="right"/>
    </xf>
    <xf numFmtId="37" fontId="22" fillId="7" borderId="35" xfId="7" applyNumberFormat="1" applyFont="1" applyFill="1" applyBorder="1" applyAlignment="1" applyProtection="1">
      <alignment horizontal="right"/>
    </xf>
    <xf numFmtId="167" fontId="33" fillId="13" borderId="0" xfId="7" applyNumberFormat="1" applyFont="1" applyFill="1" applyBorder="1" applyAlignment="1">
      <alignment horizontal="left"/>
    </xf>
    <xf numFmtId="167" fontId="10" fillId="13" borderId="0" xfId="7" applyNumberFormat="1" applyFont="1" applyFill="1" applyBorder="1" applyAlignment="1">
      <alignment horizontal="right"/>
    </xf>
    <xf numFmtId="37" fontId="33" fillId="13" borderId="0" xfId="8" applyFont="1" applyFill="1" applyBorder="1" applyAlignment="1">
      <alignment horizontal="left"/>
    </xf>
    <xf numFmtId="37" fontId="33" fillId="9" borderId="0" xfId="2" applyFont="1" applyFill="1" applyBorder="1" applyAlignment="1">
      <alignment horizontal="right"/>
    </xf>
    <xf numFmtId="37" fontId="10" fillId="9" borderId="0" xfId="2" applyFont="1" applyFill="1" applyBorder="1" applyAlignment="1"/>
    <xf numFmtId="42" fontId="1" fillId="0" borderId="0" xfId="0" applyNumberFormat="1" applyFont="1">
      <alignment horizontal="left" wrapText="1"/>
    </xf>
    <xf numFmtId="37" fontId="10" fillId="9" borderId="0" xfId="2" applyFont="1" applyFill="1" applyBorder="1" applyAlignment="1">
      <alignment horizontal="right"/>
    </xf>
    <xf numFmtId="37" fontId="33" fillId="9" borderId="0" xfId="2" applyFont="1" applyFill="1" applyBorder="1" applyAlignment="1">
      <alignment horizontal="left"/>
    </xf>
    <xf numFmtId="37" fontId="58" fillId="7" borderId="17" xfId="7" applyNumberFormat="1" applyFont="1" applyFill="1" applyBorder="1" applyAlignment="1" applyProtection="1">
      <alignment horizontal="right"/>
    </xf>
    <xf numFmtId="37" fontId="29" fillId="0" borderId="71" xfId="3" applyFont="1" applyFill="1" applyBorder="1" applyAlignment="1">
      <alignment horizontal="right"/>
    </xf>
    <xf numFmtId="37" fontId="22" fillId="9" borderId="0" xfId="7" applyFont="1" applyFill="1" applyBorder="1" applyAlignment="1">
      <alignment horizontal="right"/>
    </xf>
    <xf numFmtId="37" fontId="23" fillId="7" borderId="17" xfId="7" applyNumberFormat="1" applyFont="1" applyFill="1" applyBorder="1" applyAlignment="1" applyProtection="1">
      <alignment horizontal="left"/>
    </xf>
    <xf numFmtId="37" fontId="33" fillId="8" borderId="73" xfId="7" applyFont="1" applyFill="1" applyBorder="1" applyAlignment="1">
      <alignment horizontal="right"/>
    </xf>
    <xf numFmtId="37" fontId="29" fillId="0" borderId="76" xfId="3" applyFont="1" applyFill="1" applyBorder="1" applyAlignment="1">
      <alignment horizontal="right"/>
    </xf>
    <xf numFmtId="37" fontId="29" fillId="0" borderId="77" xfId="3" applyFont="1" applyFill="1" applyBorder="1" applyAlignment="1">
      <alignment horizontal="right"/>
    </xf>
    <xf numFmtId="37" fontId="1" fillId="0" borderId="0" xfId="9" applyFont="1" applyFill="1" applyBorder="1" applyAlignment="1"/>
    <xf numFmtId="49" fontId="1" fillId="0" borderId="0" xfId="9" applyNumberFormat="1" applyFont="1" applyFill="1" applyAlignment="1">
      <alignment horizontal="left"/>
    </xf>
    <xf numFmtId="37" fontId="1" fillId="0" borderId="0" xfId="9" applyNumberFormat="1" applyFont="1" applyFill="1" applyAlignment="1">
      <alignment horizontal="center"/>
    </xf>
    <xf numFmtId="37" fontId="1" fillId="0" borderId="0" xfId="9" applyFont="1" applyFill="1" applyBorder="1" applyAlignment="1">
      <alignment horizontal="left"/>
    </xf>
    <xf numFmtId="167" fontId="1" fillId="0" borderId="0" xfId="9" applyNumberFormat="1" applyFont="1" applyFill="1" applyAlignment="1">
      <alignment horizontal="left"/>
    </xf>
    <xf numFmtId="37" fontId="1" fillId="0" borderId="0" xfId="9" applyNumberFormat="1" applyFont="1" applyFill="1" applyAlignment="1">
      <alignment horizontal="left"/>
    </xf>
    <xf numFmtId="37" fontId="1" fillId="0" borderId="0" xfId="9" applyNumberFormat="1" applyFont="1" applyFill="1" applyBorder="1" applyAlignment="1">
      <alignment horizontal="left"/>
    </xf>
    <xf numFmtId="37" fontId="1" fillId="0" borderId="0" xfId="9" applyNumberFormat="1" applyFont="1" applyFill="1" applyBorder="1"/>
    <xf numFmtId="37" fontId="1" fillId="0" borderId="0" xfId="9" applyFont="1" applyFill="1" applyBorder="1"/>
    <xf numFmtId="37" fontId="1" fillId="0" borderId="2" xfId="9" applyFont="1" applyFill="1" applyBorder="1" applyAlignment="1" applyProtection="1">
      <alignment horizontal="left"/>
    </xf>
    <xf numFmtId="37" fontId="1" fillId="0" borderId="2" xfId="9" applyFont="1" applyFill="1" applyBorder="1" applyAlignment="1"/>
    <xf numFmtId="167" fontId="1" fillId="0" borderId="2" xfId="9" applyNumberFormat="1" applyFont="1" applyFill="1" applyBorder="1" applyAlignment="1"/>
    <xf numFmtId="37" fontId="1" fillId="0" borderId="2" xfId="9" applyNumberFormat="1" applyFont="1" applyFill="1" applyBorder="1" applyAlignment="1"/>
    <xf numFmtId="37" fontId="1" fillId="0" borderId="2" xfId="9" applyNumberFormat="1" applyFont="1" applyFill="1" applyBorder="1"/>
    <xf numFmtId="167" fontId="1" fillId="0" borderId="0" xfId="9" applyNumberFormat="1" applyFont="1" applyFill="1" applyBorder="1"/>
    <xf numFmtId="37" fontId="1" fillId="0" borderId="2" xfId="9" applyNumberFormat="1" applyFont="1" applyFill="1" applyBorder="1" applyAlignment="1">
      <alignment horizontal="left" wrapText="1"/>
    </xf>
    <xf numFmtId="37" fontId="1" fillId="15" borderId="0" xfId="9" applyFont="1" applyFill="1" applyBorder="1" applyAlignment="1" applyProtection="1"/>
    <xf numFmtId="167" fontId="1" fillId="7" borderId="17" xfId="9" applyNumberFormat="1" applyFont="1" applyFill="1" applyBorder="1" applyAlignment="1" applyProtection="1">
      <alignment horizontal="center" wrapText="1"/>
    </xf>
    <xf numFmtId="37" fontId="1" fillId="0" borderId="9" xfId="9" applyFont="1" applyFill="1" applyBorder="1" applyAlignment="1">
      <alignment horizontal="center" wrapText="1"/>
    </xf>
    <xf numFmtId="37" fontId="1" fillId="4" borderId="23" xfId="9" applyNumberFormat="1" applyFont="1" applyFill="1" applyBorder="1"/>
    <xf numFmtId="37" fontId="1" fillId="0" borderId="9" xfId="9" applyNumberFormat="1" applyFont="1" applyFill="1" applyBorder="1" applyAlignment="1">
      <alignment horizontal="centerContinuous"/>
    </xf>
    <xf numFmtId="37" fontId="1" fillId="8" borderId="25" xfId="9" applyFont="1" applyFill="1" applyBorder="1" applyAlignment="1">
      <alignment horizontal="center" wrapText="1"/>
    </xf>
    <xf numFmtId="37" fontId="1" fillId="7" borderId="17" xfId="9" applyFont="1" applyFill="1" applyBorder="1" applyAlignment="1">
      <alignment horizontal="center" wrapText="1"/>
    </xf>
    <xf numFmtId="37" fontId="1" fillId="4" borderId="23" xfId="9" applyFont="1" applyFill="1" applyBorder="1"/>
    <xf numFmtId="167" fontId="1" fillId="7" borderId="34" xfId="9" applyNumberFormat="1" applyFont="1" applyFill="1" applyBorder="1" applyAlignment="1" applyProtection="1">
      <alignment horizontal="center" wrapText="1"/>
    </xf>
    <xf numFmtId="167" fontId="1" fillId="7" borderId="57" xfId="9" applyNumberFormat="1" applyFont="1" applyFill="1" applyBorder="1" applyAlignment="1" applyProtection="1">
      <alignment horizontal="center" wrapText="1"/>
    </xf>
    <xf numFmtId="167" fontId="1" fillId="7" borderId="14" xfId="9" applyNumberFormat="1" applyFont="1" applyFill="1" applyBorder="1" applyAlignment="1" applyProtection="1">
      <alignment horizontal="center" wrapText="1"/>
    </xf>
    <xf numFmtId="37" fontId="1" fillId="15" borderId="0" xfId="9" applyFont="1" applyFill="1" applyBorder="1" applyAlignment="1">
      <alignment horizontal="left"/>
    </xf>
    <xf numFmtId="0" fontId="1" fillId="15" borderId="0" xfId="1" applyNumberFormat="1" applyFont="1" applyFill="1" applyBorder="1" applyAlignment="1" applyProtection="1">
      <alignment horizontal="left" wrapText="1"/>
    </xf>
    <xf numFmtId="49" fontId="1" fillId="15" borderId="0" xfId="1" applyNumberFormat="1" applyFont="1" applyFill="1" applyBorder="1" applyAlignment="1" applyProtection="1">
      <alignment horizontal="center" wrapText="1"/>
    </xf>
    <xf numFmtId="37" fontId="1" fillId="15" borderId="0" xfId="9" applyNumberFormat="1" applyFont="1" applyFill="1" applyBorder="1" applyAlignment="1" applyProtection="1">
      <alignment horizontal="center" wrapText="1"/>
    </xf>
    <xf numFmtId="37" fontId="1" fillId="8" borderId="17" xfId="9" applyFont="1" applyFill="1" applyBorder="1" applyAlignment="1">
      <alignment horizontal="center" wrapText="1"/>
    </xf>
    <xf numFmtId="37" fontId="1" fillId="8" borderId="23" xfId="9" applyNumberFormat="1" applyFont="1" applyFill="1" applyBorder="1" applyAlignment="1">
      <alignment horizontal="center" wrapText="1"/>
    </xf>
    <xf numFmtId="167" fontId="1" fillId="7" borderId="35" xfId="9" applyNumberFormat="1" applyFont="1" applyFill="1" applyBorder="1" applyAlignment="1" applyProtection="1">
      <alignment horizontal="center" wrapText="1"/>
    </xf>
    <xf numFmtId="37" fontId="1" fillId="8" borderId="23" xfId="9" applyFont="1" applyFill="1" applyBorder="1" applyAlignment="1">
      <alignment horizontal="center" wrapText="1"/>
    </xf>
    <xf numFmtId="37" fontId="1" fillId="10" borderId="0" xfId="9" applyFont="1" applyFill="1" applyBorder="1" applyAlignment="1">
      <alignment horizontal="center" wrapText="1"/>
    </xf>
    <xf numFmtId="0" fontId="1" fillId="10" borderId="0" xfId="1" applyNumberFormat="1" applyFont="1" applyFill="1" applyBorder="1" applyAlignment="1" applyProtection="1">
      <alignment horizontal="center" wrapText="1"/>
    </xf>
    <xf numFmtId="49" fontId="1" fillId="10" borderId="0" xfId="1" applyNumberFormat="1" applyFont="1" applyFill="1" applyBorder="1" applyAlignment="1" applyProtection="1">
      <alignment horizontal="center" wrapText="1"/>
    </xf>
    <xf numFmtId="37" fontId="1" fillId="10" borderId="0" xfId="9" applyNumberFormat="1" applyFont="1" applyFill="1" applyBorder="1" applyAlignment="1" applyProtection="1">
      <alignment horizontal="center" wrapText="1"/>
    </xf>
    <xf numFmtId="167" fontId="1" fillId="10" borderId="0" xfId="9" applyNumberFormat="1" applyFont="1" applyFill="1" applyBorder="1" applyAlignment="1" applyProtection="1">
      <alignment horizontal="center" wrapText="1"/>
    </xf>
    <xf numFmtId="167" fontId="1" fillId="10" borderId="0" xfId="9" applyNumberFormat="1" applyFont="1" applyFill="1" applyBorder="1" applyAlignment="1">
      <alignment horizontal="center" wrapText="1"/>
    </xf>
    <xf numFmtId="37" fontId="1" fillId="10" borderId="0" xfId="9" applyNumberFormat="1" applyFont="1" applyFill="1" applyBorder="1" applyAlignment="1">
      <alignment horizontal="center" wrapText="1"/>
    </xf>
    <xf numFmtId="37" fontId="1" fillId="0" borderId="0" xfId="9" applyFont="1" applyFill="1" applyBorder="1" applyAlignment="1">
      <alignment horizontal="center" wrapText="1"/>
    </xf>
    <xf numFmtId="37" fontId="1" fillId="6" borderId="0" xfId="7" applyFont="1" applyFill="1" applyBorder="1" applyAlignment="1"/>
    <xf numFmtId="37" fontId="1" fillId="6" borderId="0" xfId="7" applyFont="1" applyFill="1" applyBorder="1" applyAlignment="1">
      <alignment horizontal="left"/>
    </xf>
    <xf numFmtId="37" fontId="1" fillId="6" borderId="0" xfId="7" applyFont="1" applyFill="1" applyBorder="1" applyAlignment="1" applyProtection="1"/>
    <xf numFmtId="49" fontId="1" fillId="6" borderId="0" xfId="1" applyNumberFormat="1" applyFont="1" applyFill="1" applyBorder="1" applyAlignment="1" applyProtection="1">
      <alignment horizontal="center"/>
    </xf>
    <xf numFmtId="37" fontId="1" fillId="6" borderId="0" xfId="7" applyNumberFormat="1" applyFont="1" applyFill="1" applyBorder="1" applyAlignment="1" applyProtection="1">
      <alignment horizontal="center"/>
    </xf>
    <xf numFmtId="37" fontId="1" fillId="7" borderId="17" xfId="7" applyNumberFormat="1" applyFont="1" applyFill="1" applyBorder="1" applyAlignment="1" applyProtection="1">
      <alignment horizontal="right"/>
    </xf>
    <xf numFmtId="37" fontId="1" fillId="8" borderId="23" xfId="7" applyNumberFormat="1" applyFont="1" applyFill="1" applyBorder="1" applyAlignment="1">
      <alignment horizontal="right"/>
    </xf>
    <xf numFmtId="37" fontId="1" fillId="7" borderId="34" xfId="7" applyNumberFormat="1" applyFont="1" applyFill="1" applyBorder="1" applyAlignment="1" applyProtection="1">
      <alignment horizontal="right"/>
    </xf>
    <xf numFmtId="37" fontId="1" fillId="7" borderId="35" xfId="7" applyNumberFormat="1" applyFont="1" applyFill="1" applyBorder="1" applyAlignment="1" applyProtection="1">
      <alignment horizontal="right"/>
    </xf>
    <xf numFmtId="37" fontId="1" fillId="8" borderId="25" xfId="7" applyNumberFormat="1" applyFont="1" applyFill="1" applyBorder="1" applyAlignment="1">
      <alignment horizontal="right"/>
    </xf>
    <xf numFmtId="37" fontId="1" fillId="0" borderId="0" xfId="10" applyFont="1" applyBorder="1" applyAlignment="1"/>
    <xf numFmtId="37" fontId="1" fillId="6" borderId="0" xfId="7" applyFont="1" applyFill="1" applyBorder="1" applyAlignment="1" applyProtection="1">
      <alignment horizontal="right"/>
    </xf>
    <xf numFmtId="37" fontId="1" fillId="6" borderId="0" xfId="7" applyFont="1" applyFill="1" applyBorder="1" applyAlignment="1">
      <alignment horizontal="right"/>
    </xf>
    <xf numFmtId="49" fontId="1" fillId="6" borderId="0" xfId="1" applyNumberFormat="1" applyFont="1" applyFill="1" applyBorder="1" applyAlignment="1">
      <alignment horizontal="center"/>
    </xf>
    <xf numFmtId="37" fontId="1" fillId="6" borderId="0" xfId="7" applyFont="1" applyFill="1" applyBorder="1"/>
    <xf numFmtId="37" fontId="1" fillId="6" borderId="0" xfId="4" applyNumberFormat="1" applyFont="1" applyFill="1" applyBorder="1" applyAlignment="1" applyProtection="1">
      <alignment horizontal="center"/>
    </xf>
    <xf numFmtId="37" fontId="1" fillId="6" borderId="0" xfId="7" applyFont="1" applyFill="1" applyBorder="1" applyAlignment="1" applyProtection="1">
      <alignment horizontal="left"/>
    </xf>
    <xf numFmtId="49" fontId="1" fillId="6" borderId="0" xfId="1" applyNumberFormat="1" applyFont="1" applyFill="1" applyBorder="1" applyAlignment="1">
      <alignment horizontal="center" wrapText="1"/>
    </xf>
    <xf numFmtId="37" fontId="1" fillId="6" borderId="0" xfId="7" applyNumberFormat="1" applyFont="1" applyFill="1" applyBorder="1" applyAlignment="1">
      <alignment horizontal="center" wrapText="1"/>
    </xf>
    <xf numFmtId="37" fontId="1" fillId="7" borderId="67" xfId="7" applyNumberFormat="1" applyFont="1" applyFill="1" applyBorder="1" applyAlignment="1" applyProtection="1">
      <alignment horizontal="right"/>
    </xf>
    <xf numFmtId="37" fontId="1" fillId="7" borderId="69" xfId="7" applyNumberFormat="1" applyFont="1" applyFill="1" applyBorder="1" applyAlignment="1" applyProtection="1">
      <alignment horizontal="right"/>
    </xf>
    <xf numFmtId="37" fontId="1" fillId="7" borderId="14" xfId="7" applyNumberFormat="1" applyFont="1" applyFill="1" applyBorder="1" applyAlignment="1" applyProtection="1">
      <alignment horizontal="right"/>
    </xf>
    <xf numFmtId="37" fontId="1" fillId="6" borderId="0" xfId="7" applyNumberFormat="1" applyFont="1" applyFill="1" applyBorder="1" applyAlignment="1">
      <alignment horizontal="center"/>
    </xf>
    <xf numFmtId="37" fontId="1" fillId="7" borderId="65" xfId="7" applyNumberFormat="1" applyFont="1" applyFill="1" applyBorder="1" applyAlignment="1" applyProtection="1">
      <alignment horizontal="right"/>
    </xf>
    <xf numFmtId="37" fontId="1" fillId="7" borderId="62" xfId="7" applyNumberFormat="1" applyFont="1" applyFill="1" applyBorder="1" applyAlignment="1" applyProtection="1">
      <alignment horizontal="right"/>
    </xf>
    <xf numFmtId="37" fontId="1" fillId="6" borderId="0" xfId="8" applyFont="1" applyFill="1" applyBorder="1" applyAlignment="1">
      <alignment horizontal="right"/>
    </xf>
    <xf numFmtId="37" fontId="1" fillId="6" borderId="0" xfId="8" applyFont="1" applyFill="1" applyBorder="1" applyAlignment="1">
      <alignment horizontal="left" vertical="center" wrapText="1"/>
    </xf>
    <xf numFmtId="37" fontId="1" fillId="6" borderId="0" xfId="8" applyFont="1" applyFill="1" applyBorder="1" applyAlignment="1">
      <alignment horizontal="left"/>
    </xf>
    <xf numFmtId="37" fontId="1" fillId="6" borderId="0" xfId="8" applyNumberFormat="1" applyFont="1" applyFill="1" applyBorder="1" applyAlignment="1">
      <alignment horizontal="center" wrapText="1"/>
    </xf>
    <xf numFmtId="37" fontId="1" fillId="7" borderId="0" xfId="7" applyFont="1" applyFill="1" applyBorder="1" applyAlignment="1"/>
    <xf numFmtId="167" fontId="1" fillId="7" borderId="0" xfId="7" applyNumberFormat="1" applyFont="1" applyFill="1" applyBorder="1" applyAlignment="1">
      <alignment horizontal="left"/>
    </xf>
    <xf numFmtId="167" fontId="1" fillId="7" borderId="0" xfId="7" applyNumberFormat="1" applyFont="1" applyFill="1" applyBorder="1" applyAlignment="1" applyProtection="1"/>
    <xf numFmtId="49" fontId="1" fillId="7" borderId="0" xfId="1" applyNumberFormat="1" applyFont="1" applyFill="1" applyBorder="1" applyAlignment="1" applyProtection="1">
      <alignment horizontal="center"/>
    </xf>
    <xf numFmtId="37" fontId="1" fillId="7" borderId="0" xfId="7" applyNumberFormat="1" applyFont="1" applyFill="1" applyBorder="1" applyAlignment="1" applyProtection="1">
      <alignment horizontal="center"/>
    </xf>
    <xf numFmtId="37" fontId="1" fillId="0" borderId="0" xfId="3" applyFont="1" applyFill="1" applyBorder="1"/>
    <xf numFmtId="167" fontId="1" fillId="7" borderId="0" xfId="7" applyNumberFormat="1" applyFont="1" applyFill="1" applyBorder="1" applyAlignment="1"/>
    <xf numFmtId="167" fontId="1" fillId="7" borderId="0" xfId="7" applyNumberFormat="1" applyFont="1" applyFill="1" applyBorder="1" applyAlignment="1" applyProtection="1">
      <alignment horizontal="right"/>
    </xf>
    <xf numFmtId="167" fontId="1" fillId="7" borderId="0" xfId="7" applyNumberFormat="1" applyFont="1" applyFill="1" applyBorder="1" applyAlignment="1" applyProtection="1">
      <alignment horizontal="left"/>
    </xf>
    <xf numFmtId="49" fontId="1" fillId="7" borderId="0" xfId="1" applyNumberFormat="1" applyFont="1" applyFill="1" applyBorder="1" applyAlignment="1">
      <alignment horizontal="center"/>
    </xf>
    <xf numFmtId="37" fontId="1" fillId="7" borderId="0" xfId="7" applyNumberFormat="1" applyFont="1" applyFill="1" applyBorder="1" applyAlignment="1">
      <alignment horizontal="center"/>
    </xf>
    <xf numFmtId="167" fontId="1" fillId="7" borderId="0" xfId="7" applyNumberFormat="1" applyFont="1" applyFill="1" applyBorder="1" applyAlignment="1">
      <alignment horizontal="right"/>
    </xf>
    <xf numFmtId="37" fontId="1" fillId="7" borderId="0" xfId="8" applyFont="1" applyFill="1" applyBorder="1" applyAlignment="1">
      <alignment horizontal="left" vertical="center"/>
    </xf>
    <xf numFmtId="37" fontId="1" fillId="7" borderId="0" xfId="8" applyFont="1" applyFill="1" applyBorder="1" applyAlignment="1">
      <alignment horizontal="right"/>
    </xf>
    <xf numFmtId="49" fontId="1" fillId="7" borderId="0" xfId="2" applyNumberFormat="1" applyFont="1" applyFill="1" applyBorder="1" applyAlignment="1"/>
    <xf numFmtId="37" fontId="1" fillId="7" borderId="0" xfId="2" applyNumberFormat="1" applyFont="1" applyFill="1" applyBorder="1" applyAlignment="1">
      <alignment horizontal="center"/>
    </xf>
    <xf numFmtId="37" fontId="1" fillId="7" borderId="0" xfId="2" applyFont="1" applyFill="1" applyBorder="1" applyAlignment="1">
      <alignment horizontal="left"/>
    </xf>
    <xf numFmtId="37" fontId="1" fillId="9" borderId="0" xfId="7" applyFont="1" applyFill="1" applyBorder="1" applyAlignment="1"/>
    <xf numFmtId="37" fontId="1" fillId="9" borderId="0" xfId="7" applyFont="1" applyFill="1" applyBorder="1" applyAlignment="1">
      <alignment horizontal="left"/>
    </xf>
    <xf numFmtId="37" fontId="1" fillId="9" borderId="0" xfId="7" applyFont="1" applyFill="1" applyBorder="1" applyAlignment="1" applyProtection="1"/>
    <xf numFmtId="49" fontId="1" fillId="9" borderId="0" xfId="1" applyNumberFormat="1" applyFont="1" applyFill="1" applyBorder="1" applyAlignment="1" applyProtection="1">
      <alignment horizontal="center"/>
    </xf>
    <xf numFmtId="37" fontId="1" fillId="9" borderId="0" xfId="7" applyNumberFormat="1" applyFont="1" applyFill="1" applyBorder="1" applyAlignment="1" applyProtection="1">
      <alignment horizontal="center"/>
    </xf>
    <xf numFmtId="37" fontId="1" fillId="11" borderId="17" xfId="7" applyNumberFormat="1" applyFont="1" applyFill="1" applyBorder="1" applyAlignment="1" applyProtection="1">
      <alignment horizontal="right"/>
    </xf>
    <xf numFmtId="37" fontId="1" fillId="9" borderId="0" xfId="7" applyFont="1" applyFill="1" applyBorder="1" applyAlignment="1" applyProtection="1">
      <alignment horizontal="right"/>
    </xf>
    <xf numFmtId="37" fontId="1" fillId="9" borderId="0" xfId="7" applyFont="1" applyFill="1" applyBorder="1" applyAlignment="1">
      <alignment horizontal="right"/>
    </xf>
    <xf numFmtId="37" fontId="1" fillId="10" borderId="17" xfId="7" applyNumberFormat="1" applyFont="1" applyFill="1" applyBorder="1" applyAlignment="1" applyProtection="1">
      <alignment horizontal="right"/>
    </xf>
    <xf numFmtId="37" fontId="1" fillId="9" borderId="0" xfId="7" quotePrefix="1" applyNumberFormat="1" applyFont="1" applyFill="1" applyBorder="1" applyAlignment="1" applyProtection="1">
      <alignment horizontal="center"/>
    </xf>
    <xf numFmtId="49" fontId="1" fillId="9" borderId="0" xfId="1" applyNumberFormat="1" applyFont="1" applyFill="1" applyBorder="1" applyAlignment="1">
      <alignment horizontal="center"/>
    </xf>
    <xf numFmtId="37" fontId="1" fillId="9" borderId="0" xfId="7" applyNumberFormat="1" applyFont="1" applyFill="1" applyBorder="1" applyAlignment="1">
      <alignment horizontal="center"/>
    </xf>
    <xf numFmtId="37" fontId="1" fillId="9" borderId="0" xfId="8" applyFont="1" applyFill="1" applyBorder="1" applyAlignment="1">
      <alignment horizontal="left" vertical="center" wrapText="1"/>
    </xf>
    <xf numFmtId="37" fontId="1" fillId="9" borderId="0" xfId="8" applyFont="1" applyFill="1" applyBorder="1" applyAlignment="1">
      <alignment horizontal="right"/>
    </xf>
    <xf numFmtId="49" fontId="1" fillId="9" borderId="0" xfId="1" applyNumberFormat="1" applyFont="1" applyFill="1" applyBorder="1" applyAlignment="1">
      <alignment horizontal="center" wrapText="1"/>
    </xf>
    <xf numFmtId="37" fontId="1" fillId="9" borderId="0" xfId="7" applyNumberFormat="1" applyFont="1" applyFill="1" applyBorder="1" applyAlignment="1">
      <alignment horizontal="center" wrapText="1"/>
    </xf>
    <xf numFmtId="37" fontId="1" fillId="12" borderId="59" xfId="7" applyFont="1" applyFill="1" applyBorder="1" applyAlignment="1"/>
    <xf numFmtId="37" fontId="1" fillId="12" borderId="0" xfId="7" applyFont="1" applyFill="1" applyBorder="1" applyAlignment="1">
      <alignment horizontal="left"/>
    </xf>
    <xf numFmtId="37" fontId="1" fillId="12" borderId="0" xfId="7" applyFont="1" applyFill="1" applyBorder="1" applyAlignment="1" applyProtection="1"/>
    <xf numFmtId="49" fontId="1" fillId="12" borderId="0" xfId="7" applyNumberFormat="1" applyFont="1" applyFill="1" applyBorder="1" applyAlignment="1" applyProtection="1">
      <alignment horizontal="center"/>
    </xf>
    <xf numFmtId="37" fontId="1" fillId="12" borderId="0" xfId="7" applyNumberFormat="1" applyFont="1" applyFill="1" applyBorder="1" applyAlignment="1">
      <alignment horizontal="center" wrapText="1"/>
    </xf>
    <xf numFmtId="37" fontId="1" fillId="12" borderId="61" xfId="7" applyFont="1" applyFill="1" applyBorder="1" applyAlignment="1"/>
    <xf numFmtId="37" fontId="1" fillId="12" borderId="48" xfId="7" applyFont="1" applyFill="1" applyBorder="1" applyAlignment="1">
      <alignment horizontal="left"/>
    </xf>
    <xf numFmtId="37" fontId="1" fillId="12" borderId="48" xfId="7" applyFont="1" applyFill="1" applyBorder="1" applyAlignment="1" applyProtection="1">
      <alignment horizontal="right"/>
    </xf>
    <xf numFmtId="49" fontId="1" fillId="12" borderId="48" xfId="7" applyNumberFormat="1" applyFont="1" applyFill="1" applyBorder="1" applyAlignment="1" applyProtection="1">
      <alignment horizontal="center"/>
    </xf>
    <xf numFmtId="37" fontId="1" fillId="12" borderId="48" xfId="7" applyNumberFormat="1" applyFont="1" applyFill="1" applyBorder="1" applyAlignment="1">
      <alignment horizontal="center" wrapText="1"/>
    </xf>
    <xf numFmtId="37" fontId="1" fillId="7" borderId="64" xfId="7" applyNumberFormat="1" applyFont="1" applyFill="1" applyBorder="1" applyAlignment="1" applyProtection="1">
      <alignment horizontal="right"/>
    </xf>
    <xf numFmtId="37" fontId="1" fillId="8" borderId="0" xfId="7" applyFont="1" applyFill="1" applyBorder="1" applyAlignment="1"/>
    <xf numFmtId="37" fontId="1" fillId="8" borderId="0" xfId="7" applyFont="1" applyFill="1" applyBorder="1" applyAlignment="1">
      <alignment horizontal="left"/>
    </xf>
    <xf numFmtId="37" fontId="1" fillId="8" borderId="0" xfId="7" applyFont="1" applyFill="1" applyBorder="1" applyAlignment="1" applyProtection="1"/>
    <xf numFmtId="49" fontId="1" fillId="8" borderId="0" xfId="7" applyNumberFormat="1" applyFont="1" applyFill="1" applyBorder="1" applyAlignment="1" applyProtection="1">
      <alignment horizontal="center"/>
    </xf>
    <xf numFmtId="37" fontId="1" fillId="8" borderId="0" xfId="7" applyNumberFormat="1" applyFont="1" applyFill="1" applyBorder="1" applyAlignment="1">
      <alignment horizontal="center" wrapText="1"/>
    </xf>
    <xf numFmtId="37" fontId="1" fillId="14" borderId="0" xfId="7" applyFont="1" applyFill="1" applyBorder="1" applyAlignment="1">
      <alignment horizontal="left"/>
    </xf>
    <xf numFmtId="37" fontId="1" fillId="14" borderId="0" xfId="7" applyFont="1" applyFill="1" applyBorder="1" applyAlignment="1" applyProtection="1"/>
    <xf numFmtId="49" fontId="1" fillId="14" borderId="0" xfId="1" applyNumberFormat="1" applyFont="1" applyFill="1" applyBorder="1" applyAlignment="1" applyProtection="1">
      <alignment horizontal="center"/>
    </xf>
    <xf numFmtId="37" fontId="1" fillId="14" borderId="0" xfId="7" applyNumberFormat="1" applyFont="1" applyFill="1" applyBorder="1" applyAlignment="1" applyProtection="1">
      <alignment horizontal="center"/>
    </xf>
    <xf numFmtId="37" fontId="1" fillId="14" borderId="0" xfId="7" applyFont="1" applyFill="1" applyBorder="1" applyAlignment="1"/>
    <xf numFmtId="37" fontId="1" fillId="14" borderId="0" xfId="7" applyFont="1" applyFill="1" applyBorder="1" applyAlignment="1">
      <alignment horizontal="right"/>
    </xf>
    <xf numFmtId="37" fontId="1" fillId="14" borderId="0" xfId="7" applyFont="1" applyFill="1" applyBorder="1" applyAlignment="1" applyProtection="1">
      <alignment horizontal="right"/>
    </xf>
    <xf numFmtId="49" fontId="1" fillId="14" borderId="0" xfId="12" applyNumberFormat="1" applyFont="1" applyFill="1" applyBorder="1" applyAlignment="1" applyProtection="1">
      <alignment horizontal="center"/>
    </xf>
    <xf numFmtId="49" fontId="1" fillId="14" borderId="0" xfId="1" applyNumberFormat="1" applyFont="1" applyFill="1" applyBorder="1" applyAlignment="1">
      <alignment horizontal="center" wrapText="1"/>
    </xf>
    <xf numFmtId="37" fontId="1" fillId="14" borderId="0" xfId="7" applyNumberFormat="1" applyFont="1" applyFill="1" applyBorder="1" applyAlignment="1">
      <alignment horizontal="center" wrapText="1"/>
    </xf>
    <xf numFmtId="0" fontId="1" fillId="14" borderId="0" xfId="1" applyNumberFormat="1" applyFont="1" applyFill="1" applyBorder="1" applyAlignment="1">
      <alignment horizontal="right"/>
    </xf>
    <xf numFmtId="49" fontId="1" fillId="14" borderId="0" xfId="1" applyNumberFormat="1" applyFont="1" applyFill="1" applyBorder="1" applyAlignment="1">
      <alignment horizontal="left"/>
    </xf>
    <xf numFmtId="37" fontId="1" fillId="0" borderId="0" xfId="10" applyFont="1" applyFill="1" applyBorder="1" applyAlignment="1"/>
    <xf numFmtId="49" fontId="1" fillId="14" borderId="0" xfId="1" applyNumberFormat="1" applyFont="1" applyFill="1" applyBorder="1" applyAlignment="1">
      <alignment horizontal="center"/>
    </xf>
    <xf numFmtId="37" fontId="1" fillId="14" borderId="0" xfId="7" applyNumberFormat="1" applyFont="1" applyFill="1" applyBorder="1" applyAlignment="1">
      <alignment horizontal="center"/>
    </xf>
    <xf numFmtId="37" fontId="1" fillId="14" borderId="0" xfId="8" applyFont="1" applyFill="1" applyBorder="1" applyAlignment="1">
      <alignment horizontal="left" vertical="center" wrapText="1"/>
    </xf>
    <xf numFmtId="37" fontId="1" fillId="14" borderId="0" xfId="8" applyFont="1" applyFill="1" applyBorder="1" applyAlignment="1">
      <alignment horizontal="right"/>
    </xf>
    <xf numFmtId="37" fontId="1" fillId="0" borderId="11" xfId="10" applyFont="1" applyFill="1" applyBorder="1" applyAlignment="1">
      <alignment vertical="center" wrapText="1"/>
    </xf>
    <xf numFmtId="49" fontId="1" fillId="14" borderId="0" xfId="8" applyNumberFormat="1" applyFont="1" applyFill="1" applyBorder="1" applyAlignment="1"/>
    <xf numFmtId="37" fontId="1" fillId="14" borderId="0" xfId="8" applyNumberFormat="1" applyFont="1" applyFill="1" applyBorder="1" applyAlignment="1">
      <alignment horizontal="center"/>
    </xf>
    <xf numFmtId="37" fontId="1" fillId="6" borderId="0" xfId="8" applyNumberFormat="1" applyFont="1" applyFill="1" applyBorder="1" applyAlignment="1">
      <alignment horizontal="center"/>
    </xf>
    <xf numFmtId="37" fontId="1" fillId="7" borderId="0" xfId="7" applyFont="1" applyFill="1" applyBorder="1" applyAlignment="1">
      <alignment horizontal="left"/>
    </xf>
    <xf numFmtId="37" fontId="1" fillId="7" borderId="0" xfId="7" applyFont="1" applyFill="1" applyBorder="1" applyAlignment="1" applyProtection="1"/>
    <xf numFmtId="37" fontId="1" fillId="7" borderId="0" xfId="7" applyFont="1" applyFill="1" applyBorder="1" applyAlignment="1">
      <alignment horizontal="right"/>
    </xf>
    <xf numFmtId="37" fontId="1" fillId="11" borderId="34" xfId="7" applyNumberFormat="1" applyFont="1" applyFill="1" applyBorder="1" applyAlignment="1" applyProtection="1">
      <alignment horizontal="right"/>
    </xf>
    <xf numFmtId="37" fontId="1" fillId="7" borderId="0" xfId="7" applyFont="1" applyFill="1" applyBorder="1" applyAlignment="1" applyProtection="1">
      <alignment horizontal="right"/>
    </xf>
    <xf numFmtId="0" fontId="1" fillId="7" borderId="0" xfId="1" applyNumberFormat="1" applyFont="1" applyFill="1" applyBorder="1" applyAlignment="1" applyProtection="1">
      <alignment horizontal="center"/>
    </xf>
    <xf numFmtId="37" fontId="1" fillId="7" borderId="0" xfId="7" applyFont="1" applyFill="1" applyBorder="1" applyAlignment="1" applyProtection="1">
      <alignment horizontal="left"/>
    </xf>
    <xf numFmtId="165" fontId="1" fillId="7" borderId="0" xfId="6" applyFont="1" applyFill="1" applyBorder="1" applyAlignment="1">
      <alignment horizontal="left"/>
    </xf>
    <xf numFmtId="49" fontId="1" fillId="7" borderId="0" xfId="6" applyNumberFormat="1" applyFont="1" applyFill="1" applyBorder="1" applyAlignment="1">
      <alignment horizontal="center"/>
    </xf>
    <xf numFmtId="165" fontId="1" fillId="7" borderId="0" xfId="5" applyFont="1" applyFill="1" applyBorder="1" applyAlignment="1">
      <alignment horizontal="center"/>
    </xf>
    <xf numFmtId="49" fontId="1" fillId="7" borderId="0" xfId="12" applyNumberFormat="1" applyFont="1" applyFill="1" applyBorder="1" applyAlignment="1">
      <alignment horizontal="center"/>
    </xf>
    <xf numFmtId="3" fontId="1" fillId="7" borderId="0" xfId="12" applyFont="1" applyFill="1" applyBorder="1" applyAlignment="1"/>
    <xf numFmtId="49" fontId="1" fillId="7" borderId="0" xfId="11" applyNumberFormat="1" applyFont="1" applyFill="1" applyBorder="1" applyAlignment="1">
      <alignment horizontal="center"/>
    </xf>
    <xf numFmtId="165" fontId="1" fillId="16" borderId="0" xfId="13" applyNumberFormat="1" applyFont="1" applyFill="1" applyBorder="1" applyAlignment="1" applyProtection="1">
      <alignment horizontal="center"/>
    </xf>
    <xf numFmtId="3" fontId="1" fillId="7" borderId="0" xfId="12" applyFont="1" applyFill="1" applyBorder="1" applyAlignment="1">
      <alignment horizontal="left"/>
    </xf>
    <xf numFmtId="165" fontId="1" fillId="7" borderId="0" xfId="6" applyFont="1" applyFill="1" applyBorder="1" applyAlignment="1"/>
    <xf numFmtId="49" fontId="1" fillId="7" borderId="0" xfId="7" applyNumberFormat="1" applyFont="1" applyFill="1" applyBorder="1" applyAlignment="1"/>
    <xf numFmtId="37" fontId="1" fillId="7" borderId="0" xfId="8" applyFont="1" applyFill="1" applyBorder="1" applyAlignment="1">
      <alignment horizontal="left" vertical="center" wrapText="1"/>
    </xf>
    <xf numFmtId="49" fontId="1" fillId="7" borderId="0" xfId="1" applyNumberFormat="1" applyFont="1" applyFill="1" applyBorder="1" applyAlignment="1">
      <alignment horizontal="center" wrapText="1"/>
    </xf>
    <xf numFmtId="37" fontId="1" fillId="7" borderId="0" xfId="7" applyNumberFormat="1" applyFont="1" applyFill="1" applyBorder="1" applyAlignment="1">
      <alignment horizontal="center" wrapText="1"/>
    </xf>
    <xf numFmtId="167" fontId="1" fillId="13" borderId="0" xfId="7" applyNumberFormat="1" applyFont="1" applyFill="1" applyBorder="1" applyAlignment="1">
      <alignment horizontal="left"/>
    </xf>
    <xf numFmtId="167" fontId="1" fillId="13" borderId="0" xfId="7" applyNumberFormat="1" applyFont="1" applyFill="1" applyBorder="1" applyAlignment="1"/>
    <xf numFmtId="49" fontId="1" fillId="13" borderId="0" xfId="1" applyNumberFormat="1" applyFont="1" applyFill="1" applyBorder="1" applyAlignment="1">
      <alignment horizontal="center"/>
    </xf>
    <xf numFmtId="37" fontId="1" fillId="13" borderId="0" xfId="7" applyNumberFormat="1" applyFont="1" applyFill="1" applyBorder="1" applyAlignment="1">
      <alignment horizontal="center"/>
    </xf>
    <xf numFmtId="167" fontId="1" fillId="13" borderId="0" xfId="7" applyNumberFormat="1" applyFont="1" applyFill="1" applyBorder="1" applyAlignment="1">
      <alignment horizontal="right"/>
    </xf>
    <xf numFmtId="165" fontId="1" fillId="13" borderId="0" xfId="6" applyFont="1" applyFill="1" applyBorder="1" applyAlignment="1"/>
    <xf numFmtId="49" fontId="1" fillId="13" borderId="0" xfId="6" applyNumberFormat="1" applyFont="1" applyFill="1" applyBorder="1" applyAlignment="1">
      <alignment horizontal="center"/>
    </xf>
    <xf numFmtId="165" fontId="1" fillId="13" borderId="0" xfId="5" applyFont="1" applyFill="1" applyBorder="1" applyAlignment="1">
      <alignment horizontal="center"/>
    </xf>
    <xf numFmtId="3" fontId="1" fillId="13" borderId="0" xfId="12" applyFont="1" applyFill="1" applyBorder="1" applyAlignment="1"/>
    <xf numFmtId="49" fontId="1" fillId="13" borderId="0" xfId="1" applyNumberFormat="1" applyFont="1" applyFill="1" applyBorder="1" applyAlignment="1" applyProtection="1">
      <alignment horizontal="center"/>
    </xf>
    <xf numFmtId="37" fontId="1" fillId="13" borderId="0" xfId="7" applyNumberFormat="1" applyFont="1" applyFill="1" applyBorder="1" applyAlignment="1" applyProtection="1">
      <alignment horizontal="center"/>
    </xf>
    <xf numFmtId="167" fontId="1" fillId="13" borderId="0" xfId="7" applyNumberFormat="1" applyFont="1" applyFill="1" applyBorder="1" applyAlignment="1" applyProtection="1">
      <alignment horizontal="right"/>
    </xf>
    <xf numFmtId="49" fontId="1" fillId="13" borderId="0" xfId="1" applyNumberFormat="1" applyFont="1" applyFill="1" applyBorder="1" applyAlignment="1"/>
    <xf numFmtId="37" fontId="1" fillId="13" borderId="0" xfId="7" applyFont="1" applyFill="1" applyBorder="1" applyAlignment="1">
      <alignment horizontal="right"/>
    </xf>
    <xf numFmtId="37" fontId="1" fillId="13" borderId="0" xfId="8" applyFont="1" applyFill="1" applyBorder="1" applyAlignment="1">
      <alignment horizontal="left" vertical="center" wrapText="1"/>
    </xf>
    <xf numFmtId="37" fontId="1" fillId="13" borderId="0" xfId="8" applyFont="1" applyFill="1" applyBorder="1" applyAlignment="1">
      <alignment horizontal="right"/>
    </xf>
    <xf numFmtId="37" fontId="1" fillId="13" borderId="0" xfId="7" applyFont="1" applyFill="1" applyBorder="1" applyAlignment="1">
      <alignment horizontal="left"/>
    </xf>
    <xf numFmtId="49" fontId="1" fillId="13" borderId="0" xfId="1" applyNumberFormat="1" applyFont="1" applyFill="1" applyBorder="1" applyAlignment="1">
      <alignment horizontal="center" wrapText="1"/>
    </xf>
    <xf numFmtId="37" fontId="1" fillId="13" borderId="0" xfId="7" applyNumberFormat="1" applyFont="1" applyFill="1" applyBorder="1" applyAlignment="1">
      <alignment horizontal="center" wrapText="1"/>
    </xf>
    <xf numFmtId="37" fontId="1" fillId="11" borderId="0" xfId="7" applyFont="1" applyFill="1" applyBorder="1" applyAlignment="1"/>
    <xf numFmtId="37" fontId="1" fillId="11" borderId="0" xfId="7" applyFont="1" applyFill="1" applyBorder="1" applyAlignment="1">
      <alignment horizontal="left"/>
    </xf>
    <xf numFmtId="37" fontId="1" fillId="11" borderId="0" xfId="7" applyFont="1" applyFill="1" applyBorder="1" applyAlignment="1" applyProtection="1"/>
    <xf numFmtId="49" fontId="1" fillId="11" borderId="0" xfId="1" applyNumberFormat="1" applyFont="1" applyFill="1" applyBorder="1" applyAlignment="1" applyProtection="1">
      <alignment horizontal="center"/>
    </xf>
    <xf numFmtId="37" fontId="1" fillId="11" borderId="0" xfId="7" applyNumberFormat="1" applyFont="1" applyFill="1" applyBorder="1" applyAlignment="1" applyProtection="1">
      <alignment horizontal="center"/>
    </xf>
    <xf numFmtId="37" fontId="1" fillId="11" borderId="0" xfId="7" applyFont="1" applyFill="1" applyBorder="1" applyAlignment="1" applyProtection="1">
      <alignment horizontal="right"/>
    </xf>
    <xf numFmtId="49" fontId="1" fillId="11" borderId="0" xfId="1" applyNumberFormat="1" applyFont="1" applyFill="1" applyBorder="1" applyAlignment="1">
      <alignment horizontal="center"/>
    </xf>
    <xf numFmtId="37" fontId="1" fillId="11" borderId="0" xfId="8" applyFont="1" applyFill="1" applyBorder="1" applyAlignment="1">
      <alignment horizontal="right"/>
    </xf>
    <xf numFmtId="37" fontId="1" fillId="11" borderId="0" xfId="8" applyFont="1" applyFill="1" applyBorder="1" applyAlignment="1">
      <alignment horizontal="left" vertical="center" wrapText="1"/>
    </xf>
    <xf numFmtId="37" fontId="1" fillId="11" borderId="0" xfId="10" applyFont="1" applyFill="1" applyBorder="1" applyAlignment="1"/>
    <xf numFmtId="37" fontId="1" fillId="11" borderId="0" xfId="7" applyFont="1" applyFill="1" applyBorder="1" applyAlignment="1">
      <alignment horizontal="right"/>
    </xf>
    <xf numFmtId="49" fontId="1" fillId="11" borderId="0" xfId="1" applyNumberFormat="1" applyFont="1" applyFill="1" applyBorder="1" applyAlignment="1">
      <alignment horizontal="center" wrapText="1"/>
    </xf>
    <xf numFmtId="37" fontId="1" fillId="11" borderId="0" xfId="7" applyNumberFormat="1" applyFont="1" applyFill="1" applyBorder="1" applyAlignment="1">
      <alignment horizontal="center" wrapText="1"/>
    </xf>
    <xf numFmtId="37" fontId="1" fillId="9" borderId="0" xfId="2" applyFont="1" applyFill="1" applyBorder="1" applyAlignment="1"/>
    <xf numFmtId="37" fontId="1" fillId="9" borderId="0" xfId="2" applyFont="1" applyFill="1" applyBorder="1" applyAlignment="1">
      <alignment horizontal="left"/>
    </xf>
    <xf numFmtId="49" fontId="1" fillId="9" borderId="0" xfId="2" applyNumberFormat="1" applyFont="1" applyFill="1" applyBorder="1" applyAlignment="1">
      <alignment horizontal="center"/>
    </xf>
    <xf numFmtId="37" fontId="1" fillId="9" borderId="0" xfId="2" applyFont="1" applyFill="1" applyBorder="1" applyAlignment="1">
      <alignment horizontal="center"/>
    </xf>
    <xf numFmtId="37" fontId="1" fillId="9" borderId="0" xfId="2" applyFont="1" applyFill="1" applyBorder="1" applyAlignment="1">
      <alignment horizontal="right"/>
    </xf>
    <xf numFmtId="49" fontId="1" fillId="9" borderId="0" xfId="2" applyNumberFormat="1" applyFont="1" applyFill="1" applyBorder="1" applyAlignment="1">
      <alignment horizontal="center" wrapText="1"/>
    </xf>
    <xf numFmtId="37" fontId="1" fillId="9" borderId="0" xfId="2" applyFont="1" applyFill="1" applyBorder="1" applyAlignment="1">
      <alignment horizontal="center" wrapText="1"/>
    </xf>
    <xf numFmtId="37" fontId="1" fillId="9" borderId="0" xfId="2" applyFont="1" applyFill="1" applyBorder="1" applyAlignment="1">
      <alignment horizontal="left" vertical="center" wrapText="1"/>
    </xf>
    <xf numFmtId="37" fontId="1" fillId="0" borderId="47" xfId="10" applyFont="1" applyFill="1" applyBorder="1" applyAlignment="1">
      <alignment vertical="center" wrapText="1"/>
    </xf>
    <xf numFmtId="167" fontId="1" fillId="12" borderId="0" xfId="7" applyNumberFormat="1" applyFont="1" applyFill="1" applyBorder="1" applyAlignment="1">
      <alignment horizontal="left"/>
    </xf>
    <xf numFmtId="167" fontId="1" fillId="12" borderId="0" xfId="7" applyNumberFormat="1" applyFont="1" applyFill="1" applyBorder="1" applyAlignment="1"/>
    <xf numFmtId="49" fontId="1" fillId="12" borderId="0" xfId="1" applyNumberFormat="1" applyFont="1" applyFill="1" applyBorder="1" applyAlignment="1" applyProtection="1">
      <alignment horizontal="center"/>
    </xf>
    <xf numFmtId="37" fontId="1" fillId="12" borderId="0" xfId="7" applyNumberFormat="1" applyFont="1" applyFill="1" applyBorder="1" applyAlignment="1">
      <alignment horizontal="center"/>
    </xf>
    <xf numFmtId="167" fontId="1" fillId="12" borderId="0" xfId="7" applyNumberFormat="1" applyFont="1" applyFill="1" applyBorder="1" applyAlignment="1" applyProtection="1"/>
    <xf numFmtId="37" fontId="1" fillId="12" borderId="0" xfId="7" applyNumberFormat="1" applyFont="1" applyFill="1" applyBorder="1" applyAlignment="1" applyProtection="1">
      <alignment horizontal="center"/>
    </xf>
    <xf numFmtId="167" fontId="1" fillId="12" borderId="0" xfId="7" applyNumberFormat="1" applyFont="1" applyFill="1" applyBorder="1" applyAlignment="1" applyProtection="1">
      <alignment horizontal="right"/>
    </xf>
    <xf numFmtId="167" fontId="1" fillId="12" borderId="0" xfId="7" applyNumberFormat="1" applyFont="1" applyFill="1" applyBorder="1" applyAlignment="1">
      <alignment horizontal="right"/>
    </xf>
    <xf numFmtId="49" fontId="1" fillId="8" borderId="0" xfId="1" applyNumberFormat="1" applyFont="1" applyFill="1" applyBorder="1" applyAlignment="1" applyProtection="1">
      <alignment horizontal="center"/>
    </xf>
    <xf numFmtId="37" fontId="1" fillId="8" borderId="0" xfId="7" applyNumberFormat="1" applyFont="1" applyFill="1" applyBorder="1" applyAlignment="1" applyProtection="1">
      <alignment horizontal="center"/>
    </xf>
    <xf numFmtId="37" fontId="1" fillId="8" borderId="0" xfId="7" applyFont="1" applyFill="1" applyBorder="1" applyAlignment="1">
      <alignment horizontal="right"/>
    </xf>
    <xf numFmtId="37" fontId="1" fillId="8" borderId="0" xfId="7" applyFont="1" applyFill="1" applyBorder="1" applyAlignment="1" applyProtection="1">
      <alignment horizontal="right"/>
    </xf>
    <xf numFmtId="49" fontId="1" fillId="8" borderId="0" xfId="1" applyNumberFormat="1" applyFont="1" applyFill="1" applyBorder="1" applyAlignment="1">
      <alignment horizontal="center" wrapText="1"/>
    </xf>
    <xf numFmtId="37" fontId="1" fillId="8" borderId="0" xfId="8" applyFont="1" applyFill="1" applyBorder="1" applyAlignment="1">
      <alignment horizontal="right"/>
    </xf>
    <xf numFmtId="37" fontId="1" fillId="8" borderId="0" xfId="8" applyFont="1" applyFill="1" applyBorder="1" applyAlignment="1">
      <alignment horizontal="left" vertical="center" wrapText="1"/>
    </xf>
    <xf numFmtId="37" fontId="1" fillId="14" borderId="0" xfId="7" applyFont="1" applyFill="1" applyBorder="1" applyAlignment="1" applyProtection="1">
      <alignment horizontal="left"/>
    </xf>
    <xf numFmtId="37" fontId="1" fillId="13" borderId="0" xfId="7" applyFont="1" applyFill="1" applyBorder="1" applyAlignment="1"/>
    <xf numFmtId="37" fontId="1" fillId="13" borderId="0" xfId="7" applyFont="1" applyFill="1" applyBorder="1" applyAlignment="1" applyProtection="1"/>
    <xf numFmtId="49" fontId="1" fillId="13" borderId="0" xfId="7" applyNumberFormat="1" applyFont="1" applyFill="1" applyBorder="1" applyAlignment="1" applyProtection="1">
      <alignment horizontal="center"/>
    </xf>
    <xf numFmtId="37" fontId="1" fillId="13" borderId="0" xfId="7" applyFont="1" applyFill="1" applyBorder="1" applyAlignment="1" applyProtection="1">
      <alignment horizontal="right"/>
    </xf>
    <xf numFmtId="0" fontId="1" fillId="13" borderId="0" xfId="7" applyNumberFormat="1" applyFont="1" applyFill="1" applyBorder="1" applyAlignment="1">
      <alignment horizontal="right"/>
    </xf>
    <xf numFmtId="37" fontId="1" fillId="13" borderId="0" xfId="7" applyFont="1" applyFill="1" applyBorder="1" applyAlignment="1" applyProtection="1">
      <alignment horizontal="left"/>
    </xf>
    <xf numFmtId="37" fontId="1" fillId="0" borderId="34" xfId="7" applyNumberFormat="1" applyFont="1" applyFill="1" applyBorder="1" applyAlignment="1" applyProtection="1">
      <alignment horizontal="right"/>
    </xf>
    <xf numFmtId="37" fontId="1" fillId="0" borderId="34" xfId="3" applyFont="1" applyBorder="1" applyAlignment="1">
      <alignment horizontal="right"/>
    </xf>
    <xf numFmtId="37" fontId="1" fillId="0" borderId="8" xfId="10" applyFont="1" applyFill="1" applyBorder="1" applyAlignment="1">
      <alignment wrapText="1"/>
    </xf>
    <xf numFmtId="167" fontId="1" fillId="11" borderId="0" xfId="7" applyNumberFormat="1" applyFont="1" applyFill="1" applyBorder="1" applyAlignment="1"/>
    <xf numFmtId="167" fontId="1" fillId="11" borderId="0" xfId="7" applyNumberFormat="1" applyFont="1" applyFill="1" applyBorder="1" applyAlignment="1">
      <alignment horizontal="left"/>
    </xf>
    <xf numFmtId="167" fontId="1" fillId="11" borderId="0" xfId="7" applyNumberFormat="1" applyFont="1" applyFill="1" applyBorder="1" applyAlignment="1" applyProtection="1"/>
    <xf numFmtId="167" fontId="1" fillId="11" borderId="0" xfId="7" applyNumberFormat="1" applyFont="1" applyFill="1" applyBorder="1" applyAlignment="1" applyProtection="1">
      <alignment horizontal="right"/>
    </xf>
    <xf numFmtId="3" fontId="1" fillId="11" borderId="0" xfId="12" applyFont="1" applyFill="1" applyBorder="1" applyAlignment="1" applyProtection="1"/>
    <xf numFmtId="37" fontId="1" fillId="7" borderId="70" xfId="7" applyNumberFormat="1" applyFont="1" applyFill="1" applyBorder="1" applyAlignment="1" applyProtection="1">
      <alignment horizontal="right"/>
    </xf>
    <xf numFmtId="37" fontId="1" fillId="7" borderId="72" xfId="7" applyNumberFormat="1" applyFont="1" applyFill="1" applyBorder="1" applyAlignment="1" applyProtection="1">
      <alignment horizontal="right"/>
    </xf>
    <xf numFmtId="167" fontId="1" fillId="11" borderId="0" xfId="7" applyNumberFormat="1" applyFont="1" applyFill="1" applyBorder="1" applyAlignment="1">
      <alignment horizontal="right"/>
    </xf>
    <xf numFmtId="49" fontId="1" fillId="9" borderId="0" xfId="7" applyNumberFormat="1" applyFont="1" applyFill="1" applyBorder="1" applyAlignment="1">
      <alignment horizontal="center"/>
    </xf>
    <xf numFmtId="167" fontId="1" fillId="9" borderId="0" xfId="7" applyNumberFormat="1" applyFont="1" applyFill="1" applyBorder="1" applyAlignment="1">
      <alignment horizontal="right"/>
    </xf>
    <xf numFmtId="165" fontId="1" fillId="9" borderId="0" xfId="6" applyNumberFormat="1" applyFont="1" applyFill="1" applyBorder="1" applyAlignment="1"/>
    <xf numFmtId="3" fontId="1" fillId="9" borderId="0" xfId="12" applyFont="1" applyFill="1" applyBorder="1" applyAlignment="1"/>
    <xf numFmtId="37" fontId="1" fillId="9" borderId="0" xfId="7" quotePrefix="1" applyFont="1" applyFill="1" applyBorder="1" applyAlignment="1"/>
    <xf numFmtId="49" fontId="1" fillId="9" borderId="0" xfId="7" applyNumberFormat="1" applyFont="1" applyFill="1" applyBorder="1" applyAlignment="1"/>
    <xf numFmtId="37" fontId="1" fillId="9" borderId="0" xfId="7" quotePrefix="1" applyFont="1" applyFill="1" applyBorder="1" applyAlignment="1">
      <alignment horizontal="left"/>
    </xf>
    <xf numFmtId="37" fontId="1" fillId="9" borderId="0" xfId="7" quotePrefix="1" applyFont="1" applyFill="1" applyBorder="1" applyAlignment="1">
      <alignment horizontal="right"/>
    </xf>
    <xf numFmtId="37" fontId="1" fillId="12" borderId="0" xfId="7" applyFont="1" applyFill="1" applyBorder="1" applyAlignment="1"/>
    <xf numFmtId="37" fontId="1" fillId="12" borderId="0" xfId="7" applyFont="1" applyFill="1" applyBorder="1" applyAlignment="1">
      <alignment horizontal="right"/>
    </xf>
    <xf numFmtId="37" fontId="1" fillId="12" borderId="0" xfId="7" applyFont="1" applyFill="1" applyBorder="1" applyAlignment="1" applyProtection="1">
      <alignment horizontal="right"/>
    </xf>
    <xf numFmtId="165" fontId="1" fillId="12" borderId="0" xfId="11" applyFont="1" applyFill="1" applyBorder="1" applyAlignment="1"/>
    <xf numFmtId="37" fontId="1" fillId="12" borderId="0" xfId="8" applyFont="1" applyFill="1" applyBorder="1" applyAlignment="1">
      <alignment horizontal="left" vertical="center" wrapText="1"/>
    </xf>
    <xf numFmtId="37" fontId="1" fillId="12" borderId="0" xfId="8" applyFont="1" applyFill="1" applyBorder="1" applyAlignment="1">
      <alignment horizontal="right"/>
    </xf>
    <xf numFmtId="49" fontId="1" fillId="12" borderId="0" xfId="1" applyNumberFormat="1" applyFont="1" applyFill="1" applyBorder="1" applyAlignment="1">
      <alignment horizontal="center" wrapText="1"/>
    </xf>
    <xf numFmtId="49" fontId="1" fillId="8" borderId="0" xfId="7" applyNumberFormat="1" applyFont="1" applyFill="1" applyBorder="1" applyAlignment="1">
      <alignment horizontal="right"/>
    </xf>
    <xf numFmtId="37" fontId="1" fillId="8" borderId="0" xfId="7" applyNumberFormat="1" applyFont="1" applyFill="1" applyBorder="1" applyAlignment="1">
      <alignment horizontal="center"/>
    </xf>
    <xf numFmtId="165" fontId="1" fillId="8" borderId="0" xfId="6" applyFont="1" applyFill="1" applyBorder="1" applyAlignment="1"/>
    <xf numFmtId="165" fontId="1" fillId="8" borderId="0" xfId="6" applyFont="1" applyFill="1" applyBorder="1" applyAlignment="1">
      <alignment horizontal="right"/>
    </xf>
    <xf numFmtId="49" fontId="1" fillId="8" borderId="0" xfId="7" applyNumberFormat="1" applyFont="1" applyFill="1" applyBorder="1" applyAlignment="1"/>
    <xf numFmtId="49" fontId="1" fillId="8" borderId="74" xfId="7" applyNumberFormat="1" applyFont="1" applyFill="1" applyBorder="1" applyAlignment="1"/>
    <xf numFmtId="37" fontId="1" fillId="8" borderId="74" xfId="7" applyNumberFormat="1" applyFont="1" applyFill="1" applyBorder="1" applyAlignment="1">
      <alignment horizontal="center"/>
    </xf>
    <xf numFmtId="37" fontId="1" fillId="7" borderId="75" xfId="7" applyNumberFormat="1" applyFont="1" applyFill="1" applyBorder="1" applyAlignment="1" applyProtection="1">
      <alignment horizontal="right"/>
    </xf>
    <xf numFmtId="37" fontId="1" fillId="8" borderId="59" xfId="7" applyFont="1" applyFill="1" applyBorder="1" applyAlignment="1">
      <alignment horizontal="right"/>
    </xf>
    <xf numFmtId="37" fontId="1" fillId="8" borderId="61" xfId="7" applyFont="1" applyFill="1" applyBorder="1" applyAlignment="1">
      <alignment horizontal="right"/>
    </xf>
    <xf numFmtId="49" fontId="1" fillId="8" borderId="48" xfId="7" applyNumberFormat="1" applyFont="1" applyFill="1" applyBorder="1" applyAlignment="1"/>
    <xf numFmtId="37" fontId="1" fillId="8" borderId="48" xfId="7" applyNumberFormat="1" applyFont="1" applyFill="1" applyBorder="1" applyAlignment="1">
      <alignment horizontal="center"/>
    </xf>
    <xf numFmtId="37" fontId="1" fillId="0" borderId="0" xfId="3" applyFont="1" applyFill="1" applyBorder="1" applyAlignment="1">
      <alignment horizontal="left"/>
    </xf>
    <xf numFmtId="37" fontId="1" fillId="0" borderId="0" xfId="3" applyFont="1" applyFill="1" applyBorder="1" applyAlignment="1"/>
    <xf numFmtId="49" fontId="1" fillId="0" borderId="0" xfId="3" applyNumberFormat="1" applyFont="1" applyFill="1" applyBorder="1"/>
    <xf numFmtId="37" fontId="1" fillId="0" borderId="0" xfId="3" applyNumberFormat="1" applyFont="1" applyFill="1" applyBorder="1" applyAlignment="1">
      <alignment horizontal="center"/>
    </xf>
    <xf numFmtId="167" fontId="1" fillId="0" borderId="0" xfId="3" applyNumberFormat="1" applyFont="1" applyFill="1" applyBorder="1"/>
    <xf numFmtId="37" fontId="1" fillId="0" borderId="0" xfId="3" applyNumberFormat="1" applyFont="1" applyFill="1" applyBorder="1"/>
    <xf numFmtId="37" fontId="1" fillId="0" borderId="17" xfId="3" applyFont="1" applyBorder="1" applyAlignment="1">
      <alignment vertical="center" wrapText="1"/>
    </xf>
    <xf numFmtId="37" fontId="1" fillId="0" borderId="6" xfId="3" applyFont="1" applyBorder="1" applyAlignment="1">
      <alignment vertical="center" wrapText="1"/>
    </xf>
    <xf numFmtId="37" fontId="1" fillId="0" borderId="17" xfId="3" applyFont="1" applyBorder="1" applyAlignment="1"/>
    <xf numFmtId="37" fontId="1" fillId="0" borderId="6" xfId="3" applyFont="1" applyBorder="1" applyAlignment="1"/>
    <xf numFmtId="37" fontId="1" fillId="0" borderId="62" xfId="3" applyFont="1" applyBorder="1" applyAlignment="1">
      <alignment vertical="center" wrapText="1"/>
    </xf>
    <xf numFmtId="37" fontId="1" fillId="0" borderId="14" xfId="3" applyFont="1" applyBorder="1" applyAlignment="1"/>
    <xf numFmtId="37" fontId="1" fillId="0" borderId="62" xfId="3" applyFont="1" applyBorder="1" applyAlignment="1">
      <alignment vertical="center"/>
    </xf>
    <xf numFmtId="169" fontId="8" fillId="0" borderId="80" xfId="15" applyNumberFormat="1" applyFont="1" applyFill="1" applyBorder="1" applyAlignment="1">
      <alignment horizontal="center" vertical="center"/>
    </xf>
    <xf numFmtId="169" fontId="8" fillId="0" borderId="81" xfId="15" applyNumberFormat="1" applyFont="1" applyFill="1" applyBorder="1" applyAlignment="1">
      <alignment horizontal="center" vertical="center"/>
    </xf>
    <xf numFmtId="37" fontId="10" fillId="0" borderId="4" xfId="0" applyNumberFormat="1" applyFont="1" applyFill="1" applyBorder="1" applyAlignment="1">
      <alignment horizontal="left" vertical="center" wrapText="1"/>
    </xf>
    <xf numFmtId="37" fontId="1" fillId="0" borderId="0" xfId="0" applyNumberFormat="1" applyFont="1" applyFill="1" applyBorder="1" applyAlignment="1">
      <alignment horizontal="center" vertical="center" wrapText="1"/>
    </xf>
    <xf numFmtId="37" fontId="1" fillId="0" borderId="0" xfId="0" quotePrefix="1" applyNumberFormat="1" applyFont="1" applyFill="1" applyBorder="1" applyAlignment="1">
      <alignment horizontal="right"/>
    </xf>
    <xf numFmtId="169" fontId="10" fillId="0" borderId="15" xfId="15" applyNumberFormat="1" applyFont="1" applyFill="1" applyBorder="1" applyAlignment="1">
      <alignment horizontal="center" vertical="center"/>
    </xf>
    <xf numFmtId="169" fontId="10" fillId="0" borderId="52" xfId="15" applyNumberFormat="1" applyFont="1" applyFill="1" applyBorder="1" applyAlignment="1">
      <alignment horizontal="center" vertical="center"/>
    </xf>
    <xf numFmtId="169" fontId="10" fillId="0" borderId="55" xfId="15" applyNumberFormat="1" applyFont="1" applyFill="1" applyBorder="1" applyAlignment="1">
      <alignment horizontal="center" vertical="center"/>
    </xf>
    <xf numFmtId="169" fontId="59" fillId="0" borderId="52" xfId="15" applyNumberFormat="1" applyFont="1" applyFill="1" applyBorder="1" applyAlignment="1">
      <alignment horizontal="center" vertical="center"/>
    </xf>
    <xf numFmtId="169" fontId="59" fillId="0" borderId="55" xfId="15" applyNumberFormat="1" applyFont="1" applyFill="1" applyBorder="1" applyAlignment="1">
      <alignment horizontal="center" vertical="center"/>
    </xf>
    <xf numFmtId="37" fontId="26" fillId="0" borderId="79" xfId="0" applyNumberFormat="1" applyFont="1" applyFill="1" applyBorder="1" applyAlignment="1" applyProtection="1">
      <alignment horizontal="right" vertical="center"/>
    </xf>
    <xf numFmtId="37" fontId="4" fillId="0" borderId="82" xfId="0" applyNumberFormat="1" applyFont="1" applyFill="1" applyBorder="1" applyAlignment="1">
      <alignment horizontal="left" vertical="center" wrapText="1"/>
    </xf>
    <xf numFmtId="37" fontId="18" fillId="0" borderId="83" xfId="0" applyNumberFormat="1" applyFont="1" applyFill="1" applyBorder="1" applyAlignment="1">
      <alignment horizontal="left" vertical="center" wrapText="1"/>
    </xf>
    <xf numFmtId="37" fontId="4" fillId="0" borderId="83" xfId="0" applyNumberFormat="1" applyFont="1" applyFill="1" applyBorder="1" applyAlignment="1">
      <alignment horizontal="left" vertical="center" wrapText="1"/>
    </xf>
    <xf numFmtId="37" fontId="4" fillId="0" borderId="84" xfId="0" applyNumberFormat="1" applyFont="1" applyFill="1" applyBorder="1" applyAlignment="1">
      <alignment horizontal="left" vertical="center" wrapText="1"/>
    </xf>
    <xf numFmtId="37" fontId="18" fillId="0" borderId="85" xfId="0" applyNumberFormat="1" applyFont="1" applyFill="1" applyBorder="1" applyAlignment="1">
      <alignment horizontal="left" vertical="center" wrapText="1"/>
    </xf>
    <xf numFmtId="37" fontId="4" fillId="0" borderId="86" xfId="0" applyNumberFormat="1" applyFont="1" applyFill="1" applyBorder="1" applyAlignment="1">
      <alignment horizontal="left" vertical="center" wrapText="1"/>
    </xf>
    <xf numFmtId="37" fontId="18" fillId="0" borderId="86" xfId="0" applyNumberFormat="1" applyFont="1" applyFill="1" applyBorder="1" applyAlignment="1">
      <alignment horizontal="left" vertical="center" wrapText="1"/>
    </xf>
    <xf numFmtId="37" fontId="4" fillId="0" borderId="87" xfId="0" applyNumberFormat="1" applyFont="1" applyFill="1" applyBorder="1" applyAlignment="1">
      <alignment horizontal="left" vertical="center" wrapText="1"/>
    </xf>
    <xf numFmtId="37" fontId="10" fillId="0" borderId="4" xfId="0" applyNumberFormat="1" applyFont="1" applyFill="1" applyBorder="1" applyAlignment="1">
      <alignment horizontal="right" vertical="center" wrapText="1"/>
    </xf>
    <xf numFmtId="37" fontId="1" fillId="11" borderId="0" xfId="8" applyFont="1" applyFill="1" applyBorder="1" applyAlignment="1"/>
    <xf numFmtId="37" fontId="1" fillId="11" borderId="0" xfId="8" applyFont="1" applyFill="1" applyBorder="1" applyAlignment="1">
      <alignment vertical="center"/>
    </xf>
    <xf numFmtId="37" fontId="33" fillId="11" borderId="0" xfId="8" applyFont="1" applyFill="1" applyBorder="1" applyAlignment="1" applyProtection="1">
      <alignment horizontal="right"/>
    </xf>
    <xf numFmtId="49" fontId="1" fillId="11" borderId="0" xfId="8" applyNumberFormat="1" applyFont="1" applyFill="1" applyBorder="1" applyAlignment="1">
      <alignment horizontal="center"/>
    </xf>
    <xf numFmtId="37" fontId="1" fillId="11" borderId="0" xfId="8" applyNumberFormat="1" applyFont="1" applyFill="1" applyBorder="1" applyAlignment="1" applyProtection="1">
      <alignment horizontal="center"/>
    </xf>
    <xf numFmtId="37" fontId="1" fillId="11" borderId="0" xfId="8" applyFont="1" applyFill="1" applyBorder="1" applyAlignment="1" applyProtection="1">
      <alignment horizontal="right"/>
    </xf>
    <xf numFmtId="37" fontId="10" fillId="11" borderId="0" xfId="8" applyFont="1" applyFill="1" applyBorder="1" applyAlignment="1">
      <alignment vertical="center"/>
    </xf>
    <xf numFmtId="37" fontId="1" fillId="11" borderId="0" xfId="8" applyFont="1" applyFill="1" applyBorder="1" applyAlignment="1">
      <alignment horizontal="right" vertical="center"/>
    </xf>
    <xf numFmtId="37" fontId="33" fillId="11" borderId="0" xfId="8" applyFont="1" applyFill="1" applyBorder="1" applyAlignment="1">
      <alignment horizontal="right" vertical="center"/>
    </xf>
    <xf numFmtId="37" fontId="33" fillId="11" borderId="0" xfId="8" applyFont="1" applyFill="1" applyBorder="1" applyAlignment="1">
      <alignment horizontal="left" vertical="center"/>
    </xf>
    <xf numFmtId="37" fontId="39" fillId="11" borderId="0" xfId="8" applyFont="1" applyFill="1" applyBorder="1" applyAlignment="1" applyProtection="1">
      <alignment horizontal="right"/>
    </xf>
    <xf numFmtId="37" fontId="1" fillId="0" borderId="0" xfId="0" applyNumberFormat="1" applyFont="1" applyAlignment="1"/>
    <xf numFmtId="37" fontId="1" fillId="0" borderId="0" xfId="0" applyNumberFormat="1" applyFont="1" applyFill="1" applyAlignment="1"/>
    <xf numFmtId="37" fontId="1" fillId="0" borderId="0" xfId="0" applyNumberFormat="1" applyFont="1" applyBorder="1" applyAlignment="1"/>
    <xf numFmtId="37" fontId="1" fillId="0" borderId="0" xfId="0" applyNumberFormat="1" applyFont="1" applyFill="1" applyBorder="1" applyAlignment="1"/>
    <xf numFmtId="37" fontId="10" fillId="0" borderId="90" xfId="0" applyNumberFormat="1" applyFont="1" applyFill="1" applyBorder="1" applyAlignment="1"/>
    <xf numFmtId="37" fontId="1" fillId="0" borderId="21" xfId="0" applyNumberFormat="1" applyFont="1" applyBorder="1" applyAlignment="1">
      <alignment vertical="center"/>
    </xf>
    <xf numFmtId="37" fontId="1" fillId="0" borderId="21" xfId="0" applyNumberFormat="1" applyFont="1" applyFill="1" applyBorder="1" applyAlignment="1">
      <alignment vertical="center"/>
    </xf>
    <xf numFmtId="37" fontId="1" fillId="0" borderId="38" xfId="0" applyNumberFormat="1" applyFont="1" applyBorder="1" applyAlignment="1">
      <alignment vertical="center"/>
    </xf>
    <xf numFmtId="37" fontId="1" fillId="0" borderId="30" xfId="0" applyNumberFormat="1" applyFont="1" applyBorder="1" applyAlignment="1"/>
    <xf numFmtId="37" fontId="1" fillId="0" borderId="11" xfId="0" applyNumberFormat="1" applyFont="1" applyBorder="1" applyAlignment="1">
      <alignment vertical="center"/>
    </xf>
    <xf numFmtId="37" fontId="1" fillId="0" borderId="17" xfId="0" applyNumberFormat="1" applyFont="1" applyBorder="1" applyAlignment="1"/>
    <xf numFmtId="37" fontId="10" fillId="0" borderId="91" xfId="0" applyNumberFormat="1" applyFont="1" applyFill="1" applyBorder="1" applyAlignment="1"/>
    <xf numFmtId="37" fontId="10" fillId="0" borderId="98" xfId="0" applyNumberFormat="1" applyFont="1" applyFill="1" applyBorder="1" applyAlignment="1"/>
    <xf numFmtId="37" fontId="10" fillId="0" borderId="99" xfId="0" applyNumberFormat="1" applyFont="1" applyFill="1" applyBorder="1" applyAlignment="1"/>
    <xf numFmtId="37" fontId="10" fillId="0" borderId="36" xfId="0" applyNumberFormat="1" applyFont="1" applyFill="1" applyBorder="1" applyAlignment="1"/>
    <xf numFmtId="37" fontId="10" fillId="0" borderId="93" xfId="0" applyNumberFormat="1" applyFont="1" applyFill="1" applyBorder="1" applyAlignment="1"/>
    <xf numFmtId="37" fontId="10" fillId="0" borderId="100" xfId="0" applyNumberFormat="1" applyFont="1" applyFill="1" applyBorder="1" applyAlignment="1"/>
    <xf numFmtId="37" fontId="10" fillId="0" borderId="101" xfId="0" applyNumberFormat="1" applyFont="1" applyFill="1" applyBorder="1" applyAlignment="1"/>
    <xf numFmtId="37" fontId="10" fillId="0" borderId="88" xfId="0" applyNumberFormat="1" applyFont="1" applyFill="1" applyBorder="1" applyAlignment="1"/>
    <xf numFmtId="37" fontId="10" fillId="0" borderId="89" xfId="0" applyNumberFormat="1" applyFont="1" applyFill="1" applyBorder="1" applyAlignment="1"/>
    <xf numFmtId="37" fontId="10" fillId="0" borderId="102" xfId="0" applyNumberFormat="1" applyFont="1" applyFill="1" applyBorder="1" applyAlignment="1"/>
    <xf numFmtId="37" fontId="2" fillId="0" borderId="0" xfId="0" applyNumberFormat="1" applyFont="1" applyFill="1" applyAlignment="1"/>
    <xf numFmtId="37" fontId="2" fillId="0" borderId="0" xfId="0" applyNumberFormat="1" applyFont="1" applyFill="1" applyAlignment="1">
      <alignment horizontal="right"/>
    </xf>
    <xf numFmtId="37" fontId="64" fillId="0" borderId="0" xfId="19" quotePrefix="1" applyNumberFormat="1" applyFont="1" applyFill="1" applyBorder="1" applyAlignment="1" applyProtection="1">
      <alignment horizontal="left"/>
    </xf>
    <xf numFmtId="168" fontId="63" fillId="0" borderId="0" xfId="18" applyNumberFormat="1" applyFill="1" applyBorder="1" applyAlignment="1" applyProtection="1">
      <alignment horizontal="right" vertical="center"/>
    </xf>
    <xf numFmtId="37" fontId="65" fillId="0" borderId="0" xfId="0" applyNumberFormat="1" applyFont="1" applyFill="1" applyBorder="1" applyAlignment="1">
      <alignment horizontal="centerContinuous" vertical="center"/>
    </xf>
    <xf numFmtId="37" fontId="1" fillId="0" borderId="7" xfId="0" applyNumberFormat="1" applyFont="1" applyFill="1" applyBorder="1" applyAlignment="1"/>
    <xf numFmtId="37" fontId="1" fillId="0" borderId="29" xfId="0" applyNumberFormat="1" applyFont="1" applyFill="1" applyBorder="1" applyAlignment="1"/>
    <xf numFmtId="37" fontId="31" fillId="11" borderId="0" xfId="8" applyFont="1" applyFill="1" applyBorder="1" applyAlignment="1" applyProtection="1">
      <alignment horizontal="right"/>
    </xf>
    <xf numFmtId="37" fontId="1" fillId="0" borderId="12" xfId="0" applyNumberFormat="1" applyFont="1" applyFill="1" applyBorder="1" applyAlignment="1"/>
    <xf numFmtId="37" fontId="1" fillId="0" borderId="13" xfId="0" applyNumberFormat="1" applyFont="1" applyFill="1" applyBorder="1" applyAlignment="1"/>
    <xf numFmtId="3" fontId="1" fillId="0" borderId="7" xfId="0" applyNumberFormat="1" applyFont="1" applyFill="1" applyBorder="1" applyAlignment="1"/>
    <xf numFmtId="3" fontId="1" fillId="0" borderId="21" xfId="0" applyNumberFormat="1" applyFont="1" applyFill="1" applyBorder="1" applyAlignment="1"/>
    <xf numFmtId="3" fontId="1" fillId="0" borderId="38" xfId="0" applyNumberFormat="1" applyFont="1" applyFill="1" applyBorder="1" applyAlignment="1"/>
    <xf numFmtId="3" fontId="1" fillId="0" borderId="94" xfId="0" applyNumberFormat="1" applyFont="1" applyFill="1" applyBorder="1" applyAlignment="1"/>
    <xf numFmtId="3" fontId="1" fillId="0" borderId="73" xfId="0" applyNumberFormat="1" applyFont="1" applyFill="1" applyBorder="1" applyAlignment="1"/>
    <xf numFmtId="3" fontId="1" fillId="0" borderId="78" xfId="0" applyNumberFormat="1" applyFont="1" applyFill="1" applyBorder="1" applyAlignment="1"/>
    <xf numFmtId="3" fontId="1" fillId="0" borderId="45" xfId="0" applyNumberFormat="1" applyFont="1" applyFill="1" applyBorder="1" applyAlignment="1"/>
    <xf numFmtId="3" fontId="1" fillId="0" borderId="29" xfId="0" applyNumberFormat="1" applyFont="1" applyFill="1" applyBorder="1" applyAlignment="1"/>
    <xf numFmtId="3" fontId="1" fillId="0" borderId="0" xfId="0" applyNumberFormat="1" applyFont="1" applyFill="1" applyBorder="1" applyAlignment="1"/>
    <xf numFmtId="3" fontId="1" fillId="0" borderId="30" xfId="0" applyNumberFormat="1" applyFont="1" applyFill="1" applyBorder="1" applyAlignment="1"/>
    <xf numFmtId="3" fontId="1" fillId="0" borderId="95" xfId="0" applyNumberFormat="1" applyFont="1" applyFill="1" applyBorder="1" applyAlignment="1"/>
    <xf numFmtId="3" fontId="1" fillId="0" borderId="14" xfId="0" applyNumberFormat="1" applyFont="1" applyFill="1" applyBorder="1" applyAlignment="1"/>
    <xf numFmtId="3" fontId="1" fillId="0" borderId="59" xfId="0" applyNumberFormat="1" applyFont="1" applyFill="1" applyBorder="1" applyAlignment="1"/>
    <xf numFmtId="3" fontId="1" fillId="0" borderId="60" xfId="0" applyNumberFormat="1" applyFont="1" applyFill="1" applyBorder="1" applyAlignment="1"/>
    <xf numFmtId="3" fontId="1" fillId="0" borderId="103" xfId="0" applyNumberFormat="1" applyFont="1" applyFill="1" applyBorder="1" applyAlignment="1"/>
    <xf numFmtId="3" fontId="10" fillId="0" borderId="29" xfId="0" applyNumberFormat="1" applyFont="1" applyFill="1" applyBorder="1" applyAlignment="1"/>
    <xf numFmtId="3" fontId="10" fillId="0" borderId="30" xfId="0" applyNumberFormat="1" applyFont="1" applyFill="1" applyBorder="1" applyAlignment="1"/>
    <xf numFmtId="3" fontId="10" fillId="0" borderId="96" xfId="0" applyNumberFormat="1" applyFont="1" applyFill="1" applyBorder="1" applyAlignment="1"/>
    <xf numFmtId="3" fontId="10" fillId="0" borderId="14" xfId="0" applyNumberFormat="1" applyFont="1" applyFill="1" applyBorder="1" applyAlignment="1"/>
    <xf numFmtId="3" fontId="10" fillId="0" borderId="61" xfId="0" applyNumberFormat="1" applyFont="1" applyFill="1" applyBorder="1" applyAlignment="1"/>
    <xf numFmtId="3" fontId="10" fillId="0" borderId="66" xfId="0" applyNumberFormat="1" applyFont="1" applyFill="1" applyBorder="1" applyAlignment="1"/>
    <xf numFmtId="3" fontId="10" fillId="0" borderId="103" xfId="0" applyNumberFormat="1" applyFont="1" applyFill="1" applyBorder="1" applyAlignment="1"/>
    <xf numFmtId="3" fontId="1" fillId="0" borderId="74" xfId="0" applyNumberFormat="1" applyFont="1" applyFill="1" applyBorder="1" applyAlignment="1"/>
    <xf numFmtId="3" fontId="1" fillId="0" borderId="96" xfId="0" applyNumberFormat="1" applyFont="1" applyFill="1" applyBorder="1" applyAlignment="1"/>
    <xf numFmtId="3" fontId="1" fillId="0" borderId="48" xfId="0" applyNumberFormat="1" applyFont="1" applyFill="1" applyBorder="1" applyAlignment="1"/>
    <xf numFmtId="3" fontId="1" fillId="0" borderId="66" xfId="0" applyNumberFormat="1" applyFont="1" applyFill="1" applyBorder="1" applyAlignment="1"/>
    <xf numFmtId="3" fontId="1" fillId="0" borderId="61" xfId="0" applyNumberFormat="1" applyFont="1" applyFill="1" applyBorder="1" applyAlignment="1"/>
    <xf numFmtId="3" fontId="1" fillId="0" borderId="106" xfId="0" applyNumberFormat="1" applyFont="1" applyFill="1" applyBorder="1" applyAlignment="1"/>
    <xf numFmtId="3" fontId="1" fillId="0" borderId="107" xfId="0" applyNumberFormat="1" applyFont="1" applyFill="1" applyBorder="1" applyAlignment="1"/>
    <xf numFmtId="3" fontId="1" fillId="0" borderId="108" xfId="0" applyNumberFormat="1" applyFont="1" applyFill="1" applyBorder="1" applyAlignment="1"/>
    <xf numFmtId="3" fontId="1" fillId="0" borderId="32" xfId="0" applyNumberFormat="1" applyFont="1" applyFill="1" applyBorder="1" applyAlignment="1"/>
    <xf numFmtId="3" fontId="1" fillId="0" borderId="2" xfId="0" applyNumberFormat="1" applyFont="1" applyFill="1" applyBorder="1" applyAlignment="1"/>
    <xf numFmtId="3" fontId="1" fillId="0" borderId="22" xfId="0" applyNumberFormat="1" applyFont="1" applyFill="1" applyBorder="1" applyAlignment="1"/>
    <xf numFmtId="3" fontId="1" fillId="0" borderId="0" xfId="0" applyNumberFormat="1" applyFont="1" applyFill="1" applyAlignment="1"/>
    <xf numFmtId="37" fontId="1" fillId="0" borderId="31" xfId="0" applyNumberFormat="1" applyFont="1" applyFill="1" applyBorder="1" applyAlignment="1"/>
    <xf numFmtId="3" fontId="1" fillId="0" borderId="67" xfId="0" applyNumberFormat="1" applyFont="1" applyFill="1" applyBorder="1" applyAlignment="1"/>
    <xf numFmtId="3" fontId="1" fillId="0" borderId="35" xfId="0" applyNumberFormat="1" applyFont="1" applyFill="1" applyBorder="1" applyAlignment="1"/>
    <xf numFmtId="3" fontId="1" fillId="0" borderId="65" xfId="0" applyNumberFormat="1" applyFont="1" applyFill="1" applyBorder="1" applyAlignment="1"/>
    <xf numFmtId="3" fontId="1" fillId="0" borderId="110" xfId="0" applyNumberFormat="1" applyFont="1" applyFill="1" applyBorder="1" applyAlignment="1"/>
    <xf numFmtId="3" fontId="1" fillId="0" borderId="111" xfId="0" applyNumberFormat="1" applyFont="1" applyFill="1" applyBorder="1" applyAlignment="1"/>
    <xf numFmtId="37" fontId="1" fillId="0" borderId="88" xfId="0" applyNumberFormat="1" applyFont="1" applyFill="1" applyBorder="1" applyAlignment="1"/>
    <xf numFmtId="37" fontId="1" fillId="0" borderId="89" xfId="0" applyNumberFormat="1" applyFont="1" applyFill="1" applyBorder="1" applyAlignment="1"/>
    <xf numFmtId="3" fontId="1" fillId="0" borderId="88" xfId="0" applyNumberFormat="1" applyFont="1" applyFill="1" applyBorder="1" applyAlignment="1"/>
    <xf numFmtId="3" fontId="1" fillId="0" borderId="104" xfId="0" applyNumberFormat="1" applyFont="1" applyFill="1" applyBorder="1" applyAlignment="1"/>
    <xf numFmtId="3" fontId="1" fillId="0" borderId="109" xfId="0" applyNumberFormat="1" applyFont="1" applyFill="1" applyBorder="1" applyAlignment="1"/>
    <xf numFmtId="3" fontId="1" fillId="0" borderId="105" xfId="0" applyNumberFormat="1" applyFont="1" applyFill="1" applyBorder="1" applyAlignment="1"/>
    <xf numFmtId="3" fontId="10" fillId="0" borderId="32" xfId="0" applyNumberFormat="1" applyFont="1" applyFill="1" applyBorder="1" applyAlignment="1"/>
    <xf numFmtId="3" fontId="1" fillId="0" borderId="97" xfId="0" applyNumberFormat="1" applyFont="1" applyFill="1" applyBorder="1" applyAlignment="1"/>
    <xf numFmtId="3" fontId="1" fillId="0" borderId="112" xfId="0" applyNumberFormat="1" applyFont="1" applyFill="1" applyBorder="1" applyAlignment="1"/>
    <xf numFmtId="37" fontId="1" fillId="0" borderId="32" xfId="0" applyNumberFormat="1" applyFont="1" applyFill="1" applyBorder="1" applyAlignment="1"/>
    <xf numFmtId="3" fontId="1" fillId="0" borderId="46" xfId="0" applyNumberFormat="1" applyFont="1" applyFill="1" applyBorder="1" applyAlignment="1"/>
    <xf numFmtId="3" fontId="1" fillId="0" borderId="23" xfId="0" applyNumberFormat="1" applyFont="1" applyFill="1" applyBorder="1" applyAlignment="1"/>
    <xf numFmtId="3" fontId="1" fillId="0" borderId="76" xfId="0" applyNumberFormat="1" applyFont="1" applyFill="1" applyBorder="1" applyAlignment="1"/>
    <xf numFmtId="3" fontId="1" fillId="0" borderId="58" xfId="0" applyNumberFormat="1" applyFont="1" applyFill="1" applyBorder="1" applyAlignment="1"/>
    <xf numFmtId="3" fontId="10" fillId="0" borderId="77" xfId="0" applyNumberFormat="1" applyFont="1" applyFill="1" applyBorder="1" applyAlignment="1"/>
    <xf numFmtId="3" fontId="1" fillId="0" borderId="10" xfId="0" applyNumberFormat="1" applyFont="1" applyFill="1" applyBorder="1" applyAlignment="1"/>
    <xf numFmtId="3" fontId="1" fillId="0" borderId="77" xfId="0" applyNumberFormat="1" applyFont="1" applyFill="1" applyBorder="1" applyAlignment="1"/>
    <xf numFmtId="3" fontId="1" fillId="0" borderId="68" xfId="0" applyNumberFormat="1" applyFont="1" applyFill="1" applyBorder="1" applyAlignment="1"/>
    <xf numFmtId="3" fontId="10" fillId="0" borderId="63" xfId="0" applyNumberFormat="1" applyFont="1" applyFill="1" applyBorder="1" applyAlignment="1"/>
    <xf numFmtId="3" fontId="1" fillId="0" borderId="63" xfId="0" applyNumberFormat="1" applyFont="1" applyFill="1" applyBorder="1" applyAlignment="1"/>
    <xf numFmtId="3" fontId="1" fillId="0" borderId="113" xfId="0" applyNumberFormat="1" applyFont="1" applyFill="1" applyBorder="1" applyAlignment="1"/>
    <xf numFmtId="3" fontId="1" fillId="0" borderId="114" xfId="0" applyNumberFormat="1" applyFont="1" applyFill="1" applyBorder="1" applyAlignment="1"/>
    <xf numFmtId="3" fontId="10" fillId="0" borderId="114" xfId="0" applyNumberFormat="1" applyFont="1" applyFill="1" applyBorder="1" applyAlignment="1"/>
    <xf numFmtId="3" fontId="1" fillId="0" borderId="115" xfId="0" applyNumberFormat="1" applyFont="1" applyFill="1" applyBorder="1" applyAlignment="1"/>
    <xf numFmtId="3" fontId="1" fillId="0" borderId="24" xfId="0" applyNumberFormat="1" applyFont="1" applyFill="1" applyBorder="1" applyAlignment="1"/>
    <xf numFmtId="3" fontId="1" fillId="0" borderId="11" xfId="0" applyNumberFormat="1" applyFont="1" applyFill="1" applyBorder="1" applyAlignment="1"/>
    <xf numFmtId="3" fontId="1" fillId="0" borderId="17" xfId="0" applyNumberFormat="1" applyFont="1" applyFill="1" applyBorder="1" applyAlignment="1"/>
    <xf numFmtId="3" fontId="1" fillId="0" borderId="6" xfId="0" applyNumberFormat="1" applyFont="1" applyFill="1" applyBorder="1" applyAlignment="1"/>
    <xf numFmtId="3" fontId="1" fillId="0" borderId="116" xfId="0" applyNumberFormat="1" applyFont="1" applyFill="1" applyBorder="1" applyAlignment="1"/>
    <xf numFmtId="3" fontId="1" fillId="0" borderId="41" xfId="0" applyNumberFormat="1" applyFont="1" applyFill="1" applyBorder="1" applyAlignment="1"/>
    <xf numFmtId="3" fontId="1" fillId="0" borderId="69" xfId="0" applyNumberFormat="1" applyFont="1" applyFill="1" applyBorder="1" applyAlignment="1"/>
    <xf numFmtId="3" fontId="1" fillId="0" borderId="62" xfId="0" applyNumberFormat="1" applyFont="1" applyFill="1" applyBorder="1" applyAlignment="1"/>
    <xf numFmtId="3" fontId="10" fillId="0" borderId="62" xfId="0" applyNumberFormat="1" applyFont="1" applyFill="1" applyBorder="1" applyAlignment="1"/>
    <xf numFmtId="3" fontId="1" fillId="0" borderId="117" xfId="0" applyNumberFormat="1" applyFont="1" applyFill="1" applyBorder="1" applyAlignment="1"/>
    <xf numFmtId="3" fontId="1" fillId="0" borderId="118" xfId="0" applyNumberFormat="1" applyFont="1" applyFill="1" applyBorder="1" applyAlignment="1"/>
    <xf numFmtId="37" fontId="66" fillId="0" borderId="0" xfId="0" applyNumberFormat="1" applyFont="1" applyFill="1" applyAlignment="1"/>
    <xf numFmtId="37" fontId="29" fillId="11" borderId="23" xfId="3" applyFont="1" applyFill="1" applyBorder="1" applyAlignment="1">
      <alignment horizontal="right"/>
    </xf>
    <xf numFmtId="37" fontId="10" fillId="6" borderId="0" xfId="7" applyFont="1" applyFill="1" applyBorder="1" applyAlignment="1" applyProtection="1">
      <alignment horizontal="right"/>
    </xf>
    <xf numFmtId="37" fontId="29" fillId="17" borderId="23" xfId="3" applyFont="1" applyFill="1" applyBorder="1" applyAlignment="1">
      <alignment horizontal="right"/>
    </xf>
    <xf numFmtId="37" fontId="3" fillId="0" borderId="4" xfId="0" applyNumberFormat="1" applyFont="1" applyFill="1" applyBorder="1" applyAlignment="1">
      <alignment horizontal="left" vertical="top" wrapText="1"/>
    </xf>
    <xf numFmtId="37" fontId="3" fillId="0" borderId="6" xfId="0" applyNumberFormat="1" applyFont="1" applyFill="1" applyBorder="1" applyAlignment="1">
      <alignment horizontal="left" vertical="top" wrapText="1"/>
    </xf>
    <xf numFmtId="37" fontId="3" fillId="0" borderId="15" xfId="0" applyNumberFormat="1" applyFont="1" applyFill="1" applyBorder="1" applyAlignment="1">
      <alignment horizontal="left" vertical="top" wrapText="1"/>
    </xf>
    <xf numFmtId="37" fontId="3" fillId="0" borderId="3" xfId="0" applyNumberFormat="1" applyFont="1" applyFill="1" applyBorder="1" applyAlignment="1">
      <alignment horizontal="left" vertical="top" wrapText="1"/>
    </xf>
    <xf numFmtId="37" fontId="3" fillId="0" borderId="5" xfId="0" applyNumberFormat="1" applyFont="1" applyFill="1" applyBorder="1" applyAlignment="1">
      <alignment horizontal="left" vertical="top" wrapText="1"/>
    </xf>
    <xf numFmtId="9" fontId="17" fillId="0" borderId="0" xfId="15" applyNumberFormat="1" applyFont="1" applyFill="1" applyBorder="1" applyAlignment="1">
      <alignment vertical="center"/>
    </xf>
    <xf numFmtId="37" fontId="29" fillId="0" borderId="17" xfId="3" applyFont="1" applyFill="1" applyBorder="1" applyAlignment="1">
      <alignment horizontal="right"/>
    </xf>
    <xf numFmtId="37" fontId="29" fillId="18" borderId="23" xfId="3" applyFont="1" applyFill="1" applyBorder="1" applyAlignment="1">
      <alignment horizontal="right"/>
    </xf>
    <xf numFmtId="37" fontId="29" fillId="19" borderId="23" xfId="3" applyFont="1" applyFill="1" applyBorder="1" applyAlignment="1">
      <alignment horizontal="right"/>
    </xf>
    <xf numFmtId="37" fontId="29" fillId="18" borderId="58" xfId="3" applyFont="1" applyFill="1" applyBorder="1" applyAlignment="1">
      <alignment horizontal="right"/>
    </xf>
    <xf numFmtId="37" fontId="1" fillId="18" borderId="17" xfId="7" applyNumberFormat="1" applyFont="1" applyFill="1" applyBorder="1" applyAlignment="1" applyProtection="1">
      <alignment horizontal="right"/>
    </xf>
    <xf numFmtId="37" fontId="29" fillId="20" borderId="23" xfId="3" applyFont="1" applyFill="1" applyBorder="1" applyAlignment="1">
      <alignment horizontal="right"/>
    </xf>
    <xf numFmtId="37" fontId="29" fillId="18" borderId="119" xfId="3" applyFont="1" applyFill="1" applyBorder="1" applyAlignment="1">
      <alignment horizontal="right"/>
    </xf>
    <xf numFmtId="37" fontId="1" fillId="11" borderId="35" xfId="7" applyNumberFormat="1" applyFont="1" applyFill="1" applyBorder="1" applyAlignment="1" applyProtection="1">
      <alignment horizontal="right"/>
    </xf>
    <xf numFmtId="37" fontId="1" fillId="11" borderId="65" xfId="7" applyNumberFormat="1" applyFont="1" applyFill="1" applyBorder="1" applyAlignment="1" applyProtection="1">
      <alignment horizontal="right"/>
    </xf>
    <xf numFmtId="37" fontId="1" fillId="7" borderId="11" xfId="7" applyNumberFormat="1" applyFont="1" applyFill="1" applyBorder="1" applyAlignment="1" applyProtection="1">
      <alignment horizontal="right"/>
    </xf>
    <xf numFmtId="37" fontId="1" fillId="18" borderId="23" xfId="7" applyNumberFormat="1" applyFont="1" applyFill="1" applyBorder="1" applyAlignment="1" applyProtection="1">
      <alignment horizontal="right"/>
    </xf>
    <xf numFmtId="37" fontId="1" fillId="18" borderId="0" xfId="7" applyFont="1" applyFill="1" applyBorder="1" applyAlignment="1">
      <alignment horizontal="right"/>
    </xf>
    <xf numFmtId="37" fontId="1" fillId="18" borderId="17" xfId="7" applyFont="1" applyFill="1" applyBorder="1" applyAlignment="1" applyProtection="1">
      <alignment horizontal="right"/>
    </xf>
    <xf numFmtId="37" fontId="1" fillId="18" borderId="0" xfId="7" applyFont="1" applyFill="1" applyBorder="1" applyAlignment="1" applyProtection="1">
      <alignment horizontal="right"/>
    </xf>
    <xf numFmtId="37" fontId="29" fillId="18" borderId="17" xfId="3" applyFont="1" applyFill="1" applyBorder="1" applyAlignment="1">
      <alignment horizontal="right"/>
    </xf>
    <xf numFmtId="37" fontId="1" fillId="18" borderId="23" xfId="3" applyFont="1" applyFill="1" applyBorder="1" applyAlignment="1">
      <alignment horizontal="right"/>
    </xf>
    <xf numFmtId="37" fontId="58" fillId="7" borderId="14" xfId="7" applyNumberFormat="1" applyFont="1" applyFill="1" applyBorder="1" applyAlignment="1" applyProtection="1">
      <alignment horizontal="right"/>
    </xf>
    <xf numFmtId="37" fontId="1" fillId="18" borderId="34" xfId="7" applyNumberFormat="1" applyFont="1" applyFill="1" applyBorder="1" applyAlignment="1" applyProtection="1">
      <alignment horizontal="right"/>
    </xf>
    <xf numFmtId="37" fontId="1" fillId="18" borderId="11" xfId="10" applyFont="1" applyFill="1" applyBorder="1" applyAlignment="1">
      <alignment vertical="center"/>
    </xf>
    <xf numFmtId="37" fontId="29" fillId="21" borderId="23" xfId="3" applyFont="1" applyFill="1" applyBorder="1" applyAlignment="1">
      <alignment horizontal="right"/>
    </xf>
    <xf numFmtId="37" fontId="1" fillId="11" borderId="0" xfId="8" applyFont="1" applyFill="1" applyBorder="1" applyAlignment="1" applyProtection="1">
      <alignment horizontal="left"/>
    </xf>
    <xf numFmtId="37" fontId="67" fillId="12" borderId="0" xfId="7" applyNumberFormat="1" applyFont="1" applyFill="1" applyBorder="1" applyAlignment="1">
      <alignment horizontal="center" wrapText="1"/>
    </xf>
    <xf numFmtId="37" fontId="1" fillId="0" borderId="7" xfId="0" applyNumberFormat="1" applyFont="1" applyBorder="1" applyAlignment="1"/>
    <xf numFmtId="37" fontId="1" fillId="0" borderId="29" xfId="0" applyNumberFormat="1" applyFont="1" applyBorder="1" applyAlignment="1"/>
    <xf numFmtId="37" fontId="1" fillId="0" borderId="88" xfId="0" applyNumberFormat="1" applyFont="1" applyBorder="1" applyAlignment="1"/>
    <xf numFmtId="37" fontId="1" fillId="0" borderId="36" xfId="0" applyNumberFormat="1" applyFont="1" applyBorder="1" applyAlignment="1"/>
    <xf numFmtId="37" fontId="1" fillId="0" borderId="7" xfId="0" applyNumberFormat="1" applyFont="1" applyBorder="1" applyAlignment="1">
      <alignment vertical="center"/>
    </xf>
    <xf numFmtId="37" fontId="1" fillId="0" borderId="12" xfId="0" applyNumberFormat="1" applyFont="1" applyBorder="1" applyAlignment="1"/>
    <xf numFmtId="37" fontId="1" fillId="0" borderId="7" xfId="0" pivotButton="1" applyNumberFormat="1" applyFont="1" applyBorder="1" applyAlignment="1"/>
    <xf numFmtId="37" fontId="1" fillId="0" borderId="13" xfId="0" applyNumberFormat="1" applyFont="1" applyBorder="1" applyAlignment="1"/>
    <xf numFmtId="37" fontId="1" fillId="0" borderId="89" xfId="0" applyNumberFormat="1" applyFont="1" applyBorder="1" applyAlignment="1"/>
    <xf numFmtId="37" fontId="1" fillId="0" borderId="37" xfId="0" applyNumberFormat="1" applyFont="1" applyBorder="1" applyAlignment="1"/>
    <xf numFmtId="37" fontId="1" fillId="0" borderId="31" xfId="0" applyNumberFormat="1" applyFont="1" applyBorder="1" applyAlignment="1"/>
    <xf numFmtId="37" fontId="1" fillId="0" borderId="2" xfId="0" applyNumberFormat="1" applyFont="1" applyBorder="1" applyAlignment="1"/>
    <xf numFmtId="37" fontId="1" fillId="0" borderId="2" xfId="0" applyNumberFormat="1" applyFont="1" applyBorder="1" applyAlignment="1">
      <alignment vertical="top"/>
    </xf>
    <xf numFmtId="9" fontId="1" fillId="0" borderId="0" xfId="15" applyFont="1" applyBorder="1"/>
    <xf numFmtId="9" fontId="1" fillId="0" borderId="0" xfId="15" applyFont="1" applyFill="1" applyBorder="1"/>
    <xf numFmtId="37" fontId="2" fillId="0" borderId="0" xfId="0" applyNumberFormat="1" applyFont="1" applyBorder="1" applyAlignment="1"/>
    <xf numFmtId="37" fontId="2" fillId="0" borderId="0" xfId="0" applyNumberFormat="1" applyFont="1" applyAlignment="1"/>
    <xf numFmtId="37" fontId="1" fillId="0" borderId="0" xfId="0" applyNumberFormat="1" applyFont="1" applyAlignment="1">
      <alignment vertical="top"/>
    </xf>
    <xf numFmtId="37" fontId="1" fillId="0" borderId="7" xfId="0" applyNumberFormat="1" applyFont="1" applyBorder="1" applyAlignment="1">
      <alignment wrapText="1"/>
    </xf>
    <xf numFmtId="37" fontId="1" fillId="0" borderId="12" xfId="0" applyNumberFormat="1" applyFont="1" applyBorder="1" applyAlignment="1">
      <alignment wrapText="1"/>
    </xf>
    <xf numFmtId="37" fontId="1" fillId="0" borderId="7" xfId="0" applyNumberFormat="1" applyFont="1" applyBorder="1" applyAlignment="1">
      <alignment horizontal="right"/>
    </xf>
    <xf numFmtId="37" fontId="1" fillId="0" borderId="21" xfId="0" applyNumberFormat="1" applyFont="1" applyBorder="1" applyAlignment="1">
      <alignment horizontal="right"/>
    </xf>
    <xf numFmtId="37" fontId="1" fillId="0" borderId="21" xfId="0" applyNumberFormat="1" applyFont="1" applyFill="1" applyBorder="1" applyAlignment="1">
      <alignment horizontal="right"/>
    </xf>
    <xf numFmtId="37" fontId="1" fillId="0" borderId="38" xfId="0" applyNumberFormat="1" applyFont="1" applyBorder="1" applyAlignment="1">
      <alignment horizontal="right"/>
    </xf>
    <xf numFmtId="37" fontId="1" fillId="0" borderId="21" xfId="0" applyNumberFormat="1" applyFont="1" applyBorder="1" applyAlignment="1">
      <alignment vertical="top"/>
    </xf>
    <xf numFmtId="37" fontId="1" fillId="0" borderId="7" xfId="0" applyNumberFormat="1" applyFont="1" applyBorder="1" applyAlignment="1">
      <alignment vertical="distributed"/>
    </xf>
    <xf numFmtId="37" fontId="1" fillId="0" borderId="39" xfId="0" applyNumberFormat="1" applyFont="1" applyBorder="1" applyAlignment="1">
      <alignment vertical="top"/>
    </xf>
    <xf numFmtId="37" fontId="1" fillId="0" borderId="13" xfId="0" applyNumberFormat="1" applyFont="1" applyBorder="1" applyAlignment="1">
      <alignment vertical="distributed"/>
    </xf>
    <xf numFmtId="37" fontId="1" fillId="0" borderId="97" xfId="0" applyNumberFormat="1" applyFont="1" applyBorder="1" applyAlignment="1"/>
    <xf numFmtId="37" fontId="1" fillId="0" borderId="32" xfId="0" applyNumberFormat="1" applyFont="1" applyBorder="1" applyAlignment="1"/>
    <xf numFmtId="37" fontId="1" fillId="0" borderId="21" xfId="0" applyNumberFormat="1" applyFont="1" applyBorder="1" applyAlignment="1">
      <alignment horizontal="right" vertical="top"/>
    </xf>
    <xf numFmtId="37" fontId="1" fillId="0" borderId="39" xfId="0" applyNumberFormat="1" applyFont="1" applyBorder="1" applyAlignment="1">
      <alignment horizontal="right" vertical="top"/>
    </xf>
    <xf numFmtId="37" fontId="1" fillId="0" borderId="42" xfId="0" applyNumberFormat="1" applyFont="1" applyBorder="1" applyAlignment="1">
      <alignment vertical="top"/>
    </xf>
    <xf numFmtId="37" fontId="1" fillId="0" borderId="20" xfId="0" applyNumberFormat="1" applyFont="1" applyBorder="1" applyAlignment="1">
      <alignment vertical="top"/>
    </xf>
    <xf numFmtId="37" fontId="1" fillId="0" borderId="43" xfId="0" applyNumberFormat="1" applyFont="1" applyBorder="1" applyAlignment="1"/>
    <xf numFmtId="37" fontId="1" fillId="0" borderId="43" xfId="0" applyNumberFormat="1" applyFont="1" applyBorder="1" applyAlignment="1">
      <alignment vertical="center"/>
    </xf>
    <xf numFmtId="37" fontId="1" fillId="0" borderId="42" xfId="0" applyNumberFormat="1" applyFont="1" applyBorder="1" applyAlignment="1">
      <alignment horizontal="right" vertical="top"/>
    </xf>
    <xf numFmtId="37" fontId="1" fillId="0" borderId="7" xfId="0" applyNumberFormat="1" applyFont="1" applyFill="1" applyBorder="1" applyAlignment="1">
      <alignment vertical="center"/>
    </xf>
    <xf numFmtId="37" fontId="1" fillId="0" borderId="40" xfId="0" applyNumberFormat="1" applyFont="1" applyBorder="1" applyAlignment="1">
      <alignment horizontal="right" vertical="top"/>
    </xf>
    <xf numFmtId="37" fontId="1" fillId="0" borderId="0" xfId="0" applyNumberFormat="1" applyFont="1" applyFill="1" applyAlignment="1">
      <alignment horizontal="right" vertical="top"/>
    </xf>
    <xf numFmtId="37" fontId="1" fillId="0" borderId="92" xfId="0" applyNumberFormat="1" applyFont="1" applyBorder="1" applyAlignment="1"/>
    <xf numFmtId="37" fontId="1" fillId="0" borderId="14" xfId="0" applyNumberFormat="1" applyFont="1" applyFill="1" applyBorder="1" applyAlignment="1">
      <alignment horizontal="right" vertical="top"/>
    </xf>
    <xf numFmtId="9" fontId="1" fillId="0" borderId="22" xfId="15" applyFont="1" applyFill="1" applyBorder="1" applyAlignment="1">
      <alignment horizontal="right" vertical="top"/>
    </xf>
    <xf numFmtId="37" fontId="1" fillId="0" borderId="0" xfId="0" applyNumberFormat="1" applyFont="1" applyFill="1" applyAlignment="1">
      <alignment vertical="top"/>
    </xf>
    <xf numFmtId="37" fontId="1" fillId="0" borderId="17" xfId="0" applyNumberFormat="1" applyFont="1" applyBorder="1" applyAlignment="1">
      <alignment vertical="center"/>
    </xf>
    <xf numFmtId="37" fontId="1" fillId="0" borderId="6" xfId="0" applyNumberFormat="1" applyFont="1" applyBorder="1" applyAlignment="1">
      <alignment vertical="center"/>
    </xf>
    <xf numFmtId="9" fontId="1" fillId="0" borderId="17" xfId="0" applyNumberFormat="1" applyFont="1" applyBorder="1" applyAlignment="1"/>
    <xf numFmtId="9" fontId="1" fillId="0" borderId="0" xfId="0" applyNumberFormat="1" applyFont="1" applyBorder="1" applyAlignment="1"/>
    <xf numFmtId="9" fontId="1" fillId="0" borderId="0" xfId="0" applyNumberFormat="1" applyFont="1" applyFill="1" applyBorder="1" applyAlignment="1"/>
    <xf numFmtId="9" fontId="1" fillId="0" borderId="30" xfId="0" applyNumberFormat="1" applyFont="1" applyBorder="1" applyAlignment="1"/>
    <xf numFmtId="37" fontId="4" fillId="0" borderId="6" xfId="0" applyNumberFormat="1" applyFont="1" applyFill="1" applyBorder="1" applyAlignment="1">
      <alignment horizontal="center" vertical="center" wrapText="1"/>
    </xf>
    <xf numFmtId="37" fontId="1" fillId="0" borderId="0" xfId="0" applyNumberFormat="1" applyFont="1" applyFill="1" applyBorder="1" applyAlignment="1">
      <alignment horizontal="right" vertical="center" wrapText="1"/>
    </xf>
    <xf numFmtId="37" fontId="3" fillId="0" borderId="4" xfId="0" applyNumberFormat="1" applyFont="1" applyFill="1" applyBorder="1" applyAlignment="1">
      <alignment horizontal="right" vertical="top" wrapText="1"/>
    </xf>
    <xf numFmtId="49" fontId="1" fillId="19" borderId="0" xfId="5" applyNumberFormat="1" applyFont="1" applyFill="1" applyBorder="1" applyAlignment="1">
      <alignment horizontal="left"/>
    </xf>
    <xf numFmtId="37" fontId="67" fillId="6" borderId="0" xfId="7" applyNumberFormat="1" applyFont="1" applyFill="1" applyBorder="1" applyAlignment="1" applyProtection="1">
      <alignment horizontal="center"/>
    </xf>
    <xf numFmtId="37" fontId="67" fillId="9" borderId="0" xfId="7" applyNumberFormat="1" applyFont="1" applyFill="1" applyBorder="1" applyAlignment="1" applyProtection="1">
      <alignment horizontal="center"/>
    </xf>
    <xf numFmtId="37" fontId="67" fillId="14" borderId="0" xfId="7" applyNumberFormat="1" applyFont="1" applyFill="1" applyBorder="1" applyAlignment="1" applyProtection="1">
      <alignment horizontal="center"/>
    </xf>
    <xf numFmtId="37" fontId="67" fillId="13" borderId="0" xfId="7" applyNumberFormat="1" applyFont="1" applyFill="1" applyBorder="1" applyAlignment="1">
      <alignment horizontal="center"/>
    </xf>
    <xf numFmtId="37" fontId="67" fillId="11" borderId="0" xfId="7" applyNumberFormat="1" applyFont="1" applyFill="1" applyBorder="1" applyAlignment="1" applyProtection="1">
      <alignment horizontal="center"/>
    </xf>
    <xf numFmtId="37" fontId="67" fillId="14" borderId="0" xfId="7" applyNumberFormat="1" applyFont="1" applyFill="1" applyBorder="1" applyAlignment="1">
      <alignment horizontal="center"/>
    </xf>
    <xf numFmtId="37" fontId="67" fillId="13" borderId="0" xfId="7" applyNumberFormat="1" applyFont="1" applyFill="1" applyBorder="1" applyAlignment="1" applyProtection="1">
      <alignment horizontal="center"/>
    </xf>
    <xf numFmtId="37" fontId="67" fillId="9" borderId="0" xfId="7" applyNumberFormat="1" applyFont="1" applyFill="1" applyBorder="1" applyAlignment="1">
      <alignment horizontal="center"/>
    </xf>
    <xf numFmtId="37" fontId="67" fillId="12" borderId="0" xfId="7" applyNumberFormat="1" applyFont="1" applyFill="1" applyBorder="1" applyAlignment="1" applyProtection="1">
      <alignment horizontal="center"/>
    </xf>
    <xf numFmtId="37" fontId="1" fillId="0" borderId="21" xfId="0" applyNumberFormat="1" applyFont="1" applyBorder="1" applyAlignment="1"/>
    <xf numFmtId="37" fontId="1" fillId="0" borderId="21" xfId="0" applyNumberFormat="1" applyFont="1" applyFill="1" applyBorder="1" applyAlignment="1"/>
    <xf numFmtId="37" fontId="1" fillId="0" borderId="38" xfId="0" applyNumberFormat="1" applyFont="1" applyBorder="1" applyAlignment="1"/>
    <xf numFmtId="37" fontId="1" fillId="0" borderId="90" xfId="0" applyNumberFormat="1" applyFont="1" applyBorder="1" applyAlignment="1"/>
    <xf numFmtId="37" fontId="1" fillId="0" borderId="90" xfId="0" applyNumberFormat="1" applyFont="1" applyFill="1" applyBorder="1" applyAlignment="1"/>
    <xf numFmtId="37" fontId="1" fillId="0" borderId="41" xfId="0" applyNumberFormat="1" applyFont="1" applyBorder="1" applyAlignment="1"/>
    <xf numFmtId="37" fontId="1" fillId="0" borderId="93" xfId="0" applyNumberFormat="1" applyFont="1" applyBorder="1" applyAlignment="1"/>
    <xf numFmtId="37" fontId="1" fillId="0" borderId="95" xfId="0" applyNumberFormat="1" applyFont="1" applyBorder="1" applyAlignment="1"/>
    <xf numFmtId="37" fontId="1" fillId="0" borderId="96" xfId="0" applyNumberFormat="1" applyFont="1" applyBorder="1" applyAlignment="1"/>
    <xf numFmtId="37" fontId="1" fillId="0" borderId="95" xfId="0" applyNumberFormat="1" applyFont="1" applyFill="1" applyBorder="1" applyAlignment="1"/>
    <xf numFmtId="37" fontId="1" fillId="0" borderId="96" xfId="0" applyNumberFormat="1" applyFont="1" applyFill="1" applyBorder="1" applyAlignment="1"/>
    <xf numFmtId="37" fontId="1" fillId="0" borderId="60" xfId="0" applyNumberFormat="1" applyFont="1" applyBorder="1" applyAlignment="1"/>
    <xf numFmtId="37" fontId="1" fillId="0" borderId="66" xfId="0" applyNumberFormat="1" applyFont="1" applyBorder="1" applyAlignment="1"/>
    <xf numFmtId="37" fontId="1" fillId="0" borderId="59" xfId="0" applyNumberFormat="1" applyFont="1" applyBorder="1" applyAlignment="1"/>
    <xf numFmtId="37" fontId="1" fillId="0" borderId="61" xfId="0" applyNumberFormat="1" applyFont="1" applyBorder="1" applyAlignment="1"/>
    <xf numFmtId="37" fontId="1" fillId="0" borderId="59" xfId="0" applyNumberFormat="1" applyFont="1" applyFill="1" applyBorder="1" applyAlignment="1"/>
    <xf numFmtId="37" fontId="1" fillId="0" borderId="61" xfId="0" applyNumberFormat="1" applyFont="1" applyFill="1" applyBorder="1" applyAlignment="1"/>
    <xf numFmtId="37" fontId="1" fillId="0" borderId="66" xfId="0" applyNumberFormat="1" applyFont="1" applyFill="1" applyBorder="1" applyAlignment="1"/>
    <xf numFmtId="37" fontId="1" fillId="0" borderId="6" xfId="0" applyNumberFormat="1" applyFont="1" applyBorder="1" applyAlignment="1"/>
    <xf numFmtId="37" fontId="1" fillId="0" borderId="21" xfId="0" applyNumberFormat="1" applyFont="1" applyFill="1" applyBorder="1" applyAlignment="1">
      <alignment vertical="top"/>
    </xf>
    <xf numFmtId="37" fontId="1" fillId="0" borderId="38" xfId="0" applyNumberFormat="1" applyFont="1" applyBorder="1" applyAlignment="1">
      <alignment vertical="top"/>
    </xf>
    <xf numFmtId="37" fontId="1" fillId="0" borderId="94" xfId="0" applyNumberFormat="1" applyFont="1" applyBorder="1" applyAlignment="1">
      <alignment vertical="top"/>
    </xf>
    <xf numFmtId="37" fontId="1" fillId="0" borderId="120" xfId="0" applyNumberFormat="1" applyFont="1" applyBorder="1" applyAlignment="1">
      <alignment vertical="top"/>
    </xf>
    <xf numFmtId="37" fontId="1" fillId="0" borderId="94" xfId="0" applyNumberFormat="1" applyFont="1" applyFill="1" applyBorder="1" applyAlignment="1">
      <alignment vertical="top"/>
    </xf>
    <xf numFmtId="37" fontId="1" fillId="0" borderId="78" xfId="0" applyNumberFormat="1" applyFont="1" applyBorder="1" applyAlignment="1">
      <alignment vertical="top"/>
    </xf>
    <xf numFmtId="37" fontId="1" fillId="0" borderId="120" xfId="0" applyNumberFormat="1" applyFont="1" applyFill="1" applyBorder="1" applyAlignment="1">
      <alignment vertical="top"/>
    </xf>
    <xf numFmtId="37" fontId="1" fillId="0" borderId="73" xfId="0" applyNumberFormat="1" applyFont="1" applyBorder="1" applyAlignment="1">
      <alignment vertical="top"/>
    </xf>
    <xf numFmtId="37" fontId="1" fillId="0" borderId="121" xfId="0" applyNumberFormat="1" applyFont="1" applyBorder="1" applyAlignment="1">
      <alignment vertical="top"/>
    </xf>
    <xf numFmtId="37" fontId="1" fillId="11" borderId="17" xfId="0" applyNumberFormat="1" applyFont="1" applyFill="1" applyBorder="1" applyAlignment="1"/>
    <xf numFmtId="37" fontId="1" fillId="11" borderId="95" xfId="0" applyNumberFormat="1" applyFont="1" applyFill="1" applyBorder="1" applyAlignment="1"/>
    <xf numFmtId="37" fontId="1" fillId="9" borderId="0" xfId="0" applyNumberFormat="1" applyFont="1" applyFill="1" applyAlignment="1"/>
    <xf numFmtId="37" fontId="1" fillId="7" borderId="95" xfId="0" applyNumberFormat="1" applyFont="1" applyFill="1" applyBorder="1" applyAlignment="1"/>
    <xf numFmtId="37" fontId="1" fillId="15" borderId="0" xfId="0" applyNumberFormat="1" applyFont="1" applyFill="1" applyAlignment="1"/>
    <xf numFmtId="37" fontId="1" fillId="9" borderId="95" xfId="0" applyNumberFormat="1" applyFont="1" applyFill="1" applyBorder="1" applyAlignment="1"/>
    <xf numFmtId="37" fontId="1" fillId="11" borderId="30" xfId="0" applyNumberFormat="1" applyFont="1" applyFill="1" applyBorder="1" applyAlignment="1"/>
    <xf numFmtId="37" fontId="1" fillId="11" borderId="0" xfId="0" applyNumberFormat="1" applyFont="1" applyFill="1" applyAlignment="1"/>
    <xf numFmtId="37" fontId="1" fillId="0" borderId="38" xfId="0" applyNumberFormat="1" applyFont="1" applyFill="1" applyBorder="1" applyAlignment="1">
      <alignment vertical="top"/>
    </xf>
    <xf numFmtId="37" fontId="1" fillId="0" borderId="17" xfId="0" applyNumberFormat="1" applyFont="1" applyFill="1" applyBorder="1" applyAlignment="1"/>
    <xf numFmtId="37" fontId="1" fillId="0" borderId="30" xfId="0" applyNumberFormat="1" applyFont="1" applyFill="1" applyBorder="1" applyAlignment="1"/>
    <xf numFmtId="37" fontId="1" fillId="0" borderId="73" xfId="0" applyNumberFormat="1" applyFont="1" applyFill="1" applyBorder="1" applyAlignment="1">
      <alignment vertical="top"/>
    </xf>
    <xf numFmtId="37" fontId="1" fillId="6" borderId="0" xfId="0" applyNumberFormat="1" applyFont="1" applyFill="1" applyAlignment="1"/>
    <xf numFmtId="37" fontId="1" fillId="15" borderId="59" xfId="0" applyNumberFormat="1" applyFont="1" applyFill="1" applyBorder="1" applyAlignment="1"/>
    <xf numFmtId="37" fontId="1" fillId="15" borderId="95" xfId="0" applyNumberFormat="1" applyFont="1" applyFill="1" applyBorder="1" applyAlignment="1"/>
    <xf numFmtId="37" fontId="1" fillId="0" borderId="78" xfId="0" applyNumberFormat="1" applyFont="1" applyFill="1" applyBorder="1" applyAlignment="1">
      <alignment vertical="top"/>
    </xf>
    <xf numFmtId="37" fontId="1" fillId="15" borderId="60" xfId="0" applyNumberFormat="1" applyFont="1" applyFill="1" applyBorder="1" applyAlignment="1"/>
    <xf numFmtId="37" fontId="1" fillId="11" borderId="60" xfId="0" applyNumberFormat="1" applyFont="1" applyFill="1" applyBorder="1" applyAlignment="1"/>
    <xf numFmtId="37" fontId="1" fillId="0" borderId="121" xfId="0" applyNumberFormat="1" applyFont="1" applyFill="1" applyBorder="1" applyAlignment="1">
      <alignment vertical="top"/>
    </xf>
    <xf numFmtId="37" fontId="1" fillId="9" borderId="60" xfId="0" applyNumberFormat="1" applyFont="1" applyFill="1" applyBorder="1" applyAlignment="1"/>
    <xf numFmtId="37" fontId="1" fillId="11" borderId="38" xfId="0" applyNumberFormat="1" applyFont="1" applyFill="1" applyBorder="1" applyAlignment="1">
      <alignment vertical="top"/>
    </xf>
    <xf numFmtId="37" fontId="1" fillId="7" borderId="0" xfId="0" applyNumberFormat="1" applyFont="1" applyFill="1" applyAlignment="1"/>
    <xf numFmtId="37" fontId="1" fillId="6" borderId="95" xfId="0" applyNumberFormat="1" applyFont="1" applyFill="1" applyBorder="1" applyAlignment="1"/>
    <xf numFmtId="9" fontId="1" fillId="0" borderId="6" xfId="0" applyNumberFormat="1" applyFont="1" applyBorder="1" applyAlignment="1"/>
    <xf numFmtId="37" fontId="1" fillId="0" borderId="41" xfId="0" applyNumberFormat="1" applyFont="1" applyBorder="1" applyAlignment="1">
      <alignment vertical="center"/>
    </xf>
    <xf numFmtId="37" fontId="1" fillId="0" borderId="41" xfId="0" applyNumberFormat="1" applyFont="1" applyFill="1" applyBorder="1" applyAlignment="1">
      <alignment vertical="center"/>
    </xf>
    <xf numFmtId="37" fontId="1" fillId="0" borderId="0" xfId="0" applyNumberFormat="1" applyFont="1" applyFill="1" applyBorder="1" applyAlignment="1">
      <alignment vertical="center"/>
    </xf>
    <xf numFmtId="37" fontId="1" fillId="0" borderId="2" xfId="0" applyNumberFormat="1" applyFont="1" applyFill="1" applyBorder="1" applyAlignment="1">
      <alignment vertical="center"/>
    </xf>
    <xf numFmtId="10" fontId="1" fillId="0" borderId="0" xfId="0" applyNumberFormat="1" applyFont="1" applyFill="1" applyAlignment="1"/>
    <xf numFmtId="9" fontId="0" fillId="0" borderId="0" xfId="15" applyFont="1" applyFill="1" applyAlignment="1"/>
    <xf numFmtId="169" fontId="8" fillId="0" borderId="4" xfId="15" applyNumberFormat="1" applyFont="1" applyFill="1" applyBorder="1" applyAlignment="1">
      <alignment horizontal="center" vertical="center"/>
    </xf>
    <xf numFmtId="169" fontId="8" fillId="0" borderId="17" xfId="15" applyNumberFormat="1" applyFont="1" applyFill="1" applyBorder="1" applyAlignment="1">
      <alignment horizontal="center" vertical="center"/>
    </xf>
    <xf numFmtId="169" fontId="8" fillId="0" borderId="15" xfId="15" applyNumberFormat="1" applyFont="1" applyFill="1" applyBorder="1" applyAlignment="1">
      <alignment horizontal="center" vertical="center"/>
    </xf>
    <xf numFmtId="169" fontId="8" fillId="0" borderId="79" xfId="15" applyNumberFormat="1" applyFont="1" applyFill="1" applyBorder="1" applyAlignment="1">
      <alignment horizontal="center" vertical="center"/>
    </xf>
    <xf numFmtId="169" fontId="8" fillId="0" borderId="6" xfId="15" applyNumberFormat="1" applyFont="1" applyFill="1" applyBorder="1" applyAlignment="1">
      <alignment horizontal="center" vertical="center"/>
    </xf>
    <xf numFmtId="37" fontId="58" fillId="18" borderId="17" xfId="7" applyNumberFormat="1" applyFont="1" applyFill="1" applyBorder="1" applyAlignment="1" applyProtection="1">
      <alignment horizontal="right"/>
    </xf>
    <xf numFmtId="37" fontId="57" fillId="18" borderId="35" xfId="7" applyNumberFormat="1" applyFont="1" applyFill="1" applyBorder="1" applyAlignment="1" applyProtection="1">
      <alignment horizontal="right"/>
    </xf>
    <xf numFmtId="37" fontId="22" fillId="18" borderId="17" xfId="7" applyNumberFormat="1" applyFont="1" applyFill="1" applyBorder="1" applyAlignment="1" applyProtection="1">
      <alignment horizontal="right"/>
    </xf>
    <xf numFmtId="37" fontId="69" fillId="7" borderId="17" xfId="7" applyNumberFormat="1" applyFont="1" applyFill="1" applyBorder="1" applyAlignment="1" applyProtection="1">
      <alignment horizontal="right"/>
    </xf>
    <xf numFmtId="37" fontId="1" fillId="15" borderId="2" xfId="9" applyFont="1" applyFill="1" applyBorder="1" applyAlignment="1">
      <alignment horizontal="left"/>
    </xf>
    <xf numFmtId="0" fontId="1" fillId="15" borderId="2" xfId="1" applyNumberFormat="1" applyFont="1" applyFill="1" applyBorder="1" applyAlignment="1" applyProtection="1">
      <alignment horizontal="left" wrapText="1"/>
    </xf>
    <xf numFmtId="37" fontId="1" fillId="15" borderId="2" xfId="9" applyFont="1" applyFill="1" applyBorder="1" applyAlignment="1"/>
    <xf numFmtId="49" fontId="1" fillId="15" borderId="2" xfId="1" applyNumberFormat="1" applyFont="1" applyFill="1" applyBorder="1" applyAlignment="1" applyProtection="1">
      <alignment horizontal="center" wrapText="1"/>
    </xf>
    <xf numFmtId="37" fontId="1" fillId="15" borderId="2" xfId="9" applyNumberFormat="1" applyFont="1" applyFill="1" applyBorder="1" applyAlignment="1" applyProtection="1">
      <alignment horizontal="center" wrapText="1"/>
    </xf>
    <xf numFmtId="167" fontId="1" fillId="7" borderId="6" xfId="9" applyNumberFormat="1" applyFont="1" applyFill="1" applyBorder="1" applyAlignment="1" applyProtection="1">
      <alignment horizontal="center" wrapText="1"/>
    </xf>
    <xf numFmtId="37" fontId="29" fillId="0" borderId="22" xfId="9" applyNumberFormat="1" applyFont="1" applyFill="1" applyBorder="1" applyAlignment="1" applyProtection="1">
      <alignment horizontal="center" wrapText="1"/>
    </xf>
    <xf numFmtId="167" fontId="1" fillId="8" borderId="6" xfId="9" applyNumberFormat="1" applyFont="1" applyFill="1" applyBorder="1" applyAlignment="1" applyProtection="1">
      <alignment horizontal="center" wrapText="1"/>
    </xf>
    <xf numFmtId="37" fontId="29" fillId="4" borderId="10" xfId="9" applyNumberFormat="1" applyFont="1" applyFill="1" applyBorder="1" applyAlignment="1" applyProtection="1">
      <alignment horizontal="center" wrapText="1"/>
    </xf>
    <xf numFmtId="37" fontId="1" fillId="8" borderId="10" xfId="9" applyNumberFormat="1" applyFont="1" applyFill="1" applyBorder="1" applyAlignment="1">
      <alignment horizontal="center" wrapText="1"/>
    </xf>
    <xf numFmtId="37" fontId="29" fillId="4" borderId="2" xfId="9" applyNumberFormat="1" applyFont="1" applyFill="1" applyBorder="1" applyAlignment="1" applyProtection="1">
      <alignment horizontal="center" wrapText="1"/>
    </xf>
    <xf numFmtId="167" fontId="1" fillId="7" borderId="122" xfId="9" applyNumberFormat="1" applyFont="1" applyFill="1" applyBorder="1" applyAlignment="1" applyProtection="1">
      <alignment horizontal="center" wrapText="1"/>
    </xf>
    <xf numFmtId="167" fontId="1" fillId="7" borderId="123" xfId="9" applyNumberFormat="1" applyFont="1" applyFill="1" applyBorder="1" applyAlignment="1" applyProtection="1">
      <alignment horizontal="center" wrapText="1"/>
    </xf>
    <xf numFmtId="37" fontId="1" fillId="8" borderId="10" xfId="9" applyFont="1" applyFill="1" applyBorder="1" applyAlignment="1">
      <alignment horizontal="center" wrapText="1"/>
    </xf>
    <xf numFmtId="37" fontId="29" fillId="4" borderId="124" xfId="9" applyNumberFormat="1" applyFont="1" applyFill="1" applyBorder="1" applyAlignment="1" applyProtection="1">
      <alignment horizontal="center" wrapText="1"/>
    </xf>
    <xf numFmtId="167" fontId="1" fillId="7" borderId="22" xfId="9" applyNumberFormat="1" applyFont="1" applyFill="1" applyBorder="1" applyAlignment="1" applyProtection="1">
      <alignment horizontal="center" wrapText="1"/>
    </xf>
    <xf numFmtId="37" fontId="1" fillId="8" borderId="125" xfId="9" applyFont="1" applyFill="1" applyBorder="1" applyAlignment="1">
      <alignment horizontal="center" wrapText="1"/>
    </xf>
    <xf numFmtId="37" fontId="29" fillId="4" borderId="2" xfId="9" applyFont="1" applyFill="1" applyBorder="1" applyAlignment="1">
      <alignment horizontal="center" wrapText="1"/>
    </xf>
    <xf numFmtId="169" fontId="1" fillId="0" borderId="4" xfId="15" applyNumberFormat="1" applyFont="1" applyFill="1" applyBorder="1" applyAlignment="1">
      <alignment horizontal="center" vertical="center"/>
    </xf>
    <xf numFmtId="9" fontId="1" fillId="0" borderId="49" xfId="15" applyNumberFormat="1" applyFont="1" applyFill="1" applyBorder="1" applyAlignment="1">
      <alignment horizontal="center" vertical="center"/>
    </xf>
    <xf numFmtId="9" fontId="1" fillId="0" borderId="16" xfId="15" applyNumberFormat="1" applyFont="1" applyFill="1" applyBorder="1" applyAlignment="1">
      <alignment horizontal="center" vertical="center"/>
    </xf>
    <xf numFmtId="169" fontId="1" fillId="0" borderId="16" xfId="15" applyNumberFormat="1" applyFont="1" applyFill="1" applyBorder="1" applyAlignment="1">
      <alignment horizontal="center" vertical="center"/>
    </xf>
    <xf numFmtId="9" fontId="1" fillId="0" borderId="50" xfId="15" applyNumberFormat="1" applyFont="1" applyFill="1" applyBorder="1" applyAlignment="1">
      <alignment horizontal="center" vertical="center"/>
    </xf>
    <xf numFmtId="9" fontId="1" fillId="0" borderId="28" xfId="15" applyNumberFormat="1" applyFont="1" applyFill="1" applyBorder="1" applyAlignment="1">
      <alignment horizontal="center" vertical="center"/>
    </xf>
    <xf numFmtId="169" fontId="1" fillId="0" borderId="28" xfId="15" applyNumberFormat="1" applyFont="1" applyFill="1" applyBorder="1" applyAlignment="1">
      <alignment horizontal="center" vertical="center"/>
    </xf>
    <xf numFmtId="169" fontId="1" fillId="0" borderId="51" xfId="15" applyNumberFormat="1" applyFont="1" applyFill="1" applyBorder="1" applyAlignment="1">
      <alignment horizontal="center" vertical="center"/>
    </xf>
    <xf numFmtId="169" fontId="59" fillId="0" borderId="51" xfId="15" applyNumberFormat="1" applyFont="1" applyFill="1" applyBorder="1" applyAlignment="1">
      <alignment horizontal="center" vertical="center"/>
    </xf>
    <xf numFmtId="169" fontId="1" fillId="0" borderId="53" xfId="15" applyNumberFormat="1" applyFont="1" applyFill="1" applyBorder="1" applyAlignment="1">
      <alignment horizontal="center" vertical="center"/>
    </xf>
    <xf numFmtId="169" fontId="1" fillId="0" borderId="56" xfId="15" applyNumberFormat="1" applyFont="1" applyFill="1" applyBorder="1" applyAlignment="1">
      <alignment horizontal="center" vertical="center"/>
    </xf>
    <xf numFmtId="169" fontId="10" fillId="0" borderId="54" xfId="15" applyNumberFormat="1" applyFont="1" applyFill="1" applyBorder="1" applyAlignment="1">
      <alignment horizontal="center" vertical="center"/>
    </xf>
    <xf numFmtId="169" fontId="59" fillId="0" borderId="50" xfId="15" applyNumberFormat="1" applyFont="1" applyFill="1" applyBorder="1" applyAlignment="1">
      <alignment horizontal="center" vertical="center"/>
    </xf>
    <xf numFmtId="169" fontId="10" fillId="0" borderId="51" xfId="15" applyNumberFormat="1" applyFont="1" applyFill="1" applyBorder="1" applyAlignment="1">
      <alignment horizontal="center" vertical="center"/>
    </xf>
    <xf numFmtId="169" fontId="1" fillId="0" borderId="80" xfId="15" applyNumberFormat="1" applyFont="1" applyFill="1" applyBorder="1" applyAlignment="1">
      <alignment horizontal="center" vertical="center"/>
    </xf>
    <xf numFmtId="169" fontId="10" fillId="0" borderId="50" xfId="15" applyNumberFormat="1" applyFont="1" applyFill="1" applyBorder="1" applyAlignment="1">
      <alignment horizontal="center" vertical="center"/>
    </xf>
    <xf numFmtId="37" fontId="1" fillId="8" borderId="17" xfId="7" applyNumberFormat="1" applyFont="1" applyFill="1" applyBorder="1" applyAlignment="1">
      <alignment horizontal="right"/>
    </xf>
    <xf numFmtId="37" fontId="29" fillId="10" borderId="23" xfId="3" applyFont="1" applyFill="1" applyBorder="1" applyAlignment="1">
      <alignment horizontal="right"/>
    </xf>
    <xf numFmtId="37" fontId="70" fillId="10" borderId="17" xfId="7" applyNumberFormat="1" applyFont="1" applyFill="1" applyBorder="1" applyAlignment="1" applyProtection="1">
      <alignment horizontal="right"/>
    </xf>
    <xf numFmtId="37" fontId="1" fillId="10" borderId="34" xfId="7" applyNumberFormat="1" applyFont="1" applyFill="1" applyBorder="1" applyAlignment="1" applyProtection="1">
      <alignment horizontal="right"/>
    </xf>
    <xf numFmtId="37" fontId="1" fillId="10" borderId="35" xfId="7" applyNumberFormat="1" applyFont="1" applyFill="1" applyBorder="1" applyAlignment="1" applyProtection="1">
      <alignment horizontal="right"/>
    </xf>
    <xf numFmtId="37" fontId="70" fillId="10" borderId="35" xfId="7" applyNumberFormat="1" applyFont="1" applyFill="1" applyBorder="1" applyAlignment="1" applyProtection="1">
      <alignment horizontal="right"/>
    </xf>
    <xf numFmtId="37" fontId="1" fillId="10" borderId="67" xfId="7" applyNumberFormat="1" applyFont="1" applyFill="1" applyBorder="1" applyAlignment="1" applyProtection="1">
      <alignment horizontal="right"/>
    </xf>
    <xf numFmtId="37" fontId="70" fillId="19" borderId="35" xfId="7" applyNumberFormat="1" applyFont="1" applyFill="1" applyBorder="1" applyAlignment="1" applyProtection="1">
      <alignment horizontal="right"/>
    </xf>
    <xf numFmtId="37" fontId="1" fillId="10" borderId="65" xfId="7" applyNumberFormat="1" applyFont="1" applyFill="1" applyBorder="1" applyAlignment="1" applyProtection="1">
      <alignment horizontal="right"/>
    </xf>
    <xf numFmtId="37" fontId="71" fillId="10" borderId="23" xfId="3" applyFont="1" applyFill="1" applyBorder="1" applyAlignment="1">
      <alignment horizontal="right"/>
    </xf>
    <xf numFmtId="37" fontId="1" fillId="0" borderId="11" xfId="10" applyFont="1" applyFill="1" applyBorder="1" applyAlignment="1">
      <alignment vertical="center" wrapText="1"/>
    </xf>
    <xf numFmtId="37" fontId="1" fillId="0" borderId="17" xfId="3" applyFont="1" applyBorder="1" applyAlignment="1">
      <alignment vertical="center" wrapText="1"/>
    </xf>
    <xf numFmtId="37" fontId="1" fillId="0" borderId="62" xfId="3" applyFont="1" applyBorder="1" applyAlignment="1">
      <alignment vertical="center" wrapText="1"/>
    </xf>
    <xf numFmtId="37" fontId="1" fillId="0" borderId="6" xfId="3" applyFont="1" applyBorder="1" applyAlignment="1">
      <alignment vertical="center" wrapText="1"/>
    </xf>
    <xf numFmtId="37" fontId="2" fillId="0" borderId="17" xfId="3" applyBorder="1" applyAlignment="1">
      <alignment vertical="center" wrapText="1"/>
    </xf>
    <xf numFmtId="37" fontId="2" fillId="0" borderId="6" xfId="3" applyBorder="1" applyAlignment="1">
      <alignment vertical="center" wrapText="1"/>
    </xf>
    <xf numFmtId="37" fontId="1" fillId="0" borderId="34" xfId="7" applyNumberFormat="1" applyFont="1" applyFill="1" applyBorder="1" applyAlignment="1" applyProtection="1">
      <alignment horizontal="right" wrapText="1"/>
    </xf>
    <xf numFmtId="37" fontId="1" fillId="0" borderId="17" xfId="10" applyFont="1" applyFill="1" applyBorder="1" applyAlignment="1">
      <alignment vertical="center" wrapText="1"/>
    </xf>
    <xf numFmtId="37" fontId="1" fillId="0" borderId="6" xfId="10" applyFont="1" applyFill="1" applyBorder="1" applyAlignment="1">
      <alignment vertical="center" wrapText="1"/>
    </xf>
    <xf numFmtId="169" fontId="1" fillId="0" borderId="11" xfId="15" applyNumberFormat="1" applyFont="1" applyFill="1" applyBorder="1" applyAlignment="1">
      <alignment vertical="center" wrapText="1"/>
    </xf>
    <xf numFmtId="169" fontId="1" fillId="0" borderId="17" xfId="15" applyNumberFormat="1" applyFont="1" applyFill="1" applyBorder="1" applyAlignment="1">
      <alignment vertical="center" wrapText="1"/>
    </xf>
    <xf numFmtId="169" fontId="1" fillId="0" borderId="62" xfId="15" applyNumberFormat="1" applyFont="1" applyFill="1" applyBorder="1" applyAlignment="1">
      <alignment vertical="center" wrapText="1"/>
    </xf>
    <xf numFmtId="37" fontId="1" fillId="0" borderId="11" xfId="0" applyNumberFormat="1" applyFont="1" applyBorder="1" applyAlignment="1">
      <alignment vertical="center" wrapText="1"/>
    </xf>
    <xf numFmtId="37" fontId="1" fillId="0" borderId="17" xfId="0" applyNumberFormat="1" applyFont="1" applyBorder="1" applyAlignment="1">
      <alignment vertical="center" wrapText="1"/>
    </xf>
    <xf numFmtId="37" fontId="1" fillId="0" borderId="6" xfId="0" applyNumberFormat="1" applyFont="1" applyBorder="1" applyAlignment="1">
      <alignment vertical="center" wrapText="1"/>
    </xf>
    <xf numFmtId="37" fontId="2" fillId="0" borderId="17" xfId="0" applyNumberFormat="1" applyFont="1" applyBorder="1" applyAlignment="1">
      <alignment vertical="center" wrapText="1"/>
    </xf>
    <xf numFmtId="37" fontId="0" fillId="0" borderId="17" xfId="0" applyNumberFormat="1" applyBorder="1" applyAlignment="1">
      <alignment vertical="center" wrapText="1"/>
    </xf>
    <xf numFmtId="37" fontId="0" fillId="0" borderId="6" xfId="0" applyNumberFormat="1" applyBorder="1" applyAlignment="1">
      <alignment vertical="center" wrapText="1"/>
    </xf>
    <xf numFmtId="37" fontId="7" fillId="0" borderId="0" xfId="0" applyNumberFormat="1" applyFont="1" applyFill="1" applyAlignment="1">
      <alignment vertical="top" wrapText="1"/>
    </xf>
    <xf numFmtId="37" fontId="4" fillId="0" borderId="0" xfId="0" applyNumberFormat="1" applyFont="1" applyFill="1" applyAlignment="1">
      <alignment vertical="top" wrapText="1"/>
    </xf>
    <xf numFmtId="37" fontId="6" fillId="0" borderId="0" xfId="0" applyNumberFormat="1" applyFont="1" applyFill="1" applyBorder="1" applyAlignment="1" applyProtection="1">
      <alignment horizontal="center" vertical="top"/>
    </xf>
    <xf numFmtId="37" fontId="10" fillId="0" borderId="47" xfId="0" applyNumberFormat="1" applyFont="1" applyFill="1" applyBorder="1" applyAlignment="1">
      <alignment vertical="center" wrapText="1"/>
    </xf>
    <xf numFmtId="37" fontId="8" fillId="0" borderId="14" xfId="0" applyNumberFormat="1" applyFont="1" applyBorder="1" applyAlignment="1">
      <alignment vertical="center" wrapText="1"/>
    </xf>
    <xf numFmtId="37" fontId="0" fillId="0" borderId="22" xfId="0" applyNumberFormat="1" applyBorder="1" applyAlignment="1">
      <alignment vertical="center" wrapText="1"/>
    </xf>
    <xf numFmtId="37" fontId="0" fillId="0" borderId="14" xfId="0" applyNumberFormat="1" applyBorder="1" applyAlignment="1">
      <alignment vertical="center" wrapText="1"/>
    </xf>
    <xf numFmtId="37" fontId="19" fillId="0" borderId="47" xfId="0" applyNumberFormat="1" applyFont="1" applyFill="1" applyBorder="1" applyAlignment="1">
      <alignment vertical="center" wrapText="1"/>
    </xf>
    <xf numFmtId="37" fontId="13" fillId="0" borderId="14" xfId="0" applyNumberFormat="1" applyFont="1" applyFill="1" applyBorder="1" applyAlignment="1">
      <alignment vertical="center"/>
    </xf>
    <xf numFmtId="37" fontId="13" fillId="0" borderId="22" xfId="0" applyNumberFormat="1" applyFont="1" applyFill="1" applyBorder="1" applyAlignment="1">
      <alignment vertical="center"/>
    </xf>
    <xf numFmtId="37" fontId="13" fillId="0" borderId="14" xfId="0" applyNumberFormat="1" applyFont="1" applyBorder="1" applyAlignment="1">
      <alignment vertical="center" wrapText="1"/>
    </xf>
    <xf numFmtId="37" fontId="6" fillId="0" borderId="0" xfId="0" applyNumberFormat="1" applyFont="1" applyFill="1" applyBorder="1" applyAlignment="1">
      <alignment horizontal="center" vertical="center"/>
    </xf>
    <xf numFmtId="37" fontId="3" fillId="0" borderId="18" xfId="0" applyNumberFormat="1" applyFont="1" applyFill="1" applyBorder="1" applyAlignment="1" applyProtection="1">
      <alignment horizontal="center" wrapText="1"/>
    </xf>
    <xf numFmtId="37" fontId="3" fillId="0" borderId="19" xfId="0" applyNumberFormat="1" applyFont="1" applyFill="1" applyBorder="1" applyAlignment="1" applyProtection="1">
      <alignment horizontal="center" wrapText="1"/>
    </xf>
    <xf numFmtId="37" fontId="3" fillId="0" borderId="11" xfId="0" applyNumberFormat="1" applyFont="1" applyFill="1" applyBorder="1" applyAlignment="1">
      <alignment horizontal="center" wrapText="1"/>
    </xf>
    <xf numFmtId="37" fontId="3" fillId="0" borderId="6" xfId="0" applyNumberFormat="1" applyFont="1" applyFill="1" applyBorder="1" applyAlignment="1">
      <alignment horizontal="center" wrapText="1"/>
    </xf>
    <xf numFmtId="37" fontId="51" fillId="0" borderId="11" xfId="0" applyNumberFormat="1" applyFont="1" applyFill="1" applyBorder="1" applyAlignment="1">
      <alignment horizontal="center" wrapText="1"/>
    </xf>
    <xf numFmtId="37" fontId="51" fillId="0" borderId="6" xfId="0" applyNumberFormat="1" applyFont="1" applyFill="1" applyBorder="1" applyAlignment="1">
      <alignment horizontal="center" wrapText="1"/>
    </xf>
    <xf numFmtId="37" fontId="3" fillId="0" borderId="17" xfId="0" applyNumberFormat="1" applyFont="1" applyFill="1" applyBorder="1" applyAlignment="1" applyProtection="1">
      <alignment horizontal="center" wrapText="1"/>
    </xf>
    <xf numFmtId="37" fontId="3" fillId="0" borderId="6" xfId="0" applyNumberFormat="1" applyFont="1" applyFill="1" applyBorder="1" applyAlignment="1" applyProtection="1">
      <alignment horizontal="center"/>
    </xf>
    <xf numFmtId="167" fontId="51" fillId="0" borderId="11" xfId="0" applyNumberFormat="1" applyFont="1" applyFill="1" applyBorder="1" applyAlignment="1">
      <alignment horizontal="center" wrapText="1"/>
    </xf>
    <xf numFmtId="167" fontId="51" fillId="0" borderId="6" xfId="0" applyNumberFormat="1" applyFont="1" applyFill="1" applyBorder="1" applyAlignment="1">
      <alignment horizontal="center" wrapText="1"/>
    </xf>
    <xf numFmtId="37" fontId="51" fillId="0" borderId="23" xfId="0" applyNumberFormat="1" applyFont="1" applyFill="1" applyBorder="1" applyAlignment="1">
      <alignment horizontal="center" wrapText="1"/>
    </xf>
    <xf numFmtId="37" fontId="51" fillId="0" borderId="10" xfId="0" applyNumberFormat="1" applyFont="1" applyFill="1" applyBorder="1" applyAlignment="1">
      <alignment horizontal="center" wrapText="1"/>
    </xf>
    <xf numFmtId="167" fontId="3" fillId="0" borderId="47" xfId="0" applyNumberFormat="1" applyFont="1" applyFill="1" applyBorder="1" applyAlignment="1" applyProtection="1">
      <alignment horizontal="center" wrapText="1"/>
    </xf>
    <xf numFmtId="37" fontId="0" fillId="0" borderId="22" xfId="0" applyNumberFormat="1" applyBorder="1" applyAlignment="1"/>
    <xf numFmtId="37" fontId="7" fillId="0" borderId="0" xfId="0" applyNumberFormat="1" applyFont="1" applyFill="1" applyBorder="1" applyAlignment="1">
      <alignment vertical="center" wrapText="1"/>
    </xf>
    <xf numFmtId="37" fontId="8" fillId="0" borderId="0" xfId="0" applyNumberFormat="1" applyFont="1" applyBorder="1" applyAlignment="1">
      <alignment vertical="center" wrapText="1"/>
    </xf>
    <xf numFmtId="37" fontId="8" fillId="0" borderId="22" xfId="0" applyNumberFormat="1" applyFont="1" applyBorder="1" applyAlignment="1">
      <alignment horizontal="center" wrapText="1"/>
    </xf>
    <xf numFmtId="37" fontId="7" fillId="0" borderId="20" xfId="0" applyNumberFormat="1" applyFont="1" applyFill="1" applyBorder="1" applyAlignment="1">
      <alignment vertical="center" wrapText="1"/>
    </xf>
    <xf numFmtId="37" fontId="8" fillId="0" borderId="20" xfId="0" applyNumberFormat="1" applyFont="1" applyBorder="1" applyAlignment="1">
      <alignment vertical="center" wrapText="1"/>
    </xf>
    <xf numFmtId="37" fontId="8" fillId="0" borderId="6" xfId="0" applyNumberFormat="1" applyFont="1" applyBorder="1" applyAlignment="1">
      <alignment horizontal="center" wrapText="1"/>
    </xf>
    <xf numFmtId="37" fontId="8" fillId="0" borderId="6" xfId="0" applyNumberFormat="1" applyFont="1" applyFill="1" applyBorder="1" applyAlignment="1">
      <alignment horizontal="center" wrapText="1"/>
    </xf>
    <xf numFmtId="37" fontId="8" fillId="0" borderId="0" xfId="0" applyNumberFormat="1" applyFont="1" applyFill="1" applyBorder="1" applyAlignment="1">
      <alignment vertical="center" wrapText="1"/>
    </xf>
    <xf numFmtId="37" fontId="8" fillId="0" borderId="0" xfId="0" applyNumberFormat="1" applyFont="1" applyFill="1" applyAlignment="1">
      <alignment vertical="center" wrapText="1"/>
    </xf>
    <xf numFmtId="37" fontId="3" fillId="0" borderId="20" xfId="0" applyNumberFormat="1" applyFont="1" applyFill="1" applyBorder="1" applyAlignment="1" applyProtection="1">
      <alignment horizontal="center" vertical="center" wrapText="1"/>
    </xf>
    <xf numFmtId="37" fontId="8" fillId="0" borderId="20" xfId="0" applyNumberFormat="1" applyFont="1" applyFill="1" applyBorder="1" applyAlignment="1">
      <alignment horizontal="center" vertical="center" wrapText="1"/>
    </xf>
    <xf numFmtId="37" fontId="4" fillId="0" borderId="0" xfId="0" applyNumberFormat="1" applyFont="1" applyFill="1" applyBorder="1" applyAlignment="1">
      <alignment vertical="center" wrapText="1"/>
    </xf>
    <xf numFmtId="37" fontId="4" fillId="0" borderId="20" xfId="0" applyNumberFormat="1" applyFont="1" applyFill="1" applyBorder="1" applyAlignment="1">
      <alignment vertical="center" wrapText="1"/>
    </xf>
    <xf numFmtId="37" fontId="0" fillId="0" borderId="0" xfId="0" applyNumberFormat="1" applyAlignment="1">
      <alignment vertical="center" wrapText="1"/>
    </xf>
    <xf numFmtId="37" fontId="3" fillId="0" borderId="18" xfId="0" applyNumberFormat="1" applyFont="1" applyFill="1" applyBorder="1" applyAlignment="1">
      <alignment horizontal="center" vertical="center" wrapText="1"/>
    </xf>
    <xf numFmtId="37" fontId="3" fillId="0" borderId="9" xfId="0" applyNumberFormat="1" applyFont="1" applyFill="1" applyBorder="1" applyAlignment="1">
      <alignment horizontal="center" vertical="center" wrapText="1"/>
    </xf>
    <xf numFmtId="37" fontId="3" fillId="0" borderId="9" xfId="0" applyNumberFormat="1" applyFont="1" applyFill="1" applyBorder="1" applyAlignment="1" applyProtection="1">
      <alignment horizontal="center" vertical="center"/>
    </xf>
    <xf numFmtId="37" fontId="3" fillId="0" borderId="19" xfId="0" applyNumberFormat="1" applyFont="1" applyFill="1" applyBorder="1" applyAlignment="1" applyProtection="1">
      <alignment horizontal="center" vertical="center"/>
    </xf>
    <xf numFmtId="37" fontId="3" fillId="0" borderId="18" xfId="0" applyNumberFormat="1" applyFont="1" applyFill="1" applyBorder="1" applyAlignment="1">
      <alignment horizontal="center" vertical="center"/>
    </xf>
    <xf numFmtId="37" fontId="3" fillId="0" borderId="9" xfId="0" applyNumberFormat="1" applyFont="1" applyFill="1" applyBorder="1" applyAlignment="1">
      <alignment horizontal="center" vertical="center"/>
    </xf>
    <xf numFmtId="37" fontId="1" fillId="22" borderId="17" xfId="7" applyNumberFormat="1" applyFont="1" applyFill="1" applyBorder="1" applyAlignment="1" applyProtection="1">
      <alignment horizontal="right"/>
    </xf>
    <xf numFmtId="3" fontId="29" fillId="10" borderId="23" xfId="0" applyNumberFormat="1" applyFont="1" applyFill="1" applyBorder="1" applyAlignment="1">
      <alignment horizontal="right"/>
    </xf>
    <xf numFmtId="3" fontId="10" fillId="19" borderId="23" xfId="0" applyNumberFormat="1" applyFont="1" applyFill="1" applyBorder="1" applyAlignment="1">
      <alignment horizontal="right"/>
    </xf>
    <xf numFmtId="37" fontId="1" fillId="19" borderId="17" xfId="7" applyNumberFormat="1" applyFont="1" applyFill="1" applyBorder="1" applyAlignment="1" applyProtection="1">
      <alignment horizontal="right"/>
    </xf>
    <xf numFmtId="37" fontId="67" fillId="19" borderId="17" xfId="7" applyNumberFormat="1" applyFont="1" applyFill="1" applyBorder="1" applyAlignment="1" applyProtection="1">
      <alignment horizontal="right"/>
    </xf>
  </cellXfs>
  <cellStyles count="24">
    <cellStyle name="Comma" xfId="1" builtinId="3"/>
    <cellStyle name="Comma 2" xfId="16"/>
    <cellStyle name="Comma 3" xfId="17"/>
    <cellStyle name="Hyperlink" xfId="18" builtinId="8"/>
    <cellStyle name="Normal" xfId="0" builtinId="0"/>
    <cellStyle name="Normal 2" xfId="20"/>
    <cellStyle name="Normal 3" xfId="21"/>
    <cellStyle name="Normal 4" xfId="22"/>
    <cellStyle name="Normal_05Funding05" xfId="2"/>
    <cellStyle name="Normal_06Funding09mastersurvey" xfId="3"/>
    <cellStyle name="Normal_Benefits02 Form" xfId="4"/>
    <cellStyle name="Normal_Degree02 Form" xfId="5"/>
    <cellStyle name="Normal_Degrees02 Form" xfId="6"/>
    <cellStyle name="Normal_Funding02 Form" xfId="7"/>
    <cellStyle name="Normal_Funding03 Form" xfId="8"/>
    <cellStyle name="Normal_Funding04 Form" xfId="9"/>
    <cellStyle name="Normal_Funding07" xfId="10"/>
    <cellStyle name="Normal_Salaries02 Form" xfId="11"/>
    <cellStyle name="Normal_SCH&amp;FTE02 Form" xfId="12"/>
    <cellStyle name="Normal_SFA Data for Highlights" xfId="19"/>
    <cellStyle name="Normal_StProg02 Form" xfId="13"/>
    <cellStyle name="Note" xfId="14" builtinId="10" customBuiltin="1"/>
    <cellStyle name="Percent" xfId="15" builtinId="5"/>
    <cellStyle name="Percent 2" xfId="23"/>
  </cellStyles>
  <dxfs count="237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name val="Arial"/>
        <scheme val="none"/>
      </font>
      <numFmt numFmtId="3" formatCode="#,##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none"/>
      </fill>
    </dxf>
    <dxf>
      <fill>
        <patternFill patternType="solid">
          <bgColor indexed="11"/>
        </patternFill>
      </fill>
    </dxf>
    <dxf>
      <font>
        <name val="Arial"/>
        <scheme val="none"/>
      </font>
      <numFmt numFmtId="3" formatCode="#,##0"/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/>
      </fill>
    </dxf>
    <dxf>
      <fill>
        <patternFill patternType="solid">
          <bgColor indexed="13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indexed="13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font>
        <name val="Arial"/>
        <scheme val="none"/>
      </font>
      <numFmt numFmtId="3" formatCode="#,##0"/>
      <fill>
        <patternFill patternType="solid">
          <fgColor indexed="13"/>
          <bgColor indexed="64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indexed="13"/>
        </patternFill>
      </fill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b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  <numFmt numFmtId="3" formatCode="#,##0"/>
    </dxf>
    <dxf>
      <font>
        <b/>
      </font>
    </dxf>
    <dxf>
      <font>
        <name val="Arial"/>
        <scheme val="none"/>
      </font>
    </dxf>
    <dxf>
      <font>
        <b val="0"/>
      </font>
    </dxf>
    <dxf>
      <font>
        <name val="Arial"/>
        <scheme val="none"/>
      </font>
      <numFmt numFmtId="3" formatCode="#,##0"/>
    </dxf>
    <dxf>
      <font>
        <b/>
      </font>
    </dxf>
    <dxf>
      <font>
        <b/>
      </font>
    </dxf>
    <dxf>
      <font>
        <b/>
      </font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ill>
        <patternFill patternType="solid">
          <bgColor indexed="13"/>
        </patternFill>
      </fill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ont>
        <name val="ARIAL"/>
        <scheme val="none"/>
      </font>
      <numFmt numFmtId="3" formatCode="#,##0"/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ont>
        <name val="Arial"/>
        <scheme val="none"/>
      </font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border>
        <left style="thin">
          <color indexed="8"/>
        </left>
        <top style="thin">
          <color indexed="8"/>
        </top>
        <bottom style="thin">
          <color indexed="8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border>
        <left style="thin">
          <color indexed="8"/>
        </left>
        <right style="thin">
          <color indexed="8"/>
        </right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indexed="13"/>
        </patternFill>
      </fill>
    </dxf>
    <dxf>
      <border>
        <left/>
        <right/>
      </border>
    </dxf>
    <dxf>
      <border>
        <left/>
        <right/>
      </border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 style="thin">
          <color indexed="64"/>
        </top>
        <bottom style="thin">
          <color indexed="64"/>
        </bottom>
      </border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font>
        <b/>
        <name val="Arial"/>
        <scheme val="none"/>
      </font>
      <numFmt numFmtId="3" formatCode="#,##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name val="ARIAL"/>
        <scheme val="none"/>
      </font>
      <numFmt numFmtId="3" formatCode="#,##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b/>
        <name val="Arial"/>
        <scheme val="none"/>
      </font>
      <alignment horizontal="right" readingOrder="0"/>
    </dxf>
    <dxf>
      <font>
        <b/>
        <name val="Arial"/>
        <scheme val="none"/>
      </font>
      <alignment horizontal="right" readingOrder="0"/>
    </dxf>
    <dxf>
      <font>
        <b/>
        <name val="Arial"/>
        <scheme val="none"/>
      </font>
      <alignment horizontal="right" readingOrder="0"/>
    </dxf>
    <dxf>
      <font>
        <b/>
        <name val="Arial"/>
        <scheme val="none"/>
      </font>
      <alignment horizontal="right" readingOrder="0"/>
    </dxf>
    <dxf>
      <font>
        <b/>
        <name val="Arial"/>
        <scheme val="none"/>
      </font>
      <alignment horizontal="right" readingOrder="0"/>
    </dxf>
    <dxf>
      <font>
        <b/>
        <name val="Arial"/>
        <scheme val="none"/>
      </font>
      <alignment horizontal="right" readingOrder="0"/>
    </dxf>
    <dxf>
      <font>
        <b/>
        <name val="Arial"/>
        <scheme val="none"/>
      </font>
      <alignment horizontal="right" readingOrder="0"/>
    </dxf>
    <dxf>
      <font>
        <b/>
        <name val="Arial"/>
        <scheme val="none"/>
      </font>
      <alignment horizontal="right" readingOrder="0"/>
    </dxf>
    <dxf>
      <font>
        <b/>
        <name val="Arial"/>
        <scheme val="none"/>
      </font>
      <alignment horizontal="right" readingOrder="0"/>
    </dxf>
    <dxf>
      <font>
        <b/>
        <name val="Arial"/>
        <scheme val="none"/>
      </font>
      <alignment horizontal="right" readingOrder="0"/>
    </dxf>
    <dxf>
      <font>
        <b/>
        <name val="Arial"/>
        <scheme val="none"/>
      </font>
      <alignment horizontal="right" readingOrder="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ont>
        <name val="ARIAL"/>
        <scheme val="none"/>
      </font>
      <numFmt numFmtId="3" formatCode="#,##0"/>
    </dxf>
    <dxf>
      <fill>
        <patternFill patternType="solid">
          <bgColor indexed="46"/>
        </patternFill>
      </fill>
    </dxf>
    <dxf>
      <fill>
        <patternFill patternType="solid">
          <bgColor indexed="46"/>
        </patternFill>
      </fill>
    </dxf>
    <dxf>
      <fill>
        <patternFill patternType="solid">
          <bgColor indexed="46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border>
        <left/>
        <right/>
        <top/>
        <bottom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name val="Arial"/>
        <scheme val="none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right" readingOrder="0"/>
    </dxf>
    <dxf>
      <font>
        <b/>
      </font>
    </dxf>
    <dxf>
      <numFmt numFmtId="3" formatCode="#,##0"/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5" formatCode="#,##0_);\(#,##0\)"/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 val="0"/>
      </font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alignment vertical="center" readingOrder="0"/>
    </dxf>
    <dxf>
      <alignment vertical="center" readingOrder="0"/>
    </dxf>
    <dxf>
      <alignment vertical="distributed" readingOrder="0"/>
    </dxf>
    <dxf>
      <font>
        <name val="Arial"/>
        <scheme val="none"/>
      </font>
    </dxf>
    <dxf>
      <font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sz val="10"/>
      </font>
    </dxf>
    <dxf>
      <font>
        <b val="0"/>
      </font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ont>
        <name val="Arial"/>
        <scheme val="none"/>
      </font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alignment horizontal="right" readingOrder="0"/>
    </dxf>
    <dxf>
      <alignment horizontal="right" readingOrder="0"/>
    </dxf>
    <dxf>
      <fill>
        <patternFill patternType="solid">
          <bgColor indexed="42"/>
        </patternFill>
      </fill>
    </dxf>
    <dxf>
      <fill>
        <patternFill>
          <bgColor indexed="42"/>
        </patternFill>
      </fill>
    </dxf>
    <dxf>
      <fill>
        <patternFill patternType="solid">
          <bgColor indexed="42"/>
        </patternFill>
      </fill>
    </dxf>
    <dxf>
      <font>
        <b/>
      </font>
    </dxf>
    <dxf>
      <alignment wrapText="1" readingOrder="0"/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mruColors>
      <color rgb="FF12F63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Changes in Statewide Student Financial Aid Appropriations, 2007-08 to 2008-09</a:t>
            </a:r>
          </a:p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8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(2008-09 levels shown in parentheses)</a:t>
            </a:r>
          </a:p>
        </c:rich>
      </c:tx>
      <c:layout>
        <c:manualLayout>
          <c:xMode val="edge"/>
          <c:yMode val="edge"/>
          <c:x val="0.17579263088796454"/>
          <c:y val="3.044499968553280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32132587449193284"/>
          <c:y val="0.12880576790033105"/>
          <c:w val="0.65706098102385768"/>
          <c:h val="0.83606652982578356"/>
        </c:manualLayout>
      </c:layout>
      <c:barChart>
        <c:barDir val="bar"/>
        <c:grouping val="clustered"/>
        <c:ser>
          <c:idx val="0"/>
          <c:order val="0"/>
          <c:tx>
            <c:strRef>
              <c:f>'SFA Data for Highlights'!$K$118</c:f>
              <c:strCache>
                <c:ptCount val="1"/>
                <c:pt idx="0">
                  <c:v>Grand Total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strRef>
              <c:f>'SFA Data for Highlights'!$I$119:$I$136</c:f>
              <c:strCache>
                <c:ptCount val="18"/>
                <c:pt idx="0">
                  <c:v>SREB states (3.3 billion)</c:v>
                </c:pt>
                <c:pt idx="2">
                  <c:v>Alabama (33.2 million)</c:v>
                </c:pt>
                <c:pt idx="3">
                  <c:v>Arkansas (39.4 million)</c:v>
                </c:pt>
                <c:pt idx="4">
                  <c:v>Delaware (4.7 million)</c:v>
                </c:pt>
                <c:pt idx="5">
                  <c:v>Florida (679.6 million)</c:v>
                </c:pt>
                <c:pt idx="6">
                  <c:v>Georgia (410.8 million)</c:v>
                </c:pt>
                <c:pt idx="7">
                  <c:v>Kentucky (181.6 million)</c:v>
                </c:pt>
                <c:pt idx="8">
                  <c:v>Louisiana (147.3 million)</c:v>
                </c:pt>
                <c:pt idx="9">
                  <c:v>Maryland (108.1 million)</c:v>
                </c:pt>
                <c:pt idx="10">
                  <c:v>Mississippi (27.6 million)</c:v>
                </c:pt>
                <c:pt idx="11">
                  <c:v>North Carolina (262.1 million)</c:v>
                </c:pt>
                <c:pt idx="12">
                  <c:v>Oklahoma (77.7 million)</c:v>
                </c:pt>
                <c:pt idx="13">
                  <c:v>South Carolina (308.9 million)</c:v>
                </c:pt>
                <c:pt idx="14">
                  <c:v>Tennessee (352.5 million)</c:v>
                </c:pt>
                <c:pt idx="15">
                  <c:v>Texas (357.4 million)</c:v>
                </c:pt>
                <c:pt idx="16">
                  <c:v>Virginia (205.6 million)</c:v>
                </c:pt>
                <c:pt idx="17">
                  <c:v>West Virginia (80.1 million)</c:v>
                </c:pt>
              </c:strCache>
            </c:strRef>
          </c:cat>
          <c:val>
            <c:numRef>
              <c:f>'SFA Data for Highlights'!$K$119:$K$136</c:f>
              <c:numCache>
                <c:formatCode>0%</c:formatCode>
                <c:ptCount val="18"/>
                <c:pt idx="0">
                  <c:v>5.3629812707300634E-2</c:v>
                </c:pt>
                <c:pt idx="2">
                  <c:v>-0.12832239581325366</c:v>
                </c:pt>
                <c:pt idx="3">
                  <c:v>8.1981848552439493E-2</c:v>
                </c:pt>
                <c:pt idx="4">
                  <c:v>-6.4771853272147179E-4</c:v>
                </c:pt>
                <c:pt idx="5">
                  <c:v>6.6360804672447538E-2</c:v>
                </c:pt>
                <c:pt idx="6">
                  <c:v>3.0440508946999768E-2</c:v>
                </c:pt>
                <c:pt idx="7">
                  <c:v>-3.5950482366269199E-3</c:v>
                </c:pt>
                <c:pt idx="8">
                  <c:v>8.69176633734728E-2</c:v>
                </c:pt>
                <c:pt idx="9">
                  <c:v>-5.7531169234372763E-3</c:v>
                </c:pt>
                <c:pt idx="10">
                  <c:v>-0.12687613714777701</c:v>
                </c:pt>
                <c:pt idx="11">
                  <c:v>0.16280963560795417</c:v>
                </c:pt>
                <c:pt idx="12">
                  <c:v>8.217692868241816E-2</c:v>
                </c:pt>
                <c:pt idx="13">
                  <c:v>1.7532089381418203E-2</c:v>
                </c:pt>
                <c:pt idx="14">
                  <c:v>0.21148236856458535</c:v>
                </c:pt>
                <c:pt idx="15">
                  <c:v>-2.7944990609121558E-2</c:v>
                </c:pt>
                <c:pt idx="16">
                  <c:v>5.1593672152156489E-2</c:v>
                </c:pt>
                <c:pt idx="17">
                  <c:v>-1.836662666985622E-2</c:v>
                </c:pt>
              </c:numCache>
            </c:numRef>
          </c:val>
        </c:ser>
        <c:gapWidth val="50"/>
        <c:axId val="158226304"/>
        <c:axId val="158227840"/>
      </c:barChart>
      <c:catAx>
        <c:axId val="158226304"/>
        <c:scaling>
          <c:orientation val="maxMin"/>
        </c:scaling>
        <c:axPos val="l"/>
        <c:numFmt formatCode="#,##0_);\(#,##0\)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227840"/>
        <c:crosses val="autoZero"/>
        <c:auto val="1"/>
        <c:lblAlgn val="ctr"/>
        <c:lblOffset val="100"/>
        <c:tickLblSkip val="1"/>
        <c:tickMarkSkip val="1"/>
      </c:catAx>
      <c:valAx>
        <c:axId val="158227840"/>
        <c:scaling>
          <c:orientation val="minMax"/>
        </c:scaling>
        <c:delete val="1"/>
        <c:axPos val="t"/>
        <c:numFmt formatCode="0%" sourceLinked="1"/>
        <c:tickLblPos val="none"/>
        <c:crossAx val="158226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55" r="0.7500000000000045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114</xdr:row>
      <xdr:rowOff>28575</xdr:rowOff>
    </xdr:from>
    <xdr:to>
      <xdr:col>7</xdr:col>
      <xdr:colOff>609600</xdr:colOff>
      <xdr:row>139</xdr:row>
      <xdr:rowOff>28575</xdr:rowOff>
    </xdr:to>
    <xdr:graphicFrame macro="">
      <xdr:nvGraphicFramePr>
        <xdr:cNvPr id="3789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CH-FTE0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CH Data"/>
      <sheetName val="Tables"/>
      <sheetName val="FTE Pivot for regular counts"/>
      <sheetName val="Sheet1"/>
      <sheetName val="Sheet2"/>
      <sheetName val="Pivot-HS Student % of Undergrad"/>
    </sheetNames>
    <sheetDataSet>
      <sheetData sheetId="0"/>
      <sheetData sheetId="1">
        <row r="70">
          <cell r="B70">
            <v>913767.99333333329</v>
          </cell>
          <cell r="C70">
            <v>270156.35277777782</v>
          </cell>
          <cell r="D70">
            <v>579402.1</v>
          </cell>
          <cell r="E70">
            <v>226759.50083333335</v>
          </cell>
          <cell r="F70">
            <v>114537.18333333332</v>
          </cell>
          <cell r="G70">
            <v>64789.396666666667</v>
          </cell>
          <cell r="H70">
            <v>2169412.5269444445</v>
          </cell>
        </row>
        <row r="71">
          <cell r="B71"/>
          <cell r="C71"/>
          <cell r="D71"/>
          <cell r="E71"/>
          <cell r="F71"/>
          <cell r="G71"/>
        </row>
        <row r="72">
          <cell r="B72">
            <v>57825.05</v>
          </cell>
          <cell r="C72">
            <v>5878.05</v>
          </cell>
          <cell r="D72">
            <v>22452.983333333334</v>
          </cell>
          <cell r="E72">
            <v>28154.074999999997</v>
          </cell>
          <cell r="F72">
            <v>6112.9750000000004</v>
          </cell>
          <cell r="G72">
            <v>2656.3666666666668</v>
          </cell>
          <cell r="H72">
            <v>123079.5</v>
          </cell>
        </row>
        <row r="73">
          <cell r="B73">
            <v>17188.708333333332</v>
          </cell>
          <cell r="C73">
            <v>0</v>
          </cell>
          <cell r="D73">
            <v>30314.491666666665</v>
          </cell>
          <cell r="E73">
            <v>10209.991666666667</v>
          </cell>
          <cell r="F73">
            <v>5554.6416666666673</v>
          </cell>
          <cell r="G73">
            <v>8459.15</v>
          </cell>
          <cell r="H73">
            <v>71726.983333333337</v>
          </cell>
        </row>
        <row r="74">
          <cell r="B74">
            <v>18905.058333333334</v>
          </cell>
          <cell r="C74">
            <v>0</v>
          </cell>
          <cell r="D74">
            <v>0</v>
          </cell>
          <cell r="E74">
            <v>3514.2249999999999</v>
          </cell>
          <cell r="F74">
            <v>0</v>
          </cell>
          <cell r="G74">
            <v>0</v>
          </cell>
          <cell r="H74">
            <v>22419.283333333336</v>
          </cell>
        </row>
        <row r="75">
          <cell r="B75">
            <v>165014.59999999998</v>
          </cell>
          <cell r="C75">
            <v>51887.23333333333</v>
          </cell>
          <cell r="D75">
            <v>32655.774999999998</v>
          </cell>
          <cell r="E75">
            <v>8184</v>
          </cell>
          <cell r="F75">
            <v>0</v>
          </cell>
          <cell r="G75">
            <v>892.8</v>
          </cell>
          <cell r="H75">
            <v>258634.40833333333</v>
          </cell>
        </row>
        <row r="76">
          <cell r="F76"/>
          <cell r="G76"/>
        </row>
        <row r="77">
          <cell r="B77">
            <v>61082.480833333335</v>
          </cell>
          <cell r="C77">
            <v>21887.474999999999</v>
          </cell>
          <cell r="D77">
            <v>36570.174999999996</v>
          </cell>
          <cell r="E77">
            <v>40898.621666666666</v>
          </cell>
          <cell r="F77">
            <v>18541.25</v>
          </cell>
          <cell r="G77">
            <v>9947.9</v>
          </cell>
          <cell r="H77">
            <v>188927.9025</v>
          </cell>
        </row>
        <row r="78">
          <cell r="B78">
            <v>36783.216666666667</v>
          </cell>
          <cell r="C78">
            <v>0</v>
          </cell>
          <cell r="D78">
            <v>38995.741666666669</v>
          </cell>
          <cell r="E78">
            <v>19555.275000000001</v>
          </cell>
          <cell r="F78">
            <v>2188.6833333333334</v>
          </cell>
          <cell r="G78">
            <v>0</v>
          </cell>
          <cell r="H78">
            <v>97522.916666666672</v>
          </cell>
        </row>
        <row r="79">
          <cell r="B79">
            <v>28341.345833333333</v>
          </cell>
          <cell r="C79">
            <v>29832.194444444445</v>
          </cell>
          <cell r="D79">
            <v>28672.224999999999</v>
          </cell>
          <cell r="E79">
            <v>29878.666666666668</v>
          </cell>
          <cell r="F79">
            <v>2409.6583333333333</v>
          </cell>
          <cell r="G79">
            <v>0</v>
          </cell>
          <cell r="H79">
            <v>119134.09027777778</v>
          </cell>
        </row>
        <row r="80">
          <cell r="B80">
            <v>32196.233333333334</v>
          </cell>
          <cell r="C80">
            <v>10276.025000000001</v>
          </cell>
          <cell r="D80">
            <v>24124.366666666665</v>
          </cell>
          <cell r="E80">
            <v>28064.65</v>
          </cell>
          <cell r="F80">
            <v>0</v>
          </cell>
          <cell r="G80">
            <v>2117.8683333333333</v>
          </cell>
          <cell r="H80">
            <v>96779.143333333326</v>
          </cell>
        </row>
        <row r="81">
          <cell r="F81"/>
          <cell r="G81"/>
        </row>
        <row r="82">
          <cell r="B82">
            <v>28079.316666666666</v>
          </cell>
          <cell r="C82">
            <v>20963.908333333336</v>
          </cell>
          <cell r="D82">
            <v>0</v>
          </cell>
          <cell r="E82">
            <v>6329.4000000000005</v>
          </cell>
          <cell r="F82">
            <v>4607.6666666666661</v>
          </cell>
          <cell r="G82">
            <v>0</v>
          </cell>
          <cell r="H82">
            <v>59980.291666666679</v>
          </cell>
        </row>
        <row r="83">
          <cell r="B83">
            <v>52364.26666666667</v>
          </cell>
          <cell r="C83">
            <v>35457.058333333334</v>
          </cell>
          <cell r="D83">
            <v>76423.399999999994</v>
          </cell>
          <cell r="E83">
            <v>6051.75</v>
          </cell>
          <cell r="F83">
            <v>11286.916666666668</v>
          </cell>
          <cell r="G83">
            <v>6120.1916666666666</v>
          </cell>
          <cell r="H83">
            <v>187703.58333333334</v>
          </cell>
        </row>
        <row r="84">
          <cell r="B84">
            <v>43029.3</v>
          </cell>
          <cell r="C84">
            <v>0</v>
          </cell>
          <cell r="D84">
            <v>18477.241666666669</v>
          </cell>
          <cell r="E84">
            <v>0</v>
          </cell>
          <cell r="F84">
            <v>19462.025000000001</v>
          </cell>
          <cell r="G84">
            <v>4970.333333333333</v>
          </cell>
          <cell r="H84">
            <v>85938.9</v>
          </cell>
        </row>
        <row r="85">
          <cell r="B85">
            <v>40917.258333333331</v>
          </cell>
          <cell r="C85">
            <v>0</v>
          </cell>
          <cell r="D85">
            <v>15757.025000000001</v>
          </cell>
          <cell r="E85">
            <v>3377.7125000000001</v>
          </cell>
          <cell r="F85">
            <v>17895.274999999998</v>
          </cell>
          <cell r="G85">
            <v>7395.5833333333339</v>
          </cell>
          <cell r="H85">
            <v>85342.854166666657</v>
          </cell>
        </row>
        <row r="86">
          <cell r="F86"/>
          <cell r="G86"/>
        </row>
        <row r="87">
          <cell r="B87">
            <v>25800.541666666664</v>
          </cell>
          <cell r="C87">
            <v>16554.8</v>
          </cell>
          <cell r="D87">
            <v>48197.51666666667</v>
          </cell>
          <cell r="E87">
            <v>16561.116666666665</v>
          </cell>
          <cell r="F87">
            <v>6416.8833333333332</v>
          </cell>
          <cell r="G87">
            <v>0</v>
          </cell>
          <cell r="H87">
            <v>113530.85833333332</v>
          </cell>
        </row>
        <row r="88">
          <cell r="B88">
            <v>203537.75</v>
          </cell>
          <cell r="C88">
            <v>25617.641666666663</v>
          </cell>
          <cell r="D88">
            <v>169177.65833333333</v>
          </cell>
          <cell r="E88">
            <v>11484.391666666666</v>
          </cell>
          <cell r="F88">
            <v>11339.025000000001</v>
          </cell>
          <cell r="G88">
            <v>1517.0333333333333</v>
          </cell>
          <cell r="H88">
            <v>422673.5</v>
          </cell>
        </row>
        <row r="89">
          <cell r="B89">
            <v>76804.191666666666</v>
          </cell>
          <cell r="C89">
            <v>51801.966666666667</v>
          </cell>
          <cell r="D89">
            <v>26753.141666666666</v>
          </cell>
          <cell r="E89">
            <v>14495.625</v>
          </cell>
          <cell r="F89">
            <v>8722.1833333333343</v>
          </cell>
          <cell r="G89">
            <v>1624.3</v>
          </cell>
          <cell r="H89">
            <v>180201.40833333333</v>
          </cell>
        </row>
        <row r="90">
          <cell r="B90">
            <v>25898.674999999999</v>
          </cell>
          <cell r="C90">
            <v>0</v>
          </cell>
          <cell r="D90">
            <v>10830.358333333334</v>
          </cell>
          <cell r="E90">
            <v>0</v>
          </cell>
          <cell r="F90">
            <v>0</v>
          </cell>
          <cell r="G90">
            <v>19087.87</v>
          </cell>
          <cell r="H90">
            <v>55816.903333333335</v>
          </cell>
        </row>
        <row r="163">
          <cell r="AK163">
            <v>92390.395555555573</v>
          </cell>
          <cell r="AL163">
            <v>814845.70933333342</v>
          </cell>
          <cell r="AM163">
            <v>504485.75611111108</v>
          </cell>
          <cell r="AN163">
            <v>135683.3441111111</v>
          </cell>
          <cell r="AO163">
            <v>184573.70555555559</v>
          </cell>
          <cell r="AP163">
            <v>1638926.2106666665</v>
          </cell>
        </row>
        <row r="164">
          <cell r="AK164"/>
          <cell r="AL164"/>
          <cell r="AM164"/>
          <cell r="AN164"/>
          <cell r="AO164"/>
          <cell r="AP164"/>
        </row>
        <row r="165">
          <cell r="AK165">
            <v>0</v>
          </cell>
          <cell r="AL165">
            <v>12510.366666666665</v>
          </cell>
          <cell r="AM165">
            <v>35622.333333333336</v>
          </cell>
          <cell r="AN165">
            <v>14533.866666666669</v>
          </cell>
          <cell r="AO165"/>
          <cell r="AP165">
            <v>62666.566666666666</v>
          </cell>
        </row>
        <row r="166">
          <cell r="AK166">
            <v>0</v>
          </cell>
          <cell r="AL166">
            <v>6341.166666666667</v>
          </cell>
          <cell r="AM166">
            <v>7718.1666666666661</v>
          </cell>
          <cell r="AN166">
            <v>22681.599999999999</v>
          </cell>
          <cell r="AO166"/>
          <cell r="AP166">
            <v>36740.933333333334</v>
          </cell>
        </row>
        <row r="167">
          <cell r="AK167">
            <v>0</v>
          </cell>
          <cell r="AL167">
            <v>0</v>
          </cell>
          <cell r="AM167">
            <v>7478.9</v>
          </cell>
          <cell r="AN167">
            <v>2163.6666666666665</v>
          </cell>
          <cell r="AO167"/>
          <cell r="AP167">
            <v>9642.5666666666657</v>
          </cell>
        </row>
        <row r="168">
          <cell r="AK168">
            <v>80019.52888888889</v>
          </cell>
          <cell r="AL168">
            <v>212896.36444444442</v>
          </cell>
          <cell r="AM168">
            <v>27672.370000000003</v>
          </cell>
          <cell r="AN168">
            <v>1778.9911111111112</v>
          </cell>
          <cell r="AO168"/>
          <cell r="AP168">
            <v>322367.25444444444</v>
          </cell>
        </row>
        <row r="169">
          <cell r="AK169"/>
          <cell r="AL169"/>
          <cell r="AM169"/>
          <cell r="AN169"/>
          <cell r="AO169"/>
          <cell r="AP169"/>
        </row>
        <row r="170">
          <cell r="AK170">
            <v>3503.7333333333331</v>
          </cell>
          <cell r="AL170">
            <v>16582.099999999999</v>
          </cell>
          <cell r="AM170">
            <v>26468.216666666671</v>
          </cell>
          <cell r="AN170">
            <v>5904.4333333333334</v>
          </cell>
          <cell r="AO170"/>
          <cell r="AP170">
            <v>52458.483333333337</v>
          </cell>
        </row>
        <row r="171">
          <cell r="AK171">
            <v>0</v>
          </cell>
          <cell r="AL171">
            <v>15828.433333333334</v>
          </cell>
          <cell r="AM171">
            <v>24056.033333333333</v>
          </cell>
          <cell r="AN171">
            <v>4960</v>
          </cell>
          <cell r="AO171"/>
          <cell r="AP171">
            <v>44844.466666666667</v>
          </cell>
        </row>
        <row r="172">
          <cell r="AK172">
            <v>1937.5333333333333</v>
          </cell>
          <cell r="AL172">
            <v>9691.4666666666672</v>
          </cell>
          <cell r="AM172">
            <v>10613</v>
          </cell>
          <cell r="AN172">
            <v>6680.4</v>
          </cell>
          <cell r="AO172"/>
          <cell r="AP172">
            <v>28922.400000000001</v>
          </cell>
        </row>
        <row r="173">
          <cell r="AK173">
            <v>0</v>
          </cell>
          <cell r="AL173">
            <v>47629.51666666667</v>
          </cell>
          <cell r="AM173">
            <v>26577.733333333334</v>
          </cell>
          <cell r="AN173">
            <v>8075.9833333333336</v>
          </cell>
          <cell r="AO173"/>
          <cell r="AP173">
            <v>82283.233333333337</v>
          </cell>
        </row>
        <row r="174">
          <cell r="AK174"/>
          <cell r="AL174"/>
          <cell r="AM174"/>
          <cell r="AN174"/>
          <cell r="AO174"/>
          <cell r="AP174"/>
        </row>
        <row r="175">
          <cell r="AK175">
            <v>0</v>
          </cell>
          <cell r="AL175">
            <v>21342.799999999999</v>
          </cell>
          <cell r="AM175">
            <v>34138.933333333334</v>
          </cell>
          <cell r="AN175">
            <v>3109.9333333333334</v>
          </cell>
          <cell r="AO175"/>
          <cell r="AP175">
            <v>58591.666666666672</v>
          </cell>
        </row>
        <row r="176">
          <cell r="AK176">
            <v>0</v>
          </cell>
          <cell r="AL176">
            <v>105422</v>
          </cell>
          <cell r="AM176">
            <v>107798</v>
          </cell>
          <cell r="AN176">
            <v>18517</v>
          </cell>
          <cell r="AO176"/>
          <cell r="AP176">
            <v>231737</v>
          </cell>
        </row>
        <row r="177">
          <cell r="AK177">
            <v>2935.6</v>
          </cell>
          <cell r="AL177">
            <v>19308.033333333333</v>
          </cell>
          <cell r="AM177">
            <v>11911.066666666666</v>
          </cell>
          <cell r="AN177">
            <v>12074.1</v>
          </cell>
          <cell r="AO177"/>
          <cell r="AP177">
            <v>46228.799999999996</v>
          </cell>
        </row>
        <row r="178">
          <cell r="AK178">
            <v>1188.3666666666666</v>
          </cell>
          <cell r="AL178">
            <v>29262.682666666668</v>
          </cell>
          <cell r="AM178">
            <v>31398.061666666668</v>
          </cell>
          <cell r="AN178">
            <v>6907.3996666666662</v>
          </cell>
          <cell r="AO178"/>
          <cell r="AP178">
            <v>68756.510666666669</v>
          </cell>
        </row>
        <row r="179">
          <cell r="AK179"/>
          <cell r="AL179"/>
          <cell r="AM179"/>
          <cell r="AN179"/>
          <cell r="AO179"/>
          <cell r="AP179"/>
        </row>
        <row r="180">
          <cell r="AK180">
            <v>0</v>
          </cell>
          <cell r="AL180">
            <v>19253.966666666667</v>
          </cell>
          <cell r="AM180">
            <v>32559.833333333332</v>
          </cell>
          <cell r="AN180">
            <v>1718.0666666666666</v>
          </cell>
          <cell r="AO180"/>
          <cell r="AP180">
            <v>53531.866666666669</v>
          </cell>
        </row>
        <row r="181">
          <cell r="AK181">
            <v>0</v>
          </cell>
          <cell r="AL181">
            <v>240342.57888888891</v>
          </cell>
          <cell r="AM181">
            <v>83980.107777777783</v>
          </cell>
          <cell r="AN181">
            <v>14363.986666666666</v>
          </cell>
          <cell r="AO181">
            <v>80275.305555555577</v>
          </cell>
          <cell r="AP181">
            <v>418961.97888888896</v>
          </cell>
        </row>
        <row r="182">
          <cell r="AK182">
            <v>0</v>
          </cell>
          <cell r="AL182">
            <v>58434.233333333337</v>
          </cell>
          <cell r="AM182">
            <v>34618.466666666667</v>
          </cell>
          <cell r="AN182">
            <v>1022</v>
          </cell>
          <cell r="AO182">
            <v>104298.40000000001</v>
          </cell>
          <cell r="AP182">
            <v>105320.40000000001</v>
          </cell>
        </row>
        <row r="183">
          <cell r="AK183">
            <v>2805.6333333333332</v>
          </cell>
          <cell r="AL183">
            <v>0</v>
          </cell>
          <cell r="AM183">
            <v>1874.5333333333333</v>
          </cell>
          <cell r="AN183">
            <v>11191.916666666668</v>
          </cell>
          <cell r="AO183"/>
          <cell r="AP183">
            <v>15872.083333333334</v>
          </cell>
        </row>
        <row r="193">
          <cell r="AM193">
            <v>73712.324444444443</v>
          </cell>
          <cell r="AN193">
            <v>18190.247777777775</v>
          </cell>
          <cell r="AO193">
            <v>14183.737222222222</v>
          </cell>
          <cell r="AP193">
            <v>106086.30944444443</v>
          </cell>
          <cell r="BA193">
            <v>100568.17777777776</v>
          </cell>
        </row>
        <row r="194">
          <cell r="AM194"/>
          <cell r="AN194"/>
          <cell r="AO194"/>
          <cell r="AP194"/>
          <cell r="BA194"/>
        </row>
        <row r="195">
          <cell r="AM195">
            <v>1225.2666666666667</v>
          </cell>
          <cell r="AN195">
            <v>1885.5</v>
          </cell>
          <cell r="AO195">
            <v>0</v>
          </cell>
          <cell r="AP195">
            <v>3110.7666666666664</v>
          </cell>
          <cell r="BA195">
            <v>3070.2666666666664</v>
          </cell>
        </row>
        <row r="196"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BA196">
            <v>0</v>
          </cell>
        </row>
        <row r="197"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BA197">
            <v>0</v>
          </cell>
        </row>
        <row r="198"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BA198">
            <v>0</v>
          </cell>
        </row>
        <row r="199">
          <cell r="AM199"/>
          <cell r="AN199"/>
          <cell r="AO199"/>
          <cell r="AP199"/>
          <cell r="BA199"/>
        </row>
        <row r="200">
          <cell r="AM200">
            <v>68099.757777777777</v>
          </cell>
          <cell r="AN200">
            <v>4322.1777777777779</v>
          </cell>
          <cell r="AO200">
            <v>0</v>
          </cell>
          <cell r="AP200">
            <v>72421.935555555552</v>
          </cell>
          <cell r="BA200">
            <v>69054.593333333323</v>
          </cell>
        </row>
        <row r="201">
          <cell r="AM201">
            <v>2928.8666666666668</v>
          </cell>
          <cell r="AN201">
            <v>0</v>
          </cell>
          <cell r="AO201">
            <v>0</v>
          </cell>
          <cell r="AP201">
            <v>2928.8666666666668</v>
          </cell>
          <cell r="BA201">
            <v>2800.333333333333</v>
          </cell>
        </row>
        <row r="202">
          <cell r="AM202">
            <v>1458.4333333333334</v>
          </cell>
          <cell r="AN202">
            <v>945.31444444444446</v>
          </cell>
          <cell r="AO202">
            <v>14183.737222222222</v>
          </cell>
          <cell r="AP202">
            <v>16587.485000000001</v>
          </cell>
          <cell r="BA202">
            <v>15359.887777777778</v>
          </cell>
        </row>
        <row r="203"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BA203">
            <v>0</v>
          </cell>
        </row>
        <row r="204">
          <cell r="AM204"/>
          <cell r="AN204"/>
          <cell r="AO204"/>
          <cell r="AP204"/>
          <cell r="BA204"/>
        </row>
        <row r="205"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BA205">
            <v>0</v>
          </cell>
        </row>
        <row r="206"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BA206">
            <v>0</v>
          </cell>
        </row>
        <row r="207">
          <cell r="AM207"/>
          <cell r="AN207"/>
          <cell r="AO207"/>
          <cell r="AP207"/>
          <cell r="BA207"/>
        </row>
        <row r="208"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BA208">
            <v>0</v>
          </cell>
        </row>
        <row r="209">
          <cell r="AM209"/>
          <cell r="AN209"/>
          <cell r="AO209"/>
          <cell r="AP209"/>
          <cell r="BA209"/>
        </row>
        <row r="210">
          <cell r="AM210">
            <v>0</v>
          </cell>
          <cell r="AN210">
            <v>11037.255555555552</v>
          </cell>
          <cell r="AO210">
            <v>0</v>
          </cell>
          <cell r="AP210">
            <v>11037.255555555552</v>
          </cell>
          <cell r="BA210">
            <v>10283.096666666668</v>
          </cell>
        </row>
        <row r="211"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BA211">
            <v>0</v>
          </cell>
        </row>
        <row r="212"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BA212">
            <v>0</v>
          </cell>
        </row>
        <row r="213"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BA213">
            <v>0</v>
          </cell>
        </row>
      </sheetData>
      <sheetData sheetId="2"/>
      <sheetData sheetId="3"/>
      <sheetData sheetId="4"/>
      <sheetData sheetId="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marks" refreshedDate="40214.455299305555" createdVersion="3" refreshedVersion="3" recordCount="3380">
  <cacheSource type="worksheet">
    <worksheetSource ref="A8:AG3388" sheet="Funding Data"/>
  </cacheSource>
  <cacheFields count="49">
    <cacheField name="state" numFmtId="0">
      <sharedItems containsBlank="1" count="17">
        <s v="AL"/>
        <s v="AR"/>
        <s v="DE"/>
        <s v="FL"/>
        <s v="GA"/>
        <s v="KY"/>
        <s v="LA"/>
        <s v="MD"/>
        <s v="MS"/>
        <s v="NC"/>
        <s v="OK"/>
        <s v="SC"/>
        <s v="TN"/>
        <s v="TX"/>
        <s v="VA"/>
        <s v="WV"/>
        <m u="1"/>
      </sharedItems>
    </cacheField>
    <cacheField name="group" numFmtId="0">
      <sharedItems containsBlank="1" count="49">
        <s v="1A"/>
        <s v="1D"/>
        <s v="1B"/>
        <s v="1B1"/>
        <s v="1B2"/>
        <s v="1B3"/>
        <s v="1B4"/>
        <s v="1B6"/>
        <s v="1B7"/>
        <s v="1F"/>
        <s v="1C"/>
        <s v="1C6"/>
        <s v="1C7"/>
        <s v="1G"/>
        <s v="2A"/>
        <s v="2A1"/>
        <s v="2A2"/>
        <s v="2A3"/>
        <s v="2A4"/>
        <s v="2B"/>
        <s v="2C"/>
        <s v="2C1"/>
        <s v="2C2"/>
        <s v="2C3"/>
        <s v="2D"/>
        <s v="2D1"/>
        <s v="2D1a"/>
        <s v="2D1b"/>
        <s v="2D1c"/>
        <s v="2D1c1"/>
        <s v="2D1c2"/>
        <s v="2D1d"/>
        <s v="2D1d1"/>
        <s v="2D1d2"/>
        <s v="2D2"/>
        <s v="2D2a"/>
        <s v="2D2b"/>
        <s v="2D3"/>
        <s v="2D3a"/>
        <s v="2D3b"/>
        <s v="1C3"/>
        <s v="1E"/>
        <s v="1C1"/>
        <s v="1B5"/>
        <s v="1C4"/>
        <s v="1C2"/>
        <s v="1C5"/>
        <s v="1B8"/>
        <m u="1"/>
      </sharedItems>
    </cacheField>
    <cacheField name="item" numFmtId="0">
      <sharedItems containsBlank="1"/>
    </cacheField>
    <cacheField name="ID #" numFmtId="0">
      <sharedItems containsBlank="1" containsMixedTypes="1" containsNumber="1" containsInteger="1" minValue="100654" maxValue="447689"/>
    </cacheField>
    <cacheField name="category" numFmtId="0">
      <sharedItems containsString="0" containsBlank="1" containsNumber="1" minValue="1" maxValue="15" count="17">
        <n v="1"/>
        <n v="2"/>
        <n v="3"/>
        <n v="4"/>
        <n v="5"/>
        <n v="6"/>
        <n v="8"/>
        <n v="9"/>
        <n v="10"/>
        <n v="12"/>
        <n v="13"/>
        <n v="15"/>
        <m/>
        <n v="7"/>
        <n v="14"/>
        <n v="11"/>
        <n v="13.3928571428571" u="1"/>
      </sharedItems>
      <fieldGroup par="43"/>
    </cacheField>
    <cacheField name="State Gen Purp-Old" numFmtId="37">
      <sharedItems containsBlank="1" containsMixedTypes="1" containsNumber="1" minValue="40859" maxValue="470818944"/>
    </cacheField>
    <cacheField name="State Gen Purp-New" numFmtId="37">
      <sharedItems containsString="0" containsBlank="1" containsNumber="1" minValue="0" maxValue="488631728"/>
    </cacheField>
    <cacheField name="State Ed Spec Purp-Old" numFmtId="37">
      <sharedItems containsBlank="1" containsMixedTypes="1" containsNumber="1" containsInteger="1" minValue="0" maxValue="141232404"/>
    </cacheField>
    <cacheField name="State Ed Spec Purp-New" numFmtId="0">
      <sharedItems containsString="0" containsBlank="1" containsNumber="1" minValue="0" maxValue="136572337"/>
    </cacheField>
    <cacheField name="Local-Old" numFmtId="37">
      <sharedItems containsString="0" containsBlank="1" containsNumber="1" minValue="0" maxValue="148603239"/>
    </cacheField>
    <cacheField name="Local-New" numFmtId="37">
      <sharedItems containsString="0" containsBlank="1" containsNumber="1" containsInteger="1" minValue="0" maxValue="160732785"/>
    </cacheField>
    <cacheField name="Tuition Ops-Old" numFmtId="37">
      <sharedItems containsString="0" containsBlank="1" containsNumber="1" minValue="0" maxValue="474679784"/>
    </cacheField>
    <cacheField name="Tuition Debt-Old" numFmtId="37">
      <sharedItems containsBlank="1" containsMixedTypes="1" containsNumber="1" minValue="0" maxValue="20562155"/>
    </cacheField>
    <cacheField name="Tuition Tot-Old" numFmtId="37">
      <sharedItems containsString="0" containsBlank="1" containsNumber="1" minValue="0" maxValue="474679784"/>
    </cacheField>
    <cacheField name="Tuition Ops-New" numFmtId="0">
      <sharedItems containsString="0" containsBlank="1" containsNumber="1" minValue="0" maxValue="499023993"/>
    </cacheField>
    <cacheField name="Tuition Debt-New" numFmtId="0">
      <sharedItems containsBlank="1" containsMixedTypes="1" containsNumber="1" containsInteger="1" minValue="0" maxValue="22717806"/>
    </cacheField>
    <cacheField name="Tuition Tot-New" numFmtId="37">
      <sharedItems containsString="0" containsBlank="1" containsNumber="1" minValue="0" maxValue="499023993"/>
    </cacheField>
    <cacheField name="Total E&amp;G-Old" numFmtId="37">
      <sharedItems containsString="0" containsBlank="1" containsNumber="1" minValue="0" maxValue="945498728"/>
    </cacheField>
    <cacheField name="Total E&amp;G-New" numFmtId="37">
      <sharedItems containsString="0" containsBlank="1" containsNumber="1" minValue="0" maxValue="987655721"/>
    </cacheField>
    <cacheField name="Other Spec Purp State-Old" numFmtId="0">
      <sharedItems containsBlank="1" containsMixedTypes="1" containsNumber="1" minValue="0" maxValue="387685153"/>
    </cacheField>
    <cacheField name="Other Spec Purp State-New" numFmtId="0">
      <sharedItems containsBlank="1" containsMixedTypes="1" containsNumber="1" minValue="0" maxValue="436175538"/>
    </cacheField>
    <cacheField name="Tuition SP Ops-Old" numFmtId="37">
      <sharedItems containsBlank="1" containsMixedTypes="1" containsNumber="1" containsInteger="1" minValue="0" maxValue="222457982"/>
    </cacheField>
    <cacheField name="Tuition SP Debt-Old" numFmtId="37">
      <sharedItems containsBlank="1" containsMixedTypes="1" containsNumber="1" containsInteger="1" minValue="65262" maxValue="126700"/>
    </cacheField>
    <cacheField name="Tuition SP Tot-Old" numFmtId="37">
      <sharedItems containsString="0" containsBlank="1" containsNumber="1" containsInteger="1" minValue="0" maxValue="222457982"/>
    </cacheField>
    <cacheField name="Tuition SP Ops-New" numFmtId="37">
      <sharedItems containsString="0" containsBlank="1" containsNumber="1" containsInteger="1" minValue="0" maxValue="219194268"/>
    </cacheField>
    <cacheField name="Tuition SP Debt-New" numFmtId="37">
      <sharedItems containsString="0" containsBlank="1" containsNumber="1" containsInteger="1" minValue="65262" maxValue="205000"/>
    </cacheField>
    <cacheField name="Tuition SP Tot-New" numFmtId="37">
      <sharedItems containsString="0" containsBlank="1" containsNumber="1" containsInteger="1" minValue="0" maxValue="219194268"/>
    </cacheField>
    <cacheField name="Health State-Old" numFmtId="37">
      <sharedItems containsString="0" containsBlank="1" containsNumber="1" containsInteger="1" minValue="0" maxValue="287346866"/>
    </cacheField>
    <cacheField name="Health State-New" numFmtId="37">
      <sharedItems containsString="0" containsBlank="1" containsNumber="1" minValue="0" maxValue="289293547"/>
    </cacheField>
    <cacheField name="Health Tuition-Old" numFmtId="37">
      <sharedItems containsBlank="1" containsMixedTypes="1" containsNumber="1" containsInteger="1" minValue="0" maxValue="81435855"/>
    </cacheField>
    <cacheField name="Health Tuition-New" numFmtId="0">
      <sharedItems containsBlank="1" containsMixedTypes="1" containsNumber="1" containsInteger="1" minValue="0" maxValue="86882441"/>
    </cacheField>
    <cacheField name="Total Funds-Old" numFmtId="37">
      <sharedItems containsString="0" containsBlank="1" containsNumber="1" minValue="0" maxValue="945498728"/>
    </cacheField>
    <cacheField name="Total Funds-New" numFmtId="37">
      <sharedItems containsString="0" containsBlank="1" containsNumber="1" minValue="0" maxValue="987655721"/>
    </cacheField>
    <cacheField name="% change in health state" numFmtId="0" formula=" IF('Health State-Old'&gt;0,('Health State-New'-'Health State-Old')/'Health State-Old',)*100" databaseField="0"/>
    <cacheField name="% change in health tuition" numFmtId="0" formula=" IF('Health Tuition-Old'&gt;0,('Health Tuition-New'-'Health Tuition-Old')/'Health Tuition-Old',)*100" databaseField="0"/>
    <cacheField name="% change in total public funds" numFmtId="0" formula="IF('Total E&amp;G-Old'&gt;0,('Total E&amp;G-New'-'Total E&amp;G-Old')/'Total E&amp;G-Old')*100" databaseField="0"/>
    <cacheField name="% change in tuition ops" numFmtId="0" formula=" IF('Tuition Ops-Old'&gt;0,('Tuition Ops-New'-'Tuition Ops-Old')/'Tuition Ops-Old',)*100" databaseField="0"/>
    <cacheField name="% change in local" numFmtId="0" formula="IF('Local-Old'&gt;0, ('Local-New'-'Local-Old')/'Local-Old',)*100" databaseField="0"/>
    <cacheField name="% change in state ed spec purp" numFmtId="0" formula="IF('State Ed Spec Purp-Old'&gt;0,('State Ed Spec Purp-New'-'State Ed Spec Purp-Old')/'State Ed Spec Purp-Old',)*100" databaseField="0"/>
    <cacheField name="% change in state gen purp" numFmtId="0" formula=" IF('State Gen Purp-Old'&gt;0,('State Gen Purp-New'-'State Gen Purp-Old')/'State Gen Purp-Old',)*100" databaseField="0"/>
    <cacheField name="% change in other spec purp state" numFmtId="0" formula="IF('Other Spec Purp State-Old'&gt;0, ('Other Spec Purp State-New'-'Other Spec Purp State-Old')/'Other Spec Purp State-Old',)*100" databaseField="0"/>
    <cacheField name="% change in tuition total" numFmtId="0" formula=" IF('Tuition Tot-Old'&gt;0,('Tuition Tot-New'-'Tuition Tot-Old')/'Tuition Tot-Old',)*100" databaseField="0"/>
    <cacheField name="% change in tuition debt" numFmtId="0" formula=" IF('Tuition Debt-Old'&gt;0,('Tuition Debt-New'-'Tuition Debt-Old')/'Tuition Debt-Old',)*100" databaseField="0"/>
    <cacheField name="category2" numFmtId="0" databaseField="0">
      <fieldGroup base="4">
        <discretePr count="17">
          <x v="3"/>
          <x v="3"/>
          <x v="3"/>
          <x v="3"/>
          <x v="3"/>
          <x v="3"/>
          <x v="4"/>
          <x v="4"/>
          <x v="4"/>
          <x v="5"/>
          <x v="5"/>
          <x v="1"/>
          <x v="0"/>
          <x v="4"/>
          <x v="5"/>
          <x v="4"/>
          <x v="2"/>
        </discretePr>
        <groupItems count="6">
          <m/>
          <n v="15"/>
          <n v="13.3928571428571"/>
          <s v="Group1"/>
          <s v="Group2"/>
          <s v="Group3"/>
        </groupItems>
      </fieldGroup>
    </cacheField>
    <cacheField name="% change in tuition sp total" numFmtId="0" formula=" IF('Tuition SP Tot-Old'&gt;0,('Tuition SP Tot-New'-'Tuition SP Tot-Old')/'Tuition SP Tot-Old',)*100" databaseField="0"/>
    <cacheField name="% change in tuition sp debt" numFmtId="0" formula=" IF('Tuition SP Debt-Old'&gt;0,('Tuition SP Debt-New'-'Tuition SP Debt-Old')/'Tuition SP Debt-Old',)*100" databaseField="0"/>
    <cacheField name="% change in tuition sp ops" numFmtId="0" formula=" IF('Tuition SP Ops-Old'&gt;0,('Tuition SP Ops-New'-'Tuition SP Ops-Old')/'Tuition SP Ops-Old',)*100" databaseField="0"/>
    <cacheField name="% change in total E&amp;G funds" numFmtId="0" formula="IF('Total E&amp;G-Old'&gt;0,('Total E&amp;G-New'-'Total E&amp;G-Old')/'Total E&amp;G-Old')*100" databaseField="0"/>
    <cacheField name="%change" numFmtId="0" formula="IF('State Gen Purp-Old'&gt;0,(('State Gen Purp-New'-'State Gen Purp-Old')/'State Gen Purp-Old'),)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80">
  <r>
    <x v="0"/>
    <x v="0"/>
    <s v="Auburn University  "/>
    <n v="100858"/>
    <x v="0"/>
    <n v="194392650"/>
    <n v="154548510"/>
    <m/>
    <m/>
    <m/>
    <m/>
    <n v="214119025"/>
    <n v="20562155"/>
    <n v="234681180"/>
    <n v="199811880"/>
    <n v="22717806"/>
    <n v="222529686"/>
    <n v="408511675"/>
    <n v="354360390"/>
    <m/>
    <m/>
    <m/>
    <m/>
    <n v="0"/>
    <m/>
    <m/>
    <n v="0"/>
    <m/>
    <m/>
    <m/>
    <m/>
    <n v="408511675"/>
    <n v="354360390"/>
  </r>
  <r>
    <x v="0"/>
    <x v="1"/>
    <s v="Health Professions Education"/>
    <n v="100858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1"/>
    <s v="Veterinary School"/>
    <n v="100858"/>
    <x v="0"/>
    <m/>
    <m/>
    <m/>
    <m/>
    <m/>
    <m/>
    <m/>
    <m/>
    <n v="0"/>
    <m/>
    <m/>
    <n v="0"/>
    <n v="0"/>
    <n v="0"/>
    <m/>
    <m/>
    <m/>
    <m/>
    <n v="0"/>
    <m/>
    <m/>
    <n v="0"/>
    <n v="24891340"/>
    <n v="19763102"/>
    <n v="9087453"/>
    <n v="10000000"/>
    <n v="33978793"/>
    <n v="29763102"/>
  </r>
  <r>
    <x v="0"/>
    <x v="1"/>
    <s v="Veterinary School Large Animal PGM"/>
    <n v="100858"/>
    <x v="0"/>
    <m/>
    <m/>
    <m/>
    <m/>
    <m/>
    <m/>
    <m/>
    <m/>
    <n v="0"/>
    <m/>
    <m/>
    <n v="0"/>
    <n v="0"/>
    <n v="0"/>
    <m/>
    <m/>
    <m/>
    <m/>
    <n v="0"/>
    <m/>
    <m/>
    <n v="0"/>
    <n v="50000"/>
    <m/>
    <m/>
    <m/>
    <n v="50000"/>
    <n v="0"/>
  </r>
  <r>
    <x v="0"/>
    <x v="2"/>
    <s v="Educational special purpose funds - to public campuses"/>
    <n v="100858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"/>
    <s v="Community or public service units"/>
    <n v="100858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"/>
    <s v="Econ Res Services to St Dept of Finance"/>
    <n v="100858"/>
    <x v="0"/>
    <m/>
    <m/>
    <n v="150000"/>
    <n v="122850"/>
    <m/>
    <m/>
    <m/>
    <m/>
    <n v="0"/>
    <m/>
    <m/>
    <n v="0"/>
    <n v="150000"/>
    <n v="122850"/>
    <m/>
    <m/>
    <m/>
    <m/>
    <n v="0"/>
    <m/>
    <m/>
    <n v="0"/>
    <m/>
    <m/>
    <m/>
    <m/>
    <n v="150000"/>
    <n v="122850"/>
  </r>
  <r>
    <x v="0"/>
    <x v="3"/>
    <s v="Jules Collins Smith Art Museum"/>
    <n v="100858"/>
    <x v="0"/>
    <m/>
    <m/>
    <n v="100000"/>
    <n v="68250"/>
    <m/>
    <m/>
    <m/>
    <m/>
    <n v="0"/>
    <m/>
    <m/>
    <n v="0"/>
    <n v="100000"/>
    <n v="68250"/>
    <m/>
    <m/>
    <m/>
    <m/>
    <n v="0"/>
    <m/>
    <m/>
    <n v="0"/>
    <m/>
    <m/>
    <m/>
    <m/>
    <n v="100000"/>
    <n v="68250"/>
  </r>
  <r>
    <x v="0"/>
    <x v="4"/>
    <s v="Non-credit continuing education"/>
    <n v="100858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4"/>
    <s v="Teacher In-service Center"/>
    <n v="100858"/>
    <x v="0"/>
    <m/>
    <m/>
    <n v="330577"/>
    <n v="300825"/>
    <m/>
    <m/>
    <m/>
    <m/>
    <n v="0"/>
    <m/>
    <m/>
    <n v="0"/>
    <n v="330577"/>
    <n v="300825"/>
    <m/>
    <m/>
    <m/>
    <m/>
    <n v="0"/>
    <m/>
    <m/>
    <n v="0"/>
    <m/>
    <m/>
    <m/>
    <m/>
    <n v="330577"/>
    <n v="300825"/>
  </r>
  <r>
    <x v="0"/>
    <x v="5"/>
    <s v="Agricultural cooperative extension"/>
    <n v="100858"/>
    <x v="0"/>
    <m/>
    <m/>
    <n v="44607934"/>
    <n v="34896746"/>
    <m/>
    <m/>
    <m/>
    <m/>
    <n v="0"/>
    <m/>
    <m/>
    <n v="0"/>
    <n v="44607934"/>
    <n v="34896746"/>
    <m/>
    <m/>
    <m/>
    <m/>
    <n v="0"/>
    <m/>
    <m/>
    <n v="0"/>
    <m/>
    <m/>
    <m/>
    <m/>
    <n v="44607934"/>
    <n v="34896746"/>
  </r>
  <r>
    <x v="0"/>
    <x v="6"/>
    <s v="Agricultural experiment stations"/>
    <n v="100858"/>
    <x v="0"/>
    <m/>
    <m/>
    <n v="41192188"/>
    <n v="32482870"/>
    <m/>
    <m/>
    <m/>
    <m/>
    <n v="0"/>
    <m/>
    <m/>
    <n v="0"/>
    <n v="41192188"/>
    <n v="32482870"/>
    <m/>
    <m/>
    <m/>
    <m/>
    <n v="0"/>
    <m/>
    <m/>
    <n v="0"/>
    <m/>
    <m/>
    <m/>
    <m/>
    <n v="41192188"/>
    <n v="32482870"/>
  </r>
  <r>
    <x v="0"/>
    <x v="7"/>
    <s v="Research centers/institutes"/>
    <n v="100858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7"/>
    <s v="Fire Ant Eradication"/>
    <n v="100858"/>
    <x v="0"/>
    <m/>
    <m/>
    <n v="200000"/>
    <m/>
    <m/>
    <m/>
    <m/>
    <m/>
    <n v="0"/>
    <m/>
    <m/>
    <n v="0"/>
    <n v="200000"/>
    <n v="0"/>
    <m/>
    <m/>
    <m/>
    <m/>
    <n v="0"/>
    <m/>
    <m/>
    <n v="0"/>
    <m/>
    <m/>
    <m/>
    <m/>
    <n v="200000"/>
    <n v="0"/>
  </r>
  <r>
    <x v="0"/>
    <x v="0"/>
    <s v="University of Alabama "/>
    <n v="100751"/>
    <x v="0"/>
    <n v="188083482"/>
    <n v="150737674"/>
    <m/>
    <m/>
    <m/>
    <m/>
    <n v="235323219"/>
    <n v="3029139"/>
    <n v="238352358"/>
    <n v="233914008"/>
    <n v="3029139"/>
    <n v="236943147"/>
    <n v="423406701"/>
    <n v="384651682"/>
    <m/>
    <m/>
    <m/>
    <m/>
    <n v="0"/>
    <m/>
    <m/>
    <n v="0"/>
    <m/>
    <m/>
    <m/>
    <m/>
    <n v="423406701"/>
    <n v="384651682"/>
  </r>
  <r>
    <x v="0"/>
    <x v="1"/>
    <s v="Health Center"/>
    <n v="100751"/>
    <x v="0"/>
    <m/>
    <m/>
    <m/>
    <m/>
    <m/>
    <m/>
    <m/>
    <m/>
    <n v="0"/>
    <m/>
    <m/>
    <n v="0"/>
    <n v="0"/>
    <n v="0"/>
    <m/>
    <m/>
    <m/>
    <m/>
    <n v="0"/>
    <m/>
    <m/>
    <n v="0"/>
    <n v="10283891"/>
    <n v="8891625"/>
    <n v="895519"/>
    <n v="1128846"/>
    <n v="11179410"/>
    <n v="10020471"/>
  </r>
  <r>
    <x v="0"/>
    <x v="3"/>
    <s v="Community or public service units"/>
    <n v="10075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"/>
    <s v="Minority Technology Network"/>
    <n v="100751"/>
    <x v="0"/>
    <m/>
    <m/>
    <n v="700000"/>
    <m/>
    <m/>
    <m/>
    <m/>
    <m/>
    <n v="0"/>
    <m/>
    <m/>
    <n v="0"/>
    <n v="700000"/>
    <n v="0"/>
    <m/>
    <m/>
    <m/>
    <m/>
    <n v="0"/>
    <m/>
    <m/>
    <n v="0"/>
    <m/>
    <m/>
    <m/>
    <m/>
    <n v="700000"/>
    <n v="0"/>
  </r>
  <r>
    <x v="0"/>
    <x v="3"/>
    <s v="AL Center for Civic Life"/>
    <n v="100751"/>
    <x v="0"/>
    <m/>
    <m/>
    <n v="250000"/>
    <n v="227500"/>
    <m/>
    <m/>
    <m/>
    <m/>
    <n v="0"/>
    <m/>
    <m/>
    <n v="0"/>
    <n v="250000"/>
    <n v="227500"/>
    <m/>
    <m/>
    <m/>
    <m/>
    <n v="0"/>
    <m/>
    <m/>
    <n v="0"/>
    <m/>
    <m/>
    <m/>
    <m/>
    <n v="250000"/>
    <n v="227500"/>
  </r>
  <r>
    <x v="0"/>
    <x v="3"/>
    <s v="Special Outreach PGM"/>
    <n v="100751"/>
    <x v="0"/>
    <m/>
    <m/>
    <n v="100000"/>
    <n v="182000"/>
    <m/>
    <m/>
    <m/>
    <m/>
    <n v="0"/>
    <m/>
    <m/>
    <n v="0"/>
    <n v="100000"/>
    <n v="182000"/>
    <m/>
    <m/>
    <m/>
    <m/>
    <n v="0"/>
    <m/>
    <m/>
    <n v="0"/>
    <m/>
    <m/>
    <m/>
    <m/>
    <n v="100000"/>
    <n v="182000"/>
  </r>
  <r>
    <x v="0"/>
    <x v="4"/>
    <s v="Non-credit continuing education"/>
    <n v="10075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4"/>
    <s v="Teacher In-service Center"/>
    <n v="100751"/>
    <x v="0"/>
    <m/>
    <m/>
    <n v="301366"/>
    <n v="274243"/>
    <m/>
    <m/>
    <m/>
    <m/>
    <n v="0"/>
    <m/>
    <m/>
    <n v="0"/>
    <n v="301366"/>
    <n v="274243"/>
    <m/>
    <m/>
    <m/>
    <m/>
    <n v="0"/>
    <m/>
    <m/>
    <n v="0"/>
    <m/>
    <m/>
    <m/>
    <m/>
    <n v="301366"/>
    <n v="274243"/>
  </r>
  <r>
    <x v="0"/>
    <x v="0"/>
    <s v="University of Alabama at Birmingham"/>
    <n v="100663"/>
    <x v="0"/>
    <n v="74933015"/>
    <n v="49218103"/>
    <m/>
    <m/>
    <m/>
    <m/>
    <n v="56202932"/>
    <m/>
    <n v="56202932"/>
    <n v="61016302"/>
    <m/>
    <n v="61016302"/>
    <n v="131135947"/>
    <n v="110234405"/>
    <m/>
    <m/>
    <m/>
    <m/>
    <n v="0"/>
    <m/>
    <m/>
    <n v="0"/>
    <m/>
    <m/>
    <m/>
    <m/>
    <n v="131135947"/>
    <n v="110234405"/>
  </r>
  <r>
    <x v="0"/>
    <x v="1"/>
    <s v="Health Professions Education"/>
    <n v="100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1"/>
    <s v="Medical Center"/>
    <n v="100663"/>
    <x v="0"/>
    <m/>
    <m/>
    <m/>
    <m/>
    <m/>
    <m/>
    <m/>
    <m/>
    <n v="0"/>
    <m/>
    <m/>
    <n v="0"/>
    <n v="0"/>
    <n v="0"/>
    <m/>
    <m/>
    <m/>
    <m/>
    <n v="0"/>
    <m/>
    <m/>
    <n v="0"/>
    <n v="278072358"/>
    <n v="236845564"/>
    <n v="43321813"/>
    <n v="47918698"/>
    <n v="321394171"/>
    <n v="284764262"/>
  </r>
  <r>
    <x v="0"/>
    <x v="1"/>
    <s v="Chauncey-Sparks Mental Health Center"/>
    <n v="100663"/>
    <x v="0"/>
    <m/>
    <m/>
    <m/>
    <m/>
    <m/>
    <m/>
    <m/>
    <m/>
    <n v="0"/>
    <m/>
    <m/>
    <n v="0"/>
    <n v="0"/>
    <n v="0"/>
    <m/>
    <m/>
    <m/>
    <m/>
    <n v="0"/>
    <m/>
    <m/>
    <n v="0"/>
    <n v="4132177"/>
    <n v="3911813"/>
    <m/>
    <m/>
    <n v="4132177"/>
    <n v="3911813"/>
  </r>
  <r>
    <x v="0"/>
    <x v="1"/>
    <s v="James Cystic Fibrosis Ctr"/>
    <n v="100663"/>
    <x v="0"/>
    <m/>
    <m/>
    <m/>
    <m/>
    <m/>
    <m/>
    <m/>
    <m/>
    <n v="0"/>
    <m/>
    <m/>
    <n v="0"/>
    <n v="0"/>
    <n v="0"/>
    <m/>
    <m/>
    <m/>
    <m/>
    <n v="0"/>
    <m/>
    <m/>
    <n v="0"/>
    <n v="150000"/>
    <n v="136500"/>
    <m/>
    <m/>
    <n v="150000"/>
    <n v="136500"/>
  </r>
  <r>
    <x v="0"/>
    <x v="1"/>
    <s v="ADPE Transfer for EMS"/>
    <n v="100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1"/>
    <s v="Summer Hlth Career Enrichment Pgm"/>
    <n v="100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1"/>
    <s v="Dept of Emerg Med"/>
    <n v="100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"/>
    <s v="Community or public service units"/>
    <n v="100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"/>
    <s v="Minority Bus Training Econ Dev Pgm"/>
    <n v="100663"/>
    <x v="0"/>
    <m/>
    <m/>
    <n v="500000"/>
    <n v="455000"/>
    <m/>
    <m/>
    <m/>
    <m/>
    <n v="0"/>
    <m/>
    <m/>
    <n v="0"/>
    <n v="500000"/>
    <n v="455000"/>
    <m/>
    <m/>
    <m/>
    <m/>
    <n v="0"/>
    <m/>
    <m/>
    <n v="0"/>
    <m/>
    <m/>
    <m/>
    <m/>
    <n v="500000"/>
    <n v="455000"/>
  </r>
  <r>
    <x v="0"/>
    <x v="3"/>
    <s v="High School Athletic Training Pgm"/>
    <n v="100663"/>
    <x v="0"/>
    <m/>
    <m/>
    <n v="250000"/>
    <n v="159250"/>
    <m/>
    <m/>
    <m/>
    <m/>
    <n v="0"/>
    <m/>
    <m/>
    <n v="0"/>
    <n v="250000"/>
    <n v="159250"/>
    <m/>
    <m/>
    <m/>
    <m/>
    <n v="0"/>
    <m/>
    <m/>
    <n v="0"/>
    <m/>
    <m/>
    <m/>
    <m/>
    <n v="250000"/>
    <n v="159250"/>
  </r>
  <r>
    <x v="0"/>
    <x v="3"/>
    <s v="Center for Labor Ed &amp; Res"/>
    <n v="100663"/>
    <x v="0"/>
    <m/>
    <m/>
    <m/>
    <n v="575120"/>
    <m/>
    <m/>
    <m/>
    <m/>
    <n v="0"/>
    <m/>
    <m/>
    <n v="0"/>
    <n v="0"/>
    <n v="575120"/>
    <m/>
    <m/>
    <m/>
    <m/>
    <n v="0"/>
    <m/>
    <m/>
    <n v="0"/>
    <m/>
    <m/>
    <m/>
    <m/>
    <n v="0"/>
    <n v="575120"/>
  </r>
  <r>
    <x v="0"/>
    <x v="4"/>
    <s v="Non-credit continuing education"/>
    <n v="100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4"/>
    <s v="Teacher In-service Center"/>
    <n v="100663"/>
    <x v="0"/>
    <m/>
    <m/>
    <n v="417142"/>
    <n v="379599"/>
    <m/>
    <m/>
    <m/>
    <m/>
    <n v="0"/>
    <m/>
    <m/>
    <n v="0"/>
    <n v="417142"/>
    <n v="379599"/>
    <m/>
    <m/>
    <m/>
    <m/>
    <n v="0"/>
    <m/>
    <m/>
    <n v="0"/>
    <m/>
    <m/>
    <m/>
    <m/>
    <n v="417142"/>
    <n v="379599"/>
  </r>
  <r>
    <x v="0"/>
    <x v="0"/>
    <s v="University of Alabama in Huntsville"/>
    <n v="100706"/>
    <x v="1"/>
    <n v="58100801"/>
    <n v="46892043"/>
    <m/>
    <m/>
    <m/>
    <m/>
    <n v="41856861"/>
    <m/>
    <n v="41856861"/>
    <n v="44909000"/>
    <m/>
    <n v="44909000"/>
    <n v="99957662"/>
    <n v="91801043"/>
    <m/>
    <m/>
    <m/>
    <m/>
    <n v="0"/>
    <m/>
    <m/>
    <n v="0"/>
    <m/>
    <m/>
    <m/>
    <m/>
    <n v="99957662"/>
    <n v="91801043"/>
  </r>
  <r>
    <x v="0"/>
    <x v="0"/>
    <s v="Alabama Agricultural &amp; Mechanical University"/>
    <n v="100654"/>
    <x v="2"/>
    <n v="43922103"/>
    <n v="35483290"/>
    <m/>
    <m/>
    <m/>
    <m/>
    <n v="35242885"/>
    <n v="659445"/>
    <n v="35902330"/>
    <n v="34989405"/>
    <n v="634440"/>
    <n v="35623845"/>
    <n v="79164988"/>
    <n v="70472695"/>
    <m/>
    <m/>
    <m/>
    <m/>
    <n v="0"/>
    <m/>
    <m/>
    <n v="0"/>
    <m/>
    <m/>
    <m/>
    <m/>
    <n v="79164988"/>
    <n v="70472695"/>
  </r>
  <r>
    <x v="0"/>
    <x v="3"/>
    <s v="Community or public service units"/>
    <n v="100654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"/>
    <s v="Black Archives Museum"/>
    <n v="100654"/>
    <x v="2"/>
    <m/>
    <m/>
    <n v="100000"/>
    <n v="45500"/>
    <m/>
    <m/>
    <m/>
    <m/>
    <n v="0"/>
    <m/>
    <m/>
    <n v="0"/>
    <n v="100000"/>
    <n v="45500"/>
    <m/>
    <m/>
    <m/>
    <m/>
    <n v="0"/>
    <m/>
    <m/>
    <n v="0"/>
    <m/>
    <m/>
    <m/>
    <m/>
    <n v="100000"/>
    <n v="45500"/>
  </r>
  <r>
    <x v="0"/>
    <x v="4"/>
    <s v="Non-credit continuing education"/>
    <n v="100654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4"/>
    <s v="Teacher In-service Center"/>
    <n v="100654"/>
    <x v="2"/>
    <m/>
    <m/>
    <n v="380185"/>
    <n v="345968"/>
    <m/>
    <m/>
    <m/>
    <m/>
    <n v="0"/>
    <m/>
    <m/>
    <n v="0"/>
    <n v="380185"/>
    <n v="345968"/>
    <m/>
    <m/>
    <m/>
    <m/>
    <n v="0"/>
    <m/>
    <m/>
    <n v="0"/>
    <m/>
    <m/>
    <m/>
    <m/>
    <n v="380185"/>
    <n v="345968"/>
  </r>
  <r>
    <x v="0"/>
    <x v="5"/>
    <s v="Agricultural "/>
    <n v="100654"/>
    <x v="2"/>
    <m/>
    <m/>
    <n v="5714832"/>
    <n v="5206631"/>
    <m/>
    <m/>
    <m/>
    <m/>
    <n v="0"/>
    <m/>
    <m/>
    <n v="0"/>
    <n v="5714832"/>
    <n v="5206631"/>
    <m/>
    <m/>
    <m/>
    <m/>
    <n v="0"/>
    <m/>
    <m/>
    <n v="0"/>
    <m/>
    <m/>
    <m/>
    <m/>
    <n v="5714832"/>
    <n v="5206631"/>
  </r>
  <r>
    <x v="0"/>
    <x v="5"/>
    <s v="AL Agricultural LG Alliance"/>
    <n v="100654"/>
    <x v="2"/>
    <m/>
    <m/>
    <n v="2500000"/>
    <n v="2275000"/>
    <m/>
    <m/>
    <m/>
    <m/>
    <n v="0"/>
    <m/>
    <m/>
    <n v="0"/>
    <n v="2500000"/>
    <n v="2275000"/>
    <m/>
    <m/>
    <m/>
    <m/>
    <n v="0"/>
    <m/>
    <m/>
    <n v="0"/>
    <m/>
    <m/>
    <m/>
    <m/>
    <n v="2500000"/>
    <n v="2275000"/>
  </r>
  <r>
    <x v="0"/>
    <x v="0"/>
    <s v="Jacksonville State University "/>
    <n v="101480"/>
    <x v="2"/>
    <n v="47046100"/>
    <n v="38528672"/>
    <m/>
    <m/>
    <m/>
    <m/>
    <n v="38729751"/>
    <n v="2583267"/>
    <n v="41313018"/>
    <n v="42798038"/>
    <n v="2586667"/>
    <n v="45384705"/>
    <n v="85775851"/>
    <n v="81326710"/>
    <m/>
    <m/>
    <m/>
    <m/>
    <n v="0"/>
    <m/>
    <m/>
    <n v="0"/>
    <m/>
    <m/>
    <m/>
    <m/>
    <n v="85775851"/>
    <n v="81326710"/>
  </r>
  <r>
    <x v="0"/>
    <x v="3"/>
    <s v="Community or public service units"/>
    <n v="101480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"/>
    <s v="AL Small Business Institute of Commerce"/>
    <n v="101480"/>
    <x v="2"/>
    <m/>
    <m/>
    <n v="1700000"/>
    <n v="1365000"/>
    <m/>
    <m/>
    <m/>
    <m/>
    <n v="0"/>
    <m/>
    <m/>
    <n v="0"/>
    <n v="1700000"/>
    <n v="1365000"/>
    <m/>
    <m/>
    <m/>
    <m/>
    <n v="0"/>
    <m/>
    <m/>
    <n v="0"/>
    <m/>
    <m/>
    <m/>
    <m/>
    <n v="1700000"/>
    <n v="1365000"/>
  </r>
  <r>
    <x v="0"/>
    <x v="3"/>
    <s v="AL Writing Project"/>
    <n v="101480"/>
    <x v="2"/>
    <m/>
    <m/>
    <n v="60000"/>
    <m/>
    <m/>
    <m/>
    <m/>
    <m/>
    <n v="0"/>
    <m/>
    <m/>
    <n v="0"/>
    <n v="60000"/>
    <n v="0"/>
    <m/>
    <m/>
    <m/>
    <m/>
    <n v="0"/>
    <m/>
    <m/>
    <n v="0"/>
    <m/>
    <m/>
    <m/>
    <m/>
    <n v="60000"/>
    <n v="0"/>
  </r>
  <r>
    <x v="0"/>
    <x v="3"/>
    <s v="Wellness Intiaitive"/>
    <n v="101480"/>
    <x v="2"/>
    <m/>
    <m/>
    <n v="500000"/>
    <n v="227500"/>
    <m/>
    <m/>
    <m/>
    <m/>
    <n v="0"/>
    <m/>
    <m/>
    <n v="0"/>
    <n v="500000"/>
    <n v="227500"/>
    <m/>
    <m/>
    <m/>
    <m/>
    <n v="0"/>
    <m/>
    <m/>
    <n v="0"/>
    <m/>
    <m/>
    <m/>
    <m/>
    <n v="500000"/>
    <n v="227500"/>
  </r>
  <r>
    <x v="0"/>
    <x v="3"/>
    <s v="Little River Canyon Field School"/>
    <n v="101480"/>
    <x v="2"/>
    <m/>
    <m/>
    <m/>
    <n v="227500"/>
    <m/>
    <m/>
    <m/>
    <m/>
    <n v="0"/>
    <m/>
    <m/>
    <n v="0"/>
    <n v="0"/>
    <n v="227500"/>
    <m/>
    <m/>
    <m/>
    <m/>
    <n v="0"/>
    <m/>
    <m/>
    <n v="0"/>
    <m/>
    <m/>
    <m/>
    <m/>
    <n v="0"/>
    <n v="227500"/>
  </r>
  <r>
    <x v="0"/>
    <x v="4"/>
    <s v="Non-credit continuing education"/>
    <n v="101480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4"/>
    <s v="Teacher In-service Center"/>
    <n v="101480"/>
    <x v="2"/>
    <m/>
    <m/>
    <n v="323731"/>
    <n v="294595"/>
    <m/>
    <m/>
    <m/>
    <m/>
    <n v="0"/>
    <m/>
    <m/>
    <n v="0"/>
    <n v="323731"/>
    <n v="294595"/>
    <m/>
    <m/>
    <m/>
    <m/>
    <n v="0"/>
    <m/>
    <m/>
    <n v="0"/>
    <m/>
    <m/>
    <m/>
    <m/>
    <n v="323731"/>
    <n v="294595"/>
  </r>
  <r>
    <x v="0"/>
    <x v="0"/>
    <s v="University of South Alabama"/>
    <n v="102094"/>
    <x v="2"/>
    <n v="53778251"/>
    <n v="36653965"/>
    <m/>
    <m/>
    <m/>
    <m/>
    <n v="40190932"/>
    <n v="5294136"/>
    <n v="45485068"/>
    <n v="44339001"/>
    <n v="5840539"/>
    <n v="50179540"/>
    <n v="93969183"/>
    <n v="80992966"/>
    <m/>
    <m/>
    <m/>
    <m/>
    <n v="0"/>
    <m/>
    <m/>
    <n v="0"/>
    <m/>
    <m/>
    <m/>
    <m/>
    <n v="93969183"/>
    <n v="80992966"/>
  </r>
  <r>
    <x v="0"/>
    <x v="1"/>
    <s v="Health Professions Education"/>
    <n v="102094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1"/>
    <s v="Medical Center"/>
    <n v="102094"/>
    <x v="2"/>
    <m/>
    <m/>
    <m/>
    <m/>
    <m/>
    <m/>
    <m/>
    <m/>
    <n v="0"/>
    <m/>
    <m/>
    <n v="0"/>
    <n v="0"/>
    <n v="0"/>
    <m/>
    <m/>
    <m/>
    <m/>
    <n v="0"/>
    <m/>
    <m/>
    <n v="0"/>
    <n v="85958678"/>
    <n v="74234061"/>
    <n v="21561898"/>
    <n v="23787283"/>
    <n v="107520576"/>
    <n v="98021344"/>
  </r>
  <r>
    <x v="0"/>
    <x v="1"/>
    <s v="Ctr for Strategic Hlth Innovations"/>
    <n v="102094"/>
    <x v="2"/>
    <m/>
    <m/>
    <m/>
    <m/>
    <m/>
    <m/>
    <m/>
    <m/>
    <n v="0"/>
    <m/>
    <m/>
    <n v="0"/>
    <n v="0"/>
    <n v="0"/>
    <m/>
    <m/>
    <m/>
    <m/>
    <n v="0"/>
    <m/>
    <m/>
    <n v="0"/>
    <n v="0"/>
    <m/>
    <m/>
    <m/>
    <n v="0"/>
    <n v="0"/>
  </r>
  <r>
    <x v="0"/>
    <x v="1"/>
    <s v="Cancer Res Institute"/>
    <n v="102094"/>
    <x v="2"/>
    <m/>
    <m/>
    <m/>
    <m/>
    <m/>
    <m/>
    <m/>
    <m/>
    <n v="0"/>
    <m/>
    <m/>
    <n v="0"/>
    <n v="0"/>
    <n v="0"/>
    <m/>
    <m/>
    <m/>
    <m/>
    <n v="0"/>
    <m/>
    <m/>
    <n v="0"/>
    <n v="0"/>
    <m/>
    <m/>
    <m/>
    <n v="0"/>
    <n v="0"/>
  </r>
  <r>
    <x v="0"/>
    <x v="4"/>
    <s v="Non-credit continuing education"/>
    <n v="102094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4"/>
    <s v="Teacher In-service Center"/>
    <n v="102094"/>
    <x v="2"/>
    <m/>
    <m/>
    <n v="447378"/>
    <n v="407114"/>
    <m/>
    <m/>
    <m/>
    <m/>
    <n v="0"/>
    <m/>
    <m/>
    <n v="0"/>
    <n v="447378"/>
    <n v="407114"/>
    <m/>
    <m/>
    <m/>
    <m/>
    <n v="0"/>
    <m/>
    <m/>
    <n v="0"/>
    <m/>
    <m/>
    <m/>
    <m/>
    <n v="447378"/>
    <n v="407114"/>
  </r>
  <r>
    <x v="0"/>
    <x v="0"/>
    <s v="Troy University"/>
    <n v="102368"/>
    <x v="2"/>
    <n v="62357971"/>
    <n v="50091321"/>
    <m/>
    <m/>
    <m/>
    <m/>
    <n v="51708120"/>
    <n v="5248000"/>
    <n v="56956120"/>
    <n v="60775612"/>
    <n v="5080000"/>
    <n v="65855612"/>
    <n v="114066091"/>
    <n v="110866933"/>
    <m/>
    <m/>
    <m/>
    <m/>
    <n v="0"/>
    <m/>
    <m/>
    <n v="0"/>
    <m/>
    <m/>
    <m/>
    <m/>
    <n v="114066091"/>
    <n v="110866933"/>
  </r>
  <r>
    <x v="0"/>
    <x v="3"/>
    <s v="Community or public service units"/>
    <n v="102368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"/>
    <s v="Ctr for International Bus &amp; Econ Development"/>
    <n v="102368"/>
    <x v="2"/>
    <m/>
    <m/>
    <n v="100000"/>
    <n v="45500"/>
    <m/>
    <m/>
    <m/>
    <m/>
    <n v="0"/>
    <m/>
    <m/>
    <n v="0"/>
    <n v="100000"/>
    <n v="45500"/>
    <m/>
    <m/>
    <m/>
    <m/>
    <n v="0"/>
    <m/>
    <m/>
    <n v="0"/>
    <m/>
    <m/>
    <m/>
    <m/>
    <n v="100000"/>
    <n v="45500"/>
  </r>
  <r>
    <x v="0"/>
    <x v="4"/>
    <s v="Non-credit continuing education"/>
    <n v="102368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4"/>
    <s v="Teacher In-service Center"/>
    <n v="102368"/>
    <x v="2"/>
    <m/>
    <m/>
    <n v="343881"/>
    <n v="312932"/>
    <m/>
    <m/>
    <m/>
    <m/>
    <n v="0"/>
    <m/>
    <m/>
    <n v="0"/>
    <n v="343881"/>
    <n v="312932"/>
    <m/>
    <m/>
    <m/>
    <m/>
    <n v="0"/>
    <m/>
    <m/>
    <n v="0"/>
    <m/>
    <m/>
    <m/>
    <m/>
    <n v="343881"/>
    <n v="312932"/>
  </r>
  <r>
    <x v="0"/>
    <x v="0"/>
    <s v="Alabama State University "/>
    <n v="100724"/>
    <x v="3"/>
    <n v="46274176"/>
    <n v="41815161"/>
    <m/>
    <m/>
    <m/>
    <m/>
    <n v="28984759"/>
    <n v="6450724"/>
    <n v="35435483"/>
    <n v="30160266"/>
    <n v="8167770"/>
    <n v="38328036"/>
    <n v="75258935"/>
    <n v="71975427"/>
    <m/>
    <m/>
    <m/>
    <m/>
    <n v="0"/>
    <m/>
    <m/>
    <n v="0"/>
    <m/>
    <m/>
    <m/>
    <m/>
    <n v="75258935"/>
    <n v="71975427"/>
  </r>
  <r>
    <x v="0"/>
    <x v="3"/>
    <s v="Community or public service units"/>
    <n v="100724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"/>
    <s v="Cooperative Efforts to Enhance Community Ed Institute"/>
    <n v="100724"/>
    <x v="3"/>
    <m/>
    <m/>
    <n v="1150000"/>
    <n v="1046500"/>
    <m/>
    <m/>
    <m/>
    <m/>
    <n v="0"/>
    <m/>
    <m/>
    <n v="0"/>
    <n v="1150000"/>
    <n v="1046500"/>
    <m/>
    <m/>
    <m/>
    <m/>
    <n v="0"/>
    <m/>
    <m/>
    <n v="0"/>
    <m/>
    <m/>
    <m/>
    <m/>
    <n v="1150000"/>
    <n v="1046500"/>
  </r>
  <r>
    <x v="0"/>
    <x v="3"/>
    <s v="Minority Technology Network"/>
    <n v="100724"/>
    <x v="3"/>
    <m/>
    <m/>
    <m/>
    <n v="455000"/>
    <m/>
    <m/>
    <m/>
    <m/>
    <n v="0"/>
    <m/>
    <m/>
    <n v="0"/>
    <n v="0"/>
    <n v="455000"/>
    <m/>
    <m/>
    <m/>
    <m/>
    <n v="0"/>
    <m/>
    <m/>
    <n v="0"/>
    <m/>
    <m/>
    <m/>
    <m/>
    <n v="0"/>
    <n v="455000"/>
  </r>
  <r>
    <x v="0"/>
    <x v="4"/>
    <s v="Non-credit continuing education"/>
    <n v="100724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4"/>
    <s v="Teacher In-service Center"/>
    <n v="100724"/>
    <x v="3"/>
    <m/>
    <m/>
    <n v="327636"/>
    <n v="298149"/>
    <m/>
    <m/>
    <m/>
    <m/>
    <n v="0"/>
    <m/>
    <m/>
    <n v="0"/>
    <n v="327636"/>
    <n v="298149"/>
    <m/>
    <m/>
    <m/>
    <m/>
    <n v="0"/>
    <m/>
    <m/>
    <n v="0"/>
    <m/>
    <m/>
    <m/>
    <m/>
    <n v="327636"/>
    <n v="298149"/>
  </r>
  <r>
    <x v="0"/>
    <x v="4"/>
    <s v="Title VI Enhancement"/>
    <n v="100724"/>
    <x v="3"/>
    <m/>
    <m/>
    <n v="1842383"/>
    <m/>
    <m/>
    <m/>
    <m/>
    <m/>
    <n v="0"/>
    <m/>
    <m/>
    <n v="0"/>
    <n v="1842383"/>
    <n v="0"/>
    <m/>
    <m/>
    <m/>
    <m/>
    <n v="0"/>
    <m/>
    <m/>
    <n v="0"/>
    <m/>
    <m/>
    <m/>
    <m/>
    <n v="1842383"/>
    <n v="0"/>
  </r>
  <r>
    <x v="0"/>
    <x v="0"/>
    <s v="Auburn University at Montgomery"/>
    <n v="100830"/>
    <x v="3"/>
    <n v="30389193"/>
    <n v="24662937"/>
    <m/>
    <m/>
    <m/>
    <m/>
    <n v="22931141"/>
    <n v="147075"/>
    <n v="23078216"/>
    <n v="20947623"/>
    <n v="147075"/>
    <n v="21094698"/>
    <n v="53320334"/>
    <n v="45610560"/>
    <m/>
    <m/>
    <m/>
    <m/>
    <n v="0"/>
    <m/>
    <m/>
    <n v="0"/>
    <m/>
    <m/>
    <m/>
    <m/>
    <n v="53320334"/>
    <n v="45610560"/>
  </r>
  <r>
    <x v="0"/>
    <x v="3"/>
    <s v="Community or public service units"/>
    <n v="100830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"/>
    <s v="S.E.R.I.E.S. Pgm"/>
    <n v="100830"/>
    <x v="3"/>
    <m/>
    <m/>
    <n v="337500"/>
    <n v="298025"/>
    <m/>
    <m/>
    <m/>
    <m/>
    <n v="0"/>
    <m/>
    <m/>
    <n v="0"/>
    <n v="337500"/>
    <n v="298025"/>
    <m/>
    <m/>
    <m/>
    <m/>
    <n v="0"/>
    <m/>
    <m/>
    <n v="0"/>
    <m/>
    <m/>
    <m/>
    <m/>
    <n v="337500"/>
    <n v="298025"/>
  </r>
  <r>
    <x v="0"/>
    <x v="3"/>
    <s v="Implementation of SMART Budgeting"/>
    <n v="100830"/>
    <x v="3"/>
    <m/>
    <m/>
    <n v="150000"/>
    <n v="122850"/>
    <m/>
    <m/>
    <m/>
    <m/>
    <n v="0"/>
    <m/>
    <m/>
    <n v="0"/>
    <n v="150000"/>
    <n v="122850"/>
    <m/>
    <m/>
    <m/>
    <m/>
    <n v="0"/>
    <m/>
    <m/>
    <n v="0"/>
    <m/>
    <m/>
    <m/>
    <m/>
    <n v="150000"/>
    <n v="122850"/>
  </r>
  <r>
    <x v="0"/>
    <x v="3"/>
    <s v="GAAT/CPM Prm"/>
    <n v="100830"/>
    <x v="3"/>
    <m/>
    <m/>
    <n v="150000"/>
    <n v="122850"/>
    <m/>
    <m/>
    <m/>
    <m/>
    <n v="0"/>
    <m/>
    <m/>
    <n v="0"/>
    <n v="150000"/>
    <n v="122850"/>
    <m/>
    <m/>
    <m/>
    <m/>
    <n v="0"/>
    <m/>
    <m/>
    <n v="0"/>
    <m/>
    <m/>
    <m/>
    <m/>
    <n v="150000"/>
    <n v="122850"/>
  </r>
  <r>
    <x v="0"/>
    <x v="3"/>
    <s v="Judical College"/>
    <n v="100830"/>
    <x v="3"/>
    <m/>
    <m/>
    <m/>
    <n v="182000"/>
    <m/>
    <m/>
    <m/>
    <m/>
    <n v="0"/>
    <m/>
    <m/>
    <n v="0"/>
    <n v="0"/>
    <n v="182000"/>
    <m/>
    <m/>
    <m/>
    <m/>
    <n v="0"/>
    <m/>
    <m/>
    <n v="0"/>
    <m/>
    <m/>
    <m/>
    <m/>
    <n v="0"/>
    <n v="182000"/>
  </r>
  <r>
    <x v="0"/>
    <x v="0"/>
    <s v="University of North Alabama"/>
    <n v="101879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4"/>
    <s v="Non-credit continuing education"/>
    <n v="101879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4"/>
    <s v="Teacher In-service Center"/>
    <n v="101879"/>
    <x v="3"/>
    <m/>
    <m/>
    <n v="294564"/>
    <n v="268053"/>
    <m/>
    <m/>
    <m/>
    <m/>
    <n v="0"/>
    <m/>
    <m/>
    <n v="0"/>
    <n v="294564"/>
    <n v="268053"/>
    <m/>
    <m/>
    <m/>
    <m/>
    <n v="0"/>
    <m/>
    <m/>
    <n v="0"/>
    <m/>
    <m/>
    <m/>
    <m/>
    <n v="294564"/>
    <n v="268053"/>
  </r>
  <r>
    <x v="0"/>
    <x v="0"/>
    <s v="University of Montevallo"/>
    <n v="101709"/>
    <x v="4"/>
    <n v="24153548"/>
    <n v="19826649"/>
    <m/>
    <m/>
    <m/>
    <m/>
    <n v="17318236"/>
    <n v="378651"/>
    <n v="17696887"/>
    <n v="18489288"/>
    <m/>
    <n v="18489288"/>
    <n v="41471784"/>
    <n v="38315937"/>
    <m/>
    <m/>
    <m/>
    <m/>
    <n v="0"/>
    <m/>
    <m/>
    <n v="0"/>
    <m/>
    <m/>
    <m/>
    <m/>
    <n v="41471784"/>
    <n v="38315937"/>
  </r>
  <r>
    <x v="0"/>
    <x v="4"/>
    <s v="Non-credit continuing education"/>
    <n v="101709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4"/>
    <s v="Teacher In-service Center"/>
    <n v="101709"/>
    <x v="4"/>
    <m/>
    <m/>
    <n v="340224"/>
    <n v="309604"/>
    <m/>
    <m/>
    <m/>
    <m/>
    <n v="0"/>
    <m/>
    <m/>
    <n v="0"/>
    <n v="340224"/>
    <n v="309604"/>
    <m/>
    <m/>
    <m/>
    <m/>
    <n v="0"/>
    <m/>
    <m/>
    <n v="0"/>
    <m/>
    <m/>
    <m/>
    <m/>
    <n v="340224"/>
    <n v="309604"/>
  </r>
  <r>
    <x v="0"/>
    <x v="0"/>
    <s v="University of West Alabama"/>
    <n v="101587"/>
    <x v="4"/>
    <n v="15482698"/>
    <n v="12659444"/>
    <m/>
    <m/>
    <m/>
    <m/>
    <n v="8493358"/>
    <m/>
    <n v="8493358"/>
    <n v="9229583"/>
    <m/>
    <n v="9229583"/>
    <n v="23976056"/>
    <n v="21889027"/>
    <m/>
    <m/>
    <m/>
    <m/>
    <n v="0"/>
    <m/>
    <m/>
    <n v="0"/>
    <m/>
    <m/>
    <m/>
    <m/>
    <n v="23976056"/>
    <n v="21889027"/>
  </r>
  <r>
    <x v="0"/>
    <x v="3"/>
    <s v="Community or public service units"/>
    <n v="101587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"/>
    <s v="Medical Schools without Walls"/>
    <n v="101587"/>
    <x v="4"/>
    <m/>
    <m/>
    <n v="876000"/>
    <n v="586950"/>
    <m/>
    <m/>
    <m/>
    <m/>
    <n v="0"/>
    <m/>
    <m/>
    <n v="0"/>
    <n v="876000"/>
    <n v="586950"/>
    <m/>
    <m/>
    <m/>
    <m/>
    <n v="0"/>
    <m/>
    <m/>
    <n v="0"/>
    <m/>
    <m/>
    <m/>
    <m/>
    <n v="876000"/>
    <n v="586950"/>
  </r>
  <r>
    <x v="0"/>
    <x v="3"/>
    <s v="Econ &amp; Small Bus Devel Prm"/>
    <n v="101587"/>
    <x v="4"/>
    <m/>
    <m/>
    <n v="250000"/>
    <n v="227500"/>
    <m/>
    <m/>
    <m/>
    <m/>
    <n v="0"/>
    <m/>
    <m/>
    <n v="0"/>
    <n v="250000"/>
    <n v="227500"/>
    <m/>
    <m/>
    <m/>
    <m/>
    <n v="0"/>
    <m/>
    <m/>
    <n v="0"/>
    <m/>
    <m/>
    <m/>
    <m/>
    <n v="250000"/>
    <n v="227500"/>
  </r>
  <r>
    <x v="0"/>
    <x v="3"/>
    <s v="Regional Wellness &amp; Fitness Center"/>
    <n v="101587"/>
    <x v="4"/>
    <m/>
    <m/>
    <n v="150000"/>
    <n v="113750"/>
    <m/>
    <m/>
    <m/>
    <m/>
    <n v="0"/>
    <m/>
    <m/>
    <n v="0"/>
    <n v="150000"/>
    <n v="113750"/>
    <m/>
    <m/>
    <m/>
    <m/>
    <n v="0"/>
    <m/>
    <m/>
    <n v="0"/>
    <m/>
    <m/>
    <m/>
    <m/>
    <n v="150000"/>
    <n v="113750"/>
  </r>
  <r>
    <x v="0"/>
    <x v="3"/>
    <s v="Black Belt Treasures Initiative"/>
    <n v="101587"/>
    <x v="4"/>
    <m/>
    <m/>
    <n v="250000"/>
    <n v="204750"/>
    <m/>
    <m/>
    <m/>
    <m/>
    <n v="0"/>
    <m/>
    <m/>
    <n v="0"/>
    <n v="250000"/>
    <n v="204750"/>
    <m/>
    <m/>
    <m/>
    <m/>
    <n v="0"/>
    <m/>
    <m/>
    <n v="0"/>
    <m/>
    <m/>
    <m/>
    <m/>
    <n v="250000"/>
    <n v="204750"/>
  </r>
  <r>
    <x v="0"/>
    <x v="3"/>
    <s v="National Young Farmers Ed Assoc"/>
    <n v="101587"/>
    <x v="4"/>
    <m/>
    <m/>
    <n v="50000"/>
    <n v="40950"/>
    <m/>
    <m/>
    <m/>
    <m/>
    <n v="0"/>
    <m/>
    <m/>
    <n v="0"/>
    <n v="50000"/>
    <n v="40950"/>
    <m/>
    <m/>
    <m/>
    <m/>
    <n v="0"/>
    <m/>
    <m/>
    <n v="0"/>
    <m/>
    <m/>
    <m/>
    <m/>
    <n v="50000"/>
    <n v="40950"/>
  </r>
  <r>
    <x v="0"/>
    <x v="0"/>
    <s v="Athens State University"/>
    <n v="100812"/>
    <x v="5"/>
    <n v="15148593"/>
    <n v="12564590"/>
    <m/>
    <m/>
    <m/>
    <m/>
    <n v="10511177"/>
    <n v="1040000"/>
    <n v="11551177"/>
    <n v="10963799"/>
    <n v="1040000"/>
    <n v="12003799"/>
    <n v="25659770"/>
    <n v="23528389"/>
    <m/>
    <m/>
    <m/>
    <m/>
    <n v="0"/>
    <m/>
    <m/>
    <n v="0"/>
    <m/>
    <m/>
    <m/>
    <m/>
    <n v="25659770"/>
    <n v="23528389"/>
  </r>
  <r>
    <x v="0"/>
    <x v="4"/>
    <s v="Non-credit continuing education"/>
    <n v="100812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4"/>
    <s v="Teacher In-service Center"/>
    <n v="100812"/>
    <x v="5"/>
    <m/>
    <m/>
    <n v="317602"/>
    <n v="289018"/>
    <m/>
    <m/>
    <m/>
    <m/>
    <n v="0"/>
    <m/>
    <m/>
    <n v="0"/>
    <n v="317602"/>
    <n v="289018"/>
    <m/>
    <m/>
    <m/>
    <m/>
    <n v="0"/>
    <m/>
    <m/>
    <n v="0"/>
    <m/>
    <m/>
    <m/>
    <m/>
    <n v="317602"/>
    <n v="289018"/>
  </r>
  <r>
    <x v="0"/>
    <x v="0"/>
    <s v="John C. Calhoun State Community College "/>
    <n v="101514"/>
    <x v="6"/>
    <n v="26575740"/>
    <n v="23069701.199999999"/>
    <m/>
    <m/>
    <m/>
    <m/>
    <n v="17050409.129999999"/>
    <n v="2926580.5"/>
    <n v="19976989.629999999"/>
    <n v="15148797"/>
    <n v="2925313"/>
    <n v="18074110"/>
    <n v="43626149.129999995"/>
    <n v="38218498.200000003"/>
    <m/>
    <m/>
    <m/>
    <m/>
    <n v="0"/>
    <m/>
    <m/>
    <n v="0"/>
    <m/>
    <m/>
    <m/>
    <m/>
    <n v="43626149.129999995"/>
    <n v="38218498.200000003"/>
  </r>
  <r>
    <x v="0"/>
    <x v="8"/>
    <s v="Special line items for education operations"/>
    <n v="10151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1514"/>
    <x v="6"/>
    <m/>
    <m/>
    <n v="250000"/>
    <n v="50000"/>
    <m/>
    <m/>
    <m/>
    <m/>
    <n v="0"/>
    <m/>
    <m/>
    <n v="0"/>
    <n v="250000"/>
    <n v="50000"/>
    <m/>
    <m/>
    <m/>
    <m/>
    <n v="0"/>
    <m/>
    <m/>
    <n v="0"/>
    <m/>
    <m/>
    <m/>
    <m/>
    <n v="250000"/>
    <n v="50000"/>
  </r>
  <r>
    <x v="0"/>
    <x v="0"/>
    <s v="Jefferson State Community College"/>
    <n v="101505"/>
    <x v="6"/>
    <n v="25703936"/>
    <n v="22298120.390000001"/>
    <m/>
    <m/>
    <n v="0"/>
    <n v="51650"/>
    <n v="14232099.550000001"/>
    <n v="4069701.95"/>
    <n v="18301801.5"/>
    <n v="13496368"/>
    <n v="4809002"/>
    <n v="18305370"/>
    <n v="39936035.549999997"/>
    <n v="35846138.390000001"/>
    <m/>
    <m/>
    <m/>
    <m/>
    <n v="0"/>
    <m/>
    <m/>
    <n v="0"/>
    <m/>
    <m/>
    <m/>
    <m/>
    <n v="39936035.549999997"/>
    <n v="35846138.390000001"/>
  </r>
  <r>
    <x v="0"/>
    <x v="8"/>
    <s v="Special Population Training"/>
    <n v="101505"/>
    <x v="6"/>
    <m/>
    <m/>
    <n v="50000"/>
    <n v="35000"/>
    <m/>
    <m/>
    <m/>
    <m/>
    <n v="0"/>
    <m/>
    <m/>
    <n v="0"/>
    <n v="50000"/>
    <n v="35000"/>
    <m/>
    <m/>
    <m/>
    <m/>
    <n v="0"/>
    <m/>
    <m/>
    <n v="0"/>
    <m/>
    <m/>
    <m/>
    <m/>
    <n v="50000"/>
    <n v="35000"/>
  </r>
  <r>
    <x v="0"/>
    <x v="3"/>
    <s v="Community or public service units"/>
    <n v="101505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"/>
    <s v="Risk Watch Program"/>
    <n v="101505"/>
    <x v="6"/>
    <m/>
    <m/>
    <m/>
    <n v="182000"/>
    <m/>
    <m/>
    <m/>
    <m/>
    <n v="0"/>
    <m/>
    <m/>
    <n v="0"/>
    <n v="0"/>
    <n v="182000"/>
    <m/>
    <m/>
    <m/>
    <m/>
    <n v="0"/>
    <m/>
    <m/>
    <n v="0"/>
    <m/>
    <m/>
    <m/>
    <m/>
    <n v="0"/>
    <n v="182000"/>
  </r>
  <r>
    <x v="0"/>
    <x v="0"/>
    <s v="Bevill State Community College"/>
    <n v="102429"/>
    <x v="7"/>
    <n v="21625789"/>
    <n v="18743569.390000001"/>
    <m/>
    <m/>
    <m/>
    <m/>
    <n v="7508212.1600000001"/>
    <n v="1950762.67"/>
    <n v="9458974.8300000001"/>
    <n v="7157000"/>
    <n v="1997000"/>
    <n v="9154000"/>
    <n v="29134001.16"/>
    <n v="25900569.390000001"/>
    <m/>
    <m/>
    <m/>
    <m/>
    <n v="0"/>
    <m/>
    <m/>
    <n v="0"/>
    <m/>
    <m/>
    <m/>
    <m/>
    <n v="29134001.16"/>
    <n v="25900569.390000001"/>
  </r>
  <r>
    <x v="0"/>
    <x v="8"/>
    <s v="Special line items for education operations"/>
    <n v="10242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2429"/>
    <x v="7"/>
    <m/>
    <m/>
    <n v="100000"/>
    <n v="115000"/>
    <m/>
    <m/>
    <m/>
    <m/>
    <n v="0"/>
    <m/>
    <m/>
    <n v="0"/>
    <n v="100000"/>
    <n v="115000"/>
    <m/>
    <m/>
    <m/>
    <m/>
    <n v="0"/>
    <m/>
    <m/>
    <n v="0"/>
    <m/>
    <m/>
    <m/>
    <m/>
    <n v="100000"/>
    <n v="115000"/>
  </r>
  <r>
    <x v="0"/>
    <x v="0"/>
    <s v="Bishop State Community College"/>
    <n v="102030"/>
    <x v="7"/>
    <n v="19401077"/>
    <n v="16818377.940000001"/>
    <m/>
    <m/>
    <n v="159700.32999999999"/>
    <n v="160000"/>
    <n v="4816685.17"/>
    <n v="798105.36"/>
    <n v="5614790.5300000003"/>
    <n v="4910714"/>
    <n v="752065"/>
    <n v="5662779"/>
    <n v="24377462.5"/>
    <n v="21889091.940000001"/>
    <m/>
    <m/>
    <m/>
    <m/>
    <n v="0"/>
    <m/>
    <m/>
    <n v="0"/>
    <m/>
    <m/>
    <m/>
    <m/>
    <n v="24377462.5"/>
    <n v="21889091.940000001"/>
  </r>
  <r>
    <x v="0"/>
    <x v="8"/>
    <s v="Special line items for education operations"/>
    <n v="10203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2030"/>
    <x v="7"/>
    <m/>
    <m/>
    <n v="50000"/>
    <n v="50000"/>
    <m/>
    <m/>
    <m/>
    <m/>
    <n v="0"/>
    <m/>
    <m/>
    <n v="0"/>
    <n v="50000"/>
    <n v="50000"/>
    <m/>
    <m/>
    <m/>
    <m/>
    <n v="0"/>
    <m/>
    <m/>
    <n v="0"/>
    <m/>
    <m/>
    <m/>
    <m/>
    <n v="50000"/>
    <n v="50000"/>
  </r>
  <r>
    <x v="0"/>
    <x v="0"/>
    <s v="Gadsden State Community College"/>
    <n v="101240"/>
    <x v="7"/>
    <n v="30566264"/>
    <n v="26533992.030000001"/>
    <m/>
    <m/>
    <n v="746530.43"/>
    <n v="700000"/>
    <n v="10689440.75"/>
    <n v="2571948.19"/>
    <n v="13261388.939999999"/>
    <n v="10423239"/>
    <n v="2131951"/>
    <n v="12555190"/>
    <n v="42002235.18"/>
    <n v="37657231.030000001"/>
    <m/>
    <m/>
    <m/>
    <m/>
    <n v="0"/>
    <m/>
    <m/>
    <n v="0"/>
    <m/>
    <m/>
    <m/>
    <m/>
    <n v="42002235.18"/>
    <n v="37657231.030000001"/>
  </r>
  <r>
    <x v="0"/>
    <x v="8"/>
    <s v="Special line items for education operations"/>
    <n v="10124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1240"/>
    <x v="7"/>
    <m/>
    <m/>
    <n v="330000"/>
    <m/>
    <m/>
    <m/>
    <m/>
    <m/>
    <n v="0"/>
    <m/>
    <m/>
    <n v="0"/>
    <n v="330000"/>
    <n v="0"/>
    <m/>
    <m/>
    <m/>
    <m/>
    <n v="0"/>
    <m/>
    <m/>
    <n v="0"/>
    <m/>
    <m/>
    <m/>
    <m/>
    <n v="330000"/>
    <n v="0"/>
  </r>
  <r>
    <x v="0"/>
    <x v="0"/>
    <s v="George C. Wallace Community College - Dothan"/>
    <n v="101286"/>
    <x v="7"/>
    <n v="20017209"/>
    <n v="17382351.350000001"/>
    <m/>
    <m/>
    <m/>
    <m/>
    <n v="7780161.8399999999"/>
    <n v="1071003.8400000001"/>
    <n v="8851165.6799999997"/>
    <n v="7539670"/>
    <n v="833069"/>
    <n v="8372739"/>
    <n v="27797370.84"/>
    <n v="24922021.350000001"/>
    <m/>
    <m/>
    <m/>
    <m/>
    <n v="0"/>
    <m/>
    <m/>
    <n v="0"/>
    <m/>
    <m/>
    <m/>
    <m/>
    <n v="27797370.84"/>
    <n v="24922021.350000001"/>
  </r>
  <r>
    <x v="0"/>
    <x v="8"/>
    <s v="Special line items for education operations"/>
    <n v="10128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1286"/>
    <x v="7"/>
    <m/>
    <m/>
    <n v="105000"/>
    <n v="50000"/>
    <m/>
    <m/>
    <m/>
    <m/>
    <n v="0"/>
    <m/>
    <m/>
    <n v="0"/>
    <n v="105000"/>
    <n v="50000"/>
    <m/>
    <m/>
    <m/>
    <m/>
    <n v="0"/>
    <m/>
    <m/>
    <n v="0"/>
    <m/>
    <m/>
    <m/>
    <m/>
    <n v="105000"/>
    <n v="50000"/>
  </r>
  <r>
    <x v="0"/>
    <x v="0"/>
    <s v="James H. Faulkner State Community College"/>
    <n v="101161"/>
    <x v="7"/>
    <n v="12677758"/>
    <n v="10980930.869999999"/>
    <m/>
    <m/>
    <n v="1216047.57"/>
    <n v="800000"/>
    <n v="6675019.2400000002"/>
    <n v="1301702.0900000001"/>
    <n v="7976721.3300000001"/>
    <n v="7236700"/>
    <n v="1320718"/>
    <n v="8557418"/>
    <n v="20568824.810000002"/>
    <n v="19017630.869999997"/>
    <m/>
    <m/>
    <m/>
    <m/>
    <n v="0"/>
    <m/>
    <m/>
    <n v="0"/>
    <m/>
    <m/>
    <m/>
    <m/>
    <n v="20568824.810000002"/>
    <n v="19017630.869999997"/>
  </r>
  <r>
    <x v="0"/>
    <x v="8"/>
    <s v="Special line items for education operations"/>
    <n v="101161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1161"/>
    <x v="7"/>
    <m/>
    <m/>
    <m/>
    <n v="50000"/>
    <m/>
    <m/>
    <m/>
    <m/>
    <n v="0"/>
    <m/>
    <m/>
    <n v="0"/>
    <n v="0"/>
    <n v="50000"/>
    <m/>
    <m/>
    <m/>
    <m/>
    <n v="0"/>
    <m/>
    <m/>
    <n v="0"/>
    <m/>
    <m/>
    <m/>
    <m/>
    <n v="0"/>
    <n v="50000"/>
  </r>
  <r>
    <x v="0"/>
    <x v="0"/>
    <s v="Lawson State Community College "/>
    <n v="101569"/>
    <x v="7"/>
    <n v="19606142"/>
    <n v="17016056.329999998"/>
    <m/>
    <m/>
    <n v="86083.5"/>
    <n v="96000"/>
    <n v="8042782.3200000003"/>
    <n v="1195894.33"/>
    <n v="9238676.6500000004"/>
    <n v="6898957"/>
    <n v="1181383"/>
    <n v="8080340"/>
    <n v="27735007.82"/>
    <n v="24011013.329999998"/>
    <m/>
    <m/>
    <m/>
    <m/>
    <n v="0"/>
    <m/>
    <m/>
    <n v="0"/>
    <m/>
    <m/>
    <m/>
    <m/>
    <n v="27735007.82"/>
    <n v="24011013.329999998"/>
  </r>
  <r>
    <x v="0"/>
    <x v="8"/>
    <s v="Special line items for education operations"/>
    <n v="10156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1569"/>
    <x v="7"/>
    <m/>
    <m/>
    <n v="50000"/>
    <n v="35000"/>
    <m/>
    <m/>
    <m/>
    <m/>
    <n v="0"/>
    <m/>
    <m/>
    <n v="0"/>
    <n v="50000"/>
    <n v="35000"/>
    <m/>
    <m/>
    <m/>
    <m/>
    <n v="0"/>
    <m/>
    <m/>
    <n v="0"/>
    <m/>
    <m/>
    <m/>
    <m/>
    <n v="50000"/>
    <n v="35000"/>
  </r>
  <r>
    <x v="0"/>
    <x v="0"/>
    <s v="Northwest-Shoals Community College "/>
    <n v="101736"/>
    <x v="7"/>
    <n v="14648582"/>
    <n v="12708735.130000001"/>
    <m/>
    <m/>
    <m/>
    <m/>
    <n v="7609493.8600000003"/>
    <n v="989543.55"/>
    <n v="8599037.4100000001"/>
    <n v="7217929"/>
    <n v="989863"/>
    <n v="8207792"/>
    <n v="22258075.859999999"/>
    <n v="19926664.130000003"/>
    <m/>
    <m/>
    <m/>
    <m/>
    <n v="0"/>
    <m/>
    <m/>
    <n v="0"/>
    <m/>
    <m/>
    <m/>
    <m/>
    <n v="22258075.859999999"/>
    <n v="19926664.130000003"/>
  </r>
  <r>
    <x v="0"/>
    <x v="8"/>
    <s v="Special line items for education operations"/>
    <n v="10173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1736"/>
    <x v="7"/>
    <m/>
    <m/>
    <n v="100000"/>
    <n v="115000"/>
    <m/>
    <m/>
    <m/>
    <m/>
    <n v="0"/>
    <m/>
    <m/>
    <n v="0"/>
    <n v="100000"/>
    <n v="115000"/>
    <m/>
    <m/>
    <m/>
    <m/>
    <n v="0"/>
    <m/>
    <m/>
    <n v="0"/>
    <m/>
    <m/>
    <m/>
    <m/>
    <n v="100000"/>
    <n v="115000"/>
  </r>
  <r>
    <x v="0"/>
    <x v="0"/>
    <s v="Shelton State Community College"/>
    <n v="102067"/>
    <x v="7"/>
    <n v="23280826"/>
    <n v="20139717.780000001"/>
    <m/>
    <m/>
    <m/>
    <m/>
    <n v="8606693.3300000001"/>
    <n v="3433143.75"/>
    <n v="12039837.08"/>
    <n v="9019832"/>
    <n v="2553968"/>
    <n v="11573800"/>
    <n v="31887519.329999998"/>
    <n v="29159549.780000001"/>
    <m/>
    <m/>
    <m/>
    <m/>
    <n v="0"/>
    <m/>
    <m/>
    <n v="0"/>
    <m/>
    <m/>
    <m/>
    <m/>
    <n v="31887519.329999998"/>
    <n v="29159549.780000001"/>
  </r>
  <r>
    <x v="0"/>
    <x v="3"/>
    <s v="Community or public service units"/>
    <n v="10206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"/>
    <s v="Fire College"/>
    <n v="102067"/>
    <x v="7"/>
    <m/>
    <m/>
    <n v="6294000"/>
    <n v="4101921"/>
    <m/>
    <m/>
    <m/>
    <m/>
    <n v="0"/>
    <m/>
    <m/>
    <n v="0"/>
    <n v="6294000"/>
    <n v="4101921"/>
    <m/>
    <m/>
    <m/>
    <m/>
    <n v="0"/>
    <m/>
    <m/>
    <n v="0"/>
    <m/>
    <m/>
    <m/>
    <m/>
    <n v="6294000"/>
    <n v="4101921"/>
  </r>
  <r>
    <x v="0"/>
    <x v="3"/>
    <s v="Poison Control Center"/>
    <n v="102067"/>
    <x v="7"/>
    <m/>
    <m/>
    <m/>
    <n v="1183000"/>
    <m/>
    <m/>
    <m/>
    <m/>
    <n v="0"/>
    <m/>
    <m/>
    <n v="0"/>
    <n v="0"/>
    <n v="1183000"/>
    <m/>
    <m/>
    <m/>
    <m/>
    <n v="0"/>
    <m/>
    <m/>
    <n v="0"/>
    <m/>
    <m/>
    <m/>
    <m/>
    <n v="0"/>
    <n v="1183000"/>
  </r>
  <r>
    <x v="0"/>
    <x v="8"/>
    <s v="Special line items for education operations"/>
    <n v="10206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2067"/>
    <x v="7"/>
    <m/>
    <m/>
    <n v="144180"/>
    <n v="115000"/>
    <m/>
    <m/>
    <m/>
    <m/>
    <n v="0"/>
    <m/>
    <m/>
    <n v="0"/>
    <n v="144180"/>
    <n v="115000"/>
    <m/>
    <m/>
    <m/>
    <m/>
    <n v="0"/>
    <m/>
    <m/>
    <n v="0"/>
    <m/>
    <m/>
    <m/>
    <m/>
    <n v="144180"/>
    <n v="115000"/>
  </r>
  <r>
    <x v="0"/>
    <x v="0"/>
    <s v="Southern Union State Community College"/>
    <n v="251260"/>
    <x v="7"/>
    <n v="17931154"/>
    <n v="15528838.779999999"/>
    <m/>
    <m/>
    <m/>
    <m/>
    <n v="10185569.810000001"/>
    <n v="2262520"/>
    <n v="12448089.810000001"/>
    <n v="9453800"/>
    <n v="2260520"/>
    <n v="11714320"/>
    <n v="28116723.810000002"/>
    <n v="24982638.780000001"/>
    <m/>
    <m/>
    <m/>
    <m/>
    <n v="0"/>
    <m/>
    <m/>
    <n v="0"/>
    <m/>
    <m/>
    <m/>
    <m/>
    <n v="28116723.810000002"/>
    <n v="24982638.780000001"/>
  </r>
  <r>
    <x v="0"/>
    <x v="8"/>
    <s v="Special line items for education operations"/>
    <n v="25126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251260"/>
    <x v="7"/>
    <m/>
    <m/>
    <n v="55000"/>
    <n v="25000"/>
    <m/>
    <m/>
    <m/>
    <m/>
    <n v="0"/>
    <m/>
    <m/>
    <n v="0"/>
    <n v="55000"/>
    <n v="25000"/>
    <m/>
    <m/>
    <m/>
    <m/>
    <n v="0"/>
    <m/>
    <m/>
    <n v="0"/>
    <m/>
    <m/>
    <m/>
    <m/>
    <n v="55000"/>
    <n v="25000"/>
  </r>
  <r>
    <x v="0"/>
    <x v="0"/>
    <s v="Wallace Community College - Hanceville"/>
    <n v="101295"/>
    <x v="7"/>
    <n v="19970073"/>
    <n v="17310582.379999999"/>
    <m/>
    <m/>
    <m/>
    <m/>
    <n v="12267553.41"/>
    <n v="781726.64"/>
    <n v="13049280.050000001"/>
    <n v="10651921"/>
    <n v="788001"/>
    <n v="11439922"/>
    <n v="32237626.41"/>
    <n v="27962503.379999999"/>
    <m/>
    <m/>
    <m/>
    <m/>
    <n v="0"/>
    <m/>
    <m/>
    <n v="0"/>
    <m/>
    <m/>
    <m/>
    <m/>
    <n v="32237626.41"/>
    <n v="27962503.379999999"/>
  </r>
  <r>
    <x v="0"/>
    <x v="8"/>
    <s v="Special line items for education operations"/>
    <n v="10129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1295"/>
    <x v="7"/>
    <m/>
    <m/>
    <n v="58402"/>
    <n v="100000"/>
    <m/>
    <m/>
    <m/>
    <m/>
    <n v="0"/>
    <m/>
    <m/>
    <n v="0"/>
    <n v="58402"/>
    <n v="100000"/>
    <m/>
    <m/>
    <m/>
    <m/>
    <n v="0"/>
    <m/>
    <m/>
    <n v="0"/>
    <m/>
    <m/>
    <m/>
    <m/>
    <n v="58402"/>
    <n v="100000"/>
  </r>
  <r>
    <x v="0"/>
    <x v="0"/>
    <s v="Alabama Southern Community College"/>
    <n v="101949"/>
    <x v="8"/>
    <n v="8813324"/>
    <n v="7638052.2400000002"/>
    <m/>
    <m/>
    <n v="0"/>
    <m/>
    <n v="1510460.56"/>
    <n v="1490575.51"/>
    <n v="3001036.0700000003"/>
    <n v="1615538"/>
    <n v="1394338"/>
    <n v="3009876"/>
    <n v="10323784.560000001"/>
    <n v="9253590.2400000002"/>
    <m/>
    <m/>
    <m/>
    <m/>
    <n v="0"/>
    <m/>
    <m/>
    <n v="0"/>
    <m/>
    <m/>
    <m/>
    <m/>
    <n v="10323784.560000001"/>
    <n v="9253590.2400000002"/>
  </r>
  <r>
    <x v="0"/>
    <x v="8"/>
    <s v="Special line items for education operations"/>
    <n v="101949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1949"/>
    <x v="8"/>
    <m/>
    <m/>
    <n v="1608700"/>
    <n v="2838378"/>
    <m/>
    <m/>
    <m/>
    <m/>
    <n v="0"/>
    <m/>
    <m/>
    <n v="0"/>
    <n v="1608700"/>
    <n v="2838378"/>
    <m/>
    <m/>
    <m/>
    <m/>
    <n v="0"/>
    <m/>
    <m/>
    <n v="0"/>
    <m/>
    <m/>
    <m/>
    <m/>
    <n v="1608700"/>
    <n v="2838378"/>
  </r>
  <r>
    <x v="0"/>
    <x v="0"/>
    <s v="Central Alabama Community College"/>
    <n v="100760"/>
    <x v="8"/>
    <n v="11077003"/>
    <n v="9481932.4600000009"/>
    <m/>
    <m/>
    <m/>
    <n v="10000"/>
    <n v="4461825.22"/>
    <n v="708930"/>
    <n v="5170755.22"/>
    <n v="4401140"/>
    <n v="705730"/>
    <n v="5106870"/>
    <n v="15538828.219999999"/>
    <n v="13893072.460000001"/>
    <m/>
    <m/>
    <m/>
    <m/>
    <n v="0"/>
    <m/>
    <m/>
    <n v="0"/>
    <m/>
    <m/>
    <m/>
    <m/>
    <n v="15538828.219999999"/>
    <n v="13893072.460000001"/>
  </r>
  <r>
    <x v="0"/>
    <x v="8"/>
    <s v="Special line items for education operations"/>
    <n v="100760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0760"/>
    <x v="8"/>
    <m/>
    <m/>
    <n v="50000"/>
    <n v="25000"/>
    <m/>
    <m/>
    <m/>
    <m/>
    <n v="0"/>
    <m/>
    <m/>
    <n v="0"/>
    <n v="50000"/>
    <n v="25000"/>
    <m/>
    <m/>
    <m/>
    <m/>
    <n v="0"/>
    <m/>
    <m/>
    <n v="0"/>
    <m/>
    <m/>
    <m/>
    <m/>
    <n v="50000"/>
    <n v="25000"/>
  </r>
  <r>
    <x v="0"/>
    <x v="0"/>
    <s v="Chattahoochee Valley State Community College "/>
    <n v="101028"/>
    <x v="8"/>
    <n v="6917772"/>
    <n v="5995466.75"/>
    <m/>
    <m/>
    <m/>
    <m/>
    <n v="3738267.61"/>
    <n v="127673.76"/>
    <n v="3865941.3699999996"/>
    <n v="3670626"/>
    <n v="131174"/>
    <n v="3801800"/>
    <n v="10656039.609999999"/>
    <n v="9666092.75"/>
    <m/>
    <m/>
    <m/>
    <m/>
    <n v="0"/>
    <m/>
    <m/>
    <n v="0"/>
    <m/>
    <m/>
    <m/>
    <m/>
    <n v="10656039.609999999"/>
    <n v="9666092.75"/>
  </r>
  <r>
    <x v="0"/>
    <x v="8"/>
    <s v="Special line items for education operations"/>
    <n v="101028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1028"/>
    <x v="8"/>
    <m/>
    <m/>
    <n v="37500"/>
    <n v="47369"/>
    <m/>
    <m/>
    <m/>
    <m/>
    <n v="0"/>
    <m/>
    <m/>
    <n v="0"/>
    <n v="37500"/>
    <n v="47369"/>
    <m/>
    <m/>
    <m/>
    <m/>
    <n v="0"/>
    <m/>
    <m/>
    <n v="0"/>
    <m/>
    <m/>
    <m/>
    <m/>
    <n v="37500"/>
    <n v="47369"/>
  </r>
  <r>
    <x v="0"/>
    <x v="0"/>
    <s v="Enterprise-Ozark Community College "/>
    <n v="101143"/>
    <x v="8"/>
    <n v="11167770"/>
    <n v="9679538.9600000009"/>
    <m/>
    <m/>
    <m/>
    <m/>
    <n v="4582556.54"/>
    <n v="680251.14"/>
    <n v="5262807.68"/>
    <n v="4964952"/>
    <n v="215265"/>
    <n v="5180217"/>
    <n v="15750326.539999999"/>
    <n v="14644490.960000001"/>
    <m/>
    <m/>
    <m/>
    <m/>
    <n v="0"/>
    <m/>
    <m/>
    <n v="0"/>
    <m/>
    <m/>
    <m/>
    <m/>
    <n v="15750326.539999999"/>
    <n v="14644490.960000001"/>
  </r>
  <r>
    <x v="0"/>
    <x v="8"/>
    <s v="Special line items for education operations"/>
    <n v="101143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1143"/>
    <x v="8"/>
    <m/>
    <m/>
    <n v="649285"/>
    <m/>
    <m/>
    <m/>
    <m/>
    <m/>
    <n v="0"/>
    <m/>
    <m/>
    <n v="0"/>
    <n v="649285"/>
    <n v="0"/>
    <m/>
    <m/>
    <m/>
    <m/>
    <n v="0"/>
    <m/>
    <m/>
    <n v="0"/>
    <m/>
    <m/>
    <m/>
    <m/>
    <n v="649285"/>
    <n v="0"/>
  </r>
  <r>
    <x v="0"/>
    <x v="0"/>
    <s v="George Corley Wallace State Community College - Selma"/>
    <n v="101301"/>
    <x v="8"/>
    <n v="10745189"/>
    <n v="9301422.1300000008"/>
    <m/>
    <m/>
    <m/>
    <m/>
    <n v="4735718.5199999996"/>
    <n v="0"/>
    <n v="4735718.5199999996"/>
    <n v="4183390"/>
    <m/>
    <n v="4183390"/>
    <n v="15480907.52"/>
    <n v="13484812.130000001"/>
    <m/>
    <m/>
    <m/>
    <m/>
    <n v="0"/>
    <m/>
    <m/>
    <n v="0"/>
    <m/>
    <m/>
    <m/>
    <m/>
    <n v="15480907.52"/>
    <n v="13484812.130000001"/>
  </r>
  <r>
    <x v="0"/>
    <x v="8"/>
    <s v="Special line items for education operations"/>
    <n v="101301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1301"/>
    <x v="8"/>
    <m/>
    <m/>
    <n v="191650"/>
    <n v="25000"/>
    <m/>
    <m/>
    <m/>
    <m/>
    <n v="0"/>
    <m/>
    <m/>
    <n v="0"/>
    <n v="191650"/>
    <n v="25000"/>
    <m/>
    <m/>
    <m/>
    <m/>
    <n v="0"/>
    <m/>
    <m/>
    <n v="0"/>
    <m/>
    <m/>
    <m/>
    <m/>
    <n v="191650"/>
    <n v="25000"/>
  </r>
  <r>
    <x v="0"/>
    <x v="0"/>
    <s v="Jefferson Davis Community College"/>
    <n v="101499"/>
    <x v="8"/>
    <n v="7712738"/>
    <n v="6738677.4000000004"/>
    <m/>
    <m/>
    <m/>
    <m/>
    <n v="2633033.19"/>
    <n v="175160"/>
    <n v="2808193.19"/>
    <n v="2765050"/>
    <n v="174490"/>
    <n v="2939540"/>
    <n v="10345771.189999999"/>
    <n v="9503727.4000000004"/>
    <m/>
    <m/>
    <m/>
    <m/>
    <n v="0"/>
    <m/>
    <m/>
    <n v="0"/>
    <m/>
    <m/>
    <m/>
    <m/>
    <n v="10345771.189999999"/>
    <n v="9503727.4000000004"/>
  </r>
  <r>
    <x v="0"/>
    <x v="8"/>
    <s v="Special line items for education operations"/>
    <n v="101499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1499"/>
    <x v="8"/>
    <m/>
    <m/>
    <n v="431000"/>
    <m/>
    <m/>
    <m/>
    <m/>
    <m/>
    <n v="0"/>
    <m/>
    <m/>
    <n v="0"/>
    <n v="431000"/>
    <n v="0"/>
    <m/>
    <m/>
    <m/>
    <m/>
    <n v="0"/>
    <m/>
    <m/>
    <n v="0"/>
    <m/>
    <m/>
    <m/>
    <m/>
    <n v="431000"/>
    <n v="0"/>
  </r>
  <r>
    <x v="0"/>
    <x v="0"/>
    <s v="Lurleen B. Wallace Community College "/>
    <n v="101602"/>
    <x v="8"/>
    <n v="9323204"/>
    <n v="8080892.8200000003"/>
    <m/>
    <m/>
    <n v="201399.78"/>
    <n v="160000"/>
    <n v="3428910.79"/>
    <n v="462371.56"/>
    <n v="3891282.35"/>
    <n v="3360335"/>
    <n v="365405"/>
    <n v="3725740"/>
    <n v="12953514.57"/>
    <n v="11601227.82"/>
    <m/>
    <m/>
    <m/>
    <m/>
    <n v="0"/>
    <m/>
    <m/>
    <n v="0"/>
    <m/>
    <m/>
    <m/>
    <m/>
    <n v="12953514.57"/>
    <n v="11601227.82"/>
  </r>
  <r>
    <x v="0"/>
    <x v="8"/>
    <s v="Special line items for education operations"/>
    <n v="10160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1602"/>
    <x v="8"/>
    <m/>
    <m/>
    <n v="50000"/>
    <n v="40000"/>
    <m/>
    <m/>
    <m/>
    <m/>
    <n v="0"/>
    <m/>
    <m/>
    <n v="0"/>
    <n v="50000"/>
    <n v="40000"/>
    <m/>
    <m/>
    <m/>
    <m/>
    <n v="0"/>
    <m/>
    <m/>
    <n v="0"/>
    <m/>
    <m/>
    <m/>
    <m/>
    <n v="50000"/>
    <n v="40000"/>
  </r>
  <r>
    <x v="0"/>
    <x v="0"/>
    <s v="Northeast Alabama State Community College "/>
    <n v="101897"/>
    <x v="8"/>
    <n v="8009829"/>
    <n v="6943777.75"/>
    <m/>
    <m/>
    <m/>
    <m/>
    <n v="5235742.67"/>
    <n v="471367"/>
    <n v="5707109.6699999999"/>
    <n v="5191013"/>
    <n v="463866"/>
    <n v="5654879"/>
    <n v="13245571.67"/>
    <n v="12134790.75"/>
    <m/>
    <m/>
    <m/>
    <m/>
    <n v="0"/>
    <m/>
    <m/>
    <n v="0"/>
    <m/>
    <m/>
    <m/>
    <m/>
    <n v="13245571.67"/>
    <n v="12134790.75"/>
  </r>
  <r>
    <x v="0"/>
    <x v="8"/>
    <s v="Special line items for education operations"/>
    <n v="10189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1897"/>
    <x v="8"/>
    <m/>
    <m/>
    <n v="50000"/>
    <n v="25000"/>
    <m/>
    <m/>
    <m/>
    <m/>
    <n v="0"/>
    <m/>
    <m/>
    <n v="0"/>
    <n v="50000"/>
    <n v="25000"/>
    <m/>
    <m/>
    <m/>
    <m/>
    <n v="0"/>
    <m/>
    <m/>
    <n v="0"/>
    <m/>
    <m/>
    <m/>
    <m/>
    <n v="50000"/>
    <n v="25000"/>
  </r>
  <r>
    <x v="0"/>
    <x v="0"/>
    <s v="Snead State Community College "/>
    <n v="102076"/>
    <x v="8"/>
    <n v="7521787"/>
    <n v="6511020.8799999999"/>
    <m/>
    <m/>
    <m/>
    <m/>
    <n v="4564961.3099999996"/>
    <n v="505523"/>
    <n v="5070484.3099999996"/>
    <n v="4361444"/>
    <n v="511090"/>
    <n v="4872534"/>
    <n v="12086748.309999999"/>
    <n v="10872464.879999999"/>
    <m/>
    <m/>
    <m/>
    <m/>
    <n v="0"/>
    <m/>
    <m/>
    <n v="0"/>
    <m/>
    <m/>
    <m/>
    <m/>
    <n v="12086748.309999999"/>
    <n v="10872464.879999999"/>
  </r>
  <r>
    <x v="0"/>
    <x v="8"/>
    <s v="Special line items for education operations"/>
    <n v="102076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2076"/>
    <x v="8"/>
    <m/>
    <m/>
    <n v="55000"/>
    <n v="50000"/>
    <m/>
    <m/>
    <m/>
    <m/>
    <n v="0"/>
    <m/>
    <m/>
    <n v="0"/>
    <n v="55000"/>
    <n v="50000"/>
    <m/>
    <m/>
    <m/>
    <m/>
    <n v="0"/>
    <m/>
    <m/>
    <n v="0"/>
    <m/>
    <m/>
    <m/>
    <m/>
    <n v="55000"/>
    <n v="50000"/>
  </r>
  <r>
    <x v="0"/>
    <x v="0"/>
    <s v="Trenholm State Technical College"/>
    <n v="102313"/>
    <x v="9"/>
    <n v="12866608"/>
    <n v="11146721.949999999"/>
    <m/>
    <m/>
    <m/>
    <m/>
    <n v="2552385.7000000002"/>
    <n v="397982"/>
    <n v="2950367.7"/>
    <n v="2708510"/>
    <n v="394958"/>
    <n v="3103468"/>
    <n v="15418993.699999999"/>
    <n v="13855231.949999999"/>
    <m/>
    <m/>
    <m/>
    <m/>
    <n v="0"/>
    <m/>
    <m/>
    <n v="0"/>
    <m/>
    <m/>
    <m/>
    <m/>
    <n v="15418993.699999999"/>
    <n v="13855231.949999999"/>
  </r>
  <r>
    <x v="0"/>
    <x v="8"/>
    <s v="Special line items for education operations"/>
    <n v="102313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2313"/>
    <x v="9"/>
    <m/>
    <m/>
    <n v="100000"/>
    <n v="50000"/>
    <m/>
    <m/>
    <m/>
    <m/>
    <n v="0"/>
    <m/>
    <m/>
    <n v="0"/>
    <n v="100000"/>
    <n v="50000"/>
    <m/>
    <m/>
    <m/>
    <m/>
    <n v="0"/>
    <m/>
    <m/>
    <n v="0"/>
    <m/>
    <m/>
    <m/>
    <m/>
    <n v="100000"/>
    <n v="50000"/>
  </r>
  <r>
    <x v="0"/>
    <x v="0"/>
    <s v="J.F. Drake State Technical College "/>
    <n v="101462"/>
    <x v="10"/>
    <n v="4875183"/>
    <n v="4221207.9000000004"/>
    <m/>
    <m/>
    <m/>
    <m/>
    <n v="1455477.58"/>
    <n v="293920"/>
    <n v="1749397.58"/>
    <n v="1380069"/>
    <n v="294920"/>
    <n v="1674989"/>
    <n v="6330660.5800000001"/>
    <n v="5601276.9000000004"/>
    <m/>
    <m/>
    <m/>
    <m/>
    <n v="0"/>
    <m/>
    <m/>
    <n v="0"/>
    <m/>
    <m/>
    <m/>
    <m/>
    <n v="6330660.5800000001"/>
    <n v="5601276.9000000004"/>
  </r>
  <r>
    <x v="0"/>
    <x v="8"/>
    <s v="Special line items for education operations"/>
    <n v="101462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1462"/>
    <x v="10"/>
    <m/>
    <m/>
    <n v="250000"/>
    <n v="25000"/>
    <m/>
    <m/>
    <m/>
    <m/>
    <n v="0"/>
    <m/>
    <m/>
    <n v="0"/>
    <n v="250000"/>
    <n v="25000"/>
    <m/>
    <m/>
    <m/>
    <m/>
    <n v="0"/>
    <m/>
    <m/>
    <n v="0"/>
    <m/>
    <m/>
    <m/>
    <m/>
    <n v="250000"/>
    <n v="25000"/>
  </r>
  <r>
    <x v="0"/>
    <x v="0"/>
    <s v="J.F. Ingram State Technical College "/>
    <n v="101471"/>
    <x v="10"/>
    <n v="7933004"/>
    <n v="7051695.5599999996"/>
    <m/>
    <m/>
    <m/>
    <m/>
    <n v="1862994.53"/>
    <m/>
    <n v="1862994.53"/>
    <n v="2105910"/>
    <m/>
    <n v="2105910"/>
    <n v="9795998.5299999993"/>
    <n v="9157605.5599999987"/>
    <m/>
    <m/>
    <m/>
    <m/>
    <n v="0"/>
    <m/>
    <m/>
    <n v="0"/>
    <m/>
    <m/>
    <m/>
    <m/>
    <n v="9795998.5299999993"/>
    <n v="9157605.5599999987"/>
  </r>
  <r>
    <x v="0"/>
    <x v="8"/>
    <s v="Special line items for education operations"/>
    <n v="101471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1471"/>
    <x v="10"/>
    <m/>
    <m/>
    <n v="219000"/>
    <n v="35000"/>
    <m/>
    <m/>
    <m/>
    <m/>
    <n v="0"/>
    <m/>
    <m/>
    <n v="0"/>
    <n v="219000"/>
    <n v="35000"/>
    <m/>
    <m/>
    <m/>
    <m/>
    <n v="0"/>
    <m/>
    <m/>
    <n v="0"/>
    <m/>
    <m/>
    <m/>
    <m/>
    <n v="219000"/>
    <n v="35000"/>
  </r>
  <r>
    <x v="0"/>
    <x v="0"/>
    <s v="Reid State Technical College "/>
    <n v="101994"/>
    <x v="10"/>
    <n v="5552240"/>
    <n v="4811779.7"/>
    <m/>
    <m/>
    <m/>
    <m/>
    <n v="1285701.8999999999"/>
    <n v="250816.66"/>
    <n v="1536518.5599999998"/>
    <n v="1134303"/>
    <n v="252871"/>
    <n v="1387174"/>
    <n v="6837941.9000000004"/>
    <n v="5946082.7000000002"/>
    <m/>
    <m/>
    <m/>
    <m/>
    <n v="0"/>
    <m/>
    <m/>
    <n v="0"/>
    <m/>
    <m/>
    <m/>
    <m/>
    <n v="6837941.9000000004"/>
    <n v="5946082.7000000002"/>
  </r>
  <r>
    <x v="0"/>
    <x v="8"/>
    <s v="Special line items for education operations"/>
    <n v="101994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8"/>
    <s v="Special Population Training"/>
    <n v="101994"/>
    <x v="10"/>
    <m/>
    <m/>
    <n v="100000"/>
    <n v="65000"/>
    <m/>
    <m/>
    <m/>
    <m/>
    <n v="0"/>
    <m/>
    <m/>
    <n v="0"/>
    <n v="100000"/>
    <n v="65000"/>
    <m/>
    <m/>
    <m/>
    <m/>
    <n v="0"/>
    <m/>
    <m/>
    <n v="0"/>
    <m/>
    <m/>
    <m/>
    <m/>
    <n v="100000"/>
    <n v="65000"/>
  </r>
  <r>
    <x v="0"/>
    <x v="9"/>
    <s v="Marion Military Institute"/>
    <n v="101648"/>
    <x v="11"/>
    <n v="7403879"/>
    <n v="6745761.75"/>
    <m/>
    <m/>
    <m/>
    <m/>
    <n v="2333445"/>
    <n v="2228138"/>
    <n v="4561583"/>
    <n v="2405583"/>
    <n v="2198532"/>
    <n v="4604115"/>
    <n v="9737324"/>
    <n v="9151344.75"/>
    <m/>
    <m/>
    <m/>
    <m/>
    <n v="0"/>
    <m/>
    <m/>
    <n v="0"/>
    <m/>
    <m/>
    <m/>
    <m/>
    <n v="9737324"/>
    <n v="9151344.75"/>
  </r>
  <r>
    <x v="0"/>
    <x v="10"/>
    <s v="Educational special purpose funds - to statewid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11"/>
    <s v="Research centers/institut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11"/>
    <s v="Exprmntl Prog. for the Stimulation of Competitive Rsrch (EPSCOR) Consort."/>
    <m/>
    <x v="12"/>
    <m/>
    <m/>
    <n v="1450000"/>
    <n v="1367154"/>
    <m/>
    <m/>
    <m/>
    <m/>
    <n v="0"/>
    <m/>
    <m/>
    <n v="0"/>
    <n v="1450000"/>
    <n v="1367154"/>
    <m/>
    <m/>
    <m/>
    <m/>
    <n v="0"/>
    <m/>
    <m/>
    <n v="0"/>
    <m/>
    <m/>
    <m/>
    <m/>
    <n v="1450000"/>
    <n v="1367154"/>
  </r>
  <r>
    <x v="0"/>
    <x v="11"/>
    <s v="MESC/Dauphin Isl Sealab/Marine Environmental Sci Consort."/>
    <m/>
    <x v="12"/>
    <m/>
    <m/>
    <n v="5024304"/>
    <n v="3983555"/>
    <m/>
    <m/>
    <m/>
    <m/>
    <n v="0"/>
    <m/>
    <m/>
    <n v="0"/>
    <n v="5024304"/>
    <n v="3983555"/>
    <m/>
    <m/>
    <m/>
    <m/>
    <n v="0"/>
    <m/>
    <m/>
    <n v="0"/>
    <m/>
    <m/>
    <m/>
    <m/>
    <n v="5024304"/>
    <n v="3983555"/>
  </r>
  <r>
    <x v="0"/>
    <x v="12"/>
    <s v="Special line items for education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12"/>
    <s v="Network of Al Academic Libraries (NAAL)"/>
    <m/>
    <x v="12"/>
    <m/>
    <m/>
    <n v="754000"/>
    <n v="360298"/>
    <m/>
    <m/>
    <m/>
    <m/>
    <n v="0"/>
    <m/>
    <m/>
    <n v="0"/>
    <n v="754000"/>
    <n v="360298"/>
    <m/>
    <m/>
    <m/>
    <m/>
    <n v="0"/>
    <m/>
    <m/>
    <n v="0"/>
    <m/>
    <m/>
    <m/>
    <m/>
    <n v="754000"/>
    <n v="360298"/>
  </r>
  <r>
    <x v="0"/>
    <x v="12"/>
    <s v="AL Agricultural LG Alliance"/>
    <m/>
    <x v="12"/>
    <m/>
    <m/>
    <n v="2850000"/>
    <n v="1001000"/>
    <m/>
    <m/>
    <m/>
    <m/>
    <n v="0"/>
    <m/>
    <m/>
    <n v="0"/>
    <n v="2850000"/>
    <n v="1001000"/>
    <m/>
    <m/>
    <m/>
    <m/>
    <n v="0"/>
    <m/>
    <m/>
    <n v="0"/>
    <m/>
    <m/>
    <m/>
    <m/>
    <n v="2850000"/>
    <n v="1001000"/>
  </r>
  <r>
    <x v="0"/>
    <x v="12"/>
    <s v="C.I.T.Y Program"/>
    <m/>
    <x v="12"/>
    <m/>
    <m/>
    <n v="7113203"/>
    <n v="5219437"/>
    <m/>
    <m/>
    <m/>
    <m/>
    <n v="0"/>
    <m/>
    <m/>
    <n v="0"/>
    <n v="7113203"/>
    <n v="5219437"/>
    <m/>
    <m/>
    <m/>
    <m/>
    <n v="0"/>
    <m/>
    <m/>
    <n v="0"/>
    <m/>
    <m/>
    <m/>
    <m/>
    <n v="7113203"/>
    <n v="5219437"/>
  </r>
  <r>
    <x v="0"/>
    <x v="12"/>
    <s v="Adult Basic Education"/>
    <m/>
    <x v="12"/>
    <m/>
    <m/>
    <n v="18769338"/>
    <n v="13722101"/>
    <m/>
    <m/>
    <m/>
    <m/>
    <n v="0"/>
    <m/>
    <m/>
    <n v="0"/>
    <n v="18769338"/>
    <n v="13722101"/>
    <m/>
    <m/>
    <m/>
    <m/>
    <n v="0"/>
    <m/>
    <m/>
    <n v="0"/>
    <m/>
    <m/>
    <m/>
    <m/>
    <n v="18769338"/>
    <n v="13722101"/>
  </r>
  <r>
    <x v="0"/>
    <x v="12"/>
    <s v="Alabama Technology Network"/>
    <m/>
    <x v="12"/>
    <m/>
    <m/>
    <n v="6925000"/>
    <n v="5309850"/>
    <m/>
    <m/>
    <m/>
    <m/>
    <n v="0"/>
    <m/>
    <m/>
    <n v="0"/>
    <n v="6925000"/>
    <n v="5309850"/>
    <m/>
    <m/>
    <m/>
    <m/>
    <n v="0"/>
    <m/>
    <m/>
    <n v="0"/>
    <m/>
    <m/>
    <m/>
    <m/>
    <n v="6925000"/>
    <n v="5309850"/>
  </r>
  <r>
    <x v="0"/>
    <x v="12"/>
    <s v="Special Population Training"/>
    <m/>
    <x v="12"/>
    <m/>
    <m/>
    <n v="79647"/>
    <n v="1054573"/>
    <m/>
    <m/>
    <m/>
    <m/>
    <n v="0"/>
    <m/>
    <m/>
    <n v="0"/>
    <n v="79647"/>
    <n v="1054573"/>
    <m/>
    <m/>
    <m/>
    <m/>
    <n v="0"/>
    <m/>
    <m/>
    <n v="0"/>
    <m/>
    <m/>
    <m/>
    <m/>
    <n v="79647"/>
    <n v="1054573"/>
  </r>
  <r>
    <x v="0"/>
    <x v="12"/>
    <s v="Prison Education - Theraputic Training"/>
    <m/>
    <x v="12"/>
    <m/>
    <m/>
    <n v="2000000"/>
    <n v="2073492"/>
    <m/>
    <m/>
    <m/>
    <m/>
    <n v="0"/>
    <m/>
    <m/>
    <n v="0"/>
    <n v="2000000"/>
    <n v="2073492"/>
    <m/>
    <m/>
    <m/>
    <m/>
    <n v="0"/>
    <m/>
    <m/>
    <n v="0"/>
    <m/>
    <m/>
    <m/>
    <m/>
    <n v="2000000"/>
    <n v="2073492"/>
  </r>
  <r>
    <x v="0"/>
    <x v="12"/>
    <s v="Small Business Center Network"/>
    <m/>
    <x v="12"/>
    <m/>
    <m/>
    <n v="1900000"/>
    <m/>
    <m/>
    <m/>
    <m/>
    <m/>
    <n v="0"/>
    <m/>
    <m/>
    <n v="0"/>
    <n v="1900000"/>
    <n v="0"/>
    <m/>
    <m/>
    <m/>
    <m/>
    <n v="0"/>
    <m/>
    <m/>
    <n v="0"/>
    <m/>
    <m/>
    <m/>
    <m/>
    <n v="1900000"/>
    <n v="0"/>
  </r>
  <r>
    <x v="0"/>
    <x v="12"/>
    <s v="Military Operations Program"/>
    <m/>
    <x v="12"/>
    <m/>
    <m/>
    <n v="1296938"/>
    <n v="596547"/>
    <m/>
    <m/>
    <m/>
    <m/>
    <n v="0"/>
    <m/>
    <m/>
    <n v="0"/>
    <n v="1296938"/>
    <n v="596547"/>
    <m/>
    <m/>
    <m/>
    <m/>
    <n v="0"/>
    <m/>
    <m/>
    <n v="0"/>
    <m/>
    <m/>
    <m/>
    <m/>
    <n v="1296938"/>
    <n v="596547"/>
  </r>
  <r>
    <x v="0"/>
    <x v="12"/>
    <s v="Workforce Development"/>
    <m/>
    <x v="12"/>
    <m/>
    <m/>
    <n v="7649760"/>
    <n v="6736146"/>
    <m/>
    <m/>
    <m/>
    <m/>
    <n v="0"/>
    <m/>
    <m/>
    <n v="0"/>
    <n v="7649760"/>
    <n v="6736146"/>
    <m/>
    <m/>
    <m/>
    <m/>
    <n v="0"/>
    <m/>
    <m/>
    <n v="0"/>
    <m/>
    <m/>
    <m/>
    <m/>
    <n v="7649760"/>
    <n v="6736146"/>
  </r>
  <r>
    <x v="0"/>
    <x v="12"/>
    <s v="Mine Safety Training Pgm"/>
    <m/>
    <x v="12"/>
    <m/>
    <m/>
    <n v="300000"/>
    <n v="273000"/>
    <m/>
    <m/>
    <m/>
    <m/>
    <n v="0"/>
    <m/>
    <m/>
    <n v="0"/>
    <n v="300000"/>
    <n v="273000"/>
    <m/>
    <m/>
    <m/>
    <m/>
    <n v="0"/>
    <m/>
    <m/>
    <n v="0"/>
    <m/>
    <m/>
    <m/>
    <m/>
    <n v="300000"/>
    <n v="273000"/>
  </r>
  <r>
    <x v="0"/>
    <x v="12"/>
    <s v="Statewide workforce devlopment (administered by AL Industrial Development Training Institute)"/>
    <m/>
    <x v="12"/>
    <m/>
    <m/>
    <n v="42945048"/>
    <n v="38218376"/>
    <m/>
    <m/>
    <m/>
    <m/>
    <n v="0"/>
    <m/>
    <m/>
    <n v="0"/>
    <n v="42945048"/>
    <n v="38218376"/>
    <m/>
    <m/>
    <m/>
    <m/>
    <n v="0"/>
    <m/>
    <m/>
    <n v="0"/>
    <m/>
    <m/>
    <m/>
    <m/>
    <n v="42945048"/>
    <n v="38218376"/>
  </r>
  <r>
    <x v="0"/>
    <x v="13"/>
    <s v="Educational special purpose funds - all other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13"/>
    <s v="Telephone Revolving Fund"/>
    <m/>
    <x v="12"/>
    <m/>
    <m/>
    <n v="1350000"/>
    <n v="1224000"/>
    <m/>
    <m/>
    <m/>
    <m/>
    <n v="0"/>
    <m/>
    <m/>
    <n v="0"/>
    <n v="1350000"/>
    <n v="1224000"/>
    <m/>
    <m/>
    <m/>
    <m/>
    <n v="0"/>
    <m/>
    <m/>
    <n v="0"/>
    <m/>
    <m/>
    <m/>
    <m/>
    <n v="1350000"/>
    <n v="1224000"/>
  </r>
  <r>
    <x v="0"/>
    <x v="13"/>
    <s v="Articulation "/>
    <m/>
    <x v="12"/>
    <m/>
    <m/>
    <n v="500000"/>
    <n v="411609"/>
    <m/>
    <m/>
    <m/>
    <m/>
    <n v="0"/>
    <m/>
    <m/>
    <n v="0"/>
    <n v="500000"/>
    <n v="411609"/>
    <m/>
    <m/>
    <m/>
    <m/>
    <n v="0"/>
    <m/>
    <m/>
    <n v="0"/>
    <m/>
    <m/>
    <m/>
    <m/>
    <n v="500000"/>
    <n v="411609"/>
  </r>
  <r>
    <x v="0"/>
    <x v="13"/>
    <s v="Knight v Alabama"/>
    <m/>
    <x v="12"/>
    <m/>
    <m/>
    <n v="12958499"/>
    <n v="9960164"/>
    <m/>
    <m/>
    <m/>
    <m/>
    <n v="0"/>
    <m/>
    <m/>
    <n v="0"/>
    <n v="12958499"/>
    <n v="9960164"/>
    <m/>
    <m/>
    <m/>
    <m/>
    <n v="0"/>
    <m/>
    <m/>
    <n v="0"/>
    <m/>
    <m/>
    <m/>
    <m/>
    <n v="12958499"/>
    <n v="9960164"/>
  </r>
  <r>
    <x v="0"/>
    <x v="13"/>
    <s v="School &amp; University Partnership for Education Renewal "/>
    <m/>
    <x v="12"/>
    <m/>
    <m/>
    <n v="200000"/>
    <n v="91000"/>
    <m/>
    <m/>
    <m/>
    <m/>
    <n v="0"/>
    <m/>
    <m/>
    <n v="0"/>
    <n v="200000"/>
    <n v="91000"/>
    <m/>
    <m/>
    <m/>
    <m/>
    <n v="0"/>
    <m/>
    <m/>
    <n v="0"/>
    <m/>
    <m/>
    <m/>
    <m/>
    <n v="200000"/>
    <n v="91000"/>
  </r>
  <r>
    <x v="0"/>
    <x v="14"/>
    <s v="Statewide System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15"/>
    <s v="Colleges and universiti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15"/>
    <s v="Commission on Higher Education (CHE) Operations "/>
    <m/>
    <x v="12"/>
    <m/>
    <m/>
    <m/>
    <m/>
    <m/>
    <m/>
    <m/>
    <m/>
    <n v="0"/>
    <m/>
    <m/>
    <n v="0"/>
    <n v="0"/>
    <n v="0"/>
    <n v="3004232"/>
    <n v="3023541"/>
    <m/>
    <m/>
    <n v="0"/>
    <m/>
    <m/>
    <n v="0"/>
    <m/>
    <m/>
    <m/>
    <m/>
    <n v="3004232"/>
    <n v="3023541"/>
  </r>
  <r>
    <x v="0"/>
    <x v="16"/>
    <s v="Two-year system(s), if an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16"/>
    <s v="Department of Postsecondary Education Operations"/>
    <m/>
    <x v="12"/>
    <m/>
    <m/>
    <m/>
    <m/>
    <m/>
    <m/>
    <m/>
    <m/>
    <n v="0"/>
    <m/>
    <m/>
    <n v="0"/>
    <n v="0"/>
    <n v="0"/>
    <n v="6048172"/>
    <n v="5770309"/>
    <m/>
    <m/>
    <n v="0"/>
    <m/>
    <m/>
    <n v="0"/>
    <m/>
    <m/>
    <m/>
    <m/>
    <n v="6048172"/>
    <n v="5770309"/>
  </r>
  <r>
    <x v="0"/>
    <x v="17"/>
    <s v="National or regional associations, compacts or consortia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17"/>
    <s v="SREB Membership  *"/>
    <m/>
    <x v="12"/>
    <m/>
    <m/>
    <m/>
    <m/>
    <m/>
    <m/>
    <m/>
    <m/>
    <n v="0"/>
    <m/>
    <m/>
    <n v="0"/>
    <n v="0"/>
    <n v="0"/>
    <n v="201550"/>
    <n v="207550"/>
    <m/>
    <m/>
    <n v="0"/>
    <m/>
    <m/>
    <n v="0"/>
    <m/>
    <m/>
    <m/>
    <m/>
    <n v="201550"/>
    <n v="207550"/>
  </r>
  <r>
    <x v="0"/>
    <x v="17"/>
    <s v="SREB ACHE Administrative Costs"/>
    <m/>
    <x v="12"/>
    <m/>
    <m/>
    <m/>
    <m/>
    <m/>
    <m/>
    <m/>
    <m/>
    <n v="0"/>
    <m/>
    <m/>
    <n v="0"/>
    <n v="0"/>
    <n v="0"/>
    <n v="52955"/>
    <n v="69252"/>
    <m/>
    <m/>
    <n v="0"/>
    <m/>
    <m/>
    <n v="0"/>
    <m/>
    <m/>
    <m/>
    <m/>
    <n v="52955"/>
    <n v="69252"/>
  </r>
  <r>
    <x v="0"/>
    <x v="18"/>
    <s v="Adm. of Statewide Student Aid Progs. (including centralized guaranteed student loans)"/>
    <m/>
    <x v="12"/>
    <m/>
    <m/>
    <m/>
    <m/>
    <m/>
    <m/>
    <m/>
    <m/>
    <n v="0"/>
    <m/>
    <m/>
    <n v="0"/>
    <n v="0"/>
    <n v="0"/>
    <n v="114287"/>
    <n v="117329"/>
    <m/>
    <m/>
    <n v="0"/>
    <m/>
    <m/>
    <n v="0"/>
    <m/>
    <m/>
    <m/>
    <m/>
    <n v="114287"/>
    <n v="117329"/>
  </r>
  <r>
    <x v="0"/>
    <x v="19"/>
    <s v="State Support to Private Colleges Other Than Student Ai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19"/>
    <s v="AL A&amp;M-Miles College Consortium"/>
    <m/>
    <x v="12"/>
    <m/>
    <m/>
    <m/>
    <m/>
    <m/>
    <m/>
    <m/>
    <m/>
    <n v="0"/>
    <m/>
    <m/>
    <n v="0"/>
    <n v="0"/>
    <n v="0"/>
    <n v="550000"/>
    <n v="412459"/>
    <m/>
    <m/>
    <n v="0"/>
    <m/>
    <m/>
    <n v="0"/>
    <m/>
    <m/>
    <m/>
    <m/>
    <n v="550000"/>
    <n v="412459"/>
  </r>
  <r>
    <x v="0"/>
    <x v="19"/>
    <s v="Talladega College"/>
    <m/>
    <x v="12"/>
    <m/>
    <m/>
    <m/>
    <m/>
    <m/>
    <m/>
    <m/>
    <m/>
    <n v="0"/>
    <m/>
    <m/>
    <n v="0"/>
    <n v="0"/>
    <n v="0"/>
    <n v="1000000"/>
    <n v="896358"/>
    <m/>
    <m/>
    <n v="0"/>
    <m/>
    <m/>
    <n v="0"/>
    <m/>
    <m/>
    <m/>
    <m/>
    <n v="1000000"/>
    <n v="896358"/>
  </r>
  <r>
    <x v="0"/>
    <x v="19"/>
    <s v="Tuskegee University"/>
    <m/>
    <x v="12"/>
    <m/>
    <m/>
    <m/>
    <m/>
    <m/>
    <m/>
    <m/>
    <m/>
    <n v="0"/>
    <m/>
    <m/>
    <n v="0"/>
    <n v="0"/>
    <n v="0"/>
    <n v="13581285"/>
    <n v="10807643"/>
    <m/>
    <m/>
    <n v="0"/>
    <m/>
    <m/>
    <n v="0"/>
    <m/>
    <m/>
    <m/>
    <m/>
    <n v="13581285"/>
    <n v="10807643"/>
  </r>
  <r>
    <x v="0"/>
    <x v="19"/>
    <s v="AL Agricultural LG Alliance Tuskegee University"/>
    <m/>
    <x v="12"/>
    <m/>
    <m/>
    <m/>
    <m/>
    <m/>
    <m/>
    <m/>
    <m/>
    <n v="0"/>
    <m/>
    <m/>
    <n v="0"/>
    <n v="0"/>
    <n v="0"/>
    <n v="2500000"/>
    <n v="2275000"/>
    <m/>
    <m/>
    <n v="0"/>
    <m/>
    <m/>
    <n v="0"/>
    <m/>
    <m/>
    <m/>
    <m/>
    <n v="2500000"/>
    <n v="2275000"/>
  </r>
  <r>
    <x v="0"/>
    <x v="20"/>
    <s v="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1"/>
    <s v="SREB contract program with private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1"/>
    <s v="Meharry Medical College (Dentistry &amp; Medicine)"/>
    <m/>
    <x v="12"/>
    <m/>
    <m/>
    <m/>
    <m/>
    <m/>
    <m/>
    <m/>
    <m/>
    <n v="0"/>
    <m/>
    <m/>
    <n v="0"/>
    <n v="0"/>
    <n v="0"/>
    <n v="15000"/>
    <n v="15000"/>
    <m/>
    <m/>
    <n v="0"/>
    <m/>
    <m/>
    <n v="0"/>
    <m/>
    <m/>
    <m/>
    <m/>
    <n v="15000"/>
    <n v="15000"/>
  </r>
  <r>
    <x v="0"/>
    <x v="22"/>
    <s v="SREB contract program with public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3"/>
    <s v="Other contract education programs"/>
    <m/>
    <x v="12"/>
    <m/>
    <m/>
    <m/>
    <m/>
    <m/>
    <m/>
    <m/>
    <m/>
    <n v="0"/>
    <m/>
    <m/>
    <n v="0"/>
    <n v="0"/>
    <n v="0"/>
    <n v="32161"/>
    <n v="52400"/>
    <m/>
    <m/>
    <n v="0"/>
    <m/>
    <m/>
    <n v="0"/>
    <m/>
    <m/>
    <m/>
    <m/>
    <n v="32161"/>
    <n v="52400"/>
  </r>
  <r>
    <x v="0"/>
    <x v="24"/>
    <s v="Statewide Student Financial Aid Programs Administered Off Campu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5"/>
    <s v="Available to public &amp;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5"/>
    <s v="for medical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6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7"/>
    <s v="Non need-based"/>
    <m/>
    <x v="12"/>
    <m/>
    <m/>
    <m/>
    <m/>
    <m/>
    <m/>
    <m/>
    <m/>
    <n v="0"/>
    <m/>
    <m/>
    <n v="0"/>
    <n v="0"/>
    <n v="0"/>
    <n v="1600000"/>
    <n v="1183814"/>
    <m/>
    <m/>
    <n v="0"/>
    <m/>
    <m/>
    <n v="0"/>
    <m/>
    <m/>
    <m/>
    <m/>
    <n v="1600000"/>
    <n v="1183814"/>
  </r>
  <r>
    <x v="0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5"/>
    <s v="for dental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6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7"/>
    <s v="Non need-based"/>
    <m/>
    <x v="12"/>
    <m/>
    <m/>
    <m/>
    <m/>
    <m/>
    <m/>
    <m/>
    <m/>
    <n v="0"/>
    <m/>
    <m/>
    <n v="0"/>
    <n v="0"/>
    <n v="0"/>
    <n v="408000"/>
    <n v="304850"/>
    <m/>
    <m/>
    <n v="0"/>
    <m/>
    <m/>
    <n v="0"/>
    <m/>
    <m/>
    <m/>
    <m/>
    <n v="408000"/>
    <n v="304850"/>
  </r>
  <r>
    <x v="0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5"/>
    <s v="for optometry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6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7"/>
    <s v="Non need-based"/>
    <m/>
    <x v="12"/>
    <m/>
    <m/>
    <m/>
    <m/>
    <m/>
    <m/>
    <m/>
    <m/>
    <n v="0"/>
    <m/>
    <m/>
    <n v="0"/>
    <n v="0"/>
    <n v="0"/>
    <n v="188000"/>
    <n v="171080"/>
    <m/>
    <m/>
    <n v="0"/>
    <m/>
    <m/>
    <n v="0"/>
    <m/>
    <m/>
    <m/>
    <m/>
    <n v="188000"/>
    <n v="171080"/>
  </r>
  <r>
    <x v="0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5"/>
    <s v="for chiropractic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6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3"/>
    <s v="Non need-based"/>
    <m/>
    <x v="12"/>
    <m/>
    <m/>
    <m/>
    <m/>
    <m/>
    <m/>
    <m/>
    <m/>
    <n v="0"/>
    <m/>
    <m/>
    <n v="0"/>
    <n v="0"/>
    <n v="0"/>
    <n v="32000"/>
    <n v="32760"/>
    <m/>
    <m/>
    <n v="0"/>
    <m/>
    <m/>
    <n v="0"/>
    <m/>
    <m/>
    <m/>
    <m/>
    <n v="32000"/>
    <n v="32760"/>
  </r>
  <r>
    <x v="0"/>
    <x v="25"/>
    <s v="Board of Nursing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6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7"/>
    <s v="Non need-based"/>
    <m/>
    <x v="12"/>
    <m/>
    <m/>
    <m/>
    <m/>
    <m/>
    <m/>
    <m/>
    <m/>
    <n v="0"/>
    <m/>
    <m/>
    <n v="0"/>
    <n v="0"/>
    <n v="0"/>
    <n v="557000"/>
    <n v="233870"/>
    <m/>
    <m/>
    <n v="0"/>
    <m/>
    <m/>
    <n v="0"/>
    <m/>
    <m/>
    <m/>
    <m/>
    <n v="557000"/>
    <n v="233870"/>
  </r>
  <r>
    <x v="0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5"/>
    <s v="SREB minority doctoral fellow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0"/>
    <s v="Non need-based"/>
    <m/>
    <x v="12"/>
    <m/>
    <m/>
    <m/>
    <m/>
    <m/>
    <m/>
    <m/>
    <m/>
    <n v="0"/>
    <m/>
    <m/>
    <n v="0"/>
    <n v="0"/>
    <n v="0"/>
    <n v="540605"/>
    <n v="403250"/>
    <m/>
    <m/>
    <n v="0"/>
    <m/>
    <m/>
    <n v="0"/>
    <m/>
    <m/>
    <m/>
    <m/>
    <n v="540605"/>
    <n v="403250"/>
  </r>
  <r>
    <x v="0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5"/>
    <s v="Knight Alabama Student Assistance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6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5"/>
    <s v="Alabama Student Assistance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9"/>
    <s v="Need-based"/>
    <m/>
    <x v="12"/>
    <m/>
    <m/>
    <m/>
    <m/>
    <m/>
    <m/>
    <m/>
    <m/>
    <n v="0"/>
    <m/>
    <m/>
    <n v="0"/>
    <n v="0"/>
    <n v="0"/>
    <n v="3527798"/>
    <n v="2548793"/>
    <m/>
    <m/>
    <n v="0"/>
    <m/>
    <m/>
    <n v="0"/>
    <m/>
    <m/>
    <m/>
    <m/>
    <n v="3527798"/>
    <n v="2548793"/>
  </r>
  <r>
    <x v="0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2"/>
    <s v="Need-based"/>
    <m/>
    <x v="12"/>
    <m/>
    <m/>
    <m/>
    <m/>
    <m/>
    <m/>
    <m/>
    <m/>
    <n v="0"/>
    <m/>
    <m/>
    <n v="0"/>
    <n v="0"/>
    <n v="0"/>
    <n v="881950"/>
    <n v="637198"/>
    <m/>
    <m/>
    <n v="0"/>
    <m/>
    <m/>
    <n v="0"/>
    <m/>
    <m/>
    <m/>
    <m/>
    <n v="881950"/>
    <n v="637198"/>
  </r>
  <r>
    <x v="0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5"/>
    <s v="AL Teacher Recruitment Incentive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9"/>
    <s v="Need-based"/>
    <m/>
    <x v="12"/>
    <m/>
    <m/>
    <m/>
    <m/>
    <m/>
    <m/>
    <m/>
    <m/>
    <n v="0"/>
    <m/>
    <m/>
    <n v="0"/>
    <n v="0"/>
    <n v="0"/>
    <n v="2129485"/>
    <n v="1681976"/>
    <m/>
    <m/>
    <n v="0"/>
    <m/>
    <m/>
    <n v="0"/>
    <m/>
    <m/>
    <m/>
    <m/>
    <n v="2129485"/>
    <n v="1681976"/>
  </r>
  <r>
    <x v="0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2"/>
    <s v="Need-based"/>
    <m/>
    <x v="12"/>
    <m/>
    <m/>
    <m/>
    <m/>
    <m/>
    <m/>
    <m/>
    <m/>
    <n v="0"/>
    <m/>
    <m/>
    <n v="0"/>
    <n v="0"/>
    <n v="0"/>
    <n v="300000"/>
    <n v="300000"/>
    <m/>
    <m/>
    <n v="0"/>
    <m/>
    <m/>
    <n v="0"/>
    <m/>
    <m/>
    <m/>
    <m/>
    <n v="300000"/>
    <n v="300000"/>
  </r>
  <r>
    <x v="0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5"/>
    <s v="Dependents of blind parents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6"/>
    <s v="Need-based"/>
    <m/>
    <x v="12"/>
    <m/>
    <m/>
    <m/>
    <m/>
    <m/>
    <m/>
    <m/>
    <m/>
    <n v="0"/>
    <m/>
    <m/>
    <n v="0"/>
    <n v="0"/>
    <n v="0"/>
    <n v="12750"/>
    <n v="11844"/>
    <m/>
    <m/>
    <n v="0"/>
    <m/>
    <m/>
    <n v="0"/>
    <m/>
    <m/>
    <m/>
    <m/>
    <n v="12750"/>
    <n v="11844"/>
  </r>
  <r>
    <x v="0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5"/>
    <s v="Department of Veterans Affairs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0"/>
    <s v="Non need-based"/>
    <m/>
    <x v="12"/>
    <m/>
    <m/>
    <m/>
    <m/>
    <m/>
    <m/>
    <m/>
    <m/>
    <n v="0"/>
    <m/>
    <m/>
    <n v="0"/>
    <n v="0"/>
    <n v="0"/>
    <n v="23482509"/>
    <n v="22213977"/>
    <m/>
    <m/>
    <n v="0"/>
    <m/>
    <m/>
    <n v="0"/>
    <m/>
    <m/>
    <m/>
    <m/>
    <n v="23482509"/>
    <n v="22213977"/>
  </r>
  <r>
    <x v="0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5"/>
    <s v="Policeman's' scholarship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0"/>
    <s v="Non need-based"/>
    <m/>
    <x v="12"/>
    <m/>
    <m/>
    <m/>
    <m/>
    <m/>
    <m/>
    <m/>
    <m/>
    <n v="0"/>
    <m/>
    <m/>
    <n v="0"/>
    <n v="0"/>
    <n v="0"/>
    <n v="135939"/>
    <n v="175440"/>
    <m/>
    <m/>
    <n v="0"/>
    <m/>
    <m/>
    <n v="0"/>
    <m/>
    <m/>
    <m/>
    <m/>
    <n v="135939"/>
    <n v="175440"/>
  </r>
  <r>
    <x v="0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5"/>
    <s v="National Guard Ed Assistance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0"/>
    <s v="Non need-based"/>
    <m/>
    <x v="12"/>
    <m/>
    <m/>
    <m/>
    <m/>
    <m/>
    <m/>
    <m/>
    <m/>
    <n v="0"/>
    <m/>
    <m/>
    <n v="0"/>
    <n v="0"/>
    <n v="0"/>
    <n v="513804"/>
    <n v="512100"/>
    <m/>
    <m/>
    <n v="0"/>
    <m/>
    <m/>
    <n v="0"/>
    <m/>
    <m/>
    <m/>
    <m/>
    <n v="513804"/>
    <n v="512100"/>
  </r>
  <r>
    <x v="0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3"/>
    <s v="Non need-based"/>
    <m/>
    <x v="12"/>
    <m/>
    <m/>
    <m/>
    <m/>
    <m/>
    <m/>
    <m/>
    <m/>
    <n v="0"/>
    <m/>
    <m/>
    <n v="0"/>
    <n v="0"/>
    <n v="0"/>
    <n v="128451"/>
    <n v="128025"/>
    <m/>
    <m/>
    <n v="0"/>
    <m/>
    <m/>
    <n v="0"/>
    <m/>
    <m/>
    <m/>
    <m/>
    <n v="128451"/>
    <n v="128025"/>
  </r>
  <r>
    <x v="0"/>
    <x v="34"/>
    <s v="Limited to public college students onl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25"/>
    <s v="American Legion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5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6"/>
    <s v="Non need-based"/>
    <m/>
    <x v="12"/>
    <m/>
    <m/>
    <m/>
    <m/>
    <m/>
    <m/>
    <m/>
    <m/>
    <n v="0"/>
    <m/>
    <m/>
    <n v="0"/>
    <n v="0"/>
    <n v="0"/>
    <n v="112500"/>
    <n v="102375"/>
    <m/>
    <m/>
    <n v="0"/>
    <m/>
    <m/>
    <n v="0"/>
    <m/>
    <m/>
    <m/>
    <m/>
    <n v="112500"/>
    <n v="102375"/>
  </r>
  <r>
    <x v="0"/>
    <x v="37"/>
    <s v="Limited to private college students onl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7"/>
    <s v="Alabama Student Grant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8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0"/>
    <x v="39"/>
    <s v="Non need-based"/>
    <m/>
    <x v="12"/>
    <m/>
    <m/>
    <m/>
    <m/>
    <m/>
    <m/>
    <m/>
    <m/>
    <n v="0"/>
    <m/>
    <m/>
    <n v="0"/>
    <n v="0"/>
    <n v="0"/>
    <n v="3526701"/>
    <n v="2549945"/>
    <m/>
    <m/>
    <n v="0"/>
    <m/>
    <m/>
    <n v="0"/>
    <m/>
    <m/>
    <m/>
    <m/>
    <n v="3526701"/>
    <n v="2549945"/>
  </r>
  <r>
    <x v="1"/>
    <x v="0"/>
    <s v="University of Arkansas, Fayetteville"/>
    <n v="106397"/>
    <x v="0"/>
    <n v="120756585"/>
    <n v="119808304"/>
    <m/>
    <m/>
    <m/>
    <m/>
    <n v="109491153"/>
    <m/>
    <n v="109491153"/>
    <n v="95907954"/>
    <m/>
    <n v="95907954"/>
    <n v="230247738"/>
    <n v="215716258"/>
    <m/>
    <m/>
    <m/>
    <m/>
    <n v="0"/>
    <m/>
    <m/>
    <n v="0"/>
    <m/>
    <m/>
    <m/>
    <m/>
    <n v="230247738"/>
    <n v="215716258"/>
  </r>
  <r>
    <x v="1"/>
    <x v="40"/>
    <s v="Agricultural cooperative extension"/>
    <n v="106397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40"/>
    <s v="Univ of Ark. System Divison of Agriculture"/>
    <n v="106397"/>
    <x v="0"/>
    <m/>
    <m/>
    <n v="67703013"/>
    <n v="67293446"/>
    <m/>
    <m/>
    <m/>
    <m/>
    <n v="0"/>
    <m/>
    <m/>
    <n v="0"/>
    <n v="67703013"/>
    <n v="67293446"/>
    <m/>
    <m/>
    <m/>
    <m/>
    <n v="0"/>
    <m/>
    <m/>
    <n v="0"/>
    <m/>
    <m/>
    <m/>
    <m/>
    <n v="67703013"/>
    <n v="67293446"/>
  </r>
  <r>
    <x v="1"/>
    <x v="11"/>
    <s v="Univ of Ark. System Archeological Survey"/>
    <n v="106397"/>
    <x v="0"/>
    <m/>
    <m/>
    <n v="2498409"/>
    <n v="2389155"/>
    <m/>
    <m/>
    <m/>
    <m/>
    <n v="0"/>
    <m/>
    <m/>
    <n v="0"/>
    <n v="2498409"/>
    <n v="2389155"/>
    <m/>
    <m/>
    <m/>
    <m/>
    <n v="0"/>
    <m/>
    <m/>
    <n v="0"/>
    <m/>
    <m/>
    <m/>
    <m/>
    <n v="2498409"/>
    <n v="2389155"/>
  </r>
  <r>
    <x v="1"/>
    <x v="11"/>
    <s v="Univ of Ark. System Criminal Justice Institute"/>
    <n v="106397"/>
    <x v="0"/>
    <m/>
    <m/>
    <n v="1813498"/>
    <n v="1804341"/>
    <m/>
    <m/>
    <m/>
    <m/>
    <n v="0"/>
    <m/>
    <m/>
    <n v="0"/>
    <n v="1813498"/>
    <n v="1804341"/>
    <m/>
    <m/>
    <m/>
    <m/>
    <n v="0"/>
    <m/>
    <m/>
    <n v="0"/>
    <m/>
    <m/>
    <m/>
    <m/>
    <n v="1813498"/>
    <n v="1804341"/>
  </r>
  <r>
    <x v="1"/>
    <x v="3"/>
    <s v="Community or public service units"/>
    <n v="106397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"/>
    <s v="Univ. of Ark. System Arkansas School of Mathematics, Sciences and the Arts"/>
    <m/>
    <x v="0"/>
    <m/>
    <m/>
    <n v="8206855"/>
    <n v="8081366"/>
    <m/>
    <m/>
    <m/>
    <m/>
    <n v="0"/>
    <m/>
    <m/>
    <n v="0"/>
    <n v="8206855"/>
    <n v="8081366"/>
    <m/>
    <m/>
    <m/>
    <m/>
    <n v="0"/>
    <m/>
    <m/>
    <n v="0"/>
    <m/>
    <m/>
    <m/>
    <m/>
    <n v="8206855"/>
    <n v="8081366"/>
  </r>
  <r>
    <x v="1"/>
    <x v="0"/>
    <s v="Clinton School for Public Service"/>
    <n v="106397"/>
    <x v="0"/>
    <m/>
    <m/>
    <n v="2263898"/>
    <n v="2271657"/>
    <m/>
    <m/>
    <n v="432003"/>
    <m/>
    <n v="432003"/>
    <n v="484200"/>
    <m/>
    <n v="484200"/>
    <n v="2695901"/>
    <n v="2755857"/>
    <m/>
    <m/>
    <m/>
    <m/>
    <n v="0"/>
    <m/>
    <m/>
    <n v="0"/>
    <m/>
    <m/>
    <m/>
    <m/>
    <n v="2695901"/>
    <n v="2755857"/>
  </r>
  <r>
    <x v="1"/>
    <x v="0"/>
    <s v="Arkansas State University"/>
    <n v="106458"/>
    <x v="2"/>
    <n v="59052443"/>
    <n v="58789209"/>
    <m/>
    <m/>
    <m/>
    <m/>
    <n v="58671724"/>
    <m/>
    <n v="58671724"/>
    <n v="58115498"/>
    <m/>
    <n v="58115498"/>
    <n v="117724167"/>
    <n v="116904707"/>
    <m/>
    <m/>
    <m/>
    <m/>
    <n v="0"/>
    <m/>
    <m/>
    <n v="0"/>
    <m/>
    <m/>
    <m/>
    <m/>
    <n v="117724167"/>
    <n v="116904707"/>
  </r>
  <r>
    <x v="1"/>
    <x v="3"/>
    <s v="Community or public service units"/>
    <n v="106458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"/>
    <s v="Arkansas State University Technical Center - Marked Tree"/>
    <n v="106458"/>
    <x v="2"/>
    <m/>
    <m/>
    <n v="2976970"/>
    <n v="0"/>
    <m/>
    <m/>
    <n v="679376.17"/>
    <m/>
    <n v="679376.17"/>
    <n v="0"/>
    <m/>
    <n v="0"/>
    <n v="3656346.17"/>
    <n v="0"/>
    <m/>
    <m/>
    <m/>
    <m/>
    <n v="0"/>
    <m/>
    <m/>
    <n v="0"/>
    <m/>
    <m/>
    <m/>
    <m/>
    <n v="3656346.17"/>
    <n v="0"/>
  </r>
  <r>
    <x v="1"/>
    <x v="0"/>
    <s v="University of Arkansas at Little Rock"/>
    <n v="106245"/>
    <x v="2"/>
    <n v="61019908"/>
    <n v="60579390"/>
    <m/>
    <m/>
    <m/>
    <m/>
    <n v="54039440.770000003"/>
    <m/>
    <n v="54039440.770000003"/>
    <n v="56491297"/>
    <m/>
    <n v="56491297"/>
    <n v="115059348.77000001"/>
    <n v="117070687"/>
    <m/>
    <m/>
    <m/>
    <m/>
    <n v="0"/>
    <m/>
    <m/>
    <n v="0"/>
    <m/>
    <m/>
    <m/>
    <m/>
    <n v="115059348.77000001"/>
    <n v="117070687"/>
  </r>
  <r>
    <x v="1"/>
    <x v="3"/>
    <s v="Community or public service units"/>
    <n v="106245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"/>
    <s v="Research and Public Service Unit"/>
    <n v="106245"/>
    <x v="2"/>
    <m/>
    <m/>
    <n v="3534411"/>
    <n v="3556157"/>
    <m/>
    <m/>
    <m/>
    <m/>
    <n v="0"/>
    <m/>
    <m/>
    <n v="0"/>
    <n v="3534411"/>
    <n v="3556157"/>
    <m/>
    <m/>
    <m/>
    <m/>
    <n v="0"/>
    <m/>
    <m/>
    <n v="0"/>
    <m/>
    <m/>
    <m/>
    <m/>
    <n v="3534411"/>
    <n v="3556157"/>
  </r>
  <r>
    <x v="1"/>
    <x v="0"/>
    <s v="University of Central Arkansas "/>
    <n v="106704"/>
    <x v="2"/>
    <n v="57139765"/>
    <n v="54722470"/>
    <m/>
    <m/>
    <m/>
    <m/>
    <n v="62130784.479999997"/>
    <m/>
    <n v="62130784.479999997"/>
    <n v="61998582"/>
    <m/>
    <n v="61998582"/>
    <n v="119270549.47999999"/>
    <n v="116721052"/>
    <m/>
    <m/>
    <m/>
    <m/>
    <n v="0"/>
    <m/>
    <m/>
    <n v="0"/>
    <m/>
    <m/>
    <m/>
    <m/>
    <n v="119270549.47999999"/>
    <n v="116721052"/>
  </r>
  <r>
    <x v="1"/>
    <x v="0"/>
    <s v="Arkansas Tech University "/>
    <n v="106467"/>
    <x v="3"/>
    <n v="30756346"/>
    <n v="30530543"/>
    <m/>
    <m/>
    <m/>
    <m/>
    <n v="30816813"/>
    <m/>
    <n v="30816813"/>
    <n v="31422336"/>
    <m/>
    <n v="31422336"/>
    <n v="61573159"/>
    <n v="61952879"/>
    <m/>
    <m/>
    <m/>
    <m/>
    <n v="0"/>
    <m/>
    <m/>
    <n v="0"/>
    <m/>
    <m/>
    <m/>
    <m/>
    <n v="61573159"/>
    <n v="61952879"/>
  </r>
  <r>
    <x v="1"/>
    <x v="3"/>
    <s v="Community or public service units"/>
    <n v="106467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"/>
    <s v="Arkansas Valley Technical Institute"/>
    <n v="106467"/>
    <x v="3"/>
    <m/>
    <m/>
    <n v="3064737"/>
    <n v="3053379"/>
    <m/>
    <m/>
    <n v="779769"/>
    <m/>
    <n v="779769"/>
    <n v="948324"/>
    <m/>
    <n v="948324"/>
    <n v="3844506"/>
    <n v="4001703"/>
    <m/>
    <m/>
    <m/>
    <m/>
    <n v="0"/>
    <m/>
    <m/>
    <n v="0"/>
    <m/>
    <m/>
    <m/>
    <m/>
    <n v="3844506"/>
    <n v="4001703"/>
  </r>
  <r>
    <x v="1"/>
    <x v="0"/>
    <s v="Henderson State University "/>
    <n v="107071"/>
    <x v="3"/>
    <n v="20382324"/>
    <n v="20409066"/>
    <m/>
    <m/>
    <m/>
    <m/>
    <n v="18923291"/>
    <m/>
    <n v="18923291"/>
    <n v="18256681"/>
    <m/>
    <n v="18256681"/>
    <n v="39305615"/>
    <n v="38665747"/>
    <m/>
    <m/>
    <m/>
    <m/>
    <n v="0"/>
    <m/>
    <m/>
    <n v="0"/>
    <m/>
    <m/>
    <m/>
    <m/>
    <n v="39305615"/>
    <n v="38665747"/>
  </r>
  <r>
    <x v="1"/>
    <x v="3"/>
    <s v="Community or public service units"/>
    <n v="107071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"/>
    <s v="Southwest Arkansas Tech Learning Center"/>
    <n v="107071"/>
    <x v="3"/>
    <m/>
    <m/>
    <n v="212732"/>
    <n v="210294"/>
    <m/>
    <m/>
    <m/>
    <m/>
    <n v="0"/>
    <m/>
    <m/>
    <n v="0"/>
    <n v="212732"/>
    <n v="210294"/>
    <m/>
    <m/>
    <m/>
    <m/>
    <n v="0"/>
    <m/>
    <m/>
    <n v="0"/>
    <m/>
    <m/>
    <m/>
    <m/>
    <n v="212732"/>
    <n v="210294"/>
  </r>
  <r>
    <x v="1"/>
    <x v="0"/>
    <s v="University of Arkansas at Monticello"/>
    <n v="106485"/>
    <x v="4"/>
    <n v="13887867"/>
    <n v="13901480"/>
    <m/>
    <m/>
    <m/>
    <m/>
    <n v="9831663"/>
    <m/>
    <n v="9831663"/>
    <n v="10091045"/>
    <m/>
    <n v="10091045"/>
    <n v="23719530"/>
    <n v="23992525"/>
    <m/>
    <m/>
    <m/>
    <m/>
    <n v="0"/>
    <m/>
    <m/>
    <n v="0"/>
    <m/>
    <m/>
    <m/>
    <m/>
    <n v="23719530"/>
    <n v="23992525"/>
  </r>
  <r>
    <x v="1"/>
    <x v="3"/>
    <s v="Community or public service units"/>
    <n v="106485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"/>
    <s v="UAM College of Technology-McGehee"/>
    <n v="106485"/>
    <x v="4"/>
    <m/>
    <m/>
    <n v="2226624"/>
    <n v="2245317"/>
    <m/>
    <m/>
    <n v="581338"/>
    <m/>
    <n v="581338"/>
    <n v="593259"/>
    <m/>
    <n v="593259"/>
    <n v="2807962"/>
    <n v="2838576"/>
    <m/>
    <m/>
    <m/>
    <m/>
    <n v="0"/>
    <m/>
    <m/>
    <n v="0"/>
    <m/>
    <m/>
    <m/>
    <m/>
    <n v="2807962"/>
    <n v="2838576"/>
  </r>
  <r>
    <x v="1"/>
    <x v="3"/>
    <s v="UAM College of Technology-Crossett "/>
    <n v="106485"/>
    <x v="4"/>
    <m/>
    <m/>
    <n v="1725194"/>
    <n v="1697962"/>
    <m/>
    <m/>
    <n v="428104"/>
    <m/>
    <n v="428104"/>
    <n v="442442"/>
    <m/>
    <n v="442442"/>
    <n v="2153298"/>
    <n v="2140404"/>
    <m/>
    <m/>
    <m/>
    <m/>
    <n v="0"/>
    <m/>
    <m/>
    <n v="0"/>
    <m/>
    <m/>
    <m/>
    <m/>
    <n v="2153298"/>
    <n v="2140404"/>
  </r>
  <r>
    <x v="1"/>
    <x v="0"/>
    <s v="Southern Arkansas University"/>
    <n v="107983"/>
    <x v="4"/>
    <n v="16542084"/>
    <n v="16494487"/>
    <m/>
    <m/>
    <m/>
    <m/>
    <n v="15106815"/>
    <m/>
    <n v="15106815"/>
    <n v="16592017"/>
    <m/>
    <n v="16592017"/>
    <n v="31648899"/>
    <n v="33086504"/>
    <m/>
    <m/>
    <m/>
    <m/>
    <n v="0"/>
    <m/>
    <m/>
    <n v="0"/>
    <m/>
    <m/>
    <m/>
    <m/>
    <n v="31648899"/>
    <n v="33086504"/>
  </r>
  <r>
    <x v="1"/>
    <x v="0"/>
    <s v="University of Arkansas at Fort Smith"/>
    <n v="108092"/>
    <x v="5"/>
    <n v="23045827"/>
    <n v="22817302"/>
    <m/>
    <m/>
    <n v="5700152"/>
    <n v="5700000"/>
    <n v="19589405"/>
    <m/>
    <n v="19589405"/>
    <n v="22353099"/>
    <m/>
    <n v="22353099"/>
    <n v="48335384"/>
    <n v="50870401"/>
    <m/>
    <m/>
    <m/>
    <m/>
    <n v="0"/>
    <m/>
    <m/>
    <n v="0"/>
    <m/>
    <m/>
    <m/>
    <m/>
    <n v="48335384"/>
    <n v="50870401"/>
  </r>
  <r>
    <x v="1"/>
    <x v="0"/>
    <s v="University of Arkansas at Pine Bluff"/>
    <n v="106412"/>
    <x v="5"/>
    <n v="26772148"/>
    <n v="26980606"/>
    <m/>
    <m/>
    <m/>
    <m/>
    <n v="14370664"/>
    <m/>
    <n v="14370664"/>
    <n v="13882684"/>
    <m/>
    <n v="13882684"/>
    <n v="41142812"/>
    <n v="40863290"/>
    <m/>
    <m/>
    <m/>
    <m/>
    <n v="0"/>
    <m/>
    <m/>
    <n v="0"/>
    <m/>
    <m/>
    <m/>
    <m/>
    <n v="41142812"/>
    <n v="40863290"/>
  </r>
  <r>
    <x v="1"/>
    <x v="0"/>
    <s v="Pulaski Technical College"/>
    <n v="107664"/>
    <x v="6"/>
    <n v="16622008"/>
    <n v="15140211"/>
    <m/>
    <m/>
    <m/>
    <m/>
    <n v="17377259"/>
    <m/>
    <n v="17377259"/>
    <n v="19757881"/>
    <m/>
    <n v="19757881"/>
    <n v="33999267"/>
    <n v="34898092"/>
    <m/>
    <m/>
    <m/>
    <m/>
    <n v="0"/>
    <m/>
    <m/>
    <n v="0"/>
    <m/>
    <m/>
    <m/>
    <m/>
    <n v="33999267"/>
    <n v="34898092"/>
  </r>
  <r>
    <x v="1"/>
    <x v="0"/>
    <s v="Arkansas State University-Beebe"/>
    <n v="106449"/>
    <x v="7"/>
    <n v="13889307"/>
    <n v="14060649"/>
    <m/>
    <m/>
    <n v="1817140"/>
    <n v="1800000"/>
    <n v="8537213"/>
    <m/>
    <n v="8537213"/>
    <n v="8711500"/>
    <m/>
    <n v="8711500"/>
    <n v="24243660"/>
    <n v="24572149"/>
    <m/>
    <m/>
    <m/>
    <m/>
    <n v="0"/>
    <m/>
    <m/>
    <n v="0"/>
    <m/>
    <m/>
    <m/>
    <m/>
    <n v="24243660"/>
    <n v="24572149"/>
  </r>
  <r>
    <x v="1"/>
    <x v="0"/>
    <s v="Northwest Arkansas Community College "/>
    <n v="367459"/>
    <x v="7"/>
    <n v="10752568"/>
    <n v="10346898"/>
    <m/>
    <m/>
    <n v="4474718"/>
    <n v="4500000"/>
    <n v="13504797"/>
    <m/>
    <n v="13504797"/>
    <n v="15264172"/>
    <m/>
    <n v="15264172"/>
    <n v="28732083"/>
    <n v="30111070"/>
    <m/>
    <m/>
    <m/>
    <m/>
    <n v="0"/>
    <m/>
    <m/>
    <n v="0"/>
    <m/>
    <m/>
    <m/>
    <m/>
    <n v="28732083"/>
    <n v="30111070"/>
  </r>
  <r>
    <x v="1"/>
    <x v="0"/>
    <s v="Arkansas Northeastern College"/>
    <n v="107327"/>
    <x v="8"/>
    <n v="9917736"/>
    <n v="9883247"/>
    <m/>
    <m/>
    <m/>
    <m/>
    <n v="2323058"/>
    <m/>
    <n v="2323058"/>
    <n v="2216327"/>
    <m/>
    <n v="2216327"/>
    <n v="12240794"/>
    <n v="12099574"/>
    <m/>
    <m/>
    <m/>
    <m/>
    <n v="0"/>
    <m/>
    <m/>
    <n v="0"/>
    <m/>
    <m/>
    <m/>
    <m/>
    <n v="12240794"/>
    <n v="12099574"/>
  </r>
  <r>
    <x v="1"/>
    <x v="0"/>
    <s v="Arkansas State University Mountain Home"/>
    <n v="420538"/>
    <x v="8"/>
    <n v="4195729"/>
    <n v="4165825"/>
    <m/>
    <m/>
    <n v="1074144"/>
    <n v="1075000"/>
    <n v="2257818"/>
    <m/>
    <n v="2257818"/>
    <n v="2599500"/>
    <m/>
    <n v="2599500"/>
    <n v="7527691"/>
    <n v="7840325"/>
    <m/>
    <m/>
    <m/>
    <m/>
    <n v="0"/>
    <m/>
    <m/>
    <n v="0"/>
    <m/>
    <m/>
    <m/>
    <m/>
    <n v="7527691"/>
    <n v="7840325"/>
  </r>
  <r>
    <x v="1"/>
    <x v="0"/>
    <s v="Arkansas State University-Newport"/>
    <n v="440402"/>
    <x v="8"/>
    <n v="4244026"/>
    <n v="6993730"/>
    <m/>
    <m/>
    <n v="880642"/>
    <n v="880000"/>
    <n v="2763956"/>
    <m/>
    <n v="2763956"/>
    <n v="2951275"/>
    <m/>
    <n v="2951275"/>
    <n v="7888624"/>
    <n v="10825005"/>
    <m/>
    <m/>
    <m/>
    <m/>
    <n v="0"/>
    <m/>
    <m/>
    <n v="0"/>
    <m/>
    <m/>
    <m/>
    <m/>
    <n v="7888624"/>
    <n v="10825005"/>
  </r>
  <r>
    <x v="1"/>
    <x v="0"/>
    <s v="Black River Technical College"/>
    <n v="106625"/>
    <x v="8"/>
    <n v="7826267"/>
    <n v="7790004"/>
    <m/>
    <m/>
    <m/>
    <m/>
    <n v="3807737"/>
    <m/>
    <n v="3807737"/>
    <n v="3100000"/>
    <m/>
    <n v="3100000"/>
    <n v="11634004"/>
    <n v="10890004"/>
    <m/>
    <m/>
    <m/>
    <m/>
    <n v="0"/>
    <m/>
    <m/>
    <n v="0"/>
    <m/>
    <m/>
    <m/>
    <m/>
    <n v="11634004"/>
    <n v="10890004"/>
  </r>
  <r>
    <x v="1"/>
    <x v="0"/>
    <s v="Cossatot Community College of the University of Arkansas"/>
    <n v="106795"/>
    <x v="8"/>
    <n v="4426991"/>
    <n v="4371039"/>
    <m/>
    <m/>
    <n v="1027124"/>
    <n v="1025000"/>
    <n v="1894234"/>
    <m/>
    <n v="1894234"/>
    <n v="1933000"/>
    <m/>
    <n v="1933000"/>
    <n v="7348349"/>
    <n v="7329039"/>
    <m/>
    <m/>
    <m/>
    <m/>
    <n v="0"/>
    <m/>
    <m/>
    <n v="0"/>
    <m/>
    <m/>
    <m/>
    <m/>
    <n v="7348349"/>
    <n v="7329039"/>
  </r>
  <r>
    <x v="1"/>
    <x v="0"/>
    <s v="East Arkansas Community College "/>
    <n v="106883"/>
    <x v="8"/>
    <n v="6553009"/>
    <n v="6508957"/>
    <m/>
    <m/>
    <m/>
    <m/>
    <n v="2430985.54"/>
    <m/>
    <n v="2430985.54"/>
    <n v="2550100"/>
    <m/>
    <n v="2550100"/>
    <n v="8983994.5399999991"/>
    <n v="9059057"/>
    <m/>
    <m/>
    <m/>
    <m/>
    <n v="0"/>
    <m/>
    <m/>
    <n v="0"/>
    <m/>
    <m/>
    <m/>
    <m/>
    <n v="8983994.5399999991"/>
    <n v="9059057"/>
  </r>
  <r>
    <x v="1"/>
    <x v="0"/>
    <s v="Mid-South Community College "/>
    <n v="107318"/>
    <x v="8"/>
    <n v="5667937"/>
    <n v="5542386"/>
    <m/>
    <m/>
    <n v="108731"/>
    <n v="108000"/>
    <n v="2193371"/>
    <m/>
    <n v="2193371"/>
    <n v="2408528"/>
    <m/>
    <n v="2408528"/>
    <n v="7970039"/>
    <n v="8058914"/>
    <m/>
    <m/>
    <m/>
    <m/>
    <n v="0"/>
    <m/>
    <m/>
    <n v="0"/>
    <m/>
    <m/>
    <m/>
    <m/>
    <n v="7970039"/>
    <n v="8058914"/>
  </r>
  <r>
    <x v="1"/>
    <x v="0"/>
    <s v="National Park Community College"/>
    <n v="106980"/>
    <x v="8"/>
    <n v="10498107"/>
    <n v="10531346"/>
    <m/>
    <m/>
    <m/>
    <m/>
    <n v="4046324"/>
    <m/>
    <n v="4046324"/>
    <n v="4559811.7"/>
    <m/>
    <n v="4559811.7"/>
    <n v="14544431"/>
    <n v="15091157.699999999"/>
    <m/>
    <m/>
    <m/>
    <m/>
    <n v="0"/>
    <m/>
    <m/>
    <n v="0"/>
    <m/>
    <m/>
    <m/>
    <m/>
    <n v="14544431"/>
    <n v="15091157.699999999"/>
  </r>
  <r>
    <x v="1"/>
    <x v="0"/>
    <s v="North Arkansas College"/>
    <n v="107460"/>
    <x v="8"/>
    <n v="8779078"/>
    <n v="8831639"/>
    <m/>
    <m/>
    <m/>
    <m/>
    <n v="3443144"/>
    <m/>
    <n v="3443144"/>
    <n v="3558884"/>
    <m/>
    <n v="3558884"/>
    <n v="12222222"/>
    <n v="12390523"/>
    <m/>
    <m/>
    <m/>
    <m/>
    <n v="0"/>
    <m/>
    <m/>
    <n v="0"/>
    <m/>
    <m/>
    <m/>
    <m/>
    <n v="12222222"/>
    <n v="12390523"/>
  </r>
  <r>
    <x v="1"/>
    <x v="0"/>
    <s v="Ouachita Technical College "/>
    <n v="107521"/>
    <x v="8"/>
    <n v="4444264"/>
    <n v="4392330"/>
    <m/>
    <m/>
    <m/>
    <m/>
    <n v="2316165"/>
    <m/>
    <n v="2316165"/>
    <n v="1764773"/>
    <m/>
    <n v="1764773"/>
    <n v="6760429"/>
    <n v="6157103"/>
    <m/>
    <m/>
    <m/>
    <m/>
    <n v="0"/>
    <m/>
    <m/>
    <n v="0"/>
    <m/>
    <m/>
    <m/>
    <m/>
    <n v="6760429"/>
    <n v="6157103"/>
  </r>
  <r>
    <x v="1"/>
    <x v="0"/>
    <s v="Ozarka College "/>
    <n v="107549"/>
    <x v="8"/>
    <n v="4041862"/>
    <n v="3950332"/>
    <m/>
    <m/>
    <m/>
    <m/>
    <n v="2215143.7999999998"/>
    <m/>
    <n v="2215143.7999999998"/>
    <n v="2248146"/>
    <m/>
    <n v="2248146"/>
    <n v="6257005.7999999998"/>
    <n v="6198478"/>
    <m/>
    <m/>
    <m/>
    <m/>
    <n v="0"/>
    <m/>
    <m/>
    <n v="0"/>
    <m/>
    <m/>
    <m/>
    <m/>
    <n v="6257005.7999999998"/>
    <n v="6198478"/>
  </r>
  <r>
    <x v="1"/>
    <x v="0"/>
    <s v="Phillips Community College of the Univ of Arkansas"/>
    <n v="107619"/>
    <x v="8"/>
    <n v="10244587"/>
    <n v="10146013"/>
    <m/>
    <m/>
    <n v="1742886"/>
    <n v="1750000"/>
    <n v="3776623"/>
    <m/>
    <n v="3776623"/>
    <n v="2976000"/>
    <m/>
    <n v="2976000"/>
    <n v="15764096"/>
    <n v="14872013"/>
    <m/>
    <m/>
    <m/>
    <m/>
    <n v="0"/>
    <m/>
    <m/>
    <n v="0"/>
    <m/>
    <m/>
    <m/>
    <m/>
    <n v="15764096"/>
    <n v="14872013"/>
  </r>
  <r>
    <x v="1"/>
    <x v="0"/>
    <s v="Rich Mountain Community College "/>
    <n v="107743"/>
    <x v="8"/>
    <n v="3403996"/>
    <n v="3351287"/>
    <m/>
    <m/>
    <n v="0"/>
    <n v="0"/>
    <n v="1170731"/>
    <m/>
    <n v="1170731"/>
    <n v="998208"/>
    <m/>
    <n v="998208"/>
    <n v="4574727"/>
    <n v="4349495"/>
    <m/>
    <m/>
    <m/>
    <m/>
    <n v="0"/>
    <m/>
    <m/>
    <n v="0"/>
    <m/>
    <m/>
    <m/>
    <m/>
    <n v="4574727"/>
    <n v="4349495"/>
  </r>
  <r>
    <x v="1"/>
    <x v="0"/>
    <s v="South Arkansas Community College"/>
    <n v="107974"/>
    <x v="8"/>
    <n v="6861583"/>
    <n v="6844083"/>
    <m/>
    <m/>
    <m/>
    <m/>
    <n v="2803591"/>
    <m/>
    <n v="2803591"/>
    <n v="2773019"/>
    <m/>
    <n v="2773019"/>
    <n v="9665174"/>
    <n v="9617102"/>
    <m/>
    <m/>
    <m/>
    <m/>
    <n v="0"/>
    <m/>
    <m/>
    <n v="0"/>
    <m/>
    <m/>
    <m/>
    <m/>
    <n v="9665174"/>
    <n v="9617102"/>
  </r>
  <r>
    <x v="1"/>
    <x v="0"/>
    <s v="Southeast Arkansas College"/>
    <n v="107637"/>
    <x v="8"/>
    <n v="7225060"/>
    <n v="7199581"/>
    <m/>
    <m/>
    <m/>
    <m/>
    <n v="3011464"/>
    <m/>
    <n v="3011464"/>
    <n v="3132126"/>
    <m/>
    <n v="3132126"/>
    <n v="10236524"/>
    <n v="10331707"/>
    <m/>
    <m/>
    <m/>
    <m/>
    <n v="0"/>
    <m/>
    <m/>
    <n v="0"/>
    <m/>
    <m/>
    <m/>
    <m/>
    <n v="10236524"/>
    <n v="10331707"/>
  </r>
  <r>
    <x v="1"/>
    <x v="0"/>
    <s v="Southern Arkansas University Tech"/>
    <n v="107992"/>
    <x v="8"/>
    <n v="5660828"/>
    <n v="5726149"/>
    <m/>
    <m/>
    <m/>
    <m/>
    <n v="2876525"/>
    <m/>
    <n v="2876525"/>
    <n v="3542678"/>
    <m/>
    <n v="3542678"/>
    <n v="8537353"/>
    <n v="9268827"/>
    <m/>
    <m/>
    <m/>
    <m/>
    <n v="0"/>
    <m/>
    <m/>
    <n v="0"/>
    <m/>
    <m/>
    <m/>
    <m/>
    <n v="8537353"/>
    <n v="9268827"/>
  </r>
  <r>
    <x v="1"/>
    <x v="3"/>
    <s v="Environmental Control Academy &amp; Fire Control Academy"/>
    <n v="107992"/>
    <x v="8"/>
    <m/>
    <m/>
    <n v="2261749"/>
    <n v="2033949"/>
    <m/>
    <m/>
    <n v="359768"/>
    <m/>
    <n v="359768"/>
    <n v="410480"/>
    <m/>
    <n v="410480"/>
    <n v="2621517"/>
    <n v="2444429"/>
    <m/>
    <m/>
    <m/>
    <m/>
    <n v="0"/>
    <m/>
    <m/>
    <n v="0"/>
    <m/>
    <m/>
    <m/>
    <m/>
    <n v="2621517"/>
    <n v="2444429"/>
  </r>
  <r>
    <x v="1"/>
    <x v="0"/>
    <s v="University of Arkansas Community College at Batesville"/>
    <n v="106999"/>
    <x v="8"/>
    <n v="4677973"/>
    <n v="4662438"/>
    <m/>
    <m/>
    <n v="1166200"/>
    <n v="1150000"/>
    <n v="2606272"/>
    <m/>
    <n v="2606272"/>
    <n v="2892065"/>
    <m/>
    <n v="2892065"/>
    <n v="8450445"/>
    <n v="8704503"/>
    <m/>
    <m/>
    <m/>
    <m/>
    <n v="0"/>
    <m/>
    <m/>
    <n v="0"/>
    <m/>
    <m/>
    <m/>
    <m/>
    <n v="8450445"/>
    <n v="8704503"/>
  </r>
  <r>
    <x v="1"/>
    <x v="0"/>
    <s v="University of Arkansas Community College at Hope"/>
    <n v="107725"/>
    <x v="8"/>
    <n v="6199311"/>
    <n v="6069330"/>
    <m/>
    <m/>
    <n v="350000"/>
    <n v="350000"/>
    <n v="1909987"/>
    <m/>
    <n v="1909987"/>
    <n v="1819733"/>
    <m/>
    <n v="1819733"/>
    <n v="8459298"/>
    <n v="8239063"/>
    <m/>
    <m/>
    <m/>
    <m/>
    <n v="0"/>
    <m/>
    <m/>
    <n v="0"/>
    <m/>
    <m/>
    <m/>
    <m/>
    <n v="8459298"/>
    <n v="8239063"/>
  </r>
  <r>
    <x v="1"/>
    <x v="0"/>
    <s v="University of Arkansas Community College at Morrilton"/>
    <n v="107585"/>
    <x v="8"/>
    <n v="5700883"/>
    <n v="5717163"/>
    <m/>
    <m/>
    <n v="770352"/>
    <n v="770000"/>
    <n v="3791763"/>
    <m/>
    <n v="3791763"/>
    <n v="3825700"/>
    <m/>
    <n v="3825700"/>
    <n v="10262998"/>
    <n v="10312863"/>
    <m/>
    <m/>
    <m/>
    <m/>
    <n v="0"/>
    <m/>
    <m/>
    <n v="0"/>
    <m/>
    <m/>
    <m/>
    <m/>
    <n v="10262998"/>
    <n v="10312863"/>
  </r>
  <r>
    <x v="1"/>
    <x v="41"/>
    <s v="University of Arkansas for Medical Sciences"/>
    <n v="106263"/>
    <x v="11"/>
    <m/>
    <m/>
    <m/>
    <m/>
    <m/>
    <m/>
    <m/>
    <m/>
    <n v="0"/>
    <m/>
    <m/>
    <n v="0"/>
    <n v="0"/>
    <n v="0"/>
    <m/>
    <m/>
    <m/>
    <m/>
    <n v="0"/>
    <m/>
    <m/>
    <n v="0"/>
    <n v="104006516"/>
    <n v="102272246"/>
    <n v="18677967"/>
    <n v="23046000"/>
    <n v="122684483"/>
    <n v="125318246"/>
  </r>
  <r>
    <x v="1"/>
    <x v="13"/>
    <s v="All Other State Operating Appropriations Related to Postsecondary Education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13"/>
    <s v="Y.O.U. Program for At-Risk Youth"/>
    <m/>
    <x v="12"/>
    <m/>
    <m/>
    <n v="75000"/>
    <n v="75000"/>
    <m/>
    <m/>
    <m/>
    <m/>
    <n v="0"/>
    <m/>
    <m/>
    <n v="0"/>
    <n v="75000"/>
    <n v="75000"/>
    <m/>
    <m/>
    <m/>
    <m/>
    <n v="0"/>
    <m/>
    <m/>
    <n v="0"/>
    <m/>
    <m/>
    <m/>
    <m/>
    <n v="75000"/>
    <n v="75000"/>
  </r>
  <r>
    <x v="1"/>
    <x v="13"/>
    <s v="Tuition Waiver Adjustments"/>
    <m/>
    <x v="12"/>
    <m/>
    <m/>
    <n v="350000"/>
    <n v="350000"/>
    <m/>
    <m/>
    <m/>
    <m/>
    <n v="0"/>
    <m/>
    <m/>
    <n v="0"/>
    <n v="350000"/>
    <n v="350000"/>
    <m/>
    <m/>
    <m/>
    <m/>
    <n v="0"/>
    <m/>
    <m/>
    <n v="0"/>
    <m/>
    <m/>
    <m/>
    <m/>
    <n v="350000"/>
    <n v="350000"/>
  </r>
  <r>
    <x v="1"/>
    <x v="14"/>
    <s v="Statewide System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15"/>
    <s v="Colleges and universiti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15"/>
    <s v="Higher Education Coordinating Board"/>
    <m/>
    <x v="12"/>
    <m/>
    <m/>
    <m/>
    <m/>
    <m/>
    <m/>
    <m/>
    <m/>
    <n v="0"/>
    <m/>
    <m/>
    <n v="0"/>
    <n v="0"/>
    <n v="0"/>
    <n v="3974901"/>
    <n v="4032887"/>
    <m/>
    <m/>
    <n v="0"/>
    <m/>
    <m/>
    <n v="0"/>
    <m/>
    <m/>
    <m/>
    <m/>
    <n v="3974901"/>
    <n v="4032887"/>
  </r>
  <r>
    <x v="1"/>
    <x v="15"/>
    <s v="Univ. of Ark System Office"/>
    <m/>
    <x v="12"/>
    <m/>
    <m/>
    <m/>
    <m/>
    <m/>
    <m/>
    <m/>
    <m/>
    <n v="0"/>
    <m/>
    <m/>
    <n v="0"/>
    <n v="0"/>
    <n v="0"/>
    <n v="3734941"/>
    <n v="3598573"/>
    <m/>
    <m/>
    <n v="0"/>
    <m/>
    <m/>
    <n v="0"/>
    <m/>
    <m/>
    <m/>
    <m/>
    <n v="3734941"/>
    <n v="3598573"/>
  </r>
  <r>
    <x v="1"/>
    <x v="15"/>
    <s v="Arkansas State University System Office"/>
    <m/>
    <x v="12"/>
    <m/>
    <m/>
    <m/>
    <m/>
    <m/>
    <m/>
    <m/>
    <m/>
    <n v="0"/>
    <m/>
    <m/>
    <n v="0"/>
    <n v="0"/>
    <n v="0"/>
    <n v="2399160"/>
    <n v="2327652"/>
    <m/>
    <m/>
    <n v="0"/>
    <m/>
    <m/>
    <n v="0"/>
    <m/>
    <m/>
    <m/>
    <m/>
    <n v="2399160"/>
    <n v="2327652"/>
  </r>
  <r>
    <x v="1"/>
    <x v="17"/>
    <s v="National or regional associations, compacts or consortia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17"/>
    <s v="SREB Membe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18"/>
    <s v="Adm. of Statewide Student Aid Progs. (incldng centralized guaranteed student loans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19"/>
    <s v="State Support to Private Colleges Other Than Student Ai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0"/>
    <s v="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1"/>
    <s v="SREB contract program with private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1"/>
    <s v="Ohio College of Podiatric Medicine"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n v="0"/>
    <n v="0"/>
  </r>
  <r>
    <x v="1"/>
    <x v="21"/>
    <s v="Meharry Medical College (Dentistry)"/>
    <m/>
    <x v="12"/>
    <m/>
    <m/>
    <m/>
    <m/>
    <m/>
    <m/>
    <m/>
    <m/>
    <n v="0"/>
    <m/>
    <m/>
    <n v="0"/>
    <n v="0"/>
    <n v="0"/>
    <n v="30000"/>
    <n v="30000"/>
    <m/>
    <m/>
    <n v="0"/>
    <m/>
    <m/>
    <n v="0"/>
    <m/>
    <m/>
    <m/>
    <m/>
    <n v="30000"/>
    <n v="30000"/>
  </r>
  <r>
    <x v="1"/>
    <x v="21"/>
    <s v="Rosalind Franklin University"/>
    <m/>
    <x v="12"/>
    <m/>
    <m/>
    <m/>
    <m/>
    <m/>
    <m/>
    <m/>
    <m/>
    <n v="0"/>
    <m/>
    <m/>
    <n v="0"/>
    <n v="0"/>
    <n v="0"/>
    <n v="8900"/>
    <n v="8900"/>
    <m/>
    <m/>
    <n v="0"/>
    <m/>
    <m/>
    <n v="0"/>
    <m/>
    <m/>
    <m/>
    <m/>
    <n v="8900"/>
    <n v="8900"/>
  </r>
  <r>
    <x v="1"/>
    <x v="21"/>
    <s v="Southern College of Optometry"/>
    <m/>
    <x v="12"/>
    <m/>
    <m/>
    <m/>
    <m/>
    <m/>
    <m/>
    <m/>
    <m/>
    <n v="0"/>
    <m/>
    <m/>
    <n v="0"/>
    <n v="0"/>
    <n v="0"/>
    <n v="262000"/>
    <n v="262000"/>
    <m/>
    <m/>
    <n v="0"/>
    <m/>
    <m/>
    <n v="0"/>
    <m/>
    <m/>
    <m/>
    <m/>
    <n v="262000"/>
    <n v="262000"/>
  </r>
  <r>
    <x v="1"/>
    <x v="21"/>
    <s v="Virginia College of Osteopathic Medicine"/>
    <m/>
    <x v="12"/>
    <m/>
    <m/>
    <m/>
    <m/>
    <m/>
    <m/>
    <m/>
    <m/>
    <n v="0"/>
    <m/>
    <m/>
    <n v="0"/>
    <n v="0"/>
    <n v="0"/>
    <n v="13100"/>
    <n v="26200"/>
    <m/>
    <m/>
    <n v="0"/>
    <m/>
    <m/>
    <n v="0"/>
    <m/>
    <m/>
    <m/>
    <m/>
    <n v="13100"/>
    <n v="26200"/>
  </r>
  <r>
    <x v="1"/>
    <x v="21"/>
    <s v="Southeastern University College of Osteopathic Medicine (NOVA)"/>
    <m/>
    <x v="12"/>
    <m/>
    <m/>
    <m/>
    <m/>
    <m/>
    <m/>
    <m/>
    <m/>
    <n v="0"/>
    <m/>
    <m/>
    <n v="0"/>
    <n v="0"/>
    <n v="0"/>
    <n v="13100"/>
    <n v="13100"/>
    <m/>
    <m/>
    <n v="0"/>
    <m/>
    <m/>
    <n v="0"/>
    <m/>
    <m/>
    <m/>
    <m/>
    <n v="13100"/>
    <n v="13100"/>
  </r>
  <r>
    <x v="1"/>
    <x v="22"/>
    <s v="SREB contract program with public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2"/>
    <s v="Louisiana State Univ. Medical Center (Dentistry)"/>
    <m/>
    <x v="12"/>
    <m/>
    <m/>
    <m/>
    <m/>
    <m/>
    <m/>
    <m/>
    <m/>
    <n v="0"/>
    <m/>
    <m/>
    <n v="0"/>
    <n v="0"/>
    <n v="0"/>
    <n v="135000"/>
    <n v="135000"/>
    <m/>
    <m/>
    <n v="0"/>
    <m/>
    <m/>
    <n v="0"/>
    <m/>
    <m/>
    <m/>
    <m/>
    <n v="135000"/>
    <n v="135000"/>
  </r>
  <r>
    <x v="1"/>
    <x v="22"/>
    <s v="Mississippi State University (Veterinary Medicine)"/>
    <m/>
    <x v="12"/>
    <m/>
    <m/>
    <m/>
    <m/>
    <m/>
    <m/>
    <m/>
    <m/>
    <n v="0"/>
    <m/>
    <m/>
    <n v="0"/>
    <n v="0"/>
    <n v="0"/>
    <n v="44800"/>
    <n v="44800"/>
    <m/>
    <m/>
    <n v="0"/>
    <m/>
    <m/>
    <n v="0"/>
    <m/>
    <m/>
    <m/>
    <m/>
    <n v="44800"/>
    <n v="44800"/>
  </r>
  <r>
    <x v="1"/>
    <x v="22"/>
    <s v="Oklahoma State University (Osteopathic Medicine)"/>
    <m/>
    <x v="12"/>
    <m/>
    <m/>
    <m/>
    <m/>
    <m/>
    <m/>
    <m/>
    <m/>
    <n v="0"/>
    <m/>
    <m/>
    <n v="0"/>
    <n v="0"/>
    <n v="0"/>
    <n v="39300"/>
    <n v="65500"/>
    <m/>
    <m/>
    <n v="0"/>
    <m/>
    <m/>
    <n v="0"/>
    <m/>
    <m/>
    <m/>
    <m/>
    <n v="39300"/>
    <n v="65500"/>
  </r>
  <r>
    <x v="1"/>
    <x v="22"/>
    <s v="University of Tennessee (Dentistry)"/>
    <m/>
    <x v="12"/>
    <m/>
    <m/>
    <m/>
    <m/>
    <m/>
    <m/>
    <m/>
    <m/>
    <n v="0"/>
    <m/>
    <m/>
    <n v="0"/>
    <n v="0"/>
    <n v="0"/>
    <n v="1012000"/>
    <n v="1035500"/>
    <m/>
    <m/>
    <n v="0"/>
    <m/>
    <m/>
    <n v="0"/>
    <m/>
    <m/>
    <m/>
    <m/>
    <n v="1012000"/>
    <n v="1035500"/>
  </r>
  <r>
    <x v="1"/>
    <x v="22"/>
    <s v="University of Oklahoma (Dentistry)"/>
    <m/>
    <x v="12"/>
    <m/>
    <m/>
    <m/>
    <m/>
    <m/>
    <m/>
    <m/>
    <m/>
    <n v="0"/>
    <m/>
    <m/>
    <n v="0"/>
    <n v="0"/>
    <n v="0"/>
    <n v="44880"/>
    <n v="15000"/>
    <m/>
    <m/>
    <n v="0"/>
    <m/>
    <m/>
    <n v="0"/>
    <m/>
    <m/>
    <m/>
    <m/>
    <n v="44880"/>
    <n v="15000"/>
  </r>
  <r>
    <x v="1"/>
    <x v="22"/>
    <s v="Baylor College of Medicine-Texas A&amp;M (Dentistry)"/>
    <m/>
    <x v="12"/>
    <m/>
    <m/>
    <m/>
    <m/>
    <m/>
    <m/>
    <m/>
    <m/>
    <n v="0"/>
    <m/>
    <m/>
    <n v="0"/>
    <n v="0"/>
    <n v="0"/>
    <n v="60000"/>
    <n v="60000"/>
    <m/>
    <m/>
    <n v="0"/>
    <m/>
    <m/>
    <n v="0"/>
    <m/>
    <m/>
    <m/>
    <m/>
    <n v="60000"/>
    <n v="60000"/>
  </r>
  <r>
    <x v="1"/>
    <x v="22"/>
    <s v="Louisiana State University (Veterinary Medicine)"/>
    <m/>
    <x v="12"/>
    <m/>
    <m/>
    <m/>
    <m/>
    <m/>
    <m/>
    <m/>
    <m/>
    <n v="0"/>
    <m/>
    <m/>
    <n v="0"/>
    <n v="0"/>
    <n v="0"/>
    <n v="784000"/>
    <n v="772800"/>
    <m/>
    <m/>
    <n v="0"/>
    <m/>
    <m/>
    <n v="0"/>
    <m/>
    <m/>
    <m/>
    <m/>
    <n v="784000"/>
    <n v="772800"/>
  </r>
  <r>
    <x v="1"/>
    <x v="22"/>
    <s v="Northeastern University (Optometry)"/>
    <m/>
    <x v="12"/>
    <m/>
    <m/>
    <m/>
    <m/>
    <m/>
    <m/>
    <m/>
    <m/>
    <n v="0"/>
    <m/>
    <m/>
    <n v="0"/>
    <n v="0"/>
    <n v="0"/>
    <n v="65500"/>
    <n v="78600"/>
    <m/>
    <m/>
    <n v="0"/>
    <m/>
    <m/>
    <n v="0"/>
    <m/>
    <m/>
    <m/>
    <m/>
    <n v="65500"/>
    <n v="78600"/>
  </r>
  <r>
    <x v="1"/>
    <x v="22"/>
    <s v="University of Louisville (Dentistry)"/>
    <m/>
    <x v="12"/>
    <m/>
    <m/>
    <m/>
    <m/>
    <m/>
    <m/>
    <m/>
    <m/>
    <n v="0"/>
    <m/>
    <m/>
    <n v="0"/>
    <n v="0"/>
    <n v="0"/>
    <n v="90000"/>
    <n v="75000"/>
    <m/>
    <m/>
    <n v="0"/>
    <m/>
    <m/>
    <n v="0"/>
    <m/>
    <m/>
    <m/>
    <m/>
    <n v="90000"/>
    <n v="75000"/>
  </r>
  <r>
    <x v="1"/>
    <x v="22"/>
    <s v="University of Alabama - Birmingham (Dentistry)"/>
    <m/>
    <x v="12"/>
    <m/>
    <m/>
    <m/>
    <m/>
    <m/>
    <m/>
    <m/>
    <m/>
    <n v="0"/>
    <m/>
    <m/>
    <n v="0"/>
    <n v="0"/>
    <n v="0"/>
    <n v="15000"/>
    <n v="15000"/>
    <m/>
    <m/>
    <n v="0"/>
    <m/>
    <m/>
    <n v="0"/>
    <m/>
    <m/>
    <m/>
    <m/>
    <n v="15000"/>
    <n v="15000"/>
  </r>
  <r>
    <x v="1"/>
    <x v="23"/>
    <s v="Other contract education programs"/>
    <m/>
    <x v="12"/>
    <m/>
    <m/>
    <m/>
    <m/>
    <m/>
    <m/>
    <m/>
    <m/>
    <n v="0"/>
    <m/>
    <m/>
    <n v="0"/>
    <n v="0"/>
    <n v="0"/>
    <n v="377100"/>
    <n v="438200"/>
    <m/>
    <m/>
    <n v="0"/>
    <m/>
    <m/>
    <n v="0"/>
    <m/>
    <m/>
    <m/>
    <m/>
    <n v="377100"/>
    <n v="438200"/>
  </r>
  <r>
    <x v="1"/>
    <x v="24"/>
    <s v="Statewide Student Financial Aid Programs Administered Off Campu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5"/>
    <s v="Available to public &amp;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5"/>
    <s v="Governor's Scholar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0"/>
    <s v="Non need-based"/>
    <m/>
    <x v="12"/>
    <m/>
    <m/>
    <m/>
    <m/>
    <m/>
    <m/>
    <m/>
    <m/>
    <n v="0"/>
    <m/>
    <m/>
    <n v="0"/>
    <n v="0"/>
    <n v="0"/>
    <n v="6739650"/>
    <n v="7248760"/>
    <m/>
    <m/>
    <n v="0"/>
    <m/>
    <m/>
    <n v="0"/>
    <m/>
    <m/>
    <m/>
    <m/>
    <n v="6739650"/>
    <n v="7248760"/>
  </r>
  <r>
    <x v="1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3"/>
    <s v="Non need-based"/>
    <m/>
    <x v="12"/>
    <m/>
    <m/>
    <m/>
    <m/>
    <m/>
    <m/>
    <m/>
    <m/>
    <n v="0"/>
    <m/>
    <m/>
    <n v="0"/>
    <n v="0"/>
    <n v="0"/>
    <n v="2557040"/>
    <n v="2729000"/>
    <m/>
    <m/>
    <n v="0"/>
    <m/>
    <m/>
    <n v="0"/>
    <m/>
    <m/>
    <m/>
    <m/>
    <n v="2557040"/>
    <n v="2729000"/>
  </r>
  <r>
    <x v="1"/>
    <x v="25"/>
    <s v="Arkansas Academic Challenge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9"/>
    <s v="Need-based"/>
    <m/>
    <x v="12"/>
    <m/>
    <m/>
    <m/>
    <m/>
    <m/>
    <m/>
    <m/>
    <m/>
    <n v="0"/>
    <m/>
    <m/>
    <n v="0"/>
    <n v="0"/>
    <n v="0"/>
    <n v="16772601"/>
    <n v="18600000"/>
    <m/>
    <m/>
    <n v="0"/>
    <m/>
    <m/>
    <n v="0"/>
    <m/>
    <m/>
    <m/>
    <m/>
    <n v="16772601"/>
    <n v="18600000"/>
  </r>
  <r>
    <x v="1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2"/>
    <s v="Need-based"/>
    <m/>
    <x v="12"/>
    <m/>
    <m/>
    <m/>
    <m/>
    <m/>
    <m/>
    <m/>
    <m/>
    <n v="0"/>
    <m/>
    <m/>
    <n v="0"/>
    <n v="0"/>
    <n v="0"/>
    <n v="2207070"/>
    <n v="2390000"/>
    <m/>
    <m/>
    <n v="0"/>
    <m/>
    <m/>
    <n v="0"/>
    <m/>
    <m/>
    <m/>
    <m/>
    <n v="2207070"/>
    <n v="2390000"/>
  </r>
  <r>
    <x v="1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5"/>
    <s v="Higher Education Opportunities Grant (GO! Opportunities Grant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9"/>
    <s v="Need-based"/>
    <m/>
    <x v="12"/>
    <m/>
    <m/>
    <m/>
    <m/>
    <m/>
    <m/>
    <m/>
    <m/>
    <n v="0"/>
    <m/>
    <m/>
    <n v="0"/>
    <n v="0"/>
    <n v="0"/>
    <n v="888506"/>
    <n v="1278722"/>
    <m/>
    <m/>
    <n v="0"/>
    <m/>
    <m/>
    <n v="0"/>
    <m/>
    <m/>
    <m/>
    <m/>
    <n v="888506"/>
    <n v="1278722"/>
  </r>
  <r>
    <x v="1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2"/>
    <s v="Need-based"/>
    <m/>
    <x v="12"/>
    <m/>
    <m/>
    <m/>
    <m/>
    <m/>
    <m/>
    <m/>
    <m/>
    <n v="0"/>
    <m/>
    <m/>
    <n v="0"/>
    <n v="0"/>
    <n v="0"/>
    <n v="97750"/>
    <n v="152500"/>
    <m/>
    <m/>
    <n v="0"/>
    <m/>
    <m/>
    <n v="0"/>
    <m/>
    <m/>
    <m/>
    <m/>
    <n v="97750"/>
    <n v="152500"/>
  </r>
  <r>
    <x v="1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5"/>
    <s v="Teacher Opportunity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0"/>
    <s v="Non need-based"/>
    <m/>
    <x v="12"/>
    <m/>
    <m/>
    <m/>
    <m/>
    <m/>
    <m/>
    <m/>
    <m/>
    <n v="0"/>
    <m/>
    <m/>
    <n v="0"/>
    <n v="0"/>
    <n v="0"/>
    <n v="55829"/>
    <n v="75000"/>
    <m/>
    <m/>
    <n v="0"/>
    <m/>
    <m/>
    <n v="0"/>
    <m/>
    <m/>
    <m/>
    <m/>
    <n v="55829"/>
    <n v="75000"/>
  </r>
  <r>
    <x v="1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3"/>
    <s v="Non need-based"/>
    <m/>
    <x v="12"/>
    <m/>
    <m/>
    <m/>
    <m/>
    <m/>
    <m/>
    <m/>
    <m/>
    <n v="0"/>
    <m/>
    <m/>
    <n v="0"/>
    <n v="0"/>
    <n v="0"/>
    <n v="7627"/>
    <n v="5000"/>
    <m/>
    <m/>
    <n v="0"/>
    <m/>
    <m/>
    <n v="0"/>
    <m/>
    <m/>
    <m/>
    <m/>
    <n v="7627"/>
    <n v="5000"/>
  </r>
  <r>
    <x v="1"/>
    <x v="25"/>
    <s v="Second Effort Scholarship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0"/>
    <s v="Non need-based"/>
    <m/>
    <x v="12"/>
    <m/>
    <m/>
    <m/>
    <m/>
    <m/>
    <m/>
    <m/>
    <m/>
    <n v="0"/>
    <m/>
    <m/>
    <n v="0"/>
    <n v="0"/>
    <n v="0"/>
    <n v="14917"/>
    <n v="13958"/>
    <m/>
    <m/>
    <n v="0"/>
    <m/>
    <m/>
    <n v="0"/>
    <m/>
    <m/>
    <m/>
    <m/>
    <n v="14917"/>
    <n v="13958"/>
  </r>
  <r>
    <x v="1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3"/>
    <s v="Non need-based"/>
    <m/>
    <x v="12"/>
    <m/>
    <m/>
    <m/>
    <m/>
    <m/>
    <m/>
    <m/>
    <m/>
    <n v="0"/>
    <m/>
    <m/>
    <n v="0"/>
    <n v="0"/>
    <n v="0"/>
    <n v="1000"/>
    <n v="0"/>
    <m/>
    <m/>
    <n v="0"/>
    <m/>
    <m/>
    <n v="0"/>
    <m/>
    <m/>
    <m/>
    <m/>
    <n v="1000"/>
    <n v="0"/>
  </r>
  <r>
    <x v="1"/>
    <x v="25"/>
    <s v="MIA/KIA Dependents'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0"/>
    <s v="Non need-based"/>
    <m/>
    <x v="12"/>
    <m/>
    <m/>
    <m/>
    <m/>
    <m/>
    <m/>
    <m/>
    <m/>
    <n v="0"/>
    <m/>
    <m/>
    <n v="0"/>
    <n v="0"/>
    <n v="0"/>
    <n v="192000"/>
    <n v="279000"/>
    <m/>
    <m/>
    <n v="0"/>
    <m/>
    <m/>
    <n v="0"/>
    <m/>
    <m/>
    <m/>
    <m/>
    <n v="192000"/>
    <n v="279000"/>
  </r>
  <r>
    <x v="1"/>
    <x v="31"/>
    <s v="Amount to private sector students"/>
    <m/>
    <x v="12"/>
    <m/>
    <m/>
    <m/>
    <m/>
    <m/>
    <m/>
    <m/>
    <m/>
    <n v="0"/>
    <m/>
    <m/>
    <n v="0"/>
    <n v="0"/>
    <n v="0"/>
    <s v="Can be entries here just happens to be blank?"/>
    <m/>
    <m/>
    <m/>
    <n v="0"/>
    <m/>
    <m/>
    <n v="0"/>
    <m/>
    <m/>
    <m/>
    <m/>
    <n v="0"/>
    <n v="0"/>
  </r>
  <r>
    <x v="1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5"/>
    <s v="National Guard Scholarship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0"/>
    <s v="Non need-based"/>
    <m/>
    <x v="12"/>
    <m/>
    <m/>
    <m/>
    <m/>
    <m/>
    <m/>
    <m/>
    <m/>
    <n v="0"/>
    <m/>
    <m/>
    <n v="0"/>
    <n v="0"/>
    <n v="0"/>
    <n v="455000"/>
    <n v="458500"/>
    <m/>
    <m/>
    <n v="0"/>
    <m/>
    <m/>
    <n v="0"/>
    <m/>
    <m/>
    <m/>
    <m/>
    <n v="455000"/>
    <n v="458500"/>
  </r>
  <r>
    <x v="1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3"/>
    <s v="Non need-based"/>
    <m/>
    <x v="12"/>
    <m/>
    <m/>
    <m/>
    <m/>
    <m/>
    <m/>
    <m/>
    <m/>
    <n v="0"/>
    <m/>
    <m/>
    <n v="0"/>
    <n v="0"/>
    <n v="0"/>
    <n v="45000"/>
    <n v="41500"/>
    <m/>
    <m/>
    <n v="0"/>
    <m/>
    <m/>
    <n v="0"/>
    <m/>
    <m/>
    <m/>
    <m/>
    <n v="45000"/>
    <n v="41500"/>
  </r>
  <r>
    <x v="1"/>
    <x v="25"/>
    <s v="Junior/Senior Minority Scholarship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0"/>
    <s v="Non need-based"/>
    <m/>
    <x v="12"/>
    <m/>
    <m/>
    <m/>
    <m/>
    <m/>
    <m/>
    <m/>
    <m/>
    <n v="0"/>
    <m/>
    <m/>
    <n v="0"/>
    <n v="0"/>
    <n v="0"/>
    <n v="206868"/>
    <n v="267465"/>
    <m/>
    <m/>
    <n v="0"/>
    <m/>
    <m/>
    <n v="0"/>
    <m/>
    <m/>
    <m/>
    <m/>
    <n v="206868"/>
    <n v="267465"/>
  </r>
  <r>
    <x v="1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3"/>
    <s v="Non need-based"/>
    <m/>
    <x v="12"/>
    <m/>
    <m/>
    <m/>
    <m/>
    <m/>
    <m/>
    <m/>
    <m/>
    <n v="0"/>
    <m/>
    <m/>
    <n v="0"/>
    <n v="0"/>
    <n v="0"/>
    <n v="10000"/>
    <n v="10000"/>
    <m/>
    <m/>
    <n v="0"/>
    <m/>
    <m/>
    <n v="0"/>
    <m/>
    <m/>
    <m/>
    <m/>
    <n v="10000"/>
    <n v="10000"/>
  </r>
  <r>
    <x v="1"/>
    <x v="25"/>
    <s v="Minority Master's Fellows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0"/>
    <s v="Non need-based"/>
    <m/>
    <x v="12"/>
    <m/>
    <m/>
    <m/>
    <m/>
    <m/>
    <m/>
    <m/>
    <m/>
    <n v="0"/>
    <m/>
    <m/>
    <n v="0"/>
    <n v="0"/>
    <n v="0"/>
    <n v="132500"/>
    <n v="328750"/>
    <m/>
    <m/>
    <n v="0"/>
    <m/>
    <m/>
    <n v="0"/>
    <m/>
    <m/>
    <m/>
    <m/>
    <n v="132500"/>
    <n v="328750"/>
  </r>
  <r>
    <x v="1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3"/>
    <s v="Non need-based"/>
    <m/>
    <x v="12"/>
    <m/>
    <m/>
    <m/>
    <m/>
    <m/>
    <m/>
    <m/>
    <m/>
    <n v="0"/>
    <m/>
    <m/>
    <n v="0"/>
    <n v="0"/>
    <n v="0"/>
    <n v="0"/>
    <n v="57500"/>
    <m/>
    <m/>
    <n v="0"/>
    <m/>
    <m/>
    <n v="0"/>
    <m/>
    <m/>
    <m/>
    <m/>
    <n v="0"/>
    <n v="57500"/>
  </r>
  <r>
    <x v="1"/>
    <x v="25"/>
    <s v="SREB Doctoral Scholars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6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7"/>
    <s v="Non need-based"/>
    <m/>
    <x v="12"/>
    <m/>
    <m/>
    <m/>
    <m/>
    <m/>
    <m/>
    <m/>
    <m/>
    <n v="0"/>
    <m/>
    <m/>
    <n v="0"/>
    <n v="0"/>
    <n v="0"/>
    <n v="200000"/>
    <n v="200000"/>
    <m/>
    <m/>
    <n v="0"/>
    <m/>
    <m/>
    <n v="0"/>
    <m/>
    <m/>
    <m/>
    <m/>
    <n v="200000"/>
    <n v="200000"/>
  </r>
  <r>
    <x v="1"/>
    <x v="28"/>
    <s v="Amount to public sector students"/>
    <m/>
    <x v="12"/>
    <m/>
    <m/>
    <m/>
    <m/>
    <m/>
    <m/>
    <m/>
    <m/>
    <n v="0"/>
    <m/>
    <m/>
    <n v="0"/>
    <n v="0"/>
    <n v="0"/>
    <s v="No detail on sector?"/>
    <m/>
    <m/>
    <m/>
    <n v="0"/>
    <m/>
    <m/>
    <n v="0"/>
    <m/>
    <m/>
    <m/>
    <m/>
    <n v="0"/>
    <n v="0"/>
  </r>
  <r>
    <x v="1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5"/>
    <s v="Geographical Critical Needs Teacher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0"/>
    <s v="Non need-based"/>
    <m/>
    <x v="12"/>
    <m/>
    <m/>
    <m/>
    <m/>
    <m/>
    <m/>
    <m/>
    <m/>
    <n v="0"/>
    <m/>
    <m/>
    <n v="0"/>
    <n v="0"/>
    <n v="0"/>
    <n v="109125"/>
    <n v="121875"/>
    <m/>
    <m/>
    <n v="0"/>
    <m/>
    <m/>
    <n v="0"/>
    <m/>
    <m/>
    <m/>
    <m/>
    <n v="109125"/>
    <n v="121875"/>
  </r>
  <r>
    <x v="1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3"/>
    <s v="Non need-based"/>
    <m/>
    <x v="12"/>
    <m/>
    <m/>
    <m/>
    <m/>
    <m/>
    <m/>
    <m/>
    <m/>
    <n v="0"/>
    <m/>
    <m/>
    <n v="0"/>
    <n v="0"/>
    <n v="0"/>
    <n v="5250"/>
    <n v="1500"/>
    <m/>
    <m/>
    <n v="0"/>
    <m/>
    <m/>
    <n v="0"/>
    <m/>
    <m/>
    <m/>
    <m/>
    <n v="5250"/>
    <n v="1500"/>
  </r>
  <r>
    <x v="1"/>
    <x v="25"/>
    <s v="Workforce Improvement Grant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9"/>
    <s v="Need-based"/>
    <m/>
    <x v="12"/>
    <m/>
    <m/>
    <m/>
    <m/>
    <m/>
    <m/>
    <m/>
    <m/>
    <n v="0"/>
    <m/>
    <m/>
    <n v="0"/>
    <n v="0"/>
    <n v="0"/>
    <n v="3538938"/>
    <n v="3429828"/>
    <m/>
    <m/>
    <n v="0"/>
    <m/>
    <m/>
    <n v="0"/>
    <m/>
    <m/>
    <m/>
    <m/>
    <n v="3538938"/>
    <n v="3429828"/>
  </r>
  <r>
    <x v="1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1"/>
    <s v="Amount to private sector students"/>
    <s v=" "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2"/>
    <s v="Need-based"/>
    <m/>
    <x v="12"/>
    <m/>
    <m/>
    <m/>
    <m/>
    <m/>
    <m/>
    <m/>
    <m/>
    <n v="0"/>
    <m/>
    <m/>
    <n v="0"/>
    <n v="0"/>
    <n v="0"/>
    <n v="180329"/>
    <n v="180517"/>
    <m/>
    <m/>
    <n v="0"/>
    <m/>
    <m/>
    <n v="0"/>
    <m/>
    <m/>
    <m/>
    <m/>
    <n v="180329"/>
    <n v="180517"/>
  </r>
  <r>
    <x v="1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5"/>
    <s v="State Teacher Assistance Resource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0"/>
    <s v="Non need-based"/>
    <m/>
    <x v="12"/>
    <m/>
    <m/>
    <m/>
    <m/>
    <m/>
    <m/>
    <m/>
    <m/>
    <n v="0"/>
    <m/>
    <m/>
    <n v="0"/>
    <n v="0"/>
    <n v="0"/>
    <n v="1717656"/>
    <n v="1213627"/>
    <m/>
    <m/>
    <n v="0"/>
    <m/>
    <m/>
    <n v="0"/>
    <m/>
    <m/>
    <m/>
    <m/>
    <n v="1717656"/>
    <n v="1213627"/>
  </r>
  <r>
    <x v="1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3"/>
    <s v="Non need-based"/>
    <m/>
    <x v="12"/>
    <m/>
    <m/>
    <m/>
    <m/>
    <m/>
    <m/>
    <m/>
    <m/>
    <n v="0"/>
    <m/>
    <m/>
    <n v="0"/>
    <n v="0"/>
    <n v="0"/>
    <n v="117000"/>
    <n v="154500"/>
    <m/>
    <m/>
    <n v="0"/>
    <m/>
    <m/>
    <n v="0"/>
    <m/>
    <m/>
    <m/>
    <m/>
    <n v="117000"/>
    <n v="154500"/>
  </r>
  <r>
    <x v="1"/>
    <x v="34"/>
    <s v="Limited to public college students onl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4"/>
    <s v="Surviving Chidren of Law Enforcement Offs.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5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"/>
    <x v="36"/>
    <s v="Non need-based"/>
    <m/>
    <x v="12"/>
    <m/>
    <m/>
    <m/>
    <m/>
    <m/>
    <m/>
    <m/>
    <m/>
    <n v="0"/>
    <m/>
    <m/>
    <n v="0"/>
    <n v="0"/>
    <n v="0"/>
    <n v="147755"/>
    <n v="146000"/>
    <m/>
    <m/>
    <n v="0"/>
    <m/>
    <m/>
    <n v="0"/>
    <m/>
    <m/>
    <m/>
    <m/>
    <n v="147755"/>
    <n v="146000"/>
  </r>
  <r>
    <x v="2"/>
    <x v="0"/>
    <s v="University of Delaware"/>
    <n v="130943"/>
    <x v="0"/>
    <n v="122142600"/>
    <n v="124927700"/>
    <m/>
    <m/>
    <m/>
    <m/>
    <n v="297872000"/>
    <n v="0"/>
    <n v="297872000"/>
    <n v="327814100"/>
    <m/>
    <n v="327814100"/>
    <n v="420014600"/>
    <n v="452741800"/>
    <m/>
    <m/>
    <m/>
    <m/>
    <n v="0"/>
    <m/>
    <m/>
    <n v="0"/>
    <m/>
    <m/>
    <m/>
    <m/>
    <n v="420014600"/>
    <n v="452741800"/>
  </r>
  <r>
    <x v="2"/>
    <x v="3"/>
    <s v="Community/Public Service"/>
    <n v="13094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"/>
    <s v="The College School"/>
    <n v="130943"/>
    <x v="0"/>
    <m/>
    <m/>
    <n v="91800"/>
    <n v="91800"/>
    <m/>
    <m/>
    <m/>
    <m/>
    <n v="0"/>
    <m/>
    <m/>
    <n v="0"/>
    <n v="91800"/>
    <n v="91800"/>
    <m/>
    <m/>
    <m/>
    <m/>
    <n v="0"/>
    <m/>
    <m/>
    <n v="0"/>
    <m/>
    <m/>
    <m/>
    <m/>
    <n v="91800"/>
    <n v="91800"/>
  </r>
  <r>
    <x v="2"/>
    <x v="5"/>
    <s v="Agricultural cooperative extension"/>
    <n v="130943"/>
    <x v="0"/>
    <m/>
    <m/>
    <n v="2651300"/>
    <n v="2471100"/>
    <m/>
    <m/>
    <m/>
    <m/>
    <n v="0"/>
    <m/>
    <m/>
    <n v="0"/>
    <n v="2651300"/>
    <n v="2471100"/>
    <m/>
    <m/>
    <m/>
    <m/>
    <n v="0"/>
    <m/>
    <m/>
    <n v="0"/>
    <m/>
    <m/>
    <m/>
    <m/>
    <n v="2651300"/>
    <n v="2471100"/>
  </r>
  <r>
    <x v="2"/>
    <x v="6"/>
    <s v="Agricultural experiment stations"/>
    <n v="130943"/>
    <x v="0"/>
    <m/>
    <m/>
    <n v="2271300"/>
    <n v="2817000"/>
    <m/>
    <m/>
    <m/>
    <m/>
    <n v="0"/>
    <m/>
    <m/>
    <n v="0"/>
    <n v="2271300"/>
    <n v="2817000"/>
    <m/>
    <m/>
    <m/>
    <m/>
    <n v="0"/>
    <m/>
    <m/>
    <n v="0"/>
    <m/>
    <m/>
    <m/>
    <m/>
    <n v="2271300"/>
    <n v="2817000"/>
  </r>
  <r>
    <x v="2"/>
    <x v="7"/>
    <s v="Research centers/institutes"/>
    <n v="13094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7"/>
    <s v="Delaware Biotech Institute Operating Funds"/>
    <n v="130943"/>
    <x v="0"/>
    <m/>
    <m/>
    <n v="584800"/>
    <n v="734300"/>
    <m/>
    <m/>
    <m/>
    <m/>
    <n v="0"/>
    <m/>
    <m/>
    <n v="0"/>
    <n v="584800"/>
    <n v="734300"/>
    <m/>
    <m/>
    <m/>
    <m/>
    <n v="0"/>
    <m/>
    <m/>
    <n v="0"/>
    <m/>
    <m/>
    <m/>
    <m/>
    <n v="584800"/>
    <n v="734300"/>
  </r>
  <r>
    <x v="2"/>
    <x v="7"/>
    <s v="Sea Grant"/>
    <n v="130943"/>
    <x v="0"/>
    <m/>
    <m/>
    <n v="559000"/>
    <n v="559000"/>
    <m/>
    <m/>
    <m/>
    <m/>
    <n v="0"/>
    <m/>
    <m/>
    <n v="0"/>
    <n v="559000"/>
    <n v="559000"/>
    <m/>
    <m/>
    <m/>
    <m/>
    <n v="0"/>
    <m/>
    <m/>
    <n v="0"/>
    <m/>
    <m/>
    <m/>
    <m/>
    <n v="559000"/>
    <n v="559000"/>
  </r>
  <r>
    <x v="2"/>
    <x v="7"/>
    <s v="Urban Agent"/>
    <n v="130943"/>
    <x v="0"/>
    <m/>
    <m/>
    <n v="135600"/>
    <n v="135600"/>
    <m/>
    <m/>
    <m/>
    <m/>
    <n v="0"/>
    <m/>
    <m/>
    <n v="0"/>
    <n v="135600"/>
    <n v="135600"/>
    <m/>
    <m/>
    <m/>
    <m/>
    <n v="0"/>
    <m/>
    <m/>
    <n v="0"/>
    <m/>
    <m/>
    <m/>
    <m/>
    <n v="135600"/>
    <n v="135600"/>
  </r>
  <r>
    <x v="2"/>
    <x v="7"/>
    <s v="Public Service &amp; Applied Research Projects"/>
    <n v="130943"/>
    <x v="0"/>
    <m/>
    <m/>
    <n v="452900"/>
    <n v="452900"/>
    <m/>
    <m/>
    <m/>
    <m/>
    <n v="0"/>
    <m/>
    <m/>
    <n v="0"/>
    <n v="452900"/>
    <n v="452900"/>
    <m/>
    <m/>
    <m/>
    <m/>
    <n v="0"/>
    <m/>
    <m/>
    <n v="0"/>
    <m/>
    <m/>
    <m/>
    <m/>
    <n v="452900"/>
    <n v="452900"/>
  </r>
  <r>
    <x v="2"/>
    <x v="7"/>
    <s v="Local Government Research &amp; Assistance"/>
    <n v="130943"/>
    <x v="0"/>
    <m/>
    <m/>
    <n v="238700"/>
    <n v="238700"/>
    <m/>
    <m/>
    <m/>
    <m/>
    <n v="0"/>
    <m/>
    <m/>
    <n v="0"/>
    <n v="238700"/>
    <n v="238700"/>
    <m/>
    <m/>
    <m/>
    <m/>
    <n v="0"/>
    <m/>
    <m/>
    <n v="0"/>
    <m/>
    <m/>
    <m/>
    <m/>
    <n v="238700"/>
    <n v="238700"/>
  </r>
  <r>
    <x v="2"/>
    <x v="7"/>
    <s v="Research on School Finance"/>
    <n v="130943"/>
    <x v="0"/>
    <m/>
    <m/>
    <n v="90500"/>
    <n v="90500"/>
    <m/>
    <m/>
    <m/>
    <m/>
    <n v="0"/>
    <m/>
    <m/>
    <n v="0"/>
    <n v="90500"/>
    <n v="90500"/>
    <m/>
    <m/>
    <m/>
    <m/>
    <n v="0"/>
    <m/>
    <m/>
    <n v="0"/>
    <m/>
    <m/>
    <m/>
    <m/>
    <n v="90500"/>
    <n v="90500"/>
  </r>
  <r>
    <x v="2"/>
    <x v="7"/>
    <s v="Delaware Education Research &amp; Development Center"/>
    <n v="130943"/>
    <x v="0"/>
    <m/>
    <m/>
    <n v="235100"/>
    <n v="235100"/>
    <m/>
    <m/>
    <m/>
    <m/>
    <n v="0"/>
    <m/>
    <m/>
    <n v="0"/>
    <n v="235100"/>
    <n v="235100"/>
    <m/>
    <m/>
    <m/>
    <m/>
    <n v="0"/>
    <m/>
    <m/>
    <n v="0"/>
    <m/>
    <m/>
    <m/>
    <m/>
    <n v="235100"/>
    <n v="235100"/>
  </r>
  <r>
    <x v="2"/>
    <x v="7"/>
    <s v="Geological Survey"/>
    <n v="130943"/>
    <x v="0"/>
    <m/>
    <m/>
    <n v="1741900"/>
    <n v="1766100"/>
    <m/>
    <m/>
    <m/>
    <m/>
    <n v="0"/>
    <m/>
    <m/>
    <n v="0"/>
    <n v="1741900"/>
    <n v="1766100"/>
    <m/>
    <m/>
    <m/>
    <m/>
    <n v="0"/>
    <m/>
    <m/>
    <n v="0"/>
    <m/>
    <m/>
    <m/>
    <m/>
    <n v="1741900"/>
    <n v="1766100"/>
  </r>
  <r>
    <x v="2"/>
    <x v="0"/>
    <s v="Delaware State University"/>
    <n v="130934"/>
    <x v="3"/>
    <n v="35357200"/>
    <n v="38787500"/>
    <m/>
    <m/>
    <m/>
    <m/>
    <n v="34455846"/>
    <n v="1630932"/>
    <n v="36086778"/>
    <n v="28275584"/>
    <n v="3369319"/>
    <n v="31644903"/>
    <n v="69813046"/>
    <n v="67063084"/>
    <m/>
    <m/>
    <m/>
    <m/>
    <n v="0"/>
    <m/>
    <m/>
    <n v="0"/>
    <m/>
    <m/>
    <m/>
    <m/>
    <n v="69813046"/>
    <n v="67063084"/>
  </r>
  <r>
    <x v="2"/>
    <x v="5"/>
    <s v="Agricultural cooperative extension"/>
    <n v="130934"/>
    <x v="3"/>
    <s v=" "/>
    <m/>
    <n v="254300"/>
    <m/>
    <m/>
    <m/>
    <m/>
    <m/>
    <n v="0"/>
    <m/>
    <m/>
    <n v="0"/>
    <n v="254300"/>
    <n v="0"/>
    <m/>
    <m/>
    <m/>
    <m/>
    <n v="0"/>
    <m/>
    <m/>
    <n v="0"/>
    <m/>
    <m/>
    <m/>
    <m/>
    <n v="254300"/>
    <n v="0"/>
  </r>
  <r>
    <x v="2"/>
    <x v="6"/>
    <s v="Agricultural experiment stations"/>
    <n v="130934"/>
    <x v="3"/>
    <s v=" "/>
    <m/>
    <n v="338600"/>
    <m/>
    <m/>
    <m/>
    <m/>
    <m/>
    <n v="0"/>
    <m/>
    <m/>
    <n v="0"/>
    <n v="338600"/>
    <n v="0"/>
    <m/>
    <m/>
    <m/>
    <m/>
    <n v="0"/>
    <m/>
    <m/>
    <n v="0"/>
    <m/>
    <m/>
    <m/>
    <m/>
    <n v="338600"/>
    <n v="0"/>
  </r>
  <r>
    <x v="2"/>
    <x v="0"/>
    <s v="Delaware Technical and Community College--Owens"/>
    <n v="130891"/>
    <x v="7"/>
    <n v="17203900"/>
    <n v="18301200"/>
    <m/>
    <m/>
    <m/>
    <m/>
    <n v="9401600"/>
    <n v="0"/>
    <n v="9401600"/>
    <n v="11092500"/>
    <m/>
    <n v="11092500"/>
    <n v="26605500"/>
    <n v="29393700"/>
    <m/>
    <m/>
    <m/>
    <m/>
    <n v="0"/>
    <m/>
    <m/>
    <n v="0"/>
    <m/>
    <m/>
    <m/>
    <m/>
    <n v="26605500"/>
    <n v="29393700"/>
  </r>
  <r>
    <x v="2"/>
    <x v="0"/>
    <s v="Delaware Technical and Community College--Stanton-Wilmington"/>
    <n v="130916"/>
    <x v="7"/>
    <n v="30094000"/>
    <n v="30885000"/>
    <m/>
    <m/>
    <m/>
    <m/>
    <n v="16732600"/>
    <n v="0"/>
    <n v="16732600"/>
    <n v="18390200"/>
    <m/>
    <n v="18390200"/>
    <n v="46826600"/>
    <n v="49275200"/>
    <m/>
    <m/>
    <m/>
    <m/>
    <n v="0"/>
    <m/>
    <m/>
    <n v="0"/>
    <m/>
    <m/>
    <m/>
    <m/>
    <n v="46826600"/>
    <n v="49275200"/>
  </r>
  <r>
    <x v="2"/>
    <x v="0"/>
    <s v="Delaware Technical and Community College--Terry"/>
    <n v="130907"/>
    <x v="8"/>
    <n v="11323000"/>
    <n v="11633900"/>
    <m/>
    <m/>
    <m/>
    <m/>
    <n v="6480100"/>
    <n v="0"/>
    <n v="6480100"/>
    <n v="7931300"/>
    <s v=" "/>
    <n v="7931300"/>
    <n v="17803100"/>
    <n v="19565200"/>
    <m/>
    <m/>
    <m/>
    <m/>
    <n v="0"/>
    <m/>
    <m/>
    <n v="0"/>
    <m/>
    <m/>
    <m/>
    <m/>
    <n v="17803100"/>
    <n v="19565200"/>
  </r>
  <r>
    <x v="2"/>
    <x v="13"/>
    <s v="Educational special-purpose funds-- all other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13"/>
    <s v="Matching Funds Minority Engineering Recruitment"/>
    <m/>
    <x v="12"/>
    <m/>
    <m/>
    <n v="30000"/>
    <n v="30000"/>
    <m/>
    <m/>
    <m/>
    <m/>
    <n v="0"/>
    <m/>
    <m/>
    <n v="0"/>
    <n v="30000"/>
    <n v="30000"/>
    <m/>
    <m/>
    <m/>
    <m/>
    <n v="0"/>
    <m/>
    <m/>
    <n v="0"/>
    <m/>
    <m/>
    <m/>
    <m/>
    <n v="30000"/>
    <n v="30000"/>
  </r>
  <r>
    <x v="2"/>
    <x v="13"/>
    <s v="Matching Funds; Advancement of Minorities in Engineering"/>
    <m/>
    <x v="12"/>
    <m/>
    <m/>
    <n v="255000"/>
    <n v="255000"/>
    <m/>
    <m/>
    <m/>
    <m/>
    <n v="0"/>
    <m/>
    <m/>
    <n v="0"/>
    <n v="255000"/>
    <n v="255000"/>
    <m/>
    <m/>
    <m/>
    <m/>
    <n v="0"/>
    <m/>
    <m/>
    <n v="0"/>
    <m/>
    <m/>
    <m/>
    <m/>
    <n v="255000"/>
    <n v="255000"/>
  </r>
  <r>
    <x v="2"/>
    <x v="13"/>
    <s v="Associate in Arts Program (joint Del. Tech - UD program administered by Del Tech)"/>
    <m/>
    <x v="12"/>
    <m/>
    <m/>
    <n v="2027400"/>
    <n v="1957100"/>
    <m/>
    <m/>
    <m/>
    <m/>
    <n v="0"/>
    <m/>
    <m/>
    <n v="0"/>
    <n v="2027400"/>
    <n v="1957100"/>
    <m/>
    <m/>
    <m/>
    <m/>
    <n v="0"/>
    <m/>
    <m/>
    <n v="0"/>
    <m/>
    <m/>
    <m/>
    <m/>
    <n v="2027400"/>
    <n v="1957100"/>
  </r>
  <r>
    <x v="2"/>
    <x v="13"/>
    <s v="Occupational Teacher Program (Del. Tech.)"/>
    <m/>
    <x v="12"/>
    <m/>
    <m/>
    <n v="36800"/>
    <n v="36800"/>
    <m/>
    <m/>
    <m/>
    <m/>
    <n v="0"/>
    <m/>
    <m/>
    <n v="0"/>
    <n v="36800"/>
    <n v="36800"/>
    <m/>
    <m/>
    <m/>
    <m/>
    <n v="0"/>
    <m/>
    <m/>
    <n v="0"/>
    <m/>
    <m/>
    <m/>
    <m/>
    <n v="36800"/>
    <n v="36800"/>
  </r>
  <r>
    <x v="2"/>
    <x v="14"/>
    <s v="Statewide system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15"/>
    <s v="Colleges and universiti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15"/>
    <s v="DE Higher Education Commission"/>
    <m/>
    <x v="12"/>
    <m/>
    <m/>
    <m/>
    <m/>
    <m/>
    <m/>
    <m/>
    <m/>
    <n v="0"/>
    <m/>
    <m/>
    <n v="0"/>
    <n v="0"/>
    <n v="0"/>
    <n v="874300"/>
    <n v="880600"/>
    <m/>
    <m/>
    <n v="0"/>
    <m/>
    <m/>
    <n v="0"/>
    <m/>
    <m/>
    <m/>
    <m/>
    <n v="874300"/>
    <n v="880600"/>
  </r>
  <r>
    <x v="2"/>
    <x v="16"/>
    <s v="Two-year system(s), if an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16"/>
    <s v="Delaware Tech College System Office"/>
    <m/>
    <x v="12"/>
    <m/>
    <m/>
    <m/>
    <m/>
    <m/>
    <m/>
    <m/>
    <m/>
    <n v="0"/>
    <m/>
    <m/>
    <n v="0"/>
    <n v="0"/>
    <n v="0"/>
    <n v="9459500"/>
    <n v="9542300"/>
    <m/>
    <m/>
    <n v="0"/>
    <m/>
    <m/>
    <n v="0"/>
    <m/>
    <m/>
    <m/>
    <m/>
    <n v="9459500"/>
    <n v="9542300"/>
  </r>
  <r>
    <x v="2"/>
    <x v="17"/>
    <s v="National or regional associations, compacts or consortia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17"/>
    <s v="SREB"/>
    <m/>
    <x v="12"/>
    <m/>
    <m/>
    <m/>
    <m/>
    <m/>
    <m/>
    <m/>
    <m/>
    <n v="0"/>
    <m/>
    <m/>
    <n v="0"/>
    <n v="0"/>
    <n v="0"/>
    <n v="195900"/>
    <n v="193500"/>
    <s v=" "/>
    <m/>
    <n v="0"/>
    <m/>
    <m/>
    <n v="0"/>
    <m/>
    <m/>
    <m/>
    <m/>
    <n v="195900"/>
    <n v="193500"/>
  </r>
  <r>
    <x v="2"/>
    <x v="18"/>
    <s v="Adm. of Statewide Student Aid Programs (including centralized guaranteed student loans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19"/>
    <s v="Support to private colleges other than student financial ai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0"/>
    <s v="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1"/>
    <s v="SREB contract program with private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2"/>
    <s v="SREB contract program with public colleges"/>
    <m/>
    <x v="12"/>
    <m/>
    <m/>
    <m/>
    <m/>
    <m/>
    <m/>
    <m/>
    <m/>
    <n v="0"/>
    <m/>
    <m/>
    <n v="0"/>
    <n v="0"/>
    <n v="0"/>
    <n v="358400"/>
    <n v="291200"/>
    <m/>
    <m/>
    <n v="0"/>
    <m/>
    <m/>
    <n v="0"/>
    <m/>
    <m/>
    <m/>
    <m/>
    <n v="358400"/>
    <n v="291200"/>
  </r>
  <r>
    <x v="2"/>
    <x v="23"/>
    <s v="Other 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3"/>
    <s v="Del Institute for Medical Ed &amp; Rsch (DIMER)"/>
    <m/>
    <x v="12"/>
    <m/>
    <m/>
    <m/>
    <m/>
    <m/>
    <m/>
    <m/>
    <m/>
    <n v="0"/>
    <m/>
    <m/>
    <n v="0"/>
    <n v="0"/>
    <n v="0"/>
    <n v="2130000"/>
    <n v="2130000"/>
    <m/>
    <m/>
    <n v="0"/>
    <m/>
    <m/>
    <n v="0"/>
    <m/>
    <m/>
    <m/>
    <m/>
    <n v="2130000"/>
    <n v="2130000"/>
  </r>
  <r>
    <x v="2"/>
    <x v="23"/>
    <s v="Del Institute for Vet Medical Education (DIVME)"/>
    <m/>
    <x v="12"/>
    <m/>
    <m/>
    <m/>
    <m/>
    <m/>
    <m/>
    <m/>
    <m/>
    <n v="0"/>
    <m/>
    <m/>
    <n v="0"/>
    <n v="0"/>
    <n v="0"/>
    <n v="291200"/>
    <n v="371200"/>
    <m/>
    <m/>
    <n v="0"/>
    <m/>
    <m/>
    <n v="0"/>
    <m/>
    <m/>
    <m/>
    <m/>
    <n v="291200"/>
    <n v="371200"/>
  </r>
  <r>
    <x v="2"/>
    <x v="23"/>
    <s v="Del Institute for Dental Ed &amp; Rsch (DIDER)"/>
    <m/>
    <x v="12"/>
    <m/>
    <m/>
    <m/>
    <m/>
    <m/>
    <m/>
    <m/>
    <m/>
    <n v="0"/>
    <m/>
    <m/>
    <n v="0"/>
    <n v="0"/>
    <n v="0"/>
    <n v="548000"/>
    <n v="698000"/>
    <m/>
    <m/>
    <n v="0"/>
    <m/>
    <m/>
    <n v="0"/>
    <m/>
    <m/>
    <m/>
    <m/>
    <n v="548000"/>
    <n v="698000"/>
  </r>
  <r>
    <x v="2"/>
    <x v="24"/>
    <s v="Statewide student financial aid programs administered off campu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5"/>
    <s v="Available to public &amp;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5"/>
    <s v="Scholarship Incentive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8"/>
    <s v="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9"/>
    <s v="Need-based"/>
    <m/>
    <x v="12"/>
    <m/>
    <m/>
    <m/>
    <m/>
    <m/>
    <m/>
    <m/>
    <m/>
    <n v="0"/>
    <m/>
    <m/>
    <n v="0"/>
    <n v="0"/>
    <n v="0"/>
    <n v="832040"/>
    <n v="875300"/>
    <m/>
    <m/>
    <n v="0"/>
    <m/>
    <m/>
    <n v="0"/>
    <m/>
    <m/>
    <m/>
    <m/>
    <n v="832040"/>
    <n v="875300"/>
  </r>
  <r>
    <x v="2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1"/>
    <s v="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2"/>
    <s v="Need-based"/>
    <m/>
    <x v="12"/>
    <m/>
    <m/>
    <m/>
    <m/>
    <m/>
    <m/>
    <m/>
    <m/>
    <n v="0"/>
    <m/>
    <m/>
    <n v="0"/>
    <n v="0"/>
    <n v="0"/>
    <n v="1248060"/>
    <n v="1338060"/>
    <m/>
    <m/>
    <n v="0"/>
    <m/>
    <m/>
    <n v="0"/>
    <m/>
    <m/>
    <m/>
    <m/>
    <n v="1248060"/>
    <n v="1338060"/>
  </r>
  <r>
    <x v="2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5"/>
    <s v="Diamond State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8"/>
    <s v="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0"/>
    <s v="Non need-based"/>
    <m/>
    <x v="12"/>
    <m/>
    <m/>
    <m/>
    <m/>
    <m/>
    <m/>
    <m/>
    <m/>
    <n v="0"/>
    <m/>
    <m/>
    <n v="0"/>
    <n v="0"/>
    <n v="0"/>
    <n v="124375"/>
    <n v="126875"/>
    <m/>
    <m/>
    <n v="0"/>
    <m/>
    <m/>
    <n v="0"/>
    <m/>
    <m/>
    <m/>
    <m/>
    <n v="124375"/>
    <n v="126875"/>
  </r>
  <r>
    <x v="2"/>
    <x v="31"/>
    <s v="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3"/>
    <s v="Non need-based"/>
    <m/>
    <x v="12"/>
    <m/>
    <m/>
    <m/>
    <m/>
    <m/>
    <m/>
    <m/>
    <m/>
    <n v="0"/>
    <m/>
    <m/>
    <n v="0"/>
    <n v="0"/>
    <n v="0"/>
    <n v="120625"/>
    <n v="83122"/>
    <m/>
    <m/>
    <n v="0"/>
    <m/>
    <m/>
    <n v="0"/>
    <m/>
    <m/>
    <m/>
    <m/>
    <n v="120625"/>
    <n v="83122"/>
  </r>
  <r>
    <x v="2"/>
    <x v="25"/>
    <s v="Ed Benefits for Children of Deceased Vets &amp; Other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8"/>
    <s v="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0"/>
    <s v="Non need-based"/>
    <m/>
    <x v="12"/>
    <m/>
    <m/>
    <m/>
    <m/>
    <m/>
    <m/>
    <m/>
    <m/>
    <n v="0"/>
    <m/>
    <m/>
    <n v="0"/>
    <n v="0"/>
    <n v="0"/>
    <m/>
    <n v="11473"/>
    <m/>
    <m/>
    <n v="0"/>
    <m/>
    <m/>
    <n v="0"/>
    <m/>
    <m/>
    <m/>
    <m/>
    <n v="0"/>
    <n v="11473"/>
  </r>
  <r>
    <x v="2"/>
    <x v="31"/>
    <s v="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3"/>
    <s v="Non need-based"/>
    <m/>
    <x v="12"/>
    <m/>
    <m/>
    <m/>
    <m/>
    <m/>
    <m/>
    <m/>
    <m/>
    <n v="0"/>
    <m/>
    <m/>
    <n v="0"/>
    <n v="0"/>
    <n v="0"/>
    <n v="8539"/>
    <m/>
    <m/>
    <m/>
    <n v="0"/>
    <m/>
    <m/>
    <n v="0"/>
    <m/>
    <m/>
    <m/>
    <m/>
    <n v="8539"/>
    <n v="0"/>
  </r>
  <r>
    <x v="2"/>
    <x v="25"/>
    <s v="Christa McAuliffe Teacher Scholarship Loan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8"/>
    <s v="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0"/>
    <s v="Non need-based"/>
    <m/>
    <x v="12"/>
    <m/>
    <m/>
    <m/>
    <m/>
    <m/>
    <m/>
    <m/>
    <m/>
    <n v="0"/>
    <m/>
    <m/>
    <n v="0"/>
    <n v="0"/>
    <n v="0"/>
    <n v="132525"/>
    <n v="87500"/>
    <m/>
    <m/>
    <n v="0"/>
    <m/>
    <m/>
    <n v="0"/>
    <m/>
    <m/>
    <m/>
    <m/>
    <n v="132525"/>
    <n v="87500"/>
  </r>
  <r>
    <x v="2"/>
    <x v="31"/>
    <s v="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3"/>
    <s v="Non need-based"/>
    <m/>
    <x v="12"/>
    <m/>
    <m/>
    <m/>
    <m/>
    <m/>
    <m/>
    <m/>
    <m/>
    <n v="0"/>
    <m/>
    <m/>
    <n v="0"/>
    <n v="0"/>
    <n v="0"/>
    <n v="41850"/>
    <n v="44375"/>
    <m/>
    <m/>
    <n v="0"/>
    <m/>
    <m/>
    <n v="0"/>
    <m/>
    <m/>
    <m/>
    <m/>
    <n v="41850"/>
    <n v="44375"/>
  </r>
  <r>
    <x v="2"/>
    <x v="25"/>
    <s v="Librarian and Archivist Incentive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8"/>
    <s v="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0"/>
    <s v="Non need-based"/>
    <m/>
    <x v="12"/>
    <m/>
    <m/>
    <m/>
    <m/>
    <m/>
    <m/>
    <m/>
    <m/>
    <n v="0"/>
    <m/>
    <m/>
    <n v="0"/>
    <n v="0"/>
    <n v="0"/>
    <n v="23667"/>
    <n v="28000"/>
    <m/>
    <m/>
    <n v="0"/>
    <m/>
    <m/>
    <n v="0"/>
    <m/>
    <m/>
    <m/>
    <m/>
    <n v="23667"/>
    <n v="28000"/>
  </r>
  <r>
    <x v="2"/>
    <x v="31"/>
    <s v="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3"/>
    <s v="Non need-based"/>
    <m/>
    <x v="12"/>
    <m/>
    <m/>
    <m/>
    <m/>
    <m/>
    <m/>
    <m/>
    <m/>
    <n v="0"/>
    <m/>
    <m/>
    <n v="0"/>
    <n v="0"/>
    <n v="0"/>
    <n v="80201"/>
    <n v="26412"/>
    <m/>
    <m/>
    <n v="0"/>
    <m/>
    <m/>
    <n v="0"/>
    <m/>
    <m/>
    <m/>
    <m/>
    <n v="80201"/>
    <n v="26412"/>
  </r>
  <r>
    <x v="2"/>
    <x v="25"/>
    <s v="Delaware Nursing Incentive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8"/>
    <s v="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0"/>
    <s v="Non need-based"/>
    <m/>
    <x v="12"/>
    <m/>
    <m/>
    <m/>
    <m/>
    <m/>
    <m/>
    <m/>
    <m/>
    <n v="0"/>
    <m/>
    <m/>
    <n v="0"/>
    <n v="0"/>
    <n v="0"/>
    <n v="21600"/>
    <n v="11250"/>
    <m/>
    <m/>
    <n v="0"/>
    <m/>
    <m/>
    <n v="0"/>
    <m/>
    <m/>
    <m/>
    <m/>
    <n v="21600"/>
    <n v="11250"/>
  </r>
  <r>
    <x v="2"/>
    <x v="31"/>
    <s v="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3"/>
    <s v="Non need-based"/>
    <m/>
    <x v="12"/>
    <m/>
    <m/>
    <m/>
    <m/>
    <m/>
    <m/>
    <m/>
    <m/>
    <n v="0"/>
    <m/>
    <m/>
    <n v="0"/>
    <n v="0"/>
    <n v="0"/>
    <n v="8400"/>
    <n v="10000"/>
    <m/>
    <m/>
    <n v="0"/>
    <m/>
    <m/>
    <n v="0"/>
    <m/>
    <m/>
    <m/>
    <m/>
    <n v="8400"/>
    <n v="10000"/>
  </r>
  <r>
    <x v="2"/>
    <x v="25"/>
    <s v="B. Bradford Barnes Memorial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8"/>
    <s v="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0"/>
    <s v="Non need-based"/>
    <m/>
    <x v="12"/>
    <m/>
    <m/>
    <m/>
    <m/>
    <m/>
    <m/>
    <m/>
    <m/>
    <n v="0"/>
    <m/>
    <m/>
    <n v="0"/>
    <n v="0"/>
    <n v="0"/>
    <n v="67346"/>
    <n v="80561"/>
    <m/>
    <m/>
    <n v="0"/>
    <m/>
    <m/>
    <n v="0"/>
    <m/>
    <m/>
    <m/>
    <m/>
    <n v="67346"/>
    <n v="80561"/>
  </r>
  <r>
    <x v="2"/>
    <x v="31"/>
    <s v="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5"/>
    <s v="Speech/Language Pathologist Incentive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8"/>
    <s v="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0"/>
    <s v="Non need-based"/>
    <m/>
    <x v="12"/>
    <m/>
    <m/>
    <m/>
    <m/>
    <m/>
    <m/>
    <m/>
    <m/>
    <n v="0"/>
    <m/>
    <m/>
    <n v="0"/>
    <n v="0"/>
    <n v="0"/>
    <n v="22500"/>
    <n v="39000"/>
    <m/>
    <m/>
    <n v="0"/>
    <m/>
    <m/>
    <n v="0"/>
    <m/>
    <m/>
    <m/>
    <m/>
    <n v="22500"/>
    <n v="39000"/>
  </r>
  <r>
    <x v="2"/>
    <x v="31"/>
    <s v="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3"/>
    <s v="Non need-based"/>
    <m/>
    <x v="12"/>
    <m/>
    <m/>
    <m/>
    <m/>
    <m/>
    <m/>
    <m/>
    <m/>
    <n v="0"/>
    <m/>
    <m/>
    <n v="0"/>
    <n v="0"/>
    <n v="0"/>
    <n v="7500"/>
    <m/>
    <m/>
    <m/>
    <n v="0"/>
    <m/>
    <m/>
    <n v="0"/>
    <m/>
    <m/>
    <m/>
    <m/>
    <n v="7500"/>
    <n v="0"/>
  </r>
  <r>
    <x v="2"/>
    <x v="25"/>
    <s v="Herman M. Holloway, Sr. Memorial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8"/>
    <s v="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0"/>
    <s v="Non need-based"/>
    <m/>
    <x v="12"/>
    <m/>
    <m/>
    <m/>
    <m/>
    <m/>
    <m/>
    <m/>
    <m/>
    <n v="0"/>
    <m/>
    <m/>
    <n v="0"/>
    <n v="0"/>
    <n v="0"/>
    <n v="38171"/>
    <n v="41694"/>
    <m/>
    <m/>
    <n v="0"/>
    <m/>
    <m/>
    <n v="0"/>
    <m/>
    <m/>
    <m/>
    <m/>
    <n v="38171"/>
    <n v="41694"/>
  </r>
  <r>
    <x v="2"/>
    <x v="31"/>
    <s v="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5"/>
    <s v="Legislative Essay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8"/>
    <s v="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0"/>
    <s v="Non need-based"/>
    <m/>
    <x v="12"/>
    <m/>
    <m/>
    <m/>
    <m/>
    <m/>
    <m/>
    <m/>
    <m/>
    <n v="0"/>
    <m/>
    <m/>
    <n v="0"/>
    <n v="0"/>
    <n v="0"/>
    <n v="46500"/>
    <n v="34500"/>
    <m/>
    <m/>
    <n v="0"/>
    <m/>
    <m/>
    <n v="0"/>
    <m/>
    <m/>
    <m/>
    <m/>
    <n v="46500"/>
    <n v="34500"/>
  </r>
  <r>
    <x v="2"/>
    <x v="31"/>
    <s v="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3"/>
    <s v="Non need-based"/>
    <m/>
    <x v="12"/>
    <m/>
    <m/>
    <m/>
    <m/>
    <m/>
    <m/>
    <m/>
    <m/>
    <n v="0"/>
    <m/>
    <m/>
    <n v="0"/>
    <n v="0"/>
    <n v="0"/>
    <n v="31000"/>
    <n v="22500"/>
    <m/>
    <m/>
    <n v="0"/>
    <m/>
    <m/>
    <n v="0"/>
    <m/>
    <m/>
    <m/>
    <m/>
    <n v="31000"/>
    <n v="22500"/>
  </r>
  <r>
    <x v="2"/>
    <x v="25"/>
    <s v="Charles L. Hebner Memorial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8"/>
    <s v="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0"/>
    <s v="Non need-based"/>
    <m/>
    <x v="12"/>
    <m/>
    <m/>
    <m/>
    <m/>
    <m/>
    <m/>
    <m/>
    <m/>
    <n v="0"/>
    <m/>
    <m/>
    <n v="0"/>
    <n v="0"/>
    <n v="0"/>
    <n v="75979"/>
    <n v="91556"/>
    <m/>
    <m/>
    <n v="0"/>
    <m/>
    <m/>
    <n v="0"/>
    <m/>
    <m/>
    <m/>
    <m/>
    <n v="75979"/>
    <n v="91556"/>
  </r>
  <r>
    <x v="2"/>
    <x v="31"/>
    <s v="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5"/>
    <s v="Governor's Workforce Development Grant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8"/>
    <s v="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0"/>
    <s v="Non need-based"/>
    <m/>
    <x v="12"/>
    <m/>
    <m/>
    <m/>
    <m/>
    <m/>
    <m/>
    <m/>
    <m/>
    <n v="0"/>
    <m/>
    <m/>
    <n v="0"/>
    <n v="0"/>
    <n v="0"/>
    <n v="21700"/>
    <n v="14561"/>
    <m/>
    <m/>
    <n v="0"/>
    <m/>
    <m/>
    <n v="0"/>
    <m/>
    <m/>
    <m/>
    <m/>
    <n v="21700"/>
    <n v="14561"/>
  </r>
  <r>
    <x v="2"/>
    <x v="31"/>
    <s v="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3"/>
    <s v="Non need-based"/>
    <m/>
    <x v="12"/>
    <m/>
    <m/>
    <m/>
    <m/>
    <m/>
    <m/>
    <m/>
    <m/>
    <n v="0"/>
    <m/>
    <m/>
    <n v="0"/>
    <n v="0"/>
    <n v="0"/>
    <n v="13300"/>
    <n v="9420"/>
    <m/>
    <m/>
    <n v="0"/>
    <m/>
    <m/>
    <n v="0"/>
    <m/>
    <m/>
    <m/>
    <m/>
    <n v="13300"/>
    <n v="9420"/>
  </r>
  <r>
    <x v="2"/>
    <x v="25"/>
    <s v="Del. Institute for Med. Ed. &amp; Research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8"/>
    <s v="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1"/>
    <s v="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2"/>
    <s v="Need-based"/>
    <m/>
    <x v="12"/>
    <m/>
    <m/>
    <m/>
    <m/>
    <m/>
    <m/>
    <m/>
    <m/>
    <n v="0"/>
    <m/>
    <m/>
    <n v="0"/>
    <n v="0"/>
    <n v="0"/>
    <n v="387000"/>
    <n v="385795"/>
    <m/>
    <m/>
    <n v="0"/>
    <m/>
    <m/>
    <n v="0"/>
    <m/>
    <m/>
    <m/>
    <m/>
    <n v="387000"/>
    <n v="385795"/>
  </r>
  <r>
    <x v="2"/>
    <x v="33"/>
    <s v="Non need-based"/>
    <m/>
    <x v="12"/>
    <m/>
    <m/>
    <m/>
    <m/>
    <m/>
    <m/>
    <m/>
    <m/>
    <n v="0"/>
    <m/>
    <m/>
    <n v="0"/>
    <n v="0"/>
    <n v="0"/>
    <n v="93000"/>
    <n v="94205"/>
    <m/>
    <m/>
    <n v="0"/>
    <m/>
    <m/>
    <n v="0"/>
    <m/>
    <m/>
    <m/>
    <m/>
    <n v="93000"/>
    <n v="94205"/>
  </r>
  <r>
    <x v="2"/>
    <x v="25"/>
    <s v="Ivy D.F. Davis Memorial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8"/>
    <s v="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0"/>
    <s v="Non need-based"/>
    <m/>
    <x v="12"/>
    <m/>
    <m/>
    <m/>
    <m/>
    <m/>
    <m/>
    <m/>
    <m/>
    <n v="0"/>
    <m/>
    <m/>
    <n v="0"/>
    <n v="0"/>
    <n v="0"/>
    <n v="30000"/>
    <n v="30000"/>
    <m/>
    <m/>
    <n v="0"/>
    <m/>
    <m/>
    <n v="0"/>
    <m/>
    <m/>
    <m/>
    <m/>
    <n v="30000"/>
    <n v="30000"/>
  </r>
  <r>
    <x v="2"/>
    <x v="31"/>
    <s v="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3"/>
    <s v="Non need-based"/>
    <m/>
    <x v="12"/>
    <m/>
    <m/>
    <m/>
    <m/>
    <m/>
    <m/>
    <m/>
    <m/>
    <n v="0"/>
    <m/>
    <m/>
    <n v="0"/>
    <n v="0"/>
    <n v="0"/>
    <n v="20000"/>
    <n v="20000"/>
    <m/>
    <m/>
    <n v="0"/>
    <m/>
    <m/>
    <n v="0"/>
    <m/>
    <m/>
    <m/>
    <m/>
    <n v="20000"/>
    <n v="20000"/>
  </r>
  <r>
    <x v="2"/>
    <x v="25"/>
    <s v="Michael C. Ferguson Achievement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8"/>
    <s v="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0"/>
    <s v="Non need-based"/>
    <m/>
    <x v="12"/>
    <m/>
    <m/>
    <m/>
    <m/>
    <m/>
    <m/>
    <m/>
    <m/>
    <n v="0"/>
    <m/>
    <m/>
    <n v="0"/>
    <n v="0"/>
    <n v="0"/>
    <n v="277250"/>
    <n v="287000"/>
    <m/>
    <m/>
    <n v="0"/>
    <m/>
    <m/>
    <n v="0"/>
    <m/>
    <m/>
    <m/>
    <m/>
    <n v="277250"/>
    <n v="287000"/>
  </r>
  <r>
    <x v="2"/>
    <x v="31"/>
    <s v="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3"/>
    <s v="Non need-based"/>
    <m/>
    <x v="12"/>
    <m/>
    <m/>
    <m/>
    <m/>
    <m/>
    <m/>
    <m/>
    <m/>
    <n v="0"/>
    <m/>
    <m/>
    <n v="0"/>
    <n v="0"/>
    <n v="0"/>
    <n v="127500"/>
    <n v="159000"/>
    <m/>
    <m/>
    <n v="0"/>
    <m/>
    <m/>
    <n v="0"/>
    <m/>
    <m/>
    <m/>
    <m/>
    <n v="127500"/>
    <n v="159000"/>
  </r>
  <r>
    <x v="2"/>
    <x v="25"/>
    <s v="Delaware Optometric Institutional Ai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8"/>
    <s v="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1"/>
    <s v="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3"/>
    <s v="Non need-based"/>
    <m/>
    <x v="12"/>
    <m/>
    <m/>
    <m/>
    <m/>
    <m/>
    <m/>
    <m/>
    <m/>
    <n v="0"/>
    <m/>
    <m/>
    <n v="0"/>
    <n v="0"/>
    <n v="0"/>
    <n v="8000"/>
    <n v="16000"/>
    <m/>
    <m/>
    <n v="0"/>
    <m/>
    <m/>
    <n v="0"/>
    <m/>
    <m/>
    <m/>
    <m/>
    <n v="8000"/>
    <n v="16000"/>
  </r>
  <r>
    <x v="2"/>
    <x v="25"/>
    <s v="National Board for Professional Teaching Standards Loan"/>
    <m/>
    <x v="12"/>
    <m/>
    <m/>
    <m/>
    <m/>
    <m/>
    <m/>
    <m/>
    <m/>
    <n v="0"/>
    <m/>
    <m/>
    <n v="0"/>
    <n v="0"/>
    <n v="0"/>
    <n v="60000"/>
    <n v="0"/>
    <m/>
    <m/>
    <n v="0"/>
    <m/>
    <m/>
    <n v="0"/>
    <m/>
    <m/>
    <m/>
    <m/>
    <n v="60000"/>
    <n v="0"/>
  </r>
  <r>
    <x v="2"/>
    <x v="28"/>
    <s v="To public sector students"/>
    <m/>
    <x v="12"/>
    <m/>
    <m/>
    <m/>
    <m/>
    <m/>
    <m/>
    <m/>
    <m/>
    <n v="0"/>
    <m/>
    <m/>
    <n v="0"/>
    <n v="0"/>
    <n v="0"/>
    <s v="No detail on sector or basis?"/>
    <m/>
    <m/>
    <m/>
    <n v="0"/>
    <m/>
    <m/>
    <n v="0"/>
    <m/>
    <m/>
    <m/>
    <m/>
    <n v="0"/>
    <n v="0"/>
  </r>
  <r>
    <x v="2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1"/>
    <s v="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5"/>
    <s v="Critical Need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8"/>
    <s v="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0"/>
    <s v="Non need-based"/>
    <m/>
    <x v="12"/>
    <m/>
    <m/>
    <m/>
    <m/>
    <m/>
    <m/>
    <m/>
    <m/>
    <n v="0"/>
    <m/>
    <m/>
    <n v="0"/>
    <n v="0"/>
    <n v="0"/>
    <n v="100376"/>
    <n v="127768"/>
    <m/>
    <m/>
    <n v="0"/>
    <m/>
    <m/>
    <n v="0"/>
    <m/>
    <m/>
    <m/>
    <m/>
    <n v="100376"/>
    <n v="127768"/>
  </r>
  <r>
    <x v="2"/>
    <x v="31"/>
    <s v="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3"/>
    <s v="Non need-based"/>
    <m/>
    <x v="12"/>
    <m/>
    <m/>
    <m/>
    <m/>
    <m/>
    <m/>
    <m/>
    <m/>
    <n v="0"/>
    <m/>
    <m/>
    <n v="0"/>
    <n v="0"/>
    <n v="0"/>
    <n v="46490"/>
    <n v="20416"/>
    <m/>
    <m/>
    <n v="0"/>
    <m/>
    <m/>
    <n v="0"/>
    <m/>
    <m/>
    <m/>
    <m/>
    <n v="46490"/>
    <n v="20416"/>
  </r>
  <r>
    <x v="2"/>
    <x v="25"/>
    <s v="DE State Loan Repayment Program/Physicians &amp; Dentists"/>
    <m/>
    <x v="12"/>
    <m/>
    <m/>
    <m/>
    <m/>
    <m/>
    <m/>
    <m/>
    <m/>
    <n v="0"/>
    <m/>
    <m/>
    <n v="0"/>
    <n v="0"/>
    <n v="0"/>
    <n v="305299.20000000001"/>
    <n v="352408"/>
    <m/>
    <m/>
    <n v="0"/>
    <m/>
    <m/>
    <n v="0"/>
    <m/>
    <m/>
    <m/>
    <m/>
    <n v="305299.20000000001"/>
    <n v="352408"/>
  </r>
  <r>
    <x v="2"/>
    <x v="26"/>
    <s v="Need-based"/>
    <m/>
    <x v="12"/>
    <m/>
    <m/>
    <m/>
    <m/>
    <m/>
    <m/>
    <m/>
    <m/>
    <n v="0"/>
    <m/>
    <m/>
    <n v="0"/>
    <n v="0"/>
    <n v="0"/>
    <s v="No detail on sector or basis?"/>
    <m/>
    <m/>
    <m/>
    <n v="0"/>
    <m/>
    <m/>
    <n v="0"/>
    <m/>
    <m/>
    <m/>
    <m/>
    <n v="0"/>
    <n v="0"/>
  </r>
  <r>
    <x v="2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8"/>
    <s v="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1"/>
    <s v="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5"/>
    <s v="DE Institute for Dental Education &amp; Research Scholarships"/>
    <m/>
    <x v="12"/>
    <m/>
    <m/>
    <m/>
    <m/>
    <m/>
    <m/>
    <m/>
    <m/>
    <n v="0"/>
    <m/>
    <m/>
    <n v="0"/>
    <n v="0"/>
    <n v="0"/>
    <m/>
    <n v="225000"/>
    <m/>
    <m/>
    <n v="0"/>
    <m/>
    <m/>
    <n v="0"/>
    <m/>
    <m/>
    <m/>
    <m/>
    <n v="0"/>
    <n v="225000"/>
  </r>
  <r>
    <x v="2"/>
    <x v="26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8"/>
    <s v="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0"/>
    <s v="Non need-based"/>
    <m/>
    <x v="12"/>
    <m/>
    <m/>
    <m/>
    <m/>
    <m/>
    <m/>
    <m/>
    <m/>
    <n v="0"/>
    <m/>
    <m/>
    <n v="0"/>
    <n v="0"/>
    <n v="0"/>
    <n v="276000"/>
    <m/>
    <m/>
    <m/>
    <n v="0"/>
    <m/>
    <m/>
    <n v="0"/>
    <m/>
    <m/>
    <m/>
    <m/>
    <n v="276000"/>
    <n v="0"/>
  </r>
  <r>
    <x v="2"/>
    <x v="31"/>
    <s v="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4"/>
    <s v="Limited to public college students"/>
    <m/>
    <x v="12"/>
    <m/>
    <m/>
    <m/>
    <m/>
    <m/>
    <m/>
    <m/>
    <m/>
    <n v="0"/>
    <m/>
    <m/>
    <n v="0"/>
    <n v="0"/>
    <n v="0"/>
    <s v="No program(s) of these types?"/>
    <m/>
    <m/>
    <m/>
    <n v="0"/>
    <m/>
    <m/>
    <n v="0"/>
    <m/>
    <m/>
    <m/>
    <m/>
    <n v="0"/>
    <n v="0"/>
  </r>
  <r>
    <x v="2"/>
    <x v="35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6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7"/>
    <s v="Limited to private college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8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2"/>
    <x v="39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Florida State University "/>
    <n v="134097"/>
    <x v="0"/>
    <n v="321639831"/>
    <n v="311473396"/>
    <m/>
    <m/>
    <m/>
    <m/>
    <n v="133534173"/>
    <n v="3477643"/>
    <n v="137011816"/>
    <n v="136170108"/>
    <n v="3825610"/>
    <n v="139995718"/>
    <n v="455174004"/>
    <n v="447643504"/>
    <m/>
    <m/>
    <m/>
    <m/>
    <n v="0"/>
    <m/>
    <m/>
    <n v="0"/>
    <m/>
    <m/>
    <m/>
    <m/>
    <n v="455174004"/>
    <n v="447643504"/>
  </r>
  <r>
    <x v="3"/>
    <x v="0"/>
    <s v="Student Financial Aid"/>
    <n v="134097"/>
    <x v="0"/>
    <n v="4035424"/>
    <n v="3888310"/>
    <m/>
    <m/>
    <m/>
    <m/>
    <m/>
    <m/>
    <n v="0"/>
    <m/>
    <m/>
    <n v="0"/>
    <n v="4035424"/>
    <n v="3888310"/>
    <m/>
    <m/>
    <m/>
    <m/>
    <n v="0"/>
    <m/>
    <m/>
    <n v="0"/>
    <m/>
    <m/>
    <m/>
    <m/>
    <n v="4035424"/>
    <n v="3888310"/>
  </r>
  <r>
    <x v="3"/>
    <x v="0"/>
    <s v="Risk Management/Casualty Insurance"/>
    <n v="134097"/>
    <x v="0"/>
    <n v="1952689"/>
    <n v="2033973"/>
    <m/>
    <m/>
    <m/>
    <m/>
    <m/>
    <m/>
    <n v="0"/>
    <m/>
    <m/>
    <n v="0"/>
    <n v="1952689"/>
    <n v="2033973"/>
    <m/>
    <m/>
    <m/>
    <m/>
    <n v="0"/>
    <m/>
    <m/>
    <n v="0"/>
    <m/>
    <m/>
    <m/>
    <m/>
    <n v="1952689"/>
    <n v="2033973"/>
  </r>
  <r>
    <x v="3"/>
    <x v="1"/>
    <s v="Medical School"/>
    <n v="134097"/>
    <x v="0"/>
    <m/>
    <m/>
    <m/>
    <m/>
    <m/>
    <m/>
    <m/>
    <m/>
    <n v="0"/>
    <m/>
    <m/>
    <n v="0"/>
    <n v="0"/>
    <n v="0"/>
    <m/>
    <m/>
    <m/>
    <m/>
    <n v="0"/>
    <m/>
    <m/>
    <n v="0"/>
    <n v="43245447"/>
    <n v="41301653"/>
    <n v="7921099"/>
    <n v="6031813"/>
    <n v="51166546"/>
    <n v="47333466"/>
  </r>
  <r>
    <x v="3"/>
    <x v="3"/>
    <s v="Community or public service units"/>
    <n v="134097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"/>
    <s v="Off-Campus Volunteers"/>
    <n v="134097"/>
    <x v="0"/>
    <m/>
    <m/>
    <n v="208111"/>
    <n v="208111"/>
    <m/>
    <m/>
    <m/>
    <m/>
    <n v="0"/>
    <m/>
    <m/>
    <n v="0"/>
    <n v="208111"/>
    <n v="208111"/>
    <m/>
    <m/>
    <m/>
    <m/>
    <n v="0"/>
    <m/>
    <m/>
    <n v="0"/>
    <m/>
    <m/>
    <m/>
    <m/>
    <n v="208111"/>
    <n v="208111"/>
  </r>
  <r>
    <x v="3"/>
    <x v="3"/>
    <s v="Developmental Research School"/>
    <n v="134097"/>
    <x v="0"/>
    <m/>
    <m/>
    <n v="15490392"/>
    <n v="14983278"/>
    <m/>
    <m/>
    <m/>
    <m/>
    <n v="0"/>
    <m/>
    <m/>
    <n v="0"/>
    <n v="15490392"/>
    <n v="14983278"/>
    <m/>
    <m/>
    <m/>
    <m/>
    <n v="0"/>
    <m/>
    <m/>
    <n v="0"/>
    <m/>
    <m/>
    <m/>
    <m/>
    <n v="15490392"/>
    <n v="14983278"/>
  </r>
  <r>
    <x v="3"/>
    <x v="3"/>
    <s v="Col of Communications Autism Program"/>
    <n v="134097"/>
    <x v="0"/>
    <m/>
    <m/>
    <n v="1058766"/>
    <n v="964578"/>
    <m/>
    <m/>
    <m/>
    <m/>
    <n v="0"/>
    <m/>
    <m/>
    <n v="0"/>
    <n v="1058766"/>
    <n v="964578"/>
    <m/>
    <m/>
    <m/>
    <m/>
    <n v="0"/>
    <m/>
    <m/>
    <n v="0"/>
    <m/>
    <m/>
    <m/>
    <m/>
    <n v="1058766"/>
    <n v="964578"/>
  </r>
  <r>
    <x v="3"/>
    <x v="7"/>
    <s v="Research centers/institutes"/>
    <n v="134097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7"/>
    <s v="Centers of Excellence"/>
    <n v="134097"/>
    <x v="12"/>
    <m/>
    <m/>
    <m/>
    <n v="14570225"/>
    <m/>
    <m/>
    <m/>
    <m/>
    <n v="0"/>
    <m/>
    <m/>
    <n v="0"/>
    <n v="0"/>
    <n v="14570225"/>
    <m/>
    <m/>
    <m/>
    <m/>
    <n v="0"/>
    <m/>
    <m/>
    <n v="0"/>
    <m/>
    <m/>
    <m/>
    <m/>
    <n v="0"/>
    <n v="14570225"/>
  </r>
  <r>
    <x v="3"/>
    <x v="7"/>
    <s v="Florida Energy Systems Consortium"/>
    <n v="134097"/>
    <x v="12"/>
    <m/>
    <m/>
    <m/>
    <n v="8750000"/>
    <m/>
    <m/>
    <m/>
    <m/>
    <n v="0"/>
    <m/>
    <m/>
    <n v="0"/>
    <n v="0"/>
    <n v="8750000"/>
    <m/>
    <m/>
    <m/>
    <m/>
    <n v="0"/>
    <m/>
    <m/>
    <n v="0"/>
    <m/>
    <m/>
    <m/>
    <m/>
    <n v="0"/>
    <n v="8750000"/>
  </r>
  <r>
    <x v="3"/>
    <x v="0"/>
    <s v="University of Central Florida "/>
    <n v="132903"/>
    <x v="0"/>
    <n v="281595352"/>
    <n v="268560624"/>
    <m/>
    <m/>
    <m/>
    <m/>
    <n v="136171155"/>
    <n v="3656044"/>
    <n v="139827199"/>
    <n v="143657275"/>
    <n v="4277191"/>
    <n v="147934466"/>
    <n v="417766507"/>
    <n v="412217899"/>
    <m/>
    <m/>
    <m/>
    <m/>
    <n v="0"/>
    <m/>
    <m/>
    <n v="0"/>
    <m/>
    <m/>
    <m/>
    <m/>
    <n v="417766507"/>
    <n v="412217899"/>
  </r>
  <r>
    <x v="3"/>
    <x v="0"/>
    <s v="Student Financial Aid"/>
    <n v="132903"/>
    <x v="0"/>
    <m/>
    <m/>
    <n v="2360230"/>
    <n v="2274186"/>
    <m/>
    <m/>
    <m/>
    <m/>
    <n v="0"/>
    <m/>
    <m/>
    <n v="0"/>
    <n v="2360230"/>
    <n v="2274186"/>
    <m/>
    <m/>
    <m/>
    <m/>
    <n v="0"/>
    <m/>
    <m/>
    <n v="0"/>
    <m/>
    <m/>
    <m/>
    <m/>
    <n v="2360230"/>
    <n v="2274186"/>
  </r>
  <r>
    <x v="3"/>
    <x v="0"/>
    <s v="Risk Management/Casualty Insurance"/>
    <n v="132903"/>
    <x v="0"/>
    <m/>
    <m/>
    <n v="1428594"/>
    <n v="1584442"/>
    <m/>
    <m/>
    <m/>
    <m/>
    <n v="0"/>
    <m/>
    <m/>
    <n v="0"/>
    <n v="1428594"/>
    <n v="1584442"/>
    <m/>
    <m/>
    <m/>
    <m/>
    <n v="0"/>
    <m/>
    <m/>
    <n v="0"/>
    <m/>
    <m/>
    <m/>
    <m/>
    <n v="1428594"/>
    <n v="1584442"/>
  </r>
  <r>
    <x v="3"/>
    <x v="1"/>
    <s v="Medical School"/>
    <n v="132903"/>
    <x v="0"/>
    <m/>
    <m/>
    <m/>
    <m/>
    <m/>
    <m/>
    <m/>
    <m/>
    <n v="0"/>
    <m/>
    <m/>
    <n v="0"/>
    <n v="0"/>
    <n v="0"/>
    <m/>
    <m/>
    <m/>
    <m/>
    <n v="0"/>
    <m/>
    <m/>
    <n v="0"/>
    <n v="4539224"/>
    <n v="9173004"/>
    <m/>
    <m/>
    <n v="4539224"/>
    <n v="9173004"/>
  </r>
  <r>
    <x v="3"/>
    <x v="3"/>
    <s v="Community or public service units"/>
    <n v="13290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"/>
    <s v="Autism Program"/>
    <n v="132903"/>
    <x v="0"/>
    <m/>
    <m/>
    <n v="1129166"/>
    <n v="1028715"/>
    <m/>
    <m/>
    <m/>
    <m/>
    <n v="0"/>
    <m/>
    <m/>
    <n v="0"/>
    <n v="1129166"/>
    <n v="1028715"/>
    <m/>
    <m/>
    <m/>
    <m/>
    <n v="0"/>
    <m/>
    <m/>
    <n v="0"/>
    <m/>
    <m/>
    <m/>
    <m/>
    <n v="1129166"/>
    <n v="1028715"/>
  </r>
  <r>
    <x v="3"/>
    <x v="7"/>
    <s v="Research centers/institutes"/>
    <n v="13290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7"/>
    <s v="Florida Energy Systems Consortium"/>
    <n v="132903"/>
    <x v="0"/>
    <m/>
    <m/>
    <m/>
    <n v="8750000"/>
    <m/>
    <m/>
    <m/>
    <m/>
    <n v="0"/>
    <m/>
    <m/>
    <n v="0"/>
    <n v="0"/>
    <n v="8750000"/>
    <m/>
    <m/>
    <m/>
    <m/>
    <n v="0"/>
    <m/>
    <m/>
    <n v="0"/>
    <m/>
    <m/>
    <m/>
    <m/>
    <n v="0"/>
    <n v="8750000"/>
  </r>
  <r>
    <x v="3"/>
    <x v="0"/>
    <s v="University of Florida"/>
    <n v="134130"/>
    <x v="0"/>
    <n v="407020630"/>
    <n v="381868819"/>
    <m/>
    <m/>
    <m/>
    <m/>
    <n v="182314215"/>
    <n v="3985041"/>
    <n v="186299256"/>
    <n v="201901130"/>
    <n v="4069361"/>
    <n v="205970491"/>
    <n v="589334845"/>
    <n v="583769949"/>
    <m/>
    <m/>
    <m/>
    <m/>
    <n v="0"/>
    <m/>
    <m/>
    <n v="0"/>
    <m/>
    <m/>
    <m/>
    <m/>
    <n v="589334845"/>
    <n v="583769949"/>
  </r>
  <r>
    <x v="3"/>
    <x v="0"/>
    <s v="Student Financial Aid"/>
    <n v="134130"/>
    <x v="0"/>
    <m/>
    <m/>
    <n v="4777013"/>
    <n v="4602866"/>
    <m/>
    <m/>
    <m/>
    <m/>
    <n v="0"/>
    <m/>
    <m/>
    <n v="0"/>
    <n v="4777013"/>
    <n v="4602866"/>
    <m/>
    <m/>
    <m/>
    <m/>
    <n v="0"/>
    <m/>
    <m/>
    <n v="0"/>
    <m/>
    <m/>
    <m/>
    <m/>
    <n v="4777013"/>
    <n v="4602866"/>
  </r>
  <r>
    <x v="3"/>
    <x v="0"/>
    <s v="Risk Management/Casualty Insurance"/>
    <n v="134130"/>
    <x v="0"/>
    <m/>
    <m/>
    <n v="3849920"/>
    <n v="4142640"/>
    <m/>
    <m/>
    <m/>
    <m/>
    <n v="0"/>
    <m/>
    <m/>
    <n v="0"/>
    <n v="3849920"/>
    <n v="4142640"/>
    <m/>
    <m/>
    <m/>
    <m/>
    <n v="0"/>
    <m/>
    <m/>
    <n v="0"/>
    <m/>
    <m/>
    <m/>
    <m/>
    <n v="3849920"/>
    <n v="4142640"/>
  </r>
  <r>
    <x v="3"/>
    <x v="1"/>
    <s v="Medical School"/>
    <n v="134130"/>
    <x v="0"/>
    <m/>
    <m/>
    <m/>
    <m/>
    <m/>
    <m/>
    <m/>
    <m/>
    <n v="0"/>
    <m/>
    <m/>
    <n v="0"/>
    <n v="0"/>
    <n v="0"/>
    <m/>
    <m/>
    <m/>
    <m/>
    <n v="0"/>
    <m/>
    <m/>
    <n v="0"/>
    <n v="97552190"/>
    <n v="100152401"/>
    <n v="20613583"/>
    <n v="23206140"/>
    <n v="118165773"/>
    <n v="123358541"/>
  </r>
  <r>
    <x v="3"/>
    <x v="1"/>
    <s v="College of Medicine Autism Program"/>
    <n v="134130"/>
    <x v="0"/>
    <m/>
    <m/>
    <m/>
    <m/>
    <m/>
    <m/>
    <m/>
    <m/>
    <n v="0"/>
    <m/>
    <m/>
    <n v="0"/>
    <n v="0"/>
    <n v="0"/>
    <m/>
    <m/>
    <m/>
    <m/>
    <n v="0"/>
    <m/>
    <m/>
    <n v="0"/>
    <n v="914366"/>
    <n v="833023"/>
    <m/>
    <m/>
    <n v="914366"/>
    <n v="833023"/>
  </r>
  <r>
    <x v="3"/>
    <x v="1"/>
    <s v="Jacksonville Autism Program"/>
    <n v="134130"/>
    <x v="0"/>
    <m/>
    <m/>
    <m/>
    <m/>
    <m/>
    <m/>
    <m/>
    <m/>
    <n v="0"/>
    <m/>
    <m/>
    <n v="0"/>
    <n v="0"/>
    <n v="0"/>
    <m/>
    <m/>
    <m/>
    <m/>
    <n v="0"/>
    <m/>
    <m/>
    <n v="0"/>
    <n v="952866"/>
    <n v="868099"/>
    <m/>
    <m/>
    <n v="952866"/>
    <n v="868099"/>
  </r>
  <r>
    <x v="3"/>
    <x v="3"/>
    <s v="Community or public service units"/>
    <n v="134130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"/>
    <s v="Developmental Research School"/>
    <n v="134130"/>
    <x v="0"/>
    <m/>
    <m/>
    <n v="8298516"/>
    <n v="7823622"/>
    <m/>
    <m/>
    <m/>
    <m/>
    <n v="0"/>
    <m/>
    <m/>
    <n v="0"/>
    <n v="8298516"/>
    <n v="7823622"/>
    <m/>
    <m/>
    <m/>
    <m/>
    <n v="0"/>
    <m/>
    <m/>
    <n v="0"/>
    <m/>
    <m/>
    <m/>
    <m/>
    <n v="8298516"/>
    <n v="7823622"/>
  </r>
  <r>
    <x v="3"/>
    <x v="5"/>
    <s v="Agricultural cooperative extension"/>
    <n v="134130"/>
    <x v="0"/>
    <m/>
    <m/>
    <n v="141232404"/>
    <n v="136572337"/>
    <m/>
    <m/>
    <m/>
    <m/>
    <n v="0"/>
    <m/>
    <m/>
    <n v="0"/>
    <n v="141232404"/>
    <n v="136572337"/>
    <m/>
    <m/>
    <m/>
    <m/>
    <n v="0"/>
    <m/>
    <m/>
    <n v="0"/>
    <m/>
    <m/>
    <m/>
    <m/>
    <n v="141232404"/>
    <n v="136572337"/>
  </r>
  <r>
    <x v="3"/>
    <x v="7"/>
    <s v="Research centers/institutes"/>
    <n v="134130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7"/>
    <s v="Florida Energy Systems Consortium"/>
    <n v="134130"/>
    <x v="0"/>
    <m/>
    <m/>
    <m/>
    <n v="15000000"/>
    <m/>
    <m/>
    <m/>
    <m/>
    <n v="0"/>
    <m/>
    <m/>
    <n v="0"/>
    <n v="0"/>
    <n v="15000000"/>
    <m/>
    <m/>
    <m/>
    <m/>
    <n v="0"/>
    <m/>
    <m/>
    <n v="0"/>
    <m/>
    <m/>
    <m/>
    <m/>
    <n v="0"/>
    <n v="15000000"/>
  </r>
  <r>
    <x v="3"/>
    <x v="0"/>
    <s v="University of South Florida "/>
    <n v="137351"/>
    <x v="0"/>
    <n v="294973908"/>
    <n v="281091648"/>
    <m/>
    <m/>
    <m/>
    <m/>
    <n v="116788086"/>
    <n v="3373384"/>
    <n v="120161470"/>
    <n v="124442897"/>
    <n v="3900018"/>
    <n v="128342915"/>
    <n v="411761994"/>
    <n v="405534545"/>
    <m/>
    <m/>
    <m/>
    <m/>
    <n v="0"/>
    <m/>
    <m/>
    <n v="0"/>
    <m/>
    <m/>
    <m/>
    <m/>
    <n v="411761994"/>
    <n v="405534545"/>
  </r>
  <r>
    <x v="3"/>
    <x v="0"/>
    <s v="Student Financial Aid"/>
    <n v="137351"/>
    <x v="0"/>
    <m/>
    <m/>
    <n v="2340880"/>
    <n v="2255542"/>
    <m/>
    <m/>
    <m/>
    <m/>
    <n v="0"/>
    <m/>
    <m/>
    <n v="0"/>
    <n v="2340880"/>
    <n v="2255542"/>
    <m/>
    <m/>
    <m/>
    <m/>
    <n v="0"/>
    <m/>
    <m/>
    <n v="0"/>
    <m/>
    <m/>
    <m/>
    <m/>
    <n v="2340880"/>
    <n v="2255542"/>
  </r>
  <r>
    <x v="3"/>
    <x v="0"/>
    <s v="Risk Management/Casualty Insurance"/>
    <n v="137351"/>
    <x v="0"/>
    <m/>
    <m/>
    <n v="2813849"/>
    <n v="2555683"/>
    <m/>
    <m/>
    <m/>
    <m/>
    <n v="0"/>
    <m/>
    <m/>
    <n v="0"/>
    <n v="2813849"/>
    <n v="2555683"/>
    <m/>
    <m/>
    <m/>
    <m/>
    <n v="0"/>
    <m/>
    <m/>
    <n v="0"/>
    <m/>
    <m/>
    <m/>
    <m/>
    <n v="2813849"/>
    <n v="2555683"/>
  </r>
  <r>
    <x v="3"/>
    <x v="1"/>
    <s v="Medical School"/>
    <n v="137351"/>
    <x v="0"/>
    <m/>
    <m/>
    <m/>
    <m/>
    <m/>
    <m/>
    <m/>
    <m/>
    <n v="0"/>
    <m/>
    <m/>
    <n v="0"/>
    <n v="0"/>
    <n v="0"/>
    <m/>
    <m/>
    <m/>
    <m/>
    <n v="0"/>
    <m/>
    <m/>
    <n v="0"/>
    <n v="65330244"/>
    <n v="64245830"/>
    <n v="20829026"/>
    <n v="21102386"/>
    <n v="86159270"/>
    <n v="85348216"/>
  </r>
  <r>
    <x v="3"/>
    <x v="7"/>
    <s v="Research centers/institutes"/>
    <n v="13735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7"/>
    <s v="Phosphate research"/>
    <n v="137351"/>
    <x v="0"/>
    <m/>
    <m/>
    <n v="7264725"/>
    <n v="7283808"/>
    <m/>
    <m/>
    <m/>
    <m/>
    <n v="0"/>
    <m/>
    <m/>
    <n v="0"/>
    <n v="7264725"/>
    <n v="7283808"/>
    <m/>
    <m/>
    <m/>
    <m/>
    <n v="0"/>
    <m/>
    <m/>
    <n v="0"/>
    <m/>
    <m/>
    <m/>
    <m/>
    <n v="7264725"/>
    <n v="7283808"/>
  </r>
  <r>
    <x v="3"/>
    <x v="8"/>
    <s v="Special line items for education operations"/>
    <n v="13735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8"/>
    <s v="Mental Health Institute Autism Program"/>
    <n v="137351"/>
    <x v="0"/>
    <m/>
    <m/>
    <n v="1318566"/>
    <n v="1201265"/>
    <m/>
    <m/>
    <m/>
    <m/>
    <n v="0"/>
    <m/>
    <m/>
    <n v="0"/>
    <n v="1318566"/>
    <n v="1201265"/>
    <m/>
    <m/>
    <m/>
    <m/>
    <n v="0"/>
    <m/>
    <m/>
    <n v="0"/>
    <m/>
    <m/>
    <m/>
    <m/>
    <n v="1318566"/>
    <n v="1201265"/>
  </r>
  <r>
    <x v="3"/>
    <x v="7"/>
    <s v="Florida Energy Systems Consortium"/>
    <n v="137351"/>
    <x v="0"/>
    <m/>
    <m/>
    <m/>
    <n v="8750000"/>
    <m/>
    <m/>
    <m/>
    <m/>
    <n v="0"/>
    <m/>
    <m/>
    <n v="0"/>
    <n v="0"/>
    <n v="8750000"/>
    <m/>
    <m/>
    <m/>
    <m/>
    <n v="0"/>
    <m/>
    <m/>
    <n v="0"/>
    <m/>
    <m/>
    <m/>
    <m/>
    <n v="0"/>
    <n v="8750000"/>
  </r>
  <r>
    <x v="3"/>
    <x v="0"/>
    <s v="Florida Atlantic University "/>
    <n v="133669"/>
    <x v="1"/>
    <n v="185856356"/>
    <n v="176534865"/>
    <m/>
    <m/>
    <m/>
    <m/>
    <n v="72511162"/>
    <n v="1960084"/>
    <n v="74471246"/>
    <n v="76094024"/>
    <n v="2037246"/>
    <n v="78131270"/>
    <n v="258367518"/>
    <n v="252628889"/>
    <m/>
    <m/>
    <m/>
    <m/>
    <n v="0"/>
    <m/>
    <m/>
    <n v="0"/>
    <m/>
    <m/>
    <m/>
    <m/>
    <n v="258367518"/>
    <n v="252628889"/>
  </r>
  <r>
    <x v="3"/>
    <x v="0"/>
    <s v="Student Financial Aid"/>
    <n v="133669"/>
    <x v="1"/>
    <m/>
    <m/>
    <n v="1098879"/>
    <n v="1058819"/>
    <m/>
    <m/>
    <m/>
    <m/>
    <n v="0"/>
    <m/>
    <m/>
    <n v="0"/>
    <n v="1098879"/>
    <n v="1058819"/>
    <m/>
    <m/>
    <m/>
    <m/>
    <n v="0"/>
    <m/>
    <m/>
    <n v="0"/>
    <m/>
    <m/>
    <m/>
    <m/>
    <n v="1098879"/>
    <n v="1058819"/>
  </r>
  <r>
    <x v="3"/>
    <x v="0"/>
    <s v="Risk Management/Casualty Insurance"/>
    <n v="133669"/>
    <x v="1"/>
    <m/>
    <m/>
    <n v="1082006"/>
    <n v="1132339"/>
    <m/>
    <m/>
    <m/>
    <m/>
    <n v="0"/>
    <m/>
    <m/>
    <n v="0"/>
    <n v="1082006"/>
    <n v="1132339"/>
    <m/>
    <m/>
    <m/>
    <m/>
    <n v="0"/>
    <m/>
    <m/>
    <n v="0"/>
    <m/>
    <m/>
    <m/>
    <m/>
    <n v="1082006"/>
    <n v="1132339"/>
  </r>
  <r>
    <x v="3"/>
    <x v="8"/>
    <s v="Special line items for education operations"/>
    <n v="133669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8"/>
    <s v="Autism Program"/>
    <n v="133669"/>
    <x v="1"/>
    <m/>
    <m/>
    <n v="715100"/>
    <n v="651484"/>
    <m/>
    <m/>
    <m/>
    <m/>
    <n v="0"/>
    <m/>
    <m/>
    <n v="0"/>
    <n v="715100"/>
    <n v="651484"/>
    <m/>
    <m/>
    <m/>
    <m/>
    <n v="0"/>
    <m/>
    <m/>
    <n v="0"/>
    <m/>
    <m/>
    <m/>
    <m/>
    <n v="715100"/>
    <n v="651484"/>
  </r>
  <r>
    <x v="3"/>
    <x v="3"/>
    <s v="Community or public service units"/>
    <n v="133669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"/>
    <s v="Developmental Research School"/>
    <n v="133669"/>
    <x v="1"/>
    <m/>
    <m/>
    <n v="4787487"/>
    <n v="4261028"/>
    <m/>
    <m/>
    <m/>
    <m/>
    <n v="0"/>
    <m/>
    <m/>
    <n v="0"/>
    <n v="4787487"/>
    <n v="4261028"/>
    <m/>
    <m/>
    <m/>
    <m/>
    <n v="0"/>
    <m/>
    <m/>
    <n v="0"/>
    <m/>
    <m/>
    <m/>
    <m/>
    <n v="4787487"/>
    <n v="4261028"/>
  </r>
  <r>
    <x v="3"/>
    <x v="7"/>
    <s v="Research centers/institutes"/>
    <n v="13735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7"/>
    <s v="Florida Energy Systems Consortium"/>
    <n v="137351"/>
    <x v="1"/>
    <m/>
    <m/>
    <m/>
    <n v="8750000"/>
    <m/>
    <m/>
    <m/>
    <m/>
    <n v="0"/>
    <m/>
    <m/>
    <n v="0"/>
    <n v="0"/>
    <n v="8750000"/>
    <m/>
    <m/>
    <m/>
    <m/>
    <n v="0"/>
    <m/>
    <m/>
    <n v="0"/>
    <m/>
    <m/>
    <m/>
    <m/>
    <n v="0"/>
    <n v="8750000"/>
  </r>
  <r>
    <x v="3"/>
    <x v="0"/>
    <s v="Florida International University"/>
    <n v="133951"/>
    <x v="1"/>
    <n v="230745491"/>
    <n v="214022210"/>
    <m/>
    <m/>
    <m/>
    <m/>
    <n v="118242127"/>
    <n v="2993415"/>
    <n v="121235542"/>
    <n v="127190299"/>
    <n v="3315016"/>
    <n v="130505315"/>
    <n v="348987618"/>
    <n v="341212509"/>
    <m/>
    <m/>
    <m/>
    <m/>
    <n v="0"/>
    <m/>
    <m/>
    <n v="0"/>
    <m/>
    <m/>
    <m/>
    <m/>
    <n v="348987618"/>
    <n v="341212509"/>
  </r>
  <r>
    <x v="3"/>
    <x v="0"/>
    <s v="Student Financial Aid"/>
    <n v="133951"/>
    <x v="1"/>
    <m/>
    <m/>
    <n v="1486587"/>
    <n v="1432392"/>
    <m/>
    <m/>
    <m/>
    <m/>
    <n v="0"/>
    <m/>
    <m/>
    <n v="0"/>
    <n v="1486587"/>
    <n v="1432392"/>
    <m/>
    <m/>
    <m/>
    <m/>
    <n v="0"/>
    <m/>
    <m/>
    <n v="0"/>
    <m/>
    <m/>
    <m/>
    <m/>
    <n v="1486587"/>
    <n v="1432392"/>
  </r>
  <r>
    <x v="3"/>
    <x v="0"/>
    <s v="Risk Management/Casualty Insurance"/>
    <n v="133951"/>
    <x v="1"/>
    <m/>
    <m/>
    <n v="1325332"/>
    <n v="1297802"/>
    <m/>
    <m/>
    <m/>
    <m/>
    <n v="0"/>
    <m/>
    <m/>
    <n v="0"/>
    <n v="1325332"/>
    <n v="1297802"/>
    <m/>
    <m/>
    <m/>
    <m/>
    <n v="0"/>
    <m/>
    <m/>
    <n v="0"/>
    <m/>
    <m/>
    <m/>
    <m/>
    <n v="1325332"/>
    <n v="1297802"/>
  </r>
  <r>
    <x v="3"/>
    <x v="1"/>
    <s v="Medical School"/>
    <n v="133951"/>
    <x v="1"/>
    <m/>
    <m/>
    <m/>
    <m/>
    <m/>
    <m/>
    <m/>
    <m/>
    <n v="0"/>
    <m/>
    <m/>
    <n v="0"/>
    <n v="0"/>
    <n v="0"/>
    <m/>
    <m/>
    <m/>
    <m/>
    <n v="0"/>
    <m/>
    <m/>
    <n v="0"/>
    <n v="5272250"/>
    <n v="11459863"/>
    <s v="???"/>
    <s v="???"/>
    <n v="5272250"/>
    <n v="11459863"/>
  </r>
  <r>
    <x v="3"/>
    <x v="7"/>
    <s v="Research centers/institutes"/>
    <n v="13735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7"/>
    <s v="Centers of Excellence"/>
    <n v="137351"/>
    <x v="1"/>
    <m/>
    <m/>
    <m/>
    <n v="10006955"/>
    <m/>
    <m/>
    <m/>
    <m/>
    <n v="0"/>
    <m/>
    <m/>
    <n v="0"/>
    <n v="0"/>
    <n v="10006955"/>
    <m/>
    <m/>
    <m/>
    <m/>
    <n v="0"/>
    <m/>
    <m/>
    <n v="0"/>
    <m/>
    <m/>
    <m/>
    <m/>
    <n v="0"/>
    <n v="10006955"/>
  </r>
  <r>
    <x v="3"/>
    <x v="0"/>
    <s v="Florida Agricultural &amp; Mechanical University "/>
    <n v="133650"/>
    <x v="2"/>
    <n v="121103807"/>
    <n v="116258751"/>
    <m/>
    <m/>
    <m/>
    <m/>
    <n v="51886358"/>
    <n v="1204780"/>
    <n v="53091138"/>
    <n v="52778244"/>
    <n v="1067373"/>
    <n v="53845617"/>
    <n v="172990165"/>
    <n v="169036995"/>
    <m/>
    <m/>
    <m/>
    <m/>
    <n v="0"/>
    <m/>
    <m/>
    <n v="0"/>
    <m/>
    <m/>
    <m/>
    <m/>
    <n v="172990165"/>
    <n v="169036995"/>
  </r>
  <r>
    <x v="3"/>
    <x v="0"/>
    <s v="Student Financial Aid"/>
    <n v="133650"/>
    <x v="2"/>
    <m/>
    <m/>
    <n v="1716867"/>
    <n v="1654278"/>
    <m/>
    <m/>
    <m/>
    <m/>
    <n v="0"/>
    <m/>
    <m/>
    <n v="0"/>
    <n v="1716867"/>
    <n v="1654278"/>
    <m/>
    <m/>
    <m/>
    <m/>
    <n v="0"/>
    <m/>
    <m/>
    <n v="0"/>
    <m/>
    <m/>
    <m/>
    <m/>
    <n v="1716867"/>
    <n v="1654278"/>
  </r>
  <r>
    <x v="3"/>
    <x v="0"/>
    <s v="Risk Management/Casualty Insurance"/>
    <n v="133650"/>
    <x v="2"/>
    <m/>
    <m/>
    <n v="1371632"/>
    <n v="1089432"/>
    <m/>
    <m/>
    <m/>
    <m/>
    <n v="0"/>
    <m/>
    <m/>
    <n v="0"/>
    <n v="1371632"/>
    <n v="1089432"/>
    <m/>
    <m/>
    <m/>
    <m/>
    <n v="0"/>
    <m/>
    <m/>
    <n v="0"/>
    <m/>
    <m/>
    <m/>
    <m/>
    <n v="1371632"/>
    <n v="1089432"/>
  </r>
  <r>
    <x v="3"/>
    <x v="3"/>
    <s v="Community or public service units"/>
    <n v="133650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"/>
    <s v="Developmental Research School"/>
    <n v="133650"/>
    <x v="2"/>
    <m/>
    <m/>
    <n v="3504921"/>
    <n v="3163915"/>
    <m/>
    <m/>
    <m/>
    <m/>
    <n v="0"/>
    <m/>
    <m/>
    <n v="0"/>
    <n v="3504921"/>
    <n v="3163915"/>
    <m/>
    <m/>
    <m/>
    <m/>
    <n v="0"/>
    <m/>
    <m/>
    <n v="0"/>
    <m/>
    <m/>
    <m/>
    <m/>
    <n v="3504921"/>
    <n v="3163915"/>
  </r>
  <r>
    <x v="3"/>
    <x v="0"/>
    <s v="University of North Florida"/>
    <n v="136172"/>
    <x v="2"/>
    <n v="89353749"/>
    <n v="86673989"/>
    <m/>
    <m/>
    <m/>
    <m/>
    <n v="44768078"/>
    <n v="1193195"/>
    <n v="45961273"/>
    <n v="47247624"/>
    <n v="1441980"/>
    <n v="48689604"/>
    <n v="134121827"/>
    <n v="133921613"/>
    <m/>
    <m/>
    <m/>
    <m/>
    <n v="0"/>
    <m/>
    <m/>
    <n v="0"/>
    <m/>
    <m/>
    <m/>
    <m/>
    <n v="134121827"/>
    <n v="133921613"/>
  </r>
  <r>
    <x v="3"/>
    <x v="0"/>
    <s v="Student Financial Aid"/>
    <n v="136172"/>
    <x v="2"/>
    <m/>
    <m/>
    <n v="551475"/>
    <n v="531371"/>
    <m/>
    <m/>
    <m/>
    <m/>
    <n v="0"/>
    <m/>
    <m/>
    <n v="0"/>
    <n v="551475"/>
    <n v="531371"/>
    <m/>
    <m/>
    <m/>
    <m/>
    <n v="0"/>
    <m/>
    <m/>
    <n v="0"/>
    <m/>
    <m/>
    <m/>
    <m/>
    <n v="551475"/>
    <n v="531371"/>
  </r>
  <r>
    <x v="3"/>
    <x v="0"/>
    <s v="Risk Management/Casualty Insurance"/>
    <n v="136172"/>
    <x v="2"/>
    <m/>
    <m/>
    <n v="743837"/>
    <n v="561545"/>
    <m/>
    <m/>
    <m/>
    <m/>
    <n v="0"/>
    <m/>
    <m/>
    <n v="0"/>
    <n v="743837"/>
    <n v="561545"/>
    <m/>
    <m/>
    <m/>
    <m/>
    <n v="0"/>
    <m/>
    <m/>
    <n v="0"/>
    <m/>
    <m/>
    <m/>
    <m/>
    <n v="743837"/>
    <n v="561545"/>
  </r>
  <r>
    <x v="3"/>
    <x v="0"/>
    <s v="University of West Florida"/>
    <n v="138354"/>
    <x v="2"/>
    <n v="75639412"/>
    <n v="66439109"/>
    <m/>
    <m/>
    <m/>
    <m/>
    <n v="25718990"/>
    <n v="794691"/>
    <n v="26513681"/>
    <n v="28504036"/>
    <n v="849280"/>
    <n v="29353316"/>
    <n v="101358402"/>
    <n v="94943145"/>
    <m/>
    <m/>
    <m/>
    <m/>
    <n v="0"/>
    <m/>
    <m/>
    <n v="0"/>
    <m/>
    <m/>
    <m/>
    <m/>
    <n v="101358402"/>
    <n v="94943145"/>
  </r>
  <r>
    <x v="3"/>
    <x v="0"/>
    <s v="Student Financial Aid"/>
    <n v="138354"/>
    <x v="2"/>
    <m/>
    <m/>
    <n v="433786"/>
    <n v="417972"/>
    <m/>
    <m/>
    <m/>
    <m/>
    <n v="0"/>
    <m/>
    <m/>
    <n v="0"/>
    <n v="433786"/>
    <n v="417972"/>
    <m/>
    <m/>
    <m/>
    <m/>
    <n v="0"/>
    <m/>
    <m/>
    <n v="0"/>
    <m/>
    <m/>
    <m/>
    <m/>
    <n v="433786"/>
    <n v="417972"/>
  </r>
  <r>
    <x v="3"/>
    <x v="0"/>
    <s v="Risk Management/Casualty Insurance"/>
    <n v="138354"/>
    <x v="2"/>
    <m/>
    <m/>
    <n v="584300"/>
    <n v="683633"/>
    <m/>
    <m/>
    <m/>
    <m/>
    <n v="0"/>
    <m/>
    <m/>
    <n v="0"/>
    <n v="584300"/>
    <n v="683633"/>
    <m/>
    <m/>
    <m/>
    <m/>
    <n v="0"/>
    <m/>
    <m/>
    <n v="0"/>
    <m/>
    <m/>
    <m/>
    <m/>
    <n v="584300"/>
    <n v="683633"/>
  </r>
  <r>
    <x v="3"/>
    <x v="0"/>
    <s v="Florida Gulf Coast University"/>
    <n v="433660"/>
    <x v="3"/>
    <n v="55761691"/>
    <n v="53098988"/>
    <m/>
    <m/>
    <m/>
    <m/>
    <n v="27343150"/>
    <n v="442525"/>
    <n v="27785675"/>
    <n v="29356128"/>
    <n v="782569"/>
    <n v="30138697"/>
    <n v="83104841"/>
    <n v="82455116"/>
    <m/>
    <m/>
    <m/>
    <m/>
    <n v="0"/>
    <m/>
    <m/>
    <n v="0"/>
    <m/>
    <m/>
    <m/>
    <m/>
    <n v="83104841"/>
    <n v="82455116"/>
  </r>
  <r>
    <x v="3"/>
    <x v="0"/>
    <s v="Student Financial Aid"/>
    <n v="433660"/>
    <x v="3"/>
    <m/>
    <m/>
    <n v="269658"/>
    <n v="259827"/>
    <m/>
    <m/>
    <m/>
    <m/>
    <n v="0"/>
    <m/>
    <m/>
    <n v="0"/>
    <n v="269658"/>
    <n v="259827"/>
    <m/>
    <m/>
    <m/>
    <m/>
    <n v="0"/>
    <m/>
    <m/>
    <n v="0"/>
    <m/>
    <m/>
    <m/>
    <m/>
    <n v="269658"/>
    <n v="259827"/>
  </r>
  <r>
    <x v="3"/>
    <x v="0"/>
    <s v="Risk Management/Casualty Insurance"/>
    <n v="433660"/>
    <x v="3"/>
    <m/>
    <m/>
    <n v="218272"/>
    <n v="471932"/>
    <m/>
    <m/>
    <m/>
    <m/>
    <n v="0"/>
    <m/>
    <m/>
    <n v="0"/>
    <n v="218272"/>
    <n v="471932"/>
    <m/>
    <m/>
    <m/>
    <m/>
    <n v="0"/>
    <m/>
    <m/>
    <n v="0"/>
    <m/>
    <m/>
    <m/>
    <m/>
    <n v="218272"/>
    <n v="471932"/>
  </r>
  <r>
    <x v="3"/>
    <x v="0"/>
    <s v="New College of Florida"/>
    <n v="262129"/>
    <x v="5"/>
    <n v="18147875"/>
    <n v="17184380"/>
    <m/>
    <m/>
    <m/>
    <m/>
    <n v="4025929"/>
    <n v="88042"/>
    <n v="4113971"/>
    <n v="4461102"/>
    <n v="92369"/>
    <n v="4553471"/>
    <n v="22173804"/>
    <n v="21645482"/>
    <m/>
    <m/>
    <m/>
    <m/>
    <n v="0"/>
    <m/>
    <m/>
    <n v="0"/>
    <m/>
    <m/>
    <m/>
    <m/>
    <n v="22173804"/>
    <n v="21645482"/>
  </r>
  <r>
    <x v="3"/>
    <x v="0"/>
    <s v="Student Financial Aid"/>
    <n v="262129"/>
    <x v="5"/>
    <m/>
    <m/>
    <n v="562030"/>
    <n v="541541"/>
    <m/>
    <m/>
    <m/>
    <m/>
    <n v="0"/>
    <m/>
    <m/>
    <n v="0"/>
    <n v="562030"/>
    <n v="541541"/>
    <m/>
    <m/>
    <m/>
    <m/>
    <n v="0"/>
    <m/>
    <m/>
    <n v="0"/>
    <m/>
    <m/>
    <m/>
    <m/>
    <n v="562030"/>
    <n v="541541"/>
  </r>
  <r>
    <x v="3"/>
    <x v="0"/>
    <s v="Risk Management/Casualty Insurance"/>
    <n v="262129"/>
    <x v="5"/>
    <m/>
    <m/>
    <n v="92358"/>
    <n v="114078"/>
    <m/>
    <m/>
    <m/>
    <m/>
    <n v="0"/>
    <m/>
    <m/>
    <n v="0"/>
    <n v="92358"/>
    <n v="114078"/>
    <m/>
    <m/>
    <m/>
    <m/>
    <n v="0"/>
    <m/>
    <m/>
    <n v="0"/>
    <m/>
    <m/>
    <m/>
    <m/>
    <n v="92358"/>
    <n v="114078"/>
  </r>
  <r>
    <x v="3"/>
    <x v="13"/>
    <s v="Education special purpose funds -all other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13"/>
    <s v="Major gifts and Eminent Scholars Programs Matching Funds"/>
    <m/>
    <x v="12"/>
    <m/>
    <m/>
    <n v="74336964"/>
    <n v="0"/>
    <m/>
    <m/>
    <m/>
    <m/>
    <n v="0"/>
    <m/>
    <m/>
    <n v="0"/>
    <n v="74336964"/>
    <n v="0"/>
    <m/>
    <m/>
    <m/>
    <m/>
    <n v="0"/>
    <m/>
    <m/>
    <n v="0"/>
    <m/>
    <m/>
    <m/>
    <m/>
    <n v="74336964"/>
    <n v="0"/>
  </r>
  <r>
    <x v="3"/>
    <x v="42"/>
    <s v="Community or public servic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42"/>
    <s v="Commercialization Assistance Grant Program"/>
    <m/>
    <x v="12"/>
    <m/>
    <m/>
    <n v="1920000"/>
    <n v="0"/>
    <m/>
    <m/>
    <m/>
    <m/>
    <n v="0"/>
    <m/>
    <m/>
    <n v="0"/>
    <n v="1920000"/>
    <n v="0"/>
    <m/>
    <m/>
    <m/>
    <m/>
    <n v="0"/>
    <m/>
    <m/>
    <n v="0"/>
    <m/>
    <m/>
    <m/>
    <m/>
    <n v="1920000"/>
    <n v="0"/>
  </r>
  <r>
    <x v="3"/>
    <x v="11"/>
    <s v="Research centers/institut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11"/>
    <s v="Moffitt Cancer Center"/>
    <m/>
    <x v="12"/>
    <m/>
    <m/>
    <n v="12999888"/>
    <n v="11718645"/>
    <m/>
    <m/>
    <m/>
    <m/>
    <n v="0"/>
    <m/>
    <m/>
    <n v="0"/>
    <n v="12999888"/>
    <n v="11718645"/>
    <m/>
    <m/>
    <m/>
    <m/>
    <n v="0"/>
    <m/>
    <m/>
    <n v="0"/>
    <m/>
    <m/>
    <m/>
    <m/>
    <n v="12999888"/>
    <n v="11718645"/>
  </r>
  <r>
    <x v="3"/>
    <x v="11"/>
    <s v="Institute for Human and Machine Cognition "/>
    <m/>
    <x v="12"/>
    <m/>
    <m/>
    <n v="2873636"/>
    <n v="1600000"/>
    <m/>
    <m/>
    <m/>
    <m/>
    <n v="0"/>
    <m/>
    <m/>
    <n v="0"/>
    <n v="2873636"/>
    <n v="1600000"/>
    <m/>
    <m/>
    <m/>
    <m/>
    <n v="0"/>
    <m/>
    <m/>
    <n v="0"/>
    <m/>
    <m/>
    <m/>
    <m/>
    <n v="2873636"/>
    <n v="1600000"/>
  </r>
  <r>
    <x v="3"/>
    <x v="12"/>
    <s v="Special line items for education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12"/>
    <s v="Distance Learning Consortium"/>
    <m/>
    <x v="12"/>
    <m/>
    <m/>
    <n v="0"/>
    <n v="334026"/>
    <m/>
    <m/>
    <m/>
    <m/>
    <n v="0"/>
    <m/>
    <m/>
    <n v="0"/>
    <n v="0"/>
    <n v="334026"/>
    <m/>
    <m/>
    <m/>
    <m/>
    <n v="0"/>
    <m/>
    <m/>
    <n v="0"/>
    <m/>
    <m/>
    <m/>
    <m/>
    <n v="0"/>
    <n v="334026"/>
  </r>
  <r>
    <x v="3"/>
    <x v="12"/>
    <s v="Centers of Excellence"/>
    <m/>
    <x v="12"/>
    <m/>
    <m/>
    <n v="186000"/>
    <n v="0"/>
    <m/>
    <m/>
    <m/>
    <m/>
    <n v="0"/>
    <m/>
    <m/>
    <n v="0"/>
    <n v="186000"/>
    <n v="0"/>
    <m/>
    <m/>
    <m/>
    <m/>
    <n v="0"/>
    <m/>
    <m/>
    <n v="0"/>
    <m/>
    <m/>
    <m/>
    <m/>
    <n v="186000"/>
    <n v="0"/>
  </r>
  <r>
    <x v="3"/>
    <x v="12"/>
    <s v="Performance Incentive Funding"/>
    <m/>
    <x v="12"/>
    <m/>
    <m/>
    <n v="3840000"/>
    <n v="0"/>
    <m/>
    <m/>
    <m/>
    <m/>
    <n v="0"/>
    <m/>
    <m/>
    <n v="0"/>
    <n v="3840000"/>
    <n v="0"/>
    <m/>
    <m/>
    <m/>
    <m/>
    <n v="0"/>
    <m/>
    <m/>
    <n v="0"/>
    <m/>
    <m/>
    <m/>
    <m/>
    <n v="3840000"/>
    <n v="0"/>
  </r>
  <r>
    <x v="3"/>
    <x v="14"/>
    <s v="Statewide System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15"/>
    <s v="Colleges and universiti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15"/>
    <s v="FL. Board of Governors"/>
    <m/>
    <x v="12"/>
    <m/>
    <m/>
    <m/>
    <m/>
    <m/>
    <m/>
    <m/>
    <m/>
    <n v="0"/>
    <m/>
    <m/>
    <n v="0"/>
    <n v="0"/>
    <n v="0"/>
    <n v="8417907"/>
    <n v="6619141"/>
    <m/>
    <m/>
    <n v="0"/>
    <m/>
    <m/>
    <n v="0"/>
    <m/>
    <m/>
    <m/>
    <m/>
    <n v="8417907"/>
    <n v="6619141"/>
  </r>
  <r>
    <x v="3"/>
    <x v="17"/>
    <s v="National or regional associations, compacts or consortia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17"/>
    <s v="SREB membership"/>
    <m/>
    <x v="12"/>
    <m/>
    <m/>
    <m/>
    <m/>
    <m/>
    <m/>
    <m/>
    <m/>
    <n v="0"/>
    <m/>
    <m/>
    <n v="0"/>
    <n v="0"/>
    <n v="0"/>
    <n v="187900"/>
    <n v="193550"/>
    <m/>
    <m/>
    <n v="0"/>
    <m/>
    <m/>
    <n v="0"/>
    <m/>
    <m/>
    <m/>
    <m/>
    <n v="187900"/>
    <n v="193550"/>
  </r>
  <r>
    <x v="3"/>
    <x v="18"/>
    <s v="Adm. of Statewide Student Aid Progs. (incldng centralized guaranteed student loans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19"/>
    <s v="State Support to Private Colleges Other Than Student Aid"/>
    <m/>
    <x v="12"/>
    <m/>
    <m/>
    <m/>
    <m/>
    <m/>
    <m/>
    <m/>
    <m/>
    <n v="0"/>
    <m/>
    <m/>
    <n v="0"/>
    <n v="0"/>
    <n v="0"/>
    <n v="9731607"/>
    <n v="8352309"/>
    <m/>
    <m/>
    <n v="0"/>
    <m/>
    <m/>
    <n v="0"/>
    <m/>
    <m/>
    <m/>
    <m/>
    <n v="9731607"/>
    <n v="8352309"/>
  </r>
  <r>
    <x v="3"/>
    <x v="19"/>
    <s v="1st Accredited Medical School Support for Univ Miami"/>
    <m/>
    <x v="12"/>
    <m/>
    <m/>
    <m/>
    <m/>
    <m/>
    <m/>
    <m/>
    <m/>
    <n v="0"/>
    <m/>
    <m/>
    <n v="0"/>
    <n v="0"/>
    <n v="0"/>
    <n v="3410000"/>
    <n v="2776922"/>
    <m/>
    <m/>
    <n v="0"/>
    <m/>
    <m/>
    <n v="0"/>
    <m/>
    <m/>
    <m/>
    <m/>
    <n v="3410000"/>
    <n v="2776922"/>
  </r>
  <r>
    <x v="3"/>
    <x v="19"/>
    <s v="Medical Training Simulation Laboratory at Univ Miami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19"/>
    <s v="Integrated Marine Research Program - Univ of Miami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19"/>
    <s v="Spinal Chord Research at Univ Miami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19"/>
    <s v="Regional Diabetes Center at Univ of Miami"/>
    <m/>
    <x v="12"/>
    <m/>
    <m/>
    <m/>
    <m/>
    <m/>
    <m/>
    <m/>
    <m/>
    <n v="0"/>
    <m/>
    <m/>
    <n v="0"/>
    <n v="0"/>
    <n v="0"/>
    <n v="578211"/>
    <n v="521509"/>
    <m/>
    <m/>
    <n v="0"/>
    <m/>
    <m/>
    <n v="0"/>
    <m/>
    <m/>
    <m/>
    <m/>
    <n v="578211"/>
    <n v="521509"/>
  </r>
  <r>
    <x v="3"/>
    <x v="19"/>
    <s v="Autism Program at Univ Miami"/>
    <m/>
    <x v="12"/>
    <m/>
    <m/>
    <m/>
    <m/>
    <m/>
    <m/>
    <m/>
    <m/>
    <n v="0"/>
    <m/>
    <m/>
    <n v="0"/>
    <n v="0"/>
    <n v="0"/>
    <n v="1429170"/>
    <n v="1302030"/>
    <m/>
    <m/>
    <n v="0"/>
    <m/>
    <m/>
    <n v="0"/>
    <m/>
    <m/>
    <m/>
    <m/>
    <n v="1429170"/>
    <n v="1302030"/>
  </r>
  <r>
    <x v="3"/>
    <x v="19"/>
    <s v="Nova SE Univ-health programs (osteopathy, pharmacy, optometry)"/>
    <m/>
    <x v="12"/>
    <m/>
    <m/>
    <m/>
    <m/>
    <m/>
    <m/>
    <m/>
    <m/>
    <n v="0"/>
    <m/>
    <m/>
    <n v="0"/>
    <n v="0"/>
    <n v="0"/>
    <n v="6490750"/>
    <n v="5853583"/>
    <m/>
    <m/>
    <n v="0"/>
    <m/>
    <m/>
    <n v="0"/>
    <m/>
    <m/>
    <m/>
    <m/>
    <n v="6490750"/>
    <n v="5853583"/>
  </r>
  <r>
    <x v="3"/>
    <x v="19"/>
    <s v="Bethune-Cookman"/>
    <m/>
    <x v="12"/>
    <m/>
    <m/>
    <m/>
    <m/>
    <m/>
    <m/>
    <m/>
    <m/>
    <n v="0"/>
    <m/>
    <m/>
    <n v="0"/>
    <n v="0"/>
    <n v="0"/>
    <n v="4676475"/>
    <n v="4294266"/>
    <m/>
    <m/>
    <n v="0"/>
    <m/>
    <m/>
    <n v="0"/>
    <m/>
    <m/>
    <m/>
    <m/>
    <n v="4676475"/>
    <n v="4294266"/>
  </r>
  <r>
    <x v="3"/>
    <x v="19"/>
    <s v="Edwards Waters College"/>
    <m/>
    <x v="12"/>
    <m/>
    <m/>
    <m/>
    <m/>
    <m/>
    <m/>
    <m/>
    <m/>
    <n v="0"/>
    <m/>
    <m/>
    <n v="0"/>
    <n v="0"/>
    <n v="0"/>
    <n v="3518343"/>
    <n v="3337859"/>
    <m/>
    <m/>
    <n v="0"/>
    <m/>
    <m/>
    <n v="0"/>
    <m/>
    <m/>
    <m/>
    <m/>
    <n v="3518343"/>
    <n v="3337859"/>
  </r>
  <r>
    <x v="3"/>
    <x v="19"/>
    <s v="Fl Memorial College"/>
    <m/>
    <x v="12"/>
    <m/>
    <m/>
    <m/>
    <m/>
    <m/>
    <m/>
    <m/>
    <m/>
    <n v="0"/>
    <m/>
    <m/>
    <n v="0"/>
    <n v="0"/>
    <n v="0"/>
    <n v="3988501"/>
    <n v="3718513"/>
    <m/>
    <m/>
    <n v="0"/>
    <m/>
    <m/>
    <n v="0"/>
    <m/>
    <m/>
    <m/>
    <m/>
    <n v="3988501"/>
    <n v="3718513"/>
  </r>
  <r>
    <x v="3"/>
    <x v="19"/>
    <s v="Library resources for HBCU's"/>
    <m/>
    <x v="12"/>
    <m/>
    <m/>
    <m/>
    <m/>
    <m/>
    <m/>
    <m/>
    <m/>
    <n v="0"/>
    <m/>
    <m/>
    <n v="0"/>
    <n v="0"/>
    <n v="0"/>
    <n v="168042"/>
    <n v="159855"/>
    <m/>
    <m/>
    <n v="0"/>
    <m/>
    <m/>
    <n v="0"/>
    <m/>
    <m/>
    <m/>
    <m/>
    <n v="168042"/>
    <n v="159855"/>
  </r>
  <r>
    <x v="3"/>
    <x v="20"/>
    <s v="Contract Education Programs"/>
    <m/>
    <x v="12"/>
    <m/>
    <m/>
    <m/>
    <m/>
    <m/>
    <m/>
    <m/>
    <m/>
    <n v="0"/>
    <m/>
    <m/>
    <n v="0"/>
    <n v="0"/>
    <n v="0"/>
    <s v=" "/>
    <m/>
    <m/>
    <m/>
    <n v="0"/>
    <m/>
    <m/>
    <n v="0"/>
    <m/>
    <m/>
    <m/>
    <m/>
    <n v="0"/>
    <n v="0"/>
  </r>
  <r>
    <x v="3"/>
    <x v="21"/>
    <s v="SREB contract program with private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2"/>
    <s v="SREB contract program with public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3"/>
    <s v="Other 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3"/>
    <s v="University of Miami academic program contracts"/>
    <m/>
    <x v="12"/>
    <m/>
    <m/>
    <m/>
    <m/>
    <m/>
    <m/>
    <m/>
    <m/>
    <n v="0"/>
    <m/>
    <m/>
    <n v="0"/>
    <n v="0"/>
    <n v="0"/>
    <n v="550745"/>
    <n v="500262"/>
    <m/>
    <m/>
    <n v="0"/>
    <m/>
    <m/>
    <n v="0"/>
    <m/>
    <m/>
    <m/>
    <m/>
    <n v="550745"/>
    <n v="500262"/>
  </r>
  <r>
    <x v="3"/>
    <x v="23"/>
    <s v="Nova SE Univ academic program contracts"/>
    <m/>
    <x v="12"/>
    <m/>
    <m/>
    <m/>
    <m/>
    <m/>
    <m/>
    <m/>
    <m/>
    <n v="0"/>
    <m/>
    <m/>
    <n v="0"/>
    <n v="0"/>
    <n v="0"/>
    <n v="88627"/>
    <n v="78843"/>
    <m/>
    <m/>
    <n v="0"/>
    <m/>
    <m/>
    <n v="0"/>
    <m/>
    <m/>
    <m/>
    <m/>
    <n v="88627"/>
    <n v="78843"/>
  </r>
  <r>
    <x v="3"/>
    <x v="23"/>
    <s v="FL Inst. Of Technology"/>
    <m/>
    <x v="12"/>
    <m/>
    <m/>
    <m/>
    <m/>
    <m/>
    <m/>
    <m/>
    <m/>
    <n v="0"/>
    <m/>
    <m/>
    <n v="0"/>
    <n v="0"/>
    <n v="0"/>
    <n v="291000"/>
    <n v="258875"/>
    <m/>
    <m/>
    <n v="0"/>
    <m/>
    <m/>
    <n v="0"/>
    <m/>
    <m/>
    <m/>
    <m/>
    <n v="291000"/>
    <n v="258875"/>
  </r>
  <r>
    <x v="3"/>
    <x v="23"/>
    <s v="Barry University"/>
    <m/>
    <x v="12"/>
    <m/>
    <m/>
    <m/>
    <m/>
    <m/>
    <m/>
    <m/>
    <m/>
    <n v="0"/>
    <m/>
    <m/>
    <n v="0"/>
    <n v="0"/>
    <n v="0"/>
    <n v="157972"/>
    <n v="140533"/>
    <m/>
    <m/>
    <n v="0"/>
    <m/>
    <m/>
    <n v="0"/>
    <m/>
    <m/>
    <m/>
    <m/>
    <n v="157972"/>
    <n v="140533"/>
  </r>
  <r>
    <x v="3"/>
    <x v="23"/>
    <s v="Le Comm/Florida Health Programs"/>
    <m/>
    <x v="12"/>
    <m/>
    <m/>
    <m/>
    <m/>
    <m/>
    <m/>
    <m/>
    <m/>
    <n v="0"/>
    <m/>
    <m/>
    <n v="0"/>
    <n v="0"/>
    <n v="0"/>
    <n v="1469889"/>
    <n v="1325745"/>
    <m/>
    <m/>
    <n v="0"/>
    <m/>
    <m/>
    <n v="0"/>
    <m/>
    <m/>
    <m/>
    <m/>
    <n v="1469889"/>
    <n v="1325745"/>
  </r>
  <r>
    <x v="3"/>
    <x v="23"/>
    <s v="Cr itical Training Needs - Univ of Tampa"/>
    <m/>
    <x v="12"/>
    <m/>
    <m/>
    <m/>
    <m/>
    <m/>
    <m/>
    <m/>
    <m/>
    <n v="0"/>
    <m/>
    <m/>
    <n v="0"/>
    <n v="0"/>
    <n v="0"/>
    <n v="0"/>
    <m/>
    <m/>
    <m/>
    <n v="0"/>
    <m/>
    <m/>
    <n v="0"/>
    <m/>
    <m/>
    <m/>
    <m/>
    <n v="0"/>
    <n v="0"/>
  </r>
  <r>
    <x v="3"/>
    <x v="24"/>
    <s v="Statewide Student Financial Aid Programs Administered Off Campu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5"/>
    <s v="Available to public &amp;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5"/>
    <s v="Bright Futures Scholarship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6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7"/>
    <s v="Non need-based"/>
    <m/>
    <x v="12"/>
    <m/>
    <m/>
    <m/>
    <m/>
    <m/>
    <m/>
    <m/>
    <m/>
    <n v="0"/>
    <m/>
    <m/>
    <n v="0"/>
    <n v="0"/>
    <n v="0"/>
    <n v="387685153"/>
    <n v="436175538"/>
    <m/>
    <m/>
    <n v="0"/>
    <m/>
    <m/>
    <n v="0"/>
    <m/>
    <m/>
    <m/>
    <m/>
    <n v="387685153"/>
    <n v="436175538"/>
  </r>
  <r>
    <x v="3"/>
    <x v="28"/>
    <s v="Amount to public sector students"/>
    <m/>
    <x v="12"/>
    <m/>
    <m/>
    <m/>
    <m/>
    <m/>
    <m/>
    <m/>
    <m/>
    <n v="0"/>
    <m/>
    <m/>
    <n v="0"/>
    <n v="0"/>
    <n v="0"/>
    <s v="No detail on sector?"/>
    <m/>
    <m/>
    <m/>
    <n v="0"/>
    <m/>
    <m/>
    <n v="0"/>
    <m/>
    <m/>
    <m/>
    <m/>
    <n v="0"/>
    <n v="0"/>
  </r>
  <r>
    <x v="3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5"/>
    <s v="Children of deceased/disabled Vetera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6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7"/>
    <s v="Non need-based"/>
    <m/>
    <x v="12"/>
    <m/>
    <m/>
    <m/>
    <m/>
    <m/>
    <m/>
    <m/>
    <m/>
    <n v="0"/>
    <m/>
    <m/>
    <n v="0"/>
    <n v="0"/>
    <n v="0"/>
    <n v="1101410"/>
    <n v="1997365"/>
    <m/>
    <m/>
    <n v="0"/>
    <m/>
    <m/>
    <n v="0"/>
    <m/>
    <m/>
    <m/>
    <m/>
    <n v="1101410"/>
    <n v="1997365"/>
  </r>
  <r>
    <x v="3"/>
    <x v="28"/>
    <s v="Amount to public sector students"/>
    <m/>
    <x v="12"/>
    <m/>
    <m/>
    <m/>
    <m/>
    <m/>
    <m/>
    <m/>
    <m/>
    <n v="0"/>
    <m/>
    <m/>
    <n v="0"/>
    <n v="0"/>
    <n v="0"/>
    <s v="No detail on sector?"/>
    <m/>
    <m/>
    <m/>
    <n v="0"/>
    <m/>
    <m/>
    <n v="0"/>
    <m/>
    <m/>
    <m/>
    <m/>
    <n v="0"/>
    <n v="0"/>
  </r>
  <r>
    <x v="3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5"/>
    <s v="Ethics in business"/>
    <m/>
    <x v="12"/>
    <m/>
    <m/>
    <m/>
    <m/>
    <m/>
    <m/>
    <m/>
    <m/>
    <n v="0"/>
    <m/>
    <m/>
    <n v="0"/>
    <n v="0"/>
    <n v="0"/>
    <n v="500000"/>
    <n v="500000"/>
    <m/>
    <m/>
    <n v="0"/>
    <m/>
    <m/>
    <n v="0"/>
    <m/>
    <m/>
    <m/>
    <m/>
    <n v="500000"/>
    <n v="500000"/>
  </r>
  <r>
    <x v="3"/>
    <x v="26"/>
    <s v="Need-based"/>
    <m/>
    <x v="12"/>
    <m/>
    <m/>
    <m/>
    <m/>
    <m/>
    <m/>
    <m/>
    <m/>
    <n v="0"/>
    <m/>
    <m/>
    <n v="0"/>
    <n v="0"/>
    <n v="0"/>
    <s v="No detail on sector or basis?"/>
    <m/>
    <m/>
    <m/>
    <n v="0"/>
    <m/>
    <m/>
    <n v="0"/>
    <m/>
    <m/>
    <m/>
    <m/>
    <n v="0"/>
    <n v="0"/>
  </r>
  <r>
    <x v="3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5"/>
    <s v="Florida Work Experience"/>
    <m/>
    <x v="12"/>
    <m/>
    <m/>
    <m/>
    <m/>
    <m/>
    <m/>
    <m/>
    <m/>
    <n v="0"/>
    <m/>
    <m/>
    <n v="0"/>
    <n v="0"/>
    <n v="0"/>
    <s v="Is this program still in operation?"/>
    <m/>
    <m/>
    <m/>
    <n v="0"/>
    <m/>
    <m/>
    <n v="0"/>
    <m/>
    <m/>
    <m/>
    <m/>
    <n v="0"/>
    <n v="0"/>
  </r>
  <r>
    <x v="3"/>
    <x v="26"/>
    <s v="Need-based"/>
    <m/>
    <x v="12"/>
    <m/>
    <m/>
    <m/>
    <m/>
    <m/>
    <m/>
    <m/>
    <m/>
    <n v="0"/>
    <m/>
    <m/>
    <n v="0"/>
    <n v="0"/>
    <n v="0"/>
    <m/>
    <n v="1569922"/>
    <m/>
    <m/>
    <n v="0"/>
    <m/>
    <m/>
    <n v="0"/>
    <m/>
    <m/>
    <m/>
    <m/>
    <n v="0"/>
    <n v="1569922"/>
  </r>
  <r>
    <x v="3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5"/>
    <s v="Jose Marti Scholarship Challenge Grant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6"/>
    <s v="Need-based"/>
    <m/>
    <x v="12"/>
    <m/>
    <m/>
    <m/>
    <m/>
    <m/>
    <m/>
    <m/>
    <m/>
    <n v="0"/>
    <m/>
    <m/>
    <n v="0"/>
    <n v="0"/>
    <n v="0"/>
    <n v="276267"/>
    <n v="270939"/>
    <m/>
    <m/>
    <n v="0"/>
    <m/>
    <m/>
    <n v="0"/>
    <m/>
    <m/>
    <m/>
    <m/>
    <n v="276267"/>
    <n v="270939"/>
  </r>
  <r>
    <x v="3"/>
    <x v="27"/>
    <s v="Non need-based"/>
    <m/>
    <x v="12"/>
    <m/>
    <m/>
    <m/>
    <m/>
    <m/>
    <m/>
    <m/>
    <m/>
    <n v="0"/>
    <m/>
    <m/>
    <n v="0"/>
    <n v="0"/>
    <n v="0"/>
    <s v="No detail on sector?"/>
    <m/>
    <m/>
    <m/>
    <n v="0"/>
    <m/>
    <m/>
    <n v="0"/>
    <m/>
    <m/>
    <m/>
    <m/>
    <n v="0"/>
    <n v="0"/>
  </r>
  <r>
    <x v="3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5"/>
    <s v="Prepaid Tuition Scholarship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6"/>
    <s v="Need-based"/>
    <m/>
    <x v="12"/>
    <m/>
    <m/>
    <m/>
    <m/>
    <m/>
    <m/>
    <m/>
    <m/>
    <n v="0"/>
    <m/>
    <m/>
    <n v="0"/>
    <n v="0"/>
    <n v="0"/>
    <n v="5975000"/>
    <n v="5819000"/>
    <m/>
    <m/>
    <n v="0"/>
    <m/>
    <m/>
    <n v="0"/>
    <m/>
    <m/>
    <m/>
    <m/>
    <n v="5975000"/>
    <n v="5819000"/>
  </r>
  <r>
    <x v="3"/>
    <x v="27"/>
    <s v="Non need-based"/>
    <m/>
    <x v="12"/>
    <m/>
    <m/>
    <m/>
    <m/>
    <m/>
    <m/>
    <m/>
    <m/>
    <n v="0"/>
    <m/>
    <m/>
    <n v="0"/>
    <n v="0"/>
    <n v="0"/>
    <s v="No detail on sector?"/>
    <m/>
    <m/>
    <m/>
    <n v="0"/>
    <m/>
    <m/>
    <n v="0"/>
    <m/>
    <m/>
    <m/>
    <m/>
    <n v="0"/>
    <n v="0"/>
  </r>
  <r>
    <x v="3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4"/>
    <s v="Limited to public college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4"/>
    <s v="Critical Teacher Shortage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5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6"/>
    <s v="Non need-based"/>
    <m/>
    <x v="12"/>
    <m/>
    <m/>
    <m/>
    <m/>
    <m/>
    <m/>
    <m/>
    <m/>
    <n v="0"/>
    <m/>
    <m/>
    <n v="0"/>
    <n v="0"/>
    <n v="0"/>
    <n v="2500000"/>
    <n v="2500000"/>
    <m/>
    <m/>
    <n v="0"/>
    <m/>
    <m/>
    <n v="0"/>
    <m/>
    <m/>
    <m/>
    <m/>
    <n v="2500000"/>
    <n v="2500000"/>
  </r>
  <r>
    <x v="3"/>
    <x v="34"/>
    <s v="Florida Student Assistance - Public - Full &amp; Part-time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5"/>
    <s v="Need-based"/>
    <m/>
    <x v="12"/>
    <m/>
    <m/>
    <m/>
    <m/>
    <m/>
    <m/>
    <m/>
    <m/>
    <n v="0"/>
    <m/>
    <m/>
    <n v="0"/>
    <n v="0"/>
    <n v="0"/>
    <n v="100705360"/>
    <n v="98546590"/>
    <m/>
    <m/>
    <n v="0"/>
    <m/>
    <m/>
    <n v="0"/>
    <m/>
    <m/>
    <m/>
    <m/>
    <n v="100705360"/>
    <n v="98546590"/>
  </r>
  <r>
    <x v="3"/>
    <x v="36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4"/>
    <s v="Minority Teachers Scholarship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5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6"/>
    <s v="Non need-based"/>
    <m/>
    <x v="12"/>
    <m/>
    <m/>
    <m/>
    <m/>
    <m/>
    <m/>
    <m/>
    <m/>
    <n v="0"/>
    <m/>
    <m/>
    <n v="0"/>
    <n v="0"/>
    <n v="0"/>
    <n v="3095864"/>
    <n v="3002988"/>
    <m/>
    <m/>
    <n v="0"/>
    <m/>
    <m/>
    <n v="0"/>
    <m/>
    <m/>
    <m/>
    <m/>
    <n v="3095864"/>
    <n v="3002988"/>
  </r>
  <r>
    <x v="3"/>
    <x v="34"/>
    <s v="Rosewood Family Scholarship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5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6"/>
    <s v="Non need-based"/>
    <m/>
    <x v="12"/>
    <m/>
    <m/>
    <m/>
    <m/>
    <m/>
    <m/>
    <m/>
    <m/>
    <n v="0"/>
    <m/>
    <m/>
    <n v="0"/>
    <n v="0"/>
    <n v="0"/>
    <n v="90000"/>
    <n v="90000"/>
    <m/>
    <m/>
    <n v="0"/>
    <m/>
    <m/>
    <n v="0"/>
    <m/>
    <m/>
    <m/>
    <m/>
    <n v="90000"/>
    <n v="90000"/>
  </r>
  <r>
    <x v="3"/>
    <x v="37"/>
    <s v="Limited to private college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7"/>
    <s v="Florida Resident Access Grant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8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9"/>
    <s v="Non need-based"/>
    <m/>
    <x v="12"/>
    <m/>
    <m/>
    <m/>
    <m/>
    <m/>
    <m/>
    <m/>
    <m/>
    <n v="0"/>
    <m/>
    <m/>
    <n v="0"/>
    <n v="0"/>
    <n v="0"/>
    <n v="102693000"/>
    <n v="97042395"/>
    <m/>
    <m/>
    <n v="0"/>
    <m/>
    <m/>
    <n v="0"/>
    <m/>
    <m/>
    <m/>
    <m/>
    <n v="102693000"/>
    <n v="97042395"/>
  </r>
  <r>
    <x v="3"/>
    <x v="37"/>
    <s v="Access to Better Learning and Education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8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9"/>
    <s v="Non need-based"/>
    <m/>
    <x v="12"/>
    <m/>
    <m/>
    <m/>
    <m/>
    <m/>
    <m/>
    <m/>
    <m/>
    <n v="0"/>
    <m/>
    <m/>
    <n v="0"/>
    <n v="0"/>
    <n v="0"/>
    <n v="4438750"/>
    <n v="4439592"/>
    <m/>
    <m/>
    <n v="0"/>
    <m/>
    <m/>
    <n v="0"/>
    <m/>
    <m/>
    <m/>
    <m/>
    <n v="4438750"/>
    <n v="4439592"/>
  </r>
  <r>
    <x v="3"/>
    <x v="37"/>
    <s v="Postsecondary Student Assistance Grant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8"/>
    <s v="Need-based"/>
    <m/>
    <x v="12"/>
    <m/>
    <m/>
    <m/>
    <m/>
    <m/>
    <m/>
    <m/>
    <m/>
    <n v="0"/>
    <m/>
    <m/>
    <n v="0"/>
    <n v="0"/>
    <n v="0"/>
    <n v="11308644"/>
    <n v="11066226"/>
    <m/>
    <m/>
    <n v="0"/>
    <m/>
    <m/>
    <n v="0"/>
    <m/>
    <m/>
    <m/>
    <m/>
    <n v="11308644"/>
    <n v="11066226"/>
  </r>
  <r>
    <x v="3"/>
    <x v="39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7"/>
    <s v="Private Student Assistance Gra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8"/>
    <s v="Need-based"/>
    <m/>
    <x v="12"/>
    <m/>
    <m/>
    <m/>
    <m/>
    <m/>
    <m/>
    <m/>
    <m/>
    <n v="0"/>
    <m/>
    <m/>
    <n v="0"/>
    <n v="0"/>
    <n v="0"/>
    <n v="16223185"/>
    <n v="15875417"/>
    <m/>
    <m/>
    <n v="0"/>
    <m/>
    <m/>
    <n v="0"/>
    <m/>
    <m/>
    <m/>
    <m/>
    <n v="16223185"/>
    <n v="15875417"/>
  </r>
  <r>
    <x v="3"/>
    <x v="39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7"/>
    <s v="Mary McCleod Bethune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38"/>
    <s v="Need-based"/>
    <m/>
    <x v="12"/>
    <m/>
    <m/>
    <m/>
    <m/>
    <m/>
    <m/>
    <m/>
    <m/>
    <n v="0"/>
    <m/>
    <m/>
    <n v="0"/>
    <n v="0"/>
    <n v="0"/>
    <n v="678000"/>
    <n v="664453"/>
    <m/>
    <m/>
    <n v="0"/>
    <m/>
    <m/>
    <n v="0"/>
    <m/>
    <m/>
    <m/>
    <m/>
    <n v="678000"/>
    <n v="664453"/>
  </r>
  <r>
    <x v="3"/>
    <x v="39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Chipola College "/>
    <s v="133021"/>
    <x v="13"/>
    <n v="10221190"/>
    <n v="9514473"/>
    <m/>
    <m/>
    <m/>
    <m/>
    <n v="2235529"/>
    <m/>
    <n v="2235529"/>
    <n v="2347305"/>
    <m/>
    <n v="2347305"/>
    <n v="12456719"/>
    <n v="11861778"/>
    <m/>
    <m/>
    <m/>
    <m/>
    <n v="0"/>
    <m/>
    <m/>
    <n v="0"/>
    <m/>
    <m/>
    <m/>
    <m/>
    <n v="12456719"/>
    <n v="11861778"/>
  </r>
  <r>
    <x v="3"/>
    <x v="0"/>
    <s v="Miami Dade College "/>
    <s v="135717"/>
    <x v="13"/>
    <n v="184535403"/>
    <n v="170116119"/>
    <m/>
    <m/>
    <m/>
    <m/>
    <n v="93169484"/>
    <m/>
    <n v="93169484"/>
    <n v="97827958"/>
    <m/>
    <n v="97827958"/>
    <n v="277704887"/>
    <n v="267944077"/>
    <m/>
    <m/>
    <m/>
    <m/>
    <n v="0"/>
    <m/>
    <m/>
    <n v="0"/>
    <m/>
    <m/>
    <m/>
    <m/>
    <n v="277704887"/>
    <n v="267944077"/>
  </r>
  <r>
    <x v="3"/>
    <x v="0"/>
    <s v="Northwest Florida State College"/>
    <s v="136233"/>
    <x v="13"/>
    <n v="18928392"/>
    <n v="17470974"/>
    <m/>
    <m/>
    <m/>
    <m/>
    <n v="7956492"/>
    <m/>
    <n v="7956492"/>
    <n v="8354317"/>
    <m/>
    <n v="8354317"/>
    <n v="26884884"/>
    <n v="25825291"/>
    <m/>
    <m/>
    <m/>
    <m/>
    <n v="0"/>
    <m/>
    <m/>
    <n v="0"/>
    <m/>
    <m/>
    <m/>
    <m/>
    <n v="26884884"/>
    <n v="25825291"/>
  </r>
  <r>
    <x v="3"/>
    <x v="0"/>
    <s v="St. Petersburg College "/>
    <s v="137078"/>
    <x v="13"/>
    <n v="64136328"/>
    <n v="58242041"/>
    <m/>
    <m/>
    <m/>
    <m/>
    <n v="32341517"/>
    <m/>
    <n v="32341517"/>
    <n v="33958593"/>
    <m/>
    <n v="33958593"/>
    <n v="96477845"/>
    <n v="92200634"/>
    <m/>
    <m/>
    <m/>
    <m/>
    <n v="0"/>
    <m/>
    <m/>
    <n v="0"/>
    <m/>
    <m/>
    <m/>
    <m/>
    <n v="96477845"/>
    <n v="92200634"/>
  </r>
  <r>
    <x v="3"/>
    <x v="0"/>
    <s v="Brevard Community College "/>
    <s v="132693"/>
    <x v="6"/>
    <n v="41569699"/>
    <n v="38032710"/>
    <m/>
    <m/>
    <m/>
    <m/>
    <n v="17663845"/>
    <m/>
    <n v="17663845"/>
    <n v="18547037"/>
    <m/>
    <n v="18547037"/>
    <n v="59233544"/>
    <n v="56579747"/>
    <m/>
    <m/>
    <m/>
    <m/>
    <n v="0"/>
    <m/>
    <m/>
    <n v="0"/>
    <m/>
    <m/>
    <m/>
    <m/>
    <n v="59233544"/>
    <n v="56579747"/>
  </r>
  <r>
    <x v="3"/>
    <x v="0"/>
    <s v="Broward Community College "/>
    <s v="132709"/>
    <x v="6"/>
    <n v="80078308"/>
    <n v="73360162"/>
    <m/>
    <m/>
    <m/>
    <m/>
    <n v="44365574"/>
    <m/>
    <n v="44365574"/>
    <n v="46583853"/>
    <m/>
    <n v="46583853"/>
    <n v="124443882"/>
    <n v="119944015"/>
    <m/>
    <m/>
    <m/>
    <m/>
    <n v="0"/>
    <m/>
    <m/>
    <n v="0"/>
    <m/>
    <m/>
    <m/>
    <m/>
    <n v="124443882"/>
    <n v="119944015"/>
  </r>
  <r>
    <x v="3"/>
    <x v="0"/>
    <s v="Daytona Beach Community College "/>
    <s v="133386"/>
    <x v="6"/>
    <n v="52503824"/>
    <n v="48141707"/>
    <m/>
    <m/>
    <m/>
    <m/>
    <n v="18183375"/>
    <m/>
    <n v="18183375"/>
    <n v="19092544"/>
    <m/>
    <n v="19092544"/>
    <n v="70687199"/>
    <n v="67234251"/>
    <m/>
    <m/>
    <m/>
    <m/>
    <n v="0"/>
    <m/>
    <m/>
    <n v="0"/>
    <m/>
    <m/>
    <m/>
    <m/>
    <n v="70687199"/>
    <n v="67234251"/>
  </r>
  <r>
    <x v="3"/>
    <x v="0"/>
    <s v="Edison State College"/>
    <s v="133508"/>
    <x v="6"/>
    <n v="25862851"/>
    <n v="23900150"/>
    <m/>
    <m/>
    <m/>
    <m/>
    <n v="14770050"/>
    <m/>
    <n v="14770050"/>
    <n v="15508553"/>
    <m/>
    <n v="15508553"/>
    <n v="40632901"/>
    <n v="39408703"/>
    <m/>
    <m/>
    <m/>
    <m/>
    <n v="0"/>
    <m/>
    <m/>
    <n v="0"/>
    <m/>
    <m/>
    <m/>
    <m/>
    <n v="40632901"/>
    <n v="39408703"/>
  </r>
  <r>
    <x v="3"/>
    <x v="0"/>
    <s v="Florida Community College at Jacksonville"/>
    <s v="133702"/>
    <x v="6"/>
    <n v="82482645"/>
    <n v="76214505"/>
    <m/>
    <m/>
    <m/>
    <m/>
    <n v="50018193"/>
    <m/>
    <n v="50018193"/>
    <n v="52519103"/>
    <m/>
    <n v="52519103"/>
    <n v="132500838"/>
    <n v="128733608"/>
    <m/>
    <m/>
    <m/>
    <m/>
    <n v="0"/>
    <m/>
    <m/>
    <n v="0"/>
    <m/>
    <m/>
    <m/>
    <m/>
    <n v="132500838"/>
    <n v="128733608"/>
  </r>
  <r>
    <x v="3"/>
    <x v="0"/>
    <s v="Hillsborough Community College "/>
    <s v="134495"/>
    <x v="6"/>
    <n v="53583392"/>
    <n v="49569866"/>
    <m/>
    <m/>
    <m/>
    <m/>
    <n v="30387202"/>
    <m/>
    <n v="30387202"/>
    <n v="31906562"/>
    <m/>
    <n v="31906562"/>
    <n v="83970594"/>
    <n v="81476428"/>
    <m/>
    <m/>
    <m/>
    <m/>
    <n v="0"/>
    <m/>
    <m/>
    <n v="0"/>
    <m/>
    <m/>
    <m/>
    <m/>
    <n v="83970594"/>
    <n v="81476428"/>
  </r>
  <r>
    <x v="3"/>
    <x v="0"/>
    <s v="Indian River Community College "/>
    <s v="134608"/>
    <x v="6"/>
    <n v="47587179"/>
    <n v="44760617"/>
    <m/>
    <m/>
    <m/>
    <m/>
    <n v="15685060"/>
    <m/>
    <n v="15685060"/>
    <n v="16469313"/>
    <m/>
    <n v="16469313"/>
    <n v="63272239"/>
    <n v="61229930"/>
    <m/>
    <m/>
    <m/>
    <m/>
    <n v="0"/>
    <m/>
    <m/>
    <n v="0"/>
    <m/>
    <m/>
    <m/>
    <m/>
    <n v="63272239"/>
    <n v="61229930"/>
  </r>
  <r>
    <x v="3"/>
    <x v="0"/>
    <s v="Manatee Community College "/>
    <s v="135391"/>
    <x v="6"/>
    <n v="22962987"/>
    <n v="21218645"/>
    <m/>
    <m/>
    <m/>
    <m/>
    <n v="14895762"/>
    <m/>
    <n v="14895762"/>
    <n v="15640550"/>
    <m/>
    <n v="15640550"/>
    <n v="37858749"/>
    <n v="36859195"/>
    <m/>
    <m/>
    <m/>
    <m/>
    <n v="0"/>
    <m/>
    <m/>
    <n v="0"/>
    <m/>
    <m/>
    <m/>
    <m/>
    <n v="37858749"/>
    <n v="36859195"/>
  </r>
  <r>
    <x v="3"/>
    <x v="0"/>
    <s v="Palm Beach Community College "/>
    <s v="136358"/>
    <x v="6"/>
    <n v="56614232"/>
    <n v="52317057"/>
    <m/>
    <m/>
    <m/>
    <m/>
    <n v="30478589"/>
    <m/>
    <n v="30478589"/>
    <n v="32002518"/>
    <m/>
    <n v="32002518"/>
    <n v="87092821"/>
    <n v="84319575"/>
    <m/>
    <m/>
    <m/>
    <m/>
    <n v="0"/>
    <m/>
    <m/>
    <n v="0"/>
    <m/>
    <m/>
    <m/>
    <m/>
    <n v="87092821"/>
    <n v="84319575"/>
  </r>
  <r>
    <x v="3"/>
    <x v="0"/>
    <s v="Pasco-Hernando Community College "/>
    <s v="136400"/>
    <x v="6"/>
    <n v="20455950"/>
    <n v="19229090"/>
    <m/>
    <m/>
    <m/>
    <m/>
    <n v="8827635"/>
    <m/>
    <n v="8827635"/>
    <n v="9269017"/>
    <m/>
    <n v="9269017"/>
    <n v="29283585"/>
    <n v="28498107"/>
    <m/>
    <m/>
    <m/>
    <m/>
    <n v="0"/>
    <m/>
    <m/>
    <n v="0"/>
    <m/>
    <m/>
    <m/>
    <m/>
    <n v="29283585"/>
    <n v="28498107"/>
  </r>
  <r>
    <x v="3"/>
    <x v="0"/>
    <s v="Pensacola Junior College "/>
    <s v="136473"/>
    <x v="6"/>
    <n v="37553932"/>
    <n v="34106947"/>
    <m/>
    <m/>
    <m/>
    <m/>
    <n v="12429548"/>
    <m/>
    <n v="12429548"/>
    <n v="13051025"/>
    <m/>
    <n v="13051025"/>
    <n v="49983480"/>
    <n v="47157972"/>
    <m/>
    <m/>
    <m/>
    <m/>
    <n v="0"/>
    <m/>
    <m/>
    <n v="0"/>
    <m/>
    <m/>
    <m/>
    <m/>
    <n v="49983480"/>
    <n v="47157972"/>
  </r>
  <r>
    <x v="3"/>
    <x v="0"/>
    <s v="Santa Fe Community College "/>
    <s v="137096"/>
    <x v="6"/>
    <n v="38487973"/>
    <n v="35482678"/>
    <m/>
    <m/>
    <m/>
    <m/>
    <n v="21949887"/>
    <m/>
    <n v="21949887"/>
    <n v="23047381"/>
    <m/>
    <n v="23047381"/>
    <n v="60437860"/>
    <n v="58530059"/>
    <m/>
    <m/>
    <m/>
    <m/>
    <n v="0"/>
    <m/>
    <m/>
    <n v="0"/>
    <m/>
    <m/>
    <m/>
    <m/>
    <n v="60437860"/>
    <n v="58530059"/>
  </r>
  <r>
    <x v="3"/>
    <x v="0"/>
    <s v="Seminole Community College "/>
    <s v="137209"/>
    <x v="6"/>
    <n v="38537699"/>
    <n v="35670319"/>
    <m/>
    <m/>
    <m/>
    <m/>
    <n v="17424137"/>
    <m/>
    <n v="17424137"/>
    <n v="18295344"/>
    <m/>
    <n v="18295344"/>
    <n v="55961836"/>
    <n v="53965663"/>
    <m/>
    <m/>
    <m/>
    <m/>
    <n v="0"/>
    <m/>
    <m/>
    <n v="0"/>
    <m/>
    <m/>
    <m/>
    <m/>
    <n v="55961836"/>
    <n v="53965663"/>
  </r>
  <r>
    <x v="3"/>
    <x v="0"/>
    <s v="Tallahassee Community College "/>
    <s v="137759"/>
    <x v="6"/>
    <n v="32393663"/>
    <n v="29573282"/>
    <m/>
    <m/>
    <m/>
    <m/>
    <n v="18786233"/>
    <m/>
    <n v="18786233"/>
    <n v="19725545"/>
    <m/>
    <n v="19725545"/>
    <n v="51179896"/>
    <n v="49298827"/>
    <m/>
    <m/>
    <m/>
    <m/>
    <n v="0"/>
    <m/>
    <m/>
    <n v="0"/>
    <m/>
    <m/>
    <m/>
    <m/>
    <n v="51179896"/>
    <n v="49298827"/>
  </r>
  <r>
    <x v="3"/>
    <x v="0"/>
    <s v="Valencia Community College "/>
    <s v="138187"/>
    <x v="6"/>
    <n v="67973138"/>
    <n v="62468187"/>
    <m/>
    <m/>
    <m/>
    <m/>
    <n v="46741011"/>
    <m/>
    <n v="46741011"/>
    <n v="49078062"/>
    <m/>
    <n v="49078062"/>
    <n v="114714149"/>
    <n v="111546249"/>
    <m/>
    <m/>
    <m/>
    <m/>
    <n v="0"/>
    <m/>
    <m/>
    <n v="0"/>
    <m/>
    <m/>
    <m/>
    <m/>
    <n v="114714149"/>
    <n v="111546249"/>
  </r>
  <r>
    <x v="3"/>
    <x v="0"/>
    <s v="Central Florida Community College "/>
    <s v="132851"/>
    <x v="7"/>
    <n v="20134622"/>
    <n v="18794800"/>
    <m/>
    <m/>
    <m/>
    <m/>
    <n v="10272467"/>
    <m/>
    <n v="10272467"/>
    <n v="10786090"/>
    <m/>
    <n v="10786090"/>
    <n v="30407089"/>
    <n v="29580890"/>
    <m/>
    <m/>
    <m/>
    <m/>
    <n v="0"/>
    <m/>
    <m/>
    <n v="0"/>
    <m/>
    <m/>
    <m/>
    <m/>
    <n v="30407089"/>
    <n v="29580890"/>
  </r>
  <r>
    <x v="3"/>
    <x v="0"/>
    <s v="Gulf Coast Community College "/>
    <s v="134343"/>
    <x v="7"/>
    <n v="19513867"/>
    <n v="17988909"/>
    <m/>
    <m/>
    <m/>
    <m/>
    <n v="7991842"/>
    <m/>
    <n v="7991842"/>
    <n v="8391434"/>
    <m/>
    <n v="8391434"/>
    <n v="27505709"/>
    <n v="26380343"/>
    <m/>
    <m/>
    <m/>
    <m/>
    <n v="0"/>
    <m/>
    <m/>
    <n v="0"/>
    <m/>
    <m/>
    <m/>
    <m/>
    <n v="27505709"/>
    <n v="26380343"/>
  </r>
  <r>
    <x v="3"/>
    <x v="0"/>
    <s v="Lake City Community College "/>
    <s v="135160"/>
    <x v="7"/>
    <n v="13765067"/>
    <n v="12774818"/>
    <m/>
    <m/>
    <m/>
    <m/>
    <n v="3472381"/>
    <m/>
    <n v="3472381"/>
    <n v="3646000"/>
    <m/>
    <n v="3646000"/>
    <n v="17237448"/>
    <n v="16420818"/>
    <m/>
    <m/>
    <m/>
    <m/>
    <n v="0"/>
    <m/>
    <m/>
    <n v="0"/>
    <m/>
    <m/>
    <m/>
    <m/>
    <n v="17237448"/>
    <n v="16420818"/>
  </r>
  <r>
    <x v="3"/>
    <x v="0"/>
    <s v="Lake-Sumter Community College "/>
    <s v="135188"/>
    <x v="7"/>
    <n v="11454625"/>
    <n v="10696050"/>
    <m/>
    <m/>
    <m/>
    <m/>
    <n v="4367490"/>
    <m/>
    <n v="4367490"/>
    <n v="4585865"/>
    <m/>
    <n v="4585865"/>
    <n v="15822115"/>
    <n v="15281915"/>
    <m/>
    <m/>
    <m/>
    <m/>
    <n v="0"/>
    <m/>
    <m/>
    <n v="0"/>
    <m/>
    <m/>
    <m/>
    <m/>
    <n v="15822115"/>
    <n v="15281915"/>
  </r>
  <r>
    <x v="3"/>
    <x v="0"/>
    <s v="Polk Community College "/>
    <s v="136516"/>
    <x v="7"/>
    <n v="19404184"/>
    <n v="18145967"/>
    <m/>
    <m/>
    <m/>
    <m/>
    <n v="8223168"/>
    <m/>
    <n v="8223168"/>
    <n v="8634326"/>
    <m/>
    <n v="8634326"/>
    <n v="27627352"/>
    <n v="26780293"/>
    <m/>
    <m/>
    <m/>
    <m/>
    <n v="0"/>
    <m/>
    <m/>
    <n v="0"/>
    <m/>
    <m/>
    <m/>
    <m/>
    <n v="27627352"/>
    <n v="26780293"/>
  </r>
  <r>
    <x v="3"/>
    <x v="0"/>
    <s v="South Florida Community College "/>
    <s v="137315"/>
    <x v="7"/>
    <n v="17099117"/>
    <n v="15981739"/>
    <m/>
    <m/>
    <m/>
    <m/>
    <n v="2811862"/>
    <m/>
    <n v="2811862"/>
    <n v="2952455"/>
    <m/>
    <n v="2952455"/>
    <n v="19910979"/>
    <n v="18934194"/>
    <m/>
    <m/>
    <m/>
    <m/>
    <n v="0"/>
    <m/>
    <m/>
    <n v="0"/>
    <m/>
    <m/>
    <m/>
    <m/>
    <n v="19910979"/>
    <n v="18934194"/>
  </r>
  <r>
    <x v="3"/>
    <x v="0"/>
    <s v="St. Johns River Community College "/>
    <s v="137281"/>
    <x v="7"/>
    <n v="16700155"/>
    <n v="15581912"/>
    <m/>
    <m/>
    <m/>
    <m/>
    <n v="6549640"/>
    <m/>
    <n v="6549640"/>
    <n v="6877122"/>
    <m/>
    <n v="6877122"/>
    <n v="23249795"/>
    <n v="22459034"/>
    <m/>
    <m/>
    <m/>
    <m/>
    <n v="0"/>
    <m/>
    <m/>
    <n v="0"/>
    <m/>
    <m/>
    <m/>
    <m/>
    <n v="23249795"/>
    <n v="22459034"/>
  </r>
  <r>
    <x v="3"/>
    <x v="0"/>
    <s v="Florida Keys Community College "/>
    <s v="133960"/>
    <x v="8"/>
    <n v="6323275"/>
    <n v="5941723"/>
    <m/>
    <m/>
    <m/>
    <m/>
    <n v="1680901"/>
    <m/>
    <n v="1680901"/>
    <n v="1764946"/>
    <m/>
    <n v="1764946"/>
    <n v="8004176"/>
    <n v="7706669"/>
    <m/>
    <m/>
    <m/>
    <m/>
    <n v="0"/>
    <m/>
    <m/>
    <n v="0"/>
    <m/>
    <m/>
    <m/>
    <m/>
    <n v="8004176"/>
    <n v="7706669"/>
  </r>
  <r>
    <x v="3"/>
    <x v="0"/>
    <s v="North Florida Community College "/>
    <s v="136145"/>
    <x v="8"/>
    <n v="6934299"/>
    <n v="6290889"/>
    <m/>
    <m/>
    <m/>
    <m/>
    <n v="1525545"/>
    <m/>
    <n v="1525545"/>
    <n v="1601822"/>
    <m/>
    <n v="1601822"/>
    <n v="8459844"/>
    <n v="7892711"/>
    <m/>
    <m/>
    <m/>
    <m/>
    <n v="0"/>
    <m/>
    <m/>
    <n v="0"/>
    <m/>
    <m/>
    <m/>
    <m/>
    <n v="8459844"/>
    <n v="7892711"/>
  </r>
  <r>
    <x v="3"/>
    <x v="16"/>
    <s v="Division of Community Colleges"/>
    <m/>
    <x v="12"/>
    <m/>
    <m/>
    <m/>
    <m/>
    <m/>
    <m/>
    <m/>
    <m/>
    <n v="0"/>
    <m/>
    <m/>
    <n v="0"/>
    <n v="0"/>
    <n v="0"/>
    <n v="2089918"/>
    <n v="1907274"/>
    <m/>
    <m/>
    <n v="0"/>
    <m/>
    <m/>
    <n v="0"/>
    <m/>
    <m/>
    <m/>
    <m/>
    <n v="2089918"/>
    <n v="1907274"/>
  </r>
  <r>
    <x v="3"/>
    <x v="0"/>
    <s v="Atlantic Vocational-Technical Center"/>
    <s v="132374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Bradford Union Area Vocational-Technical Center"/>
    <s v="132675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Charlotte County Vocational-Technical Center"/>
    <s v="132976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David G. Erwin Area Vocational-Technical Center"/>
    <s v="369419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George Stone Area Vocational Center"/>
    <s v="134291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George T. Baker Aviation School"/>
    <n v="134307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Jackson Memorial Hospital School of Radiology Technology"/>
    <n v="382300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Lake County Area Vocational-Technical Center"/>
    <s v="135179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Lee County Area Vocational-Technical Center"/>
    <s v="135267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Lee County High Technical Center North"/>
    <n v="431558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Lindsey Hopkins Technical Education Center"/>
    <s v="135294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Lively Area Vocational-Technical Center"/>
    <s v="135276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Lorenzo Walker Institute of Technology"/>
    <n v="133155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Manatee Area Vocational-Technical Center"/>
    <s v="135407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Marion County School of Radiological Technology"/>
    <n v="419226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Martin County High School Adult Education Center"/>
    <n v="425162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Maynard A. Traviss Vocational-Technical Center"/>
    <s v="135522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Miami Lakes Technical Education Center"/>
    <s v="135647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Miami Skill Center"/>
    <n v="135656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Mid-Florida Technical Institute"/>
    <s v="135735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North Technical Education Center"/>
    <s v="136190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Okaloosa Applied Technology Center"/>
    <n v="433068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Orlando Vocational-Technical Center"/>
    <s v="136303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Pinellas Vocational-Technical Institute--Clearwater"/>
    <s v="136491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Pinellas Vocational-Technical Institute--St. Petersburg"/>
    <s v="137087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Radford M. Locklin Vocational-Technical Center"/>
    <s v="136659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Ridge Vocational-Technical Center"/>
    <s v="136765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Robert Morgan Vocational-Technical Institute"/>
    <n v="136826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Sarasota County Vocational-Technical Center"/>
    <s v="137120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Sheridan Technical Center"/>
    <s v="137245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South Dade Skill Center                      "/>
    <n v="137290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South Technical Education Center"/>
    <s v="137360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St. Augustine Technical Center"/>
    <s v="137023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Suwanee-Hamilton Area Vocational and Adult Center"/>
    <s v="137713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Tampa Bay Area Vocational-Technical Center"/>
    <s v="367875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Taylor County Area Vocational-Technical Center"/>
    <s v="137856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Thomas P. Haney Area Vocational-Technical Center"/>
    <s v="137865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Washington-Holmes Area Vocational-Technical Center"/>
    <s v="138284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West Technical Education Center"/>
    <s v="138363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Westside Tech"/>
    <n v="138372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William T. McFatter Vocational-Technical Center"/>
    <s v="138479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Winter Park Tech"/>
    <n v="138488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0"/>
    <s v="Withlachoochee Vocational and Adult Education Center"/>
    <s v="138497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3"/>
    <x v="16"/>
    <s v="Division of Community Colleges and Workforce Education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0"/>
    <s v="Georgia State University "/>
    <n v="139940"/>
    <x v="0"/>
    <n v="225051406"/>
    <n v="218333745"/>
    <m/>
    <m/>
    <m/>
    <m/>
    <n v="121912288"/>
    <m/>
    <n v="121912288"/>
    <n v="127882265"/>
    <m/>
    <n v="127882265"/>
    <n v="346963694"/>
    <n v="346216010"/>
    <m/>
    <m/>
    <m/>
    <m/>
    <n v="0"/>
    <m/>
    <m/>
    <n v="0"/>
    <m/>
    <m/>
    <m/>
    <m/>
    <n v="346963694"/>
    <n v="346216010"/>
  </r>
  <r>
    <x v="4"/>
    <x v="0"/>
    <s v="University of Georgia"/>
    <n v="139959"/>
    <x v="0"/>
    <n v="368627280"/>
    <n v="353659473"/>
    <m/>
    <m/>
    <m/>
    <m/>
    <n v="187859342"/>
    <m/>
    <n v="187859342"/>
    <n v="212692097"/>
    <m/>
    <n v="212692097"/>
    <n v="556486622"/>
    <n v="566351570"/>
    <m/>
    <m/>
    <m/>
    <m/>
    <n v="0"/>
    <m/>
    <m/>
    <n v="0"/>
    <m/>
    <m/>
    <m/>
    <m/>
    <n v="556486622"/>
    <n v="566351570"/>
  </r>
  <r>
    <x v="4"/>
    <x v="1"/>
    <s v="Heatlh Professions Education"/>
    <n v="13995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1"/>
    <s v="College of Veterinary Medicine"/>
    <n v="139959"/>
    <x v="0"/>
    <m/>
    <m/>
    <m/>
    <m/>
    <m/>
    <m/>
    <m/>
    <m/>
    <n v="0"/>
    <m/>
    <m/>
    <n v="0"/>
    <n v="0"/>
    <n v="0"/>
    <m/>
    <m/>
    <m/>
    <m/>
    <n v="0"/>
    <m/>
    <m/>
    <n v="0"/>
    <n v="12677580"/>
    <n v="13799729"/>
    <n v="5351424"/>
    <n v="5711904"/>
    <n v="18029004"/>
    <n v="19511633"/>
  </r>
  <r>
    <x v="4"/>
    <x v="1"/>
    <s v="Vet Med Teaching Hospital"/>
    <n v="139959"/>
    <x v="0"/>
    <m/>
    <m/>
    <m/>
    <m/>
    <m/>
    <m/>
    <m/>
    <m/>
    <n v="0"/>
    <m/>
    <m/>
    <n v="0"/>
    <n v="0"/>
    <n v="0"/>
    <m/>
    <m/>
    <m/>
    <m/>
    <n v="0"/>
    <m/>
    <m/>
    <n v="0"/>
    <n v="502585"/>
    <n v="486614"/>
    <m/>
    <m/>
    <n v="502585"/>
    <n v="486614"/>
  </r>
  <r>
    <x v="4"/>
    <x v="3"/>
    <s v="Public Service Units"/>
    <n v="13995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"/>
    <s v="Minority Business Enterprise"/>
    <n v="139959"/>
    <x v="0"/>
    <m/>
    <m/>
    <n v="480169"/>
    <n v="452554"/>
    <m/>
    <m/>
    <m/>
    <m/>
    <n v="0"/>
    <m/>
    <m/>
    <n v="0"/>
    <n v="480169"/>
    <n v="452554"/>
    <m/>
    <m/>
    <m/>
    <m/>
    <n v="0"/>
    <m/>
    <m/>
    <n v="0"/>
    <m/>
    <m/>
    <m/>
    <m/>
    <n v="480169"/>
    <n v="452554"/>
  </r>
  <r>
    <x v="4"/>
    <x v="3"/>
    <s v="Athens/Tifton Vet Labs"/>
    <n v="139959"/>
    <x v="0"/>
    <m/>
    <m/>
    <n v="62192"/>
    <n v="32323"/>
    <m/>
    <m/>
    <m/>
    <m/>
    <n v="0"/>
    <m/>
    <m/>
    <n v="0"/>
    <n v="62192"/>
    <n v="32323"/>
    <m/>
    <m/>
    <m/>
    <m/>
    <n v="0"/>
    <m/>
    <m/>
    <n v="0"/>
    <m/>
    <m/>
    <m/>
    <m/>
    <n v="62192"/>
    <n v="32323"/>
  </r>
  <r>
    <x v="4"/>
    <x v="5"/>
    <s v="Ag Cooperative Extension Service"/>
    <n v="139959"/>
    <x v="0"/>
    <m/>
    <m/>
    <n v="35391924"/>
    <n v="34564750"/>
    <m/>
    <m/>
    <m/>
    <m/>
    <n v="0"/>
    <m/>
    <m/>
    <n v="0"/>
    <n v="35391924"/>
    <n v="34564750"/>
    <m/>
    <m/>
    <m/>
    <m/>
    <n v="0"/>
    <m/>
    <m/>
    <n v="0"/>
    <m/>
    <m/>
    <m/>
    <m/>
    <n v="35391924"/>
    <n v="34564750"/>
  </r>
  <r>
    <x v="4"/>
    <x v="6"/>
    <s v="Ag Experiment Stations"/>
    <n v="139959"/>
    <x v="0"/>
    <m/>
    <m/>
    <n v="42936221"/>
    <n v="41002005"/>
    <m/>
    <m/>
    <m/>
    <m/>
    <n v="0"/>
    <m/>
    <m/>
    <n v="0"/>
    <n v="42936221"/>
    <n v="41002005"/>
    <m/>
    <m/>
    <m/>
    <m/>
    <n v="0"/>
    <m/>
    <m/>
    <n v="0"/>
    <m/>
    <m/>
    <m/>
    <m/>
    <n v="42936221"/>
    <n v="41002005"/>
  </r>
  <r>
    <x v="4"/>
    <x v="7"/>
    <s v="Research Units"/>
    <n v="13995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7"/>
    <s v="Marine Extension Service"/>
    <n v="139959"/>
    <x v="0"/>
    <m/>
    <m/>
    <n v="1576721"/>
    <n v="1460454"/>
    <m/>
    <m/>
    <m/>
    <m/>
    <n v="0"/>
    <m/>
    <m/>
    <n v="0"/>
    <n v="1576721"/>
    <n v="1460454"/>
    <m/>
    <m/>
    <m/>
    <m/>
    <n v="0"/>
    <m/>
    <m/>
    <n v="0"/>
    <m/>
    <m/>
    <m/>
    <m/>
    <n v="1576721"/>
    <n v="1460454"/>
  </r>
  <r>
    <x v="4"/>
    <x v="7"/>
    <s v="Vet Med Exp Station"/>
    <n v="139959"/>
    <x v="0"/>
    <m/>
    <m/>
    <n v="3384254"/>
    <n v="3128143"/>
    <m/>
    <m/>
    <m/>
    <m/>
    <n v="0"/>
    <m/>
    <m/>
    <n v="0"/>
    <n v="3384254"/>
    <n v="3128143"/>
    <m/>
    <m/>
    <m/>
    <m/>
    <n v="0"/>
    <m/>
    <m/>
    <n v="0"/>
    <m/>
    <m/>
    <m/>
    <m/>
    <n v="3384254"/>
    <n v="3128143"/>
  </r>
  <r>
    <x v="4"/>
    <x v="7"/>
    <s v="Marine Institute"/>
    <n v="139959"/>
    <x v="0"/>
    <m/>
    <m/>
    <n v="964361"/>
    <n v="901830"/>
    <m/>
    <m/>
    <m/>
    <m/>
    <n v="0"/>
    <m/>
    <m/>
    <n v="0"/>
    <n v="964361"/>
    <n v="901830"/>
    <m/>
    <m/>
    <m/>
    <m/>
    <n v="0"/>
    <m/>
    <m/>
    <n v="0"/>
    <m/>
    <m/>
    <m/>
    <m/>
    <n v="964361"/>
    <n v="901830"/>
  </r>
  <r>
    <x v="4"/>
    <x v="7"/>
    <s v="Forest Research"/>
    <n v="139959"/>
    <x v="0"/>
    <m/>
    <m/>
    <n v="3963719"/>
    <n v="3712174"/>
    <m/>
    <m/>
    <m/>
    <m/>
    <n v="0"/>
    <m/>
    <m/>
    <n v="0"/>
    <n v="3963719"/>
    <n v="3712174"/>
    <m/>
    <m/>
    <m/>
    <m/>
    <n v="0"/>
    <m/>
    <m/>
    <n v="0"/>
    <m/>
    <m/>
    <m/>
    <m/>
    <n v="3963719"/>
    <n v="3712174"/>
  </r>
  <r>
    <x v="4"/>
    <x v="0"/>
    <s v="Georgia Institute of Technology"/>
    <n v="139755"/>
    <x v="1"/>
    <n v="243569467"/>
    <n v="240221884"/>
    <m/>
    <m/>
    <m/>
    <m/>
    <n v="155714494"/>
    <m/>
    <n v="155714494"/>
    <n v="172742220"/>
    <m/>
    <n v="172742220"/>
    <n v="399283961"/>
    <n v="412964104"/>
    <m/>
    <m/>
    <m/>
    <m/>
    <n v="0"/>
    <m/>
    <m/>
    <n v="0"/>
    <m/>
    <m/>
    <m/>
    <m/>
    <n v="399283961"/>
    <n v="412964104"/>
  </r>
  <r>
    <x v="4"/>
    <x v="3"/>
    <s v="Public Service Units"/>
    <n v="139755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"/>
    <s v="Advanced Technology Development Center"/>
    <n v="139755"/>
    <x v="1"/>
    <m/>
    <m/>
    <n v="15099712"/>
    <n v="11649536"/>
    <m/>
    <m/>
    <m/>
    <m/>
    <n v="0"/>
    <m/>
    <m/>
    <n v="0"/>
    <n v="15099712"/>
    <n v="11649536"/>
    <m/>
    <m/>
    <m/>
    <m/>
    <n v="0"/>
    <m/>
    <m/>
    <n v="0"/>
    <m/>
    <m/>
    <m/>
    <m/>
    <n v="15099712"/>
    <n v="11649536"/>
  </r>
  <r>
    <x v="4"/>
    <x v="3"/>
    <s v="Center for Assistive Tech &amp; Environ. Access"/>
    <n v="139755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7"/>
    <s v="Research Units"/>
    <n v="139755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7"/>
    <s v="Agricultural Research"/>
    <n v="139755"/>
    <x v="1"/>
    <m/>
    <m/>
    <n v="1879807"/>
    <n v="1837103"/>
    <m/>
    <m/>
    <m/>
    <m/>
    <n v="0"/>
    <m/>
    <m/>
    <n v="0"/>
    <n v="1879807"/>
    <n v="1837103"/>
    <m/>
    <m/>
    <m/>
    <m/>
    <n v="0"/>
    <m/>
    <m/>
    <n v="0"/>
    <m/>
    <m/>
    <m/>
    <m/>
    <n v="1879807"/>
    <n v="1837103"/>
  </r>
  <r>
    <x v="4"/>
    <x v="43"/>
    <s v="Eng Experiment Station (Ga. Tech. Resch Inst.)"/>
    <n v="139755"/>
    <x v="1"/>
    <m/>
    <m/>
    <n v="5988620"/>
    <n v="5441105"/>
    <m/>
    <m/>
    <m/>
    <m/>
    <n v="0"/>
    <m/>
    <m/>
    <n v="0"/>
    <n v="5988620"/>
    <n v="5441105"/>
    <m/>
    <m/>
    <m/>
    <m/>
    <n v="0"/>
    <m/>
    <m/>
    <n v="0"/>
    <m/>
    <m/>
    <m/>
    <m/>
    <n v="5988620"/>
    <n v="5441105"/>
  </r>
  <r>
    <x v="4"/>
    <x v="0"/>
    <s v="Georgia Southern University"/>
    <n v="139931"/>
    <x v="2"/>
    <n v="92467660"/>
    <n v="89438502"/>
    <m/>
    <m/>
    <m/>
    <m/>
    <n v="52271181"/>
    <m/>
    <n v="52271181"/>
    <n v="59701628"/>
    <m/>
    <n v="59701628"/>
    <n v="144738841"/>
    <n v="149140130"/>
    <m/>
    <m/>
    <m/>
    <m/>
    <n v="0"/>
    <m/>
    <m/>
    <n v="0"/>
    <m/>
    <m/>
    <m/>
    <m/>
    <n v="144738841"/>
    <n v="149140130"/>
  </r>
  <r>
    <x v="4"/>
    <x v="0"/>
    <s v="University of West Georgia"/>
    <n v="141334"/>
    <x v="2"/>
    <n v="48519739"/>
    <n v="47456275"/>
    <m/>
    <m/>
    <m/>
    <m/>
    <n v="30454970"/>
    <m/>
    <n v="30454970"/>
    <n v="36446875"/>
    <m/>
    <n v="36446875"/>
    <n v="78974709"/>
    <n v="83903150"/>
    <m/>
    <m/>
    <m/>
    <m/>
    <n v="0"/>
    <m/>
    <m/>
    <n v="0"/>
    <m/>
    <m/>
    <m/>
    <m/>
    <n v="78974709"/>
    <n v="83903150"/>
  </r>
  <r>
    <x v="4"/>
    <x v="0"/>
    <s v="Valdosta State University"/>
    <n v="141264"/>
    <x v="2"/>
    <n v="53256111"/>
    <n v="51546902"/>
    <m/>
    <m/>
    <m/>
    <m/>
    <n v="32216809"/>
    <m/>
    <n v="32216809"/>
    <n v="36093130"/>
    <m/>
    <n v="36093130"/>
    <n v="85472920"/>
    <n v="87640032"/>
    <m/>
    <m/>
    <m/>
    <m/>
    <n v="0"/>
    <m/>
    <m/>
    <n v="0"/>
    <m/>
    <m/>
    <m/>
    <m/>
    <n v="85472920"/>
    <n v="87640032"/>
  </r>
  <r>
    <x v="4"/>
    <x v="0"/>
    <s v="Albany State University "/>
    <n v="138716"/>
    <x v="3"/>
    <n v="23283463"/>
    <n v="22136730"/>
    <m/>
    <m/>
    <m/>
    <m/>
    <n v="12903331"/>
    <m/>
    <n v="12903331"/>
    <n v="14195623"/>
    <m/>
    <n v="14195623"/>
    <n v="36186794"/>
    <n v="36332353"/>
    <m/>
    <m/>
    <m/>
    <m/>
    <n v="0"/>
    <m/>
    <m/>
    <n v="0"/>
    <m/>
    <m/>
    <m/>
    <m/>
    <n v="36186794"/>
    <n v="36332353"/>
  </r>
  <r>
    <x v="4"/>
    <x v="3"/>
    <s v="Public Service Units"/>
    <n v="138716"/>
    <x v="3"/>
    <m/>
    <m/>
    <m/>
    <m/>
    <m/>
    <m/>
    <n v="0"/>
    <m/>
    <n v="0"/>
    <m/>
    <m/>
    <n v="0"/>
    <n v="0"/>
    <n v="0"/>
    <m/>
    <m/>
    <m/>
    <m/>
    <n v="0"/>
    <m/>
    <m/>
    <n v="0"/>
    <m/>
    <m/>
    <m/>
    <m/>
    <n v="0"/>
    <n v="0"/>
  </r>
  <r>
    <x v="4"/>
    <x v="3"/>
    <s v="Minority Business Enterprise"/>
    <n v="138716"/>
    <x v="3"/>
    <m/>
    <m/>
    <n v="91931"/>
    <n v="83734"/>
    <m/>
    <m/>
    <n v="0"/>
    <m/>
    <n v="0"/>
    <m/>
    <m/>
    <n v="0"/>
    <n v="91931"/>
    <n v="83734"/>
    <m/>
    <m/>
    <m/>
    <m/>
    <n v="0"/>
    <m/>
    <m/>
    <n v="0"/>
    <m/>
    <m/>
    <m/>
    <m/>
    <n v="91931"/>
    <n v="83734"/>
  </r>
  <r>
    <x v="4"/>
    <x v="0"/>
    <s v="Armstrong Atlantic State University"/>
    <n v="138789"/>
    <x v="3"/>
    <n v="34208507"/>
    <n v="32082607"/>
    <m/>
    <m/>
    <m/>
    <m/>
    <n v="18746600"/>
    <m/>
    <n v="18746600"/>
    <n v="21342410"/>
    <m/>
    <n v="21342410"/>
    <n v="52955107"/>
    <n v="53425017"/>
    <m/>
    <m/>
    <m/>
    <m/>
    <n v="0"/>
    <m/>
    <m/>
    <n v="0"/>
    <m/>
    <m/>
    <m/>
    <m/>
    <n v="52955107"/>
    <n v="53425017"/>
  </r>
  <r>
    <x v="4"/>
    <x v="0"/>
    <s v="Columbus State University"/>
    <n v="139366"/>
    <x v="3"/>
    <n v="38257310"/>
    <n v="36191868"/>
    <m/>
    <m/>
    <m/>
    <m/>
    <n v="20665744"/>
    <m/>
    <n v="20665744"/>
    <n v="23080279"/>
    <m/>
    <n v="23080279"/>
    <n v="58923054"/>
    <n v="59272147"/>
    <m/>
    <m/>
    <m/>
    <m/>
    <n v="0"/>
    <m/>
    <m/>
    <n v="0"/>
    <m/>
    <m/>
    <m/>
    <m/>
    <n v="58923054"/>
    <n v="59272147"/>
  </r>
  <r>
    <x v="4"/>
    <x v="0"/>
    <s v="Georgia College and State University"/>
    <n v="139861"/>
    <x v="3"/>
    <n v="33090194"/>
    <n v="32746262"/>
    <m/>
    <m/>
    <m/>
    <m/>
    <n v="25441023"/>
    <m/>
    <n v="25441023"/>
    <n v="27995250"/>
    <m/>
    <n v="27995250"/>
    <n v="58531217"/>
    <n v="60741512"/>
    <m/>
    <m/>
    <m/>
    <m/>
    <n v="0"/>
    <m/>
    <m/>
    <n v="0"/>
    <m/>
    <m/>
    <m/>
    <m/>
    <n v="58531217"/>
    <n v="60741512"/>
  </r>
  <r>
    <x v="4"/>
    <x v="0"/>
    <s v="Kennesaw State University"/>
    <n v="140164"/>
    <x v="3"/>
    <n v="82030291"/>
    <n v="82331260"/>
    <m/>
    <m/>
    <m/>
    <m/>
    <n v="63784272"/>
    <m/>
    <n v="63784272"/>
    <n v="75107249"/>
    <m/>
    <n v="75107249"/>
    <n v="145814563"/>
    <n v="157438509"/>
    <m/>
    <m/>
    <m/>
    <m/>
    <n v="0"/>
    <m/>
    <m/>
    <n v="0"/>
    <m/>
    <m/>
    <m/>
    <m/>
    <n v="145814563"/>
    <n v="157438509"/>
  </r>
  <r>
    <x v="4"/>
    <x v="0"/>
    <s v="Augusta State University"/>
    <n v="138983"/>
    <x v="4"/>
    <n v="28795064"/>
    <n v="27927423"/>
    <m/>
    <m/>
    <m/>
    <m/>
    <n v="17734790"/>
    <m/>
    <n v="17734790"/>
    <n v="19294988"/>
    <m/>
    <n v="19294988"/>
    <n v="46529854"/>
    <n v="47222411"/>
    <m/>
    <m/>
    <m/>
    <m/>
    <n v="0"/>
    <m/>
    <m/>
    <n v="0"/>
    <m/>
    <m/>
    <m/>
    <m/>
    <n v="46529854"/>
    <n v="47222411"/>
  </r>
  <r>
    <x v="4"/>
    <x v="3"/>
    <s v="Public Service Units"/>
    <n v="138983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"/>
    <s v="Minority Business Enterprise"/>
    <n v="138983"/>
    <x v="4"/>
    <m/>
    <m/>
    <n v="153218"/>
    <n v="139557"/>
    <m/>
    <m/>
    <m/>
    <m/>
    <n v="0"/>
    <m/>
    <m/>
    <n v="0"/>
    <n v="153218"/>
    <n v="139557"/>
    <m/>
    <m/>
    <m/>
    <m/>
    <n v="0"/>
    <m/>
    <m/>
    <n v="0"/>
    <m/>
    <m/>
    <m/>
    <m/>
    <n v="153218"/>
    <n v="139557"/>
  </r>
  <r>
    <x v="4"/>
    <x v="0"/>
    <s v="Fort Valley State University"/>
    <n v="139719"/>
    <x v="4"/>
    <n v="22787393"/>
    <n v="21917414"/>
    <m/>
    <m/>
    <m/>
    <m/>
    <n v="8521473"/>
    <m/>
    <n v="8521473"/>
    <n v="9984310"/>
    <m/>
    <n v="9984310"/>
    <n v="31308866"/>
    <n v="31901724"/>
    <m/>
    <m/>
    <m/>
    <m/>
    <n v="0"/>
    <m/>
    <m/>
    <n v="0"/>
    <m/>
    <m/>
    <m/>
    <m/>
    <n v="31308866"/>
    <n v="31901724"/>
  </r>
  <r>
    <x v="4"/>
    <x v="0"/>
    <s v="Georgia Southwestern State University"/>
    <n v="139764"/>
    <x v="4"/>
    <n v="14336828"/>
    <n v="12593886"/>
    <m/>
    <m/>
    <m/>
    <m/>
    <n v="7063917"/>
    <m/>
    <n v="7063917"/>
    <n v="8426653"/>
    <m/>
    <n v="8426653"/>
    <n v="21400745"/>
    <n v="21020539"/>
    <m/>
    <m/>
    <m/>
    <m/>
    <n v="0"/>
    <m/>
    <m/>
    <n v="0"/>
    <m/>
    <m/>
    <m/>
    <m/>
    <n v="21400745"/>
    <n v="21020539"/>
  </r>
  <r>
    <x v="4"/>
    <x v="0"/>
    <s v="North Georgia College and State University"/>
    <n v="140669"/>
    <x v="4"/>
    <n v="26805645"/>
    <n v="25405960"/>
    <m/>
    <m/>
    <m/>
    <m/>
    <n v="14856700"/>
    <m/>
    <n v="14856700"/>
    <n v="15925599"/>
    <m/>
    <n v="15925599"/>
    <n v="41662345"/>
    <n v="41331559"/>
    <m/>
    <m/>
    <m/>
    <m/>
    <n v="0"/>
    <m/>
    <m/>
    <n v="0"/>
    <m/>
    <m/>
    <m/>
    <m/>
    <n v="41662345"/>
    <n v="41331559"/>
  </r>
  <r>
    <x v="4"/>
    <x v="0"/>
    <s v="Savannah State University"/>
    <n v="140960"/>
    <x v="4"/>
    <n v="19262450"/>
    <n v="19377450"/>
    <m/>
    <m/>
    <m/>
    <m/>
    <n v="9949779"/>
    <m/>
    <n v="9949779"/>
    <n v="11706898"/>
    <m/>
    <n v="11706898"/>
    <n v="29212229"/>
    <n v="31084348"/>
    <m/>
    <m/>
    <m/>
    <m/>
    <n v="0"/>
    <m/>
    <m/>
    <n v="0"/>
    <m/>
    <m/>
    <m/>
    <m/>
    <n v="29212229"/>
    <n v="31084348"/>
  </r>
  <r>
    <x v="4"/>
    <x v="0"/>
    <s v="Clayton State University"/>
    <n v="139311"/>
    <x v="5"/>
    <n v="25929266"/>
    <n v="25274609"/>
    <m/>
    <m/>
    <m/>
    <m/>
    <n v="17354090"/>
    <m/>
    <n v="17354090"/>
    <n v="18388138"/>
    <m/>
    <n v="18388138"/>
    <n v="43283356"/>
    <n v="43662747"/>
    <m/>
    <m/>
    <m/>
    <m/>
    <n v="0"/>
    <m/>
    <m/>
    <n v="0"/>
    <m/>
    <m/>
    <m/>
    <m/>
    <n v="43283356"/>
    <n v="43662747"/>
  </r>
  <r>
    <x v="4"/>
    <x v="0"/>
    <s v="Macon State College "/>
    <n v="140322"/>
    <x v="5"/>
    <n v="22807451"/>
    <n v="28254932"/>
    <m/>
    <m/>
    <m/>
    <m/>
    <n v="10492822"/>
    <m/>
    <n v="10492822"/>
    <n v="12134178"/>
    <m/>
    <n v="12134178"/>
    <n v="33300273"/>
    <n v="40389110"/>
    <m/>
    <m/>
    <m/>
    <m/>
    <n v="0"/>
    <m/>
    <m/>
    <n v="0"/>
    <m/>
    <m/>
    <m/>
    <m/>
    <n v="33300273"/>
    <n v="40389110"/>
  </r>
  <r>
    <x v="4"/>
    <x v="0"/>
    <s v="Dalton State College "/>
    <n v="139463"/>
    <x v="13"/>
    <n v="14438736"/>
    <n v="14076889"/>
    <m/>
    <m/>
    <m/>
    <m/>
    <n v="7134758"/>
    <m/>
    <n v="7134758"/>
    <n v="8609130"/>
    <m/>
    <n v="8609130"/>
    <n v="21573494"/>
    <n v="22686019"/>
    <m/>
    <m/>
    <m/>
    <m/>
    <n v="0"/>
    <m/>
    <m/>
    <n v="0"/>
    <m/>
    <m/>
    <m/>
    <m/>
    <n v="21573494"/>
    <n v="22686019"/>
  </r>
  <r>
    <x v="4"/>
    <x v="0"/>
    <s v="Georgia Perimeter College "/>
    <n v="244437"/>
    <x v="6"/>
    <n v="63949069"/>
    <n v="60228625"/>
    <m/>
    <m/>
    <m/>
    <m/>
    <n v="41707341"/>
    <m/>
    <n v="41707341"/>
    <n v="43897341"/>
    <m/>
    <n v="43897341"/>
    <n v="105656410"/>
    <n v="104125966"/>
    <m/>
    <m/>
    <m/>
    <m/>
    <n v="0"/>
    <m/>
    <m/>
    <n v="0"/>
    <m/>
    <m/>
    <m/>
    <m/>
    <n v="105656410"/>
    <n v="104125966"/>
  </r>
  <r>
    <x v="4"/>
    <x v="0"/>
    <s v="Abraham Baldwin Agricultural College "/>
    <n v="138558"/>
    <x v="7"/>
    <n v="15815424"/>
    <n v="14126130"/>
    <m/>
    <m/>
    <m/>
    <m/>
    <n v="6110619"/>
    <m/>
    <n v="6110619"/>
    <n v="6664200"/>
    <m/>
    <n v="6664200"/>
    <n v="21926043"/>
    <n v="20790330"/>
    <m/>
    <m/>
    <m/>
    <m/>
    <n v="0"/>
    <m/>
    <m/>
    <n v="0"/>
    <m/>
    <m/>
    <m/>
    <m/>
    <n v="21926043"/>
    <n v="20790330"/>
  </r>
  <r>
    <x v="4"/>
    <x v="0"/>
    <s v="Bainbridge College "/>
    <n v="139010"/>
    <x v="7"/>
    <n v="9477014"/>
    <n v="9368652"/>
    <m/>
    <m/>
    <m/>
    <m/>
    <n v="3961399"/>
    <m/>
    <n v="3961399"/>
    <n v="3360253"/>
    <m/>
    <n v="3360253"/>
    <n v="13438413"/>
    <n v="12728905"/>
    <m/>
    <m/>
    <m/>
    <m/>
    <n v="0"/>
    <m/>
    <m/>
    <n v="0"/>
    <m/>
    <m/>
    <m/>
    <m/>
    <n v="13438413"/>
    <n v="12728905"/>
  </r>
  <r>
    <x v="4"/>
    <x v="0"/>
    <s v="College of Coastal Georgia"/>
    <n v="139250"/>
    <x v="7"/>
    <n v="11441441"/>
    <n v="11419413"/>
    <m/>
    <m/>
    <m/>
    <m/>
    <n v="4285000"/>
    <m/>
    <n v="4285000"/>
    <n v="4525000"/>
    <m/>
    <n v="4525000"/>
    <n v="15726441"/>
    <n v="15944413"/>
    <m/>
    <m/>
    <m/>
    <m/>
    <n v="0"/>
    <m/>
    <m/>
    <n v="0"/>
    <m/>
    <m/>
    <m/>
    <m/>
    <n v="15726441"/>
    <n v="15944413"/>
  </r>
  <r>
    <x v="4"/>
    <x v="0"/>
    <s v="Darton College "/>
    <n v="138691"/>
    <x v="7"/>
    <n v="16896008"/>
    <n v="15570733"/>
    <m/>
    <m/>
    <m/>
    <m/>
    <n v="7628567"/>
    <m/>
    <n v="7628567"/>
    <n v="8044125"/>
    <m/>
    <n v="8044125"/>
    <n v="24524575"/>
    <n v="23614858"/>
    <m/>
    <m/>
    <m/>
    <m/>
    <n v="0"/>
    <m/>
    <m/>
    <n v="0"/>
    <m/>
    <m/>
    <m/>
    <m/>
    <n v="24524575"/>
    <n v="23614858"/>
  </r>
  <r>
    <x v="4"/>
    <x v="0"/>
    <s v="Gainesville State College "/>
    <n v="139773"/>
    <x v="7"/>
    <n v="19368723"/>
    <n v="19627955"/>
    <m/>
    <m/>
    <m/>
    <m/>
    <n v="13065040"/>
    <m/>
    <n v="13065040"/>
    <n v="16553227"/>
    <m/>
    <n v="16553227"/>
    <n v="32433763"/>
    <n v="36181182"/>
    <m/>
    <m/>
    <m/>
    <m/>
    <n v="0"/>
    <m/>
    <m/>
    <n v="0"/>
    <m/>
    <m/>
    <m/>
    <m/>
    <n v="32433763"/>
    <n v="36181182"/>
  </r>
  <r>
    <x v="4"/>
    <x v="0"/>
    <s v="Georgia Highlands College "/>
    <n v="139700"/>
    <x v="7"/>
    <n v="15720570"/>
    <n v="14434877"/>
    <m/>
    <m/>
    <m/>
    <m/>
    <n v="7323441"/>
    <m/>
    <n v="7323441"/>
    <n v="8188716"/>
    <m/>
    <n v="8188716"/>
    <n v="23044011"/>
    <n v="22623593"/>
    <m/>
    <m/>
    <m/>
    <m/>
    <n v="0"/>
    <m/>
    <m/>
    <n v="0"/>
    <m/>
    <m/>
    <m/>
    <m/>
    <n v="23044011"/>
    <n v="22623593"/>
  </r>
  <r>
    <x v="4"/>
    <x v="0"/>
    <s v="Gordon College "/>
    <n v="139968"/>
    <x v="7"/>
    <n v="12997350"/>
    <n v="12116624"/>
    <m/>
    <m/>
    <m/>
    <m/>
    <n v="6074397"/>
    <m/>
    <n v="6074397"/>
    <n v="7415986"/>
    <m/>
    <n v="7415986"/>
    <n v="19071747"/>
    <n v="19532610"/>
    <m/>
    <m/>
    <m/>
    <m/>
    <n v="0"/>
    <m/>
    <m/>
    <n v="0"/>
    <m/>
    <m/>
    <m/>
    <m/>
    <n v="19071747"/>
    <n v="19532610"/>
  </r>
  <r>
    <x v="4"/>
    <x v="0"/>
    <s v="Middle Georgia College "/>
    <n v="140483"/>
    <x v="7"/>
    <n v="18624790"/>
    <n v="17355223"/>
    <m/>
    <m/>
    <m/>
    <m/>
    <n v="6144618"/>
    <m/>
    <n v="6144618"/>
    <n v="6994754"/>
    <m/>
    <n v="6994754"/>
    <n v="24769408"/>
    <n v="24349977"/>
    <m/>
    <m/>
    <m/>
    <m/>
    <n v="0"/>
    <m/>
    <m/>
    <n v="0"/>
    <m/>
    <m/>
    <m/>
    <m/>
    <n v="24769408"/>
    <n v="24349977"/>
  </r>
  <r>
    <x v="4"/>
    <x v="0"/>
    <s v="Atlanta Metropolitan College"/>
    <n v="138901"/>
    <x v="8"/>
    <n v="8759949"/>
    <n v="8129480"/>
    <m/>
    <m/>
    <m/>
    <m/>
    <n v="3917379"/>
    <m/>
    <n v="3917379"/>
    <n v="4645243"/>
    <m/>
    <n v="4645243"/>
    <n v="12677328"/>
    <n v="12774723"/>
    <m/>
    <m/>
    <m/>
    <m/>
    <n v="0"/>
    <m/>
    <m/>
    <n v="0"/>
    <m/>
    <m/>
    <m/>
    <m/>
    <n v="12677328"/>
    <n v="12774723"/>
  </r>
  <r>
    <x v="4"/>
    <x v="3"/>
    <s v="Minority Business Enterprise"/>
    <n v="138901"/>
    <x v="8"/>
    <m/>
    <m/>
    <n v="158955"/>
    <n v="146442"/>
    <m/>
    <m/>
    <m/>
    <m/>
    <n v="0"/>
    <m/>
    <m/>
    <n v="0"/>
    <n v="158955"/>
    <n v="146442"/>
    <m/>
    <m/>
    <m/>
    <m/>
    <n v="0"/>
    <m/>
    <m/>
    <n v="0"/>
    <m/>
    <m/>
    <m/>
    <m/>
    <n v="158955"/>
    <n v="146442"/>
  </r>
  <r>
    <x v="4"/>
    <x v="0"/>
    <s v="East Georgia College"/>
    <n v="139621"/>
    <x v="8"/>
    <n v="6606620"/>
    <n v="6574113"/>
    <m/>
    <m/>
    <m/>
    <m/>
    <n v="3425520"/>
    <m/>
    <n v="3425520"/>
    <n v="4610900"/>
    <m/>
    <n v="4610900"/>
    <n v="10032140"/>
    <n v="11185013"/>
    <m/>
    <m/>
    <m/>
    <m/>
    <n v="0"/>
    <m/>
    <m/>
    <n v="0"/>
    <m/>
    <m/>
    <m/>
    <m/>
    <n v="10032140"/>
    <n v="11185013"/>
  </r>
  <r>
    <x v="4"/>
    <x v="0"/>
    <s v="South Georgia College "/>
    <n v="140997"/>
    <x v="8"/>
    <n v="7649459"/>
    <n v="7582290"/>
    <m/>
    <m/>
    <m/>
    <m/>
    <n v="3097236"/>
    <m/>
    <n v="3097236"/>
    <n v="3488062"/>
    <m/>
    <n v="3488062"/>
    <n v="10746695"/>
    <n v="11070352"/>
    <m/>
    <m/>
    <m/>
    <m/>
    <n v="0"/>
    <m/>
    <m/>
    <n v="0"/>
    <m/>
    <m/>
    <m/>
    <m/>
    <n v="10746695"/>
    <n v="11070352"/>
  </r>
  <r>
    <x v="4"/>
    <x v="0"/>
    <s v="Waycross College "/>
    <n v="141307"/>
    <x v="8"/>
    <n v="4081611"/>
    <n v="4148242"/>
    <m/>
    <m/>
    <m/>
    <m/>
    <n v="1455432"/>
    <m/>
    <n v="1455432"/>
    <n v="1582084"/>
    <m/>
    <n v="1582084"/>
    <n v="5537043"/>
    <n v="5730326"/>
    <m/>
    <m/>
    <m/>
    <m/>
    <n v="0"/>
    <m/>
    <m/>
    <n v="0"/>
    <m/>
    <m/>
    <m/>
    <m/>
    <n v="5537043"/>
    <n v="5730326"/>
  </r>
  <r>
    <x v="4"/>
    <x v="9"/>
    <s v="Georgia Gwinnett College"/>
    <n v="447689"/>
    <x v="11"/>
    <n v="22769315"/>
    <n v="26948890"/>
    <m/>
    <m/>
    <m/>
    <m/>
    <n v="1715737"/>
    <m/>
    <n v="1715737"/>
    <n v="3787798"/>
    <m/>
    <n v="3787798"/>
    <n v="24485052"/>
    <n v="30736688"/>
    <m/>
    <m/>
    <m/>
    <m/>
    <n v="0"/>
    <m/>
    <m/>
    <n v="0"/>
    <m/>
    <m/>
    <m/>
    <m/>
    <n v="24485052"/>
    <n v="30736688"/>
  </r>
  <r>
    <x v="4"/>
    <x v="41"/>
    <s v="Medical College of Georgia"/>
    <n v="140401"/>
    <x v="11"/>
    <m/>
    <m/>
    <m/>
    <m/>
    <m/>
    <m/>
    <m/>
    <m/>
    <n v="0"/>
    <m/>
    <m/>
    <n v="0"/>
    <n v="0"/>
    <n v="0"/>
    <m/>
    <m/>
    <m/>
    <m/>
    <n v="0"/>
    <m/>
    <m/>
    <n v="0"/>
    <n v="161323365"/>
    <n v="150202065"/>
    <n v="23055556"/>
    <n v="27849820"/>
    <n v="184378921"/>
    <n v="178051885"/>
  </r>
  <r>
    <x v="4"/>
    <x v="41"/>
    <s v="Student Education Enrichment Program"/>
    <n v="140401"/>
    <x v="11"/>
    <m/>
    <m/>
    <m/>
    <m/>
    <m/>
    <m/>
    <m/>
    <m/>
    <n v="0"/>
    <m/>
    <m/>
    <n v="0"/>
    <n v="0"/>
    <n v="0"/>
    <m/>
    <m/>
    <m/>
    <m/>
    <n v="0"/>
    <m/>
    <m/>
    <n v="0"/>
    <n v="314737"/>
    <n v="0"/>
    <m/>
    <m/>
    <n v="314737"/>
    <n v="0"/>
  </r>
  <r>
    <x v="4"/>
    <x v="41"/>
    <s v="Talmadge Memorial Hospital"/>
    <n v="140401"/>
    <x v="11"/>
    <m/>
    <m/>
    <m/>
    <m/>
    <m/>
    <m/>
    <m/>
    <m/>
    <n v="0"/>
    <m/>
    <m/>
    <n v="0"/>
    <n v="0"/>
    <n v="0"/>
    <m/>
    <m/>
    <m/>
    <m/>
    <n v="0"/>
    <m/>
    <m/>
    <n v="0"/>
    <n v="33181112"/>
    <n v="33921721"/>
    <m/>
    <m/>
    <n v="33181112"/>
    <n v="33921721"/>
  </r>
  <r>
    <x v="4"/>
    <x v="41"/>
    <s v="Ga Bd for Physician Workforce "/>
    <n v="140401"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41"/>
    <s v="Medical Education Board"/>
    <n v="140401"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9"/>
    <s v="Southern Polytechnic State University"/>
    <n v="141097"/>
    <x v="11"/>
    <m/>
    <m/>
    <m/>
    <m/>
    <m/>
    <m/>
    <m/>
    <m/>
    <n v="0"/>
    <m/>
    <m/>
    <n v="0"/>
    <n v="0"/>
    <n v="0"/>
    <n v="22658134"/>
    <n v="22051710"/>
    <n v="13824991"/>
    <m/>
    <n v="13824991"/>
    <n v="17597306"/>
    <m/>
    <n v="17597306"/>
    <m/>
    <m/>
    <m/>
    <m/>
    <n v="36483125"/>
    <n v="39649016"/>
  </r>
  <r>
    <x v="4"/>
    <x v="10"/>
    <s v="Statewide Special-Purpos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11"/>
    <s v="Research centers/institut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11"/>
    <s v="Skidaway Inst of Oceanography"/>
    <m/>
    <x v="12"/>
    <m/>
    <m/>
    <n v="2530780"/>
    <n v="1530424"/>
    <m/>
    <m/>
    <m/>
    <m/>
    <n v="0"/>
    <m/>
    <m/>
    <n v="0"/>
    <n v="2530780"/>
    <n v="1530424"/>
    <m/>
    <m/>
    <m/>
    <m/>
    <n v="0"/>
    <m/>
    <m/>
    <n v="0"/>
    <m/>
    <m/>
    <m/>
    <m/>
    <n v="2530780"/>
    <n v="1530424"/>
  </r>
  <r>
    <x v="4"/>
    <x v="13"/>
    <s v="Education special purpose funds -all other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13"/>
    <s v="Residence Instruction Reserve"/>
    <m/>
    <x v="12"/>
    <m/>
    <m/>
    <n v="3504198"/>
    <n v="3103443"/>
    <m/>
    <m/>
    <m/>
    <m/>
    <n v="0"/>
    <m/>
    <m/>
    <n v="0"/>
    <n v="3504198"/>
    <n v="3103443"/>
    <m/>
    <m/>
    <m/>
    <m/>
    <n v="0"/>
    <m/>
    <m/>
    <n v="0"/>
    <m/>
    <m/>
    <m/>
    <m/>
    <n v="3504198"/>
    <n v="3103443"/>
  </r>
  <r>
    <x v="4"/>
    <x v="13"/>
    <s v="Office of Information and Instructional Technology"/>
    <m/>
    <x v="12"/>
    <m/>
    <m/>
    <n v="54976722"/>
    <n v="39764292"/>
    <m/>
    <m/>
    <m/>
    <m/>
    <n v="0"/>
    <m/>
    <m/>
    <n v="0"/>
    <n v="54976722"/>
    <n v="39764292"/>
    <m/>
    <m/>
    <m/>
    <m/>
    <n v="0"/>
    <m/>
    <m/>
    <n v="0"/>
    <m/>
    <m/>
    <m/>
    <m/>
    <n v="54976722"/>
    <n v="39764292"/>
  </r>
  <r>
    <x v="4"/>
    <x v="13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13"/>
    <s v="Other funds to be allocated over the year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14"/>
    <s v="Statewide System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15"/>
    <s v="Colleges and universiti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15"/>
    <s v="University System Reg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15"/>
    <s v="&quot;RCO A&quot;"/>
    <m/>
    <x v="12"/>
    <m/>
    <m/>
    <m/>
    <m/>
    <m/>
    <m/>
    <m/>
    <m/>
    <n v="0"/>
    <m/>
    <m/>
    <n v="0"/>
    <n v="0"/>
    <n v="0"/>
    <n v="18768992"/>
    <n v="18545421"/>
    <m/>
    <m/>
    <n v="0"/>
    <m/>
    <m/>
    <n v="0"/>
    <m/>
    <m/>
    <m/>
    <m/>
    <n v="18768992"/>
    <n v="18545421"/>
  </r>
  <r>
    <x v="4"/>
    <x v="15"/>
    <s v="&quot;RCO B&quot;"/>
    <m/>
    <x v="12"/>
    <m/>
    <m/>
    <m/>
    <m/>
    <m/>
    <m/>
    <m/>
    <m/>
    <n v="0"/>
    <m/>
    <m/>
    <n v="0"/>
    <n v="0"/>
    <n v="0"/>
    <n v="6557100"/>
    <n v="5834148"/>
    <m/>
    <m/>
    <n v="0"/>
    <m/>
    <m/>
    <n v="0"/>
    <m/>
    <m/>
    <m/>
    <m/>
    <n v="6557100"/>
    <n v="5834148"/>
  </r>
  <r>
    <x v="4"/>
    <x v="17"/>
    <s v="National or regional associations, compacts or consortia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17"/>
    <s v="SREB membership"/>
    <m/>
    <x v="12"/>
    <m/>
    <m/>
    <m/>
    <m/>
    <m/>
    <m/>
    <m/>
    <m/>
    <n v="0"/>
    <m/>
    <m/>
    <n v="0"/>
    <n v="0"/>
    <n v="0"/>
    <n v="97900"/>
    <n v="103550"/>
    <m/>
    <m/>
    <n v="0"/>
    <m/>
    <m/>
    <n v="0"/>
    <m/>
    <m/>
    <m/>
    <m/>
    <n v="97900"/>
    <n v="103550"/>
  </r>
  <r>
    <x v="4"/>
    <x v="17"/>
    <s v="Doctoral Scholars"/>
    <m/>
    <x v="12"/>
    <m/>
    <m/>
    <m/>
    <m/>
    <m/>
    <m/>
    <m/>
    <m/>
    <n v="0"/>
    <m/>
    <m/>
    <n v="0"/>
    <n v="0"/>
    <n v="0"/>
    <n v="400000"/>
    <n v="500000"/>
    <m/>
    <m/>
    <n v="0"/>
    <m/>
    <m/>
    <n v="0"/>
    <m/>
    <m/>
    <m/>
    <m/>
    <n v="400000"/>
    <n v="500000"/>
  </r>
  <r>
    <x v="4"/>
    <x v="18"/>
    <s v="Adm. of Statewide Student Aid Progs. (incldng centralized guaranteed student loans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18"/>
    <s v="Ga Student Finance Commission"/>
    <m/>
    <x v="12"/>
    <m/>
    <m/>
    <m/>
    <m/>
    <m/>
    <m/>
    <m/>
    <m/>
    <n v="0"/>
    <m/>
    <m/>
    <n v="0"/>
    <n v="0"/>
    <n v="0"/>
    <n v="158912"/>
    <m/>
    <m/>
    <m/>
    <n v="0"/>
    <m/>
    <m/>
    <n v="0"/>
    <m/>
    <m/>
    <m/>
    <m/>
    <n v="158912"/>
    <n v="0"/>
  </r>
  <r>
    <x v="4"/>
    <x v="19"/>
    <s v="State Support to Private Colleges Other Than Student Ai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19"/>
    <s v="Ga Military College"/>
    <m/>
    <x v="12"/>
    <m/>
    <m/>
    <m/>
    <m/>
    <m/>
    <m/>
    <m/>
    <m/>
    <n v="0"/>
    <m/>
    <m/>
    <n v="0"/>
    <n v="0"/>
    <n v="0"/>
    <n v="3062125"/>
    <n v="2636371"/>
    <m/>
    <m/>
    <n v="0"/>
    <m/>
    <m/>
    <n v="0"/>
    <m/>
    <m/>
    <m/>
    <m/>
    <n v="3062125"/>
    <n v="2636371"/>
  </r>
  <r>
    <x v="4"/>
    <x v="19"/>
    <s v="Mercer University (Medicine)"/>
    <m/>
    <x v="12"/>
    <m/>
    <m/>
    <m/>
    <m/>
    <m/>
    <m/>
    <m/>
    <m/>
    <n v="0"/>
    <m/>
    <m/>
    <n v="0"/>
    <n v="0"/>
    <n v="0"/>
    <n v="24560862"/>
    <n v="22922360"/>
    <m/>
    <m/>
    <n v="0"/>
    <m/>
    <m/>
    <n v="0"/>
    <m/>
    <m/>
    <m/>
    <m/>
    <n v="24560862"/>
    <n v="22922360"/>
  </r>
  <r>
    <x v="4"/>
    <x v="19"/>
    <s v="Morehouse School of Medicine"/>
    <m/>
    <x v="12"/>
    <m/>
    <m/>
    <m/>
    <m/>
    <m/>
    <m/>
    <m/>
    <m/>
    <n v="0"/>
    <m/>
    <m/>
    <n v="0"/>
    <n v="0"/>
    <n v="0"/>
    <n v="11247293"/>
    <n v="12130220"/>
    <m/>
    <m/>
    <n v="0"/>
    <m/>
    <m/>
    <n v="0"/>
    <m/>
    <m/>
    <m/>
    <m/>
    <n v="11247293"/>
    <n v="12130220"/>
  </r>
  <r>
    <x v="4"/>
    <x v="19"/>
    <s v="Preventive Medicine Capitation ( residency programs at Morehouse &amp; Emory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0"/>
    <s v="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1"/>
    <s v="SREB contract program with private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1"/>
    <s v="Georgia Military College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1"/>
    <s v="Southern College (Optometry)"/>
    <m/>
    <x v="12"/>
    <m/>
    <m/>
    <m/>
    <m/>
    <m/>
    <m/>
    <m/>
    <m/>
    <n v="0"/>
    <m/>
    <m/>
    <n v="0"/>
    <n v="0"/>
    <n v="0"/>
    <n v="366800"/>
    <n v="314400"/>
    <m/>
    <m/>
    <n v="0"/>
    <m/>
    <m/>
    <n v="0"/>
    <m/>
    <m/>
    <m/>
    <m/>
    <n v="366800"/>
    <n v="314400"/>
  </r>
  <r>
    <x v="4"/>
    <x v="21"/>
    <s v="Nova Southeastern University (Osteopathic Medicine)"/>
    <m/>
    <x v="12"/>
    <m/>
    <m/>
    <m/>
    <m/>
    <m/>
    <m/>
    <m/>
    <m/>
    <n v="0"/>
    <m/>
    <m/>
    <n v="0"/>
    <n v="0"/>
    <n v="0"/>
    <n v="157200"/>
    <n v="104800"/>
    <m/>
    <m/>
    <n v="0"/>
    <m/>
    <m/>
    <n v="0"/>
    <m/>
    <m/>
    <m/>
    <m/>
    <n v="157200"/>
    <n v="104800"/>
  </r>
  <r>
    <x v="4"/>
    <x v="22"/>
    <s v="SREB contract program with public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2"/>
    <s v="University of Alabama at Birmingham (Medicine)"/>
    <m/>
    <x v="12"/>
    <m/>
    <m/>
    <m/>
    <m/>
    <m/>
    <m/>
    <m/>
    <m/>
    <n v="0"/>
    <m/>
    <m/>
    <n v="0"/>
    <n v="0"/>
    <n v="0"/>
    <n v="104800"/>
    <n v="104800"/>
    <m/>
    <m/>
    <n v="0"/>
    <m/>
    <m/>
    <n v="0"/>
    <m/>
    <m/>
    <m/>
    <m/>
    <n v="104800"/>
    <n v="104800"/>
  </r>
  <r>
    <x v="4"/>
    <x v="23"/>
    <s v="Other contracted programs (Med. Student Capitation Grants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3"/>
    <s v="Meharry Medical College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3"/>
    <s v="Mercer University (Medicine)"/>
    <m/>
    <x v="12"/>
    <m/>
    <m/>
    <m/>
    <m/>
    <m/>
    <m/>
    <m/>
    <m/>
    <n v="0"/>
    <m/>
    <m/>
    <n v="0"/>
    <n v="0"/>
    <n v="0"/>
    <n v="1786254"/>
    <n v="1649421"/>
    <m/>
    <m/>
    <n v="0"/>
    <m/>
    <m/>
    <n v="0"/>
    <m/>
    <m/>
    <m/>
    <m/>
    <n v="1786254"/>
    <n v="1649421"/>
  </r>
  <r>
    <x v="4"/>
    <x v="23"/>
    <s v="Morehouse School of Medicine"/>
    <m/>
    <x v="12"/>
    <m/>
    <m/>
    <m/>
    <m/>
    <m/>
    <m/>
    <m/>
    <m/>
    <n v="0"/>
    <m/>
    <m/>
    <n v="0"/>
    <n v="0"/>
    <n v="0"/>
    <n v="791055"/>
    <n v="730457"/>
    <m/>
    <m/>
    <n v="0"/>
    <m/>
    <m/>
    <n v="0"/>
    <m/>
    <m/>
    <m/>
    <m/>
    <n v="791055"/>
    <n v="730457"/>
  </r>
  <r>
    <x v="4"/>
    <x v="23"/>
    <s v="Emory University (Medicine)"/>
    <m/>
    <x v="12"/>
    <m/>
    <m/>
    <m/>
    <m/>
    <m/>
    <m/>
    <m/>
    <m/>
    <n v="0"/>
    <m/>
    <m/>
    <n v="0"/>
    <n v="0"/>
    <n v="0"/>
    <n v="961175"/>
    <n v="887546"/>
    <m/>
    <m/>
    <n v="0"/>
    <m/>
    <m/>
    <n v="0"/>
    <m/>
    <m/>
    <m/>
    <m/>
    <n v="961175"/>
    <n v="887546"/>
  </r>
  <r>
    <x v="4"/>
    <x v="24"/>
    <s v="Statewide Student Financial Aid Programs Administered Off Campu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5"/>
    <s v="Available to public &amp;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5"/>
    <s v="Medical Scholarship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9"/>
    <s v="Need-based"/>
    <m/>
    <x v="12"/>
    <m/>
    <m/>
    <m/>
    <m/>
    <m/>
    <m/>
    <m/>
    <m/>
    <n v="0"/>
    <m/>
    <m/>
    <n v="0"/>
    <n v="0"/>
    <n v="0"/>
    <n v="100000"/>
    <s v="X"/>
    <m/>
    <m/>
    <n v="0"/>
    <m/>
    <m/>
    <n v="0"/>
    <m/>
    <m/>
    <m/>
    <m/>
    <n v="100000"/>
    <n v="0"/>
  </r>
  <r>
    <x v="4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2"/>
    <s v="Need-based"/>
    <m/>
    <x v="12"/>
    <m/>
    <m/>
    <m/>
    <m/>
    <m/>
    <m/>
    <m/>
    <m/>
    <n v="0"/>
    <m/>
    <m/>
    <n v="0"/>
    <n v="0"/>
    <n v="0"/>
    <n v="520000"/>
    <s v="X"/>
    <m/>
    <m/>
    <n v="0"/>
    <m/>
    <m/>
    <n v="0"/>
    <m/>
    <m/>
    <m/>
    <m/>
    <n v="520000"/>
    <n v="0"/>
  </r>
  <r>
    <x v="4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5"/>
    <s v="LEPD Grants"/>
    <m/>
    <x v="12"/>
    <m/>
    <m/>
    <m/>
    <m/>
    <m/>
    <m/>
    <m/>
    <m/>
    <n v="0"/>
    <m/>
    <m/>
    <n v="0"/>
    <n v="0"/>
    <n v="0"/>
    <n v="50911"/>
    <n v="50911"/>
    <m/>
    <m/>
    <n v="0"/>
    <m/>
    <m/>
    <n v="0"/>
    <m/>
    <m/>
    <m/>
    <m/>
    <n v="50911"/>
    <n v="50911"/>
  </r>
  <r>
    <x v="4"/>
    <x v="35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6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5"/>
    <s v="Public Safety Memorial Grant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0"/>
    <s v="Non need-based"/>
    <m/>
    <x v="12"/>
    <m/>
    <m/>
    <m/>
    <m/>
    <m/>
    <m/>
    <m/>
    <m/>
    <n v="0"/>
    <m/>
    <m/>
    <n v="0"/>
    <n v="0"/>
    <n v="0"/>
    <n v="255850"/>
    <n v="255850"/>
    <m/>
    <m/>
    <n v="0"/>
    <m/>
    <m/>
    <n v="0"/>
    <m/>
    <m/>
    <m/>
    <m/>
    <n v="255850"/>
    <n v="255850"/>
  </r>
  <r>
    <x v="4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5"/>
    <s v="Teacher Scholarships"/>
    <m/>
    <x v="12"/>
    <m/>
    <m/>
    <m/>
    <m/>
    <m/>
    <m/>
    <m/>
    <m/>
    <n v="0"/>
    <m/>
    <m/>
    <n v="0"/>
    <n v="0"/>
    <n v="0"/>
    <n v="5332698"/>
    <n v="5332698"/>
    <m/>
    <m/>
    <n v="0"/>
    <m/>
    <m/>
    <n v="0"/>
    <m/>
    <m/>
    <m/>
    <m/>
    <n v="5332698"/>
    <n v="5332698"/>
  </r>
  <r>
    <x v="4"/>
    <x v="35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6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5"/>
    <s v="Promise I &amp; II Scholarships"/>
    <m/>
    <x v="12"/>
    <m/>
    <m/>
    <m/>
    <m/>
    <m/>
    <m/>
    <m/>
    <m/>
    <n v="0"/>
    <m/>
    <m/>
    <n v="0"/>
    <n v="0"/>
    <n v="0"/>
    <n v="5855278"/>
    <n v="5855278"/>
    <m/>
    <m/>
    <n v="0"/>
    <m/>
    <m/>
    <n v="0"/>
    <m/>
    <m/>
    <m/>
    <m/>
    <n v="5855278"/>
    <n v="5855278"/>
  </r>
  <r>
    <x v="4"/>
    <x v="35"/>
    <s v="Need-based"/>
    <m/>
    <x v="12"/>
    <m/>
    <m/>
    <m/>
    <m/>
    <m/>
    <m/>
    <m/>
    <m/>
    <n v="0"/>
    <m/>
    <m/>
    <n v="0"/>
    <n v="0"/>
    <n v="0"/>
    <s v="No detail on sector or basis?"/>
    <m/>
    <m/>
    <m/>
    <n v="0"/>
    <m/>
    <m/>
    <n v="0"/>
    <m/>
    <m/>
    <m/>
    <m/>
    <n v="0"/>
    <n v="0"/>
  </r>
  <r>
    <x v="4"/>
    <x v="36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5"/>
    <s v="Engineer Scholarships"/>
    <m/>
    <x v="12"/>
    <m/>
    <m/>
    <m/>
    <m/>
    <m/>
    <m/>
    <m/>
    <m/>
    <n v="0"/>
    <m/>
    <m/>
    <n v="0"/>
    <n v="0"/>
    <n v="0"/>
    <s v="Can there be awards to public sector students; there just happen to be none?"/>
    <m/>
    <m/>
    <m/>
    <n v="0"/>
    <m/>
    <m/>
    <n v="0"/>
    <m/>
    <m/>
    <m/>
    <m/>
    <n v="0"/>
    <n v="0"/>
  </r>
  <r>
    <x v="4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3"/>
    <s v="Non need-based"/>
    <m/>
    <x v="12"/>
    <m/>
    <m/>
    <m/>
    <m/>
    <m/>
    <m/>
    <m/>
    <m/>
    <n v="0"/>
    <m/>
    <m/>
    <n v="0"/>
    <n v="0"/>
    <n v="0"/>
    <n v="760000"/>
    <n v="710000"/>
    <m/>
    <m/>
    <n v="0"/>
    <m/>
    <m/>
    <n v="0"/>
    <m/>
    <m/>
    <m/>
    <m/>
    <n v="760000"/>
    <n v="710000"/>
  </r>
  <r>
    <x v="4"/>
    <x v="34"/>
    <s v="Limited to public college students onl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4"/>
    <s v="HOPE Scholarship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5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6"/>
    <s v="Non need-based"/>
    <m/>
    <x v="12"/>
    <m/>
    <m/>
    <m/>
    <m/>
    <m/>
    <m/>
    <m/>
    <m/>
    <n v="0"/>
    <m/>
    <m/>
    <n v="0"/>
    <n v="0"/>
    <n v="0"/>
    <n v="338950936"/>
    <n v="355086391"/>
    <m/>
    <m/>
    <n v="0"/>
    <m/>
    <m/>
    <n v="0"/>
    <m/>
    <m/>
    <m/>
    <m/>
    <n v="338950936"/>
    <n v="355086391"/>
  </r>
  <r>
    <x v="4"/>
    <x v="37"/>
    <s v="Limited to private college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7"/>
    <s v="Georgia Military College Scholarship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8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9"/>
    <s v="Non need-based"/>
    <m/>
    <x v="12"/>
    <m/>
    <m/>
    <m/>
    <m/>
    <m/>
    <m/>
    <m/>
    <m/>
    <n v="0"/>
    <m/>
    <m/>
    <n v="0"/>
    <n v="0"/>
    <n v="0"/>
    <n v="1228708"/>
    <n v="1228708"/>
    <m/>
    <m/>
    <n v="0"/>
    <m/>
    <m/>
    <n v="0"/>
    <m/>
    <m/>
    <m/>
    <m/>
    <n v="1228708"/>
    <n v="1228708"/>
  </r>
  <r>
    <x v="4"/>
    <x v="37"/>
    <s v="HOPE Scholarship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8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39"/>
    <s v="Non need-based"/>
    <m/>
    <x v="12"/>
    <m/>
    <m/>
    <m/>
    <m/>
    <m/>
    <m/>
    <m/>
    <m/>
    <n v="0"/>
    <m/>
    <m/>
    <n v="0"/>
    <n v="0"/>
    <n v="0"/>
    <n v="45651732"/>
    <n v="42323094"/>
    <m/>
    <m/>
    <n v="0"/>
    <m/>
    <m/>
    <n v="0"/>
    <m/>
    <m/>
    <m/>
    <m/>
    <n v="45651732"/>
    <n v="42323094"/>
  </r>
  <r>
    <x v="4"/>
    <x v="0"/>
    <s v="Albany Technical College"/>
    <n v="138682"/>
    <x v="9"/>
    <n v="9611422"/>
    <n v="9883882"/>
    <m/>
    <m/>
    <m/>
    <m/>
    <n v="4627926"/>
    <m/>
    <n v="4627926"/>
    <n v="4630000"/>
    <m/>
    <n v="4630000"/>
    <n v="14239348"/>
    <n v="14513882"/>
    <m/>
    <m/>
    <m/>
    <m/>
    <n v="0"/>
    <m/>
    <m/>
    <n v="0"/>
    <m/>
    <m/>
    <m/>
    <m/>
    <n v="14239348"/>
    <n v="14513882"/>
  </r>
  <r>
    <x v="4"/>
    <x v="0"/>
    <s v="Athens Technical College"/>
    <n v="246813"/>
    <x v="9"/>
    <n v="12269370"/>
    <n v="11875277"/>
    <m/>
    <m/>
    <m/>
    <m/>
    <n v="5215901"/>
    <m/>
    <n v="5215901"/>
    <n v="5220000"/>
    <m/>
    <n v="5220000"/>
    <n v="17485271"/>
    <n v="17095277"/>
    <m/>
    <m/>
    <m/>
    <m/>
    <n v="0"/>
    <m/>
    <m/>
    <n v="0"/>
    <m/>
    <m/>
    <m/>
    <m/>
    <n v="17485271"/>
    <n v="17095277"/>
  </r>
  <r>
    <x v="4"/>
    <x v="0"/>
    <s v="Atlanta Technical College"/>
    <n v="138840"/>
    <x v="9"/>
    <n v="15588121"/>
    <n v="14517125"/>
    <m/>
    <m/>
    <m/>
    <m/>
    <n v="5498838"/>
    <m/>
    <n v="5498838"/>
    <n v="5500000"/>
    <m/>
    <n v="5500000"/>
    <n v="21086959"/>
    <n v="20017125"/>
    <m/>
    <m/>
    <m/>
    <m/>
    <n v="0"/>
    <m/>
    <m/>
    <n v="0"/>
    <m/>
    <m/>
    <m/>
    <m/>
    <n v="21086959"/>
    <n v="20017125"/>
  </r>
  <r>
    <x v="4"/>
    <x v="0"/>
    <s v="Augusta Technical College"/>
    <n v="138956"/>
    <x v="9"/>
    <n v="17494294"/>
    <n v="17464793"/>
    <m/>
    <m/>
    <m/>
    <m/>
    <n v="6113100"/>
    <m/>
    <n v="6113100"/>
    <n v="6120000"/>
    <m/>
    <n v="6120000"/>
    <n v="23607394"/>
    <n v="23584793"/>
    <m/>
    <m/>
    <m/>
    <m/>
    <n v="0"/>
    <m/>
    <m/>
    <n v="0"/>
    <m/>
    <m/>
    <m/>
    <m/>
    <n v="23607394"/>
    <n v="23584793"/>
  </r>
  <r>
    <x v="4"/>
    <x v="0"/>
    <s v="Central Georgia Technical College"/>
    <n v="140304"/>
    <x v="9"/>
    <n v="15682547"/>
    <n v="15549461"/>
    <m/>
    <m/>
    <m/>
    <m/>
    <n v="7178083"/>
    <m/>
    <n v="7178083"/>
    <n v="7180000"/>
    <m/>
    <n v="7180000"/>
    <n v="22860630"/>
    <n v="22729461"/>
    <m/>
    <m/>
    <m/>
    <m/>
    <n v="0"/>
    <m/>
    <m/>
    <n v="0"/>
    <m/>
    <m/>
    <m/>
    <m/>
    <n v="22860630"/>
    <n v="22729461"/>
  </r>
  <r>
    <x v="4"/>
    <x v="0"/>
    <s v="Chattahoochee Technical College"/>
    <n v="140331"/>
    <x v="9"/>
    <n v="13103558"/>
    <n v="13012605"/>
    <m/>
    <m/>
    <m/>
    <m/>
    <n v="8791777"/>
    <m/>
    <n v="8791777"/>
    <n v="8800000"/>
    <m/>
    <n v="8800000"/>
    <n v="21895335"/>
    <n v="21812605"/>
    <m/>
    <m/>
    <m/>
    <m/>
    <n v="0"/>
    <m/>
    <m/>
    <n v="0"/>
    <m/>
    <m/>
    <m/>
    <m/>
    <n v="21895335"/>
    <n v="21812605"/>
  </r>
  <r>
    <x v="4"/>
    <x v="0"/>
    <s v="Columbus Technical College"/>
    <n v="139357"/>
    <x v="9"/>
    <n v="10700624"/>
    <n v="10228233"/>
    <m/>
    <m/>
    <m/>
    <m/>
    <n v="5866701"/>
    <m/>
    <n v="5866701"/>
    <n v="5870000"/>
    <m/>
    <n v="5870000"/>
    <n v="16567325"/>
    <n v="16098233"/>
    <m/>
    <m/>
    <m/>
    <m/>
    <n v="0"/>
    <m/>
    <m/>
    <n v="0"/>
    <m/>
    <m/>
    <m/>
    <m/>
    <n v="16567325"/>
    <n v="16098233"/>
  </r>
  <r>
    <x v="4"/>
    <x v="0"/>
    <s v="Coosa Valley Technical College"/>
    <n v="139384"/>
    <x v="9"/>
    <n v="12363052"/>
    <n v="11688898"/>
    <m/>
    <m/>
    <m/>
    <m/>
    <n v="4098068"/>
    <m/>
    <n v="4098068"/>
    <n v="4100000"/>
    <m/>
    <n v="4100000"/>
    <n v="16461120"/>
    <n v="15788898"/>
    <m/>
    <m/>
    <m/>
    <m/>
    <n v="0"/>
    <m/>
    <m/>
    <n v="0"/>
    <m/>
    <m/>
    <m/>
    <m/>
    <n v="16461120"/>
    <n v="15788898"/>
  </r>
  <r>
    <x v="4"/>
    <x v="0"/>
    <s v="DeKalb Technical College"/>
    <n v="244446"/>
    <x v="9"/>
    <n v="18664637"/>
    <n v="18286460"/>
    <m/>
    <m/>
    <m/>
    <m/>
    <n v="8928782"/>
    <m/>
    <n v="8928782"/>
    <n v="8930000"/>
    <m/>
    <n v="8930000"/>
    <n v="27593419"/>
    <n v="27216460"/>
    <m/>
    <m/>
    <m/>
    <m/>
    <n v="0"/>
    <m/>
    <m/>
    <n v="0"/>
    <m/>
    <m/>
    <m/>
    <m/>
    <n v="27593419"/>
    <n v="27216460"/>
  </r>
  <r>
    <x v="4"/>
    <x v="0"/>
    <s v="East Central Technical College"/>
    <n v="139126"/>
    <x v="9"/>
    <n v="6701050"/>
    <n v="6559053"/>
    <m/>
    <m/>
    <m/>
    <m/>
    <n v="2395568"/>
    <m/>
    <n v="2395568"/>
    <n v="2400000"/>
    <m/>
    <n v="2400000"/>
    <n v="9096618"/>
    <n v="8959053"/>
    <m/>
    <m/>
    <m/>
    <m/>
    <n v="0"/>
    <m/>
    <m/>
    <n v="0"/>
    <m/>
    <m/>
    <m/>
    <m/>
    <n v="9096618"/>
    <n v="8959053"/>
  </r>
  <r>
    <x v="4"/>
    <x v="0"/>
    <s v="Griffin Technical College"/>
    <n v="139986"/>
    <x v="9"/>
    <n v="9407273"/>
    <n v="9338301"/>
    <m/>
    <m/>
    <m/>
    <m/>
    <n v="6876924"/>
    <m/>
    <n v="6876924"/>
    <n v="6880000"/>
    <m/>
    <n v="6880000"/>
    <n v="16284197"/>
    <n v="16218301"/>
    <m/>
    <m/>
    <m/>
    <m/>
    <n v="0"/>
    <m/>
    <m/>
    <n v="0"/>
    <m/>
    <m/>
    <m/>
    <m/>
    <n v="16284197"/>
    <n v="16218301"/>
  </r>
  <r>
    <x v="4"/>
    <x v="0"/>
    <s v="Gwinnett Technical College"/>
    <n v="140012"/>
    <x v="9"/>
    <n v="15264950"/>
    <n v="15146586"/>
    <m/>
    <m/>
    <m/>
    <m/>
    <n v="10942576"/>
    <m/>
    <n v="10942576"/>
    <n v="10950000"/>
    <m/>
    <n v="10950000"/>
    <n v="26207526"/>
    <n v="26096586"/>
    <m/>
    <m/>
    <m/>
    <m/>
    <n v="0"/>
    <m/>
    <m/>
    <n v="0"/>
    <m/>
    <m/>
    <m/>
    <m/>
    <n v="26207526"/>
    <n v="26096586"/>
  </r>
  <r>
    <x v="4"/>
    <x v="0"/>
    <s v="Heart of Georgia Technical College"/>
    <n v="140076"/>
    <x v="9"/>
    <n v="7002252"/>
    <n v="6972360"/>
    <m/>
    <m/>
    <m/>
    <m/>
    <n v="2271211"/>
    <m/>
    <n v="2271211"/>
    <n v="2280000"/>
    <m/>
    <n v="2280000"/>
    <n v="9273463"/>
    <n v="9252360"/>
    <m/>
    <m/>
    <m/>
    <m/>
    <n v="0"/>
    <m/>
    <m/>
    <n v="0"/>
    <m/>
    <m/>
    <m/>
    <m/>
    <n v="9273463"/>
    <n v="9252360"/>
  </r>
  <r>
    <x v="4"/>
    <x v="0"/>
    <s v="Lanier Technical College"/>
    <n v="140243"/>
    <x v="9"/>
    <n v="9952125"/>
    <n v="9878617"/>
    <m/>
    <m/>
    <m/>
    <m/>
    <n v="5112980"/>
    <m/>
    <n v="5112980"/>
    <n v="5120000"/>
    <m/>
    <n v="5120000"/>
    <n v="15065105"/>
    <n v="14998617"/>
    <m/>
    <m/>
    <m/>
    <m/>
    <n v="0"/>
    <m/>
    <m/>
    <n v="0"/>
    <m/>
    <m/>
    <m/>
    <m/>
    <n v="15065105"/>
    <n v="14998617"/>
  </r>
  <r>
    <x v="4"/>
    <x v="0"/>
    <s v="Middle Georgia Technical College"/>
    <n v="140085"/>
    <x v="9"/>
    <n v="9226374"/>
    <n v="9383222"/>
    <m/>
    <m/>
    <m/>
    <m/>
    <n v="3645197"/>
    <m/>
    <n v="3645197"/>
    <n v="3650000"/>
    <m/>
    <n v="3650000"/>
    <n v="12871571"/>
    <n v="13033222"/>
    <m/>
    <m/>
    <m/>
    <m/>
    <n v="0"/>
    <m/>
    <m/>
    <n v="0"/>
    <m/>
    <m/>
    <m/>
    <m/>
    <n v="12871571"/>
    <n v="13033222"/>
  </r>
  <r>
    <x v="4"/>
    <x v="0"/>
    <s v="Moultrie Technical College"/>
    <n v="140599"/>
    <x v="9"/>
    <n v="8965880"/>
    <n v="8569353"/>
    <m/>
    <m/>
    <m/>
    <m/>
    <n v="3479298"/>
    <m/>
    <n v="3479298"/>
    <n v="3480000"/>
    <m/>
    <n v="3480000"/>
    <n v="12445178"/>
    <n v="12049353"/>
    <m/>
    <m/>
    <m/>
    <m/>
    <n v="0"/>
    <m/>
    <m/>
    <n v="0"/>
    <m/>
    <m/>
    <m/>
    <m/>
    <n v="12445178"/>
    <n v="12049353"/>
  </r>
  <r>
    <x v="4"/>
    <x v="0"/>
    <s v="North Georgia Technical College"/>
    <n v="140678"/>
    <x v="9"/>
    <n v="10273270"/>
    <n v="10279160"/>
    <m/>
    <m/>
    <m/>
    <m/>
    <n v="3220931"/>
    <m/>
    <n v="3220931"/>
    <n v="3230000"/>
    <m/>
    <n v="3230000"/>
    <n v="13494201"/>
    <n v="13509160"/>
    <m/>
    <m/>
    <m/>
    <m/>
    <n v="0"/>
    <m/>
    <m/>
    <n v="0"/>
    <m/>
    <m/>
    <m/>
    <m/>
    <n v="13494201"/>
    <n v="13509160"/>
  </r>
  <r>
    <x v="4"/>
    <x v="0"/>
    <s v="North Metro Technical College"/>
    <n v="366456"/>
    <x v="9"/>
    <n v="5511334"/>
    <n v="5475523"/>
    <m/>
    <m/>
    <m/>
    <m/>
    <n v="3306242"/>
    <m/>
    <n v="3306242"/>
    <n v="3310000"/>
    <m/>
    <n v="3310000"/>
    <n v="8817576"/>
    <n v="8785523"/>
    <m/>
    <m/>
    <m/>
    <m/>
    <n v="0"/>
    <m/>
    <m/>
    <n v="0"/>
    <m/>
    <m/>
    <m/>
    <m/>
    <n v="8817576"/>
    <n v="8785523"/>
  </r>
  <r>
    <x v="4"/>
    <x v="0"/>
    <s v="Northwestern Technical College"/>
    <n v="141273"/>
    <x v="9"/>
    <n v="6437332"/>
    <n v="6272590"/>
    <m/>
    <m/>
    <m/>
    <m/>
    <n v="3223715"/>
    <m/>
    <n v="3223715"/>
    <n v="3230000"/>
    <m/>
    <n v="3230000"/>
    <n v="9661047"/>
    <n v="9502590"/>
    <m/>
    <m/>
    <m/>
    <m/>
    <n v="0"/>
    <m/>
    <m/>
    <n v="0"/>
    <m/>
    <m/>
    <m/>
    <m/>
    <n v="9661047"/>
    <n v="9502590"/>
  </r>
  <r>
    <x v="4"/>
    <x v="0"/>
    <s v="Ogeechee Technical College"/>
    <n v="366465"/>
    <x v="9"/>
    <n v="8530742"/>
    <n v="8247313"/>
    <m/>
    <m/>
    <m/>
    <m/>
    <n v="3212346"/>
    <m/>
    <n v="3212346"/>
    <n v="3220000"/>
    <m/>
    <n v="3220000"/>
    <n v="11743088"/>
    <n v="11467313"/>
    <m/>
    <m/>
    <m/>
    <m/>
    <n v="0"/>
    <m/>
    <m/>
    <n v="0"/>
    <m/>
    <m/>
    <m/>
    <m/>
    <n v="11743088"/>
    <n v="11467313"/>
  </r>
  <r>
    <x v="4"/>
    <x v="0"/>
    <s v="Okefenokee Technical College"/>
    <n v="248776"/>
    <x v="9"/>
    <n v="5234564"/>
    <n v="5406856"/>
    <m/>
    <m/>
    <m/>
    <m/>
    <n v="2218984"/>
    <m/>
    <n v="2218984"/>
    <n v="2220000"/>
    <m/>
    <n v="2220000"/>
    <n v="7453548"/>
    <n v="7626856"/>
    <m/>
    <m/>
    <m/>
    <m/>
    <n v="0"/>
    <m/>
    <m/>
    <n v="0"/>
    <m/>
    <m/>
    <m/>
    <m/>
    <n v="7453548"/>
    <n v="7626856"/>
  </r>
  <r>
    <x v="4"/>
    <x v="0"/>
    <s v="Savannah Technical College"/>
    <n v="140942"/>
    <x v="9"/>
    <n v="12436953"/>
    <n v="12293599"/>
    <m/>
    <m/>
    <m/>
    <m/>
    <n v="5382520"/>
    <m/>
    <n v="5382520"/>
    <n v="5390000"/>
    <m/>
    <n v="5390000"/>
    <n v="17819473"/>
    <n v="17683599"/>
    <m/>
    <m/>
    <m/>
    <m/>
    <n v="0"/>
    <m/>
    <m/>
    <n v="0"/>
    <m/>
    <m/>
    <m/>
    <m/>
    <n v="17819473"/>
    <n v="17683599"/>
  </r>
  <r>
    <x v="4"/>
    <x v="0"/>
    <s v="South Georgia Technical College"/>
    <n v="141006"/>
    <x v="9"/>
    <n v="9410384"/>
    <n v="9122493"/>
    <m/>
    <m/>
    <m/>
    <m/>
    <n v="3074802"/>
    <m/>
    <n v="3074802"/>
    <n v="3080000"/>
    <m/>
    <n v="3080000"/>
    <n v="12485186"/>
    <n v="12202493"/>
    <m/>
    <m/>
    <m/>
    <m/>
    <n v="0"/>
    <m/>
    <m/>
    <n v="0"/>
    <m/>
    <m/>
    <m/>
    <m/>
    <n v="12485186"/>
    <n v="12202493"/>
  </r>
  <r>
    <x v="4"/>
    <x v="0"/>
    <s v="Southwest Georgia Technical College"/>
    <n v="141158"/>
    <x v="9"/>
    <n v="8487994.8499999996"/>
    <n v="8310937"/>
    <m/>
    <m/>
    <m/>
    <m/>
    <n v="2352462"/>
    <m/>
    <n v="2352462"/>
    <n v="2360000"/>
    <m/>
    <n v="2360000"/>
    <n v="10840456.85"/>
    <n v="10670937"/>
    <m/>
    <m/>
    <m/>
    <m/>
    <n v="0"/>
    <m/>
    <m/>
    <n v="0"/>
    <m/>
    <m/>
    <m/>
    <m/>
    <n v="10840456.85"/>
    <n v="10670937"/>
  </r>
  <r>
    <x v="4"/>
    <x v="0"/>
    <s v="Valdosta Technical College"/>
    <n v="141255"/>
    <x v="9"/>
    <n v="8139209"/>
    <n v="8285134"/>
    <m/>
    <m/>
    <m/>
    <m/>
    <n v="4282233"/>
    <m/>
    <n v="4282233"/>
    <n v="4290000"/>
    <m/>
    <n v="4290000"/>
    <n v="12421442"/>
    <n v="12575134"/>
    <m/>
    <m/>
    <m/>
    <m/>
    <n v="0"/>
    <m/>
    <m/>
    <n v="0"/>
    <m/>
    <m/>
    <m/>
    <m/>
    <n v="12421442"/>
    <n v="12575134"/>
  </r>
  <r>
    <x v="4"/>
    <x v="0"/>
    <s v="West Central Technical College"/>
    <n v="139278"/>
    <x v="9"/>
    <n v="12638838"/>
    <n v="12329324"/>
    <m/>
    <m/>
    <m/>
    <m/>
    <n v="5826540"/>
    <m/>
    <n v="5826540"/>
    <n v="5830000"/>
    <m/>
    <n v="5830000"/>
    <n v="18465378"/>
    <n v="18159324"/>
    <m/>
    <m/>
    <m/>
    <m/>
    <n v="0"/>
    <m/>
    <m/>
    <n v="0"/>
    <m/>
    <m/>
    <m/>
    <m/>
    <n v="18465378"/>
    <n v="18159324"/>
  </r>
  <r>
    <x v="4"/>
    <x v="0"/>
    <s v="West Georgia Technical College"/>
    <n v="141228"/>
    <x v="9"/>
    <n v="6123533"/>
    <n v="6460345"/>
    <m/>
    <m/>
    <m/>
    <m/>
    <n v="2700870"/>
    <m/>
    <n v="2700870"/>
    <n v="2710000"/>
    <m/>
    <n v="2710000"/>
    <n v="8824403"/>
    <n v="9170345"/>
    <m/>
    <m/>
    <m/>
    <m/>
    <n v="0"/>
    <m/>
    <m/>
    <n v="0"/>
    <m/>
    <m/>
    <m/>
    <m/>
    <n v="8824403"/>
    <n v="9170345"/>
  </r>
  <r>
    <x v="4"/>
    <x v="0"/>
    <s v="Altamaha Technical College"/>
    <n v="366447"/>
    <x v="10"/>
    <n v="6085779"/>
    <n v="5987814"/>
    <m/>
    <m/>
    <m/>
    <m/>
    <n v="1278684"/>
    <m/>
    <n v="1278684"/>
    <n v="1280000"/>
    <m/>
    <n v="1280000"/>
    <n v="7364463"/>
    <n v="7267814"/>
    <m/>
    <m/>
    <m/>
    <m/>
    <n v="0"/>
    <m/>
    <m/>
    <n v="0"/>
    <m/>
    <m/>
    <m/>
    <m/>
    <n v="7364463"/>
    <n v="7267814"/>
  </r>
  <r>
    <x v="4"/>
    <x v="0"/>
    <s v="Appalachian Technical College"/>
    <n v="140809"/>
    <x v="10"/>
    <n v="4749243"/>
    <n v="4677114"/>
    <m/>
    <m/>
    <m/>
    <m/>
    <n v="1454147"/>
    <m/>
    <n v="1454147"/>
    <n v="1460000"/>
    <m/>
    <n v="1460000"/>
    <n v="6203390"/>
    <n v="6137114"/>
    <m/>
    <m/>
    <m/>
    <m/>
    <n v="0"/>
    <m/>
    <m/>
    <n v="0"/>
    <m/>
    <m/>
    <m/>
    <m/>
    <n v="6203390"/>
    <n v="6137114"/>
  </r>
  <r>
    <x v="4"/>
    <x v="0"/>
    <s v="Flint River Technical College"/>
    <n v="248794"/>
    <x v="10"/>
    <n v="4480124"/>
    <n v="4417899"/>
    <m/>
    <m/>
    <m/>
    <m/>
    <n v="1837448"/>
    <m/>
    <n v="1837448"/>
    <n v="1840000"/>
    <m/>
    <n v="1840000"/>
    <n v="6317572"/>
    <n v="6257899"/>
    <m/>
    <m/>
    <m/>
    <m/>
    <n v="0"/>
    <m/>
    <m/>
    <n v="0"/>
    <m/>
    <m/>
    <m/>
    <m/>
    <n v="6317572"/>
    <n v="6257899"/>
  </r>
  <r>
    <x v="4"/>
    <x v="0"/>
    <s v="Sandersville Technical College"/>
    <n v="420431"/>
    <x v="10"/>
    <n v="4129707"/>
    <n v="3909653"/>
    <m/>
    <m/>
    <m/>
    <m/>
    <n v="1492201"/>
    <m/>
    <n v="1492201"/>
    <n v="1500000"/>
    <m/>
    <n v="1500000"/>
    <n v="5621908"/>
    <n v="5409653"/>
    <m/>
    <m/>
    <m/>
    <m/>
    <n v="0"/>
    <m/>
    <m/>
    <n v="0"/>
    <m/>
    <m/>
    <m/>
    <m/>
    <n v="5621908"/>
    <n v="5409653"/>
  </r>
  <r>
    <x v="4"/>
    <x v="0"/>
    <s v="Southeastern Technical College"/>
    <n v="368911"/>
    <x v="10"/>
    <n v="6225202"/>
    <n v="6012658"/>
    <m/>
    <m/>
    <m/>
    <m/>
    <n v="1603152"/>
    <m/>
    <n v="1603152"/>
    <n v="1610000"/>
    <m/>
    <n v="1610000"/>
    <n v="7828354"/>
    <n v="7622658"/>
    <m/>
    <m/>
    <m/>
    <m/>
    <n v="0"/>
    <m/>
    <m/>
    <n v="0"/>
    <m/>
    <m/>
    <m/>
    <m/>
    <n v="7828354"/>
    <n v="7622658"/>
  </r>
  <r>
    <x v="4"/>
    <x v="0"/>
    <s v="Swainsboro Technical College"/>
    <n v="141121"/>
    <x v="10"/>
    <n v="5141395"/>
    <n v="5033652"/>
    <m/>
    <m/>
    <m/>
    <m/>
    <n v="886836"/>
    <m/>
    <n v="886836"/>
    <n v="890000"/>
    <m/>
    <n v="890000"/>
    <n v="6028231"/>
    <n v="5923652"/>
    <m/>
    <m/>
    <m/>
    <m/>
    <n v="0"/>
    <m/>
    <m/>
    <n v="0"/>
    <m/>
    <m/>
    <m/>
    <m/>
    <n v="6028231"/>
    <n v="5923652"/>
  </r>
  <r>
    <x v="4"/>
    <x v="10"/>
    <s v="Education special purpose funds -statewid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42"/>
    <s v="Community or public servic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42"/>
    <s v="Quick Start??? Was listed last year."/>
    <m/>
    <x v="12"/>
    <m/>
    <m/>
    <n v="16368043"/>
    <m/>
    <m/>
    <m/>
    <m/>
    <m/>
    <n v="0"/>
    <m/>
    <m/>
    <n v="0"/>
    <n v="16368043"/>
    <n v="0"/>
    <m/>
    <m/>
    <m/>
    <m/>
    <n v="0"/>
    <m/>
    <m/>
    <n v="0"/>
    <m/>
    <m/>
    <m/>
    <m/>
    <n v="16368043"/>
    <n v="0"/>
  </r>
  <r>
    <x v="4"/>
    <x v="13"/>
    <s v="Education special purpose funds -all other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13"/>
    <s v="TCSG Technical Divisions at USG Schools"/>
    <m/>
    <x v="12"/>
    <m/>
    <m/>
    <n v="4173438"/>
    <n v="3260678"/>
    <m/>
    <m/>
    <m/>
    <m/>
    <n v="0"/>
    <m/>
    <m/>
    <n v="0"/>
    <n v="4173438"/>
    <n v="3260678"/>
    <m/>
    <m/>
    <m/>
    <m/>
    <n v="0"/>
    <m/>
    <m/>
    <n v="0"/>
    <m/>
    <m/>
    <m/>
    <m/>
    <n v="4173438"/>
    <n v="3260678"/>
  </r>
  <r>
    <x v="4"/>
    <x v="14"/>
    <s v="Statewide System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16"/>
    <s v="Two-year system(s), if an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4"/>
    <x v="16"/>
    <s v="TCSG Oversight Unit"/>
    <m/>
    <x v="12"/>
    <m/>
    <m/>
    <m/>
    <m/>
    <m/>
    <m/>
    <m/>
    <m/>
    <n v="0"/>
    <m/>
    <m/>
    <n v="0"/>
    <n v="0"/>
    <n v="0"/>
    <n v="10676351"/>
    <n v="13607777"/>
    <m/>
    <m/>
    <n v="0"/>
    <m/>
    <m/>
    <n v="0"/>
    <m/>
    <m/>
    <m/>
    <m/>
    <n v="10676351"/>
    <n v="13607777"/>
  </r>
  <r>
    <x v="5"/>
    <x v="0"/>
    <s v="University of Kentucky"/>
    <n v="157085"/>
    <x v="0"/>
    <n v="166173500"/>
    <n v="168276700"/>
    <m/>
    <m/>
    <m/>
    <m/>
    <n v="228554248"/>
    <m/>
    <n v="228554248"/>
    <n v="235574100"/>
    <m/>
    <n v="235574100"/>
    <n v="394727748"/>
    <n v="403850800"/>
    <m/>
    <m/>
    <m/>
    <m/>
    <n v="0"/>
    <m/>
    <m/>
    <n v="0"/>
    <m/>
    <m/>
    <m/>
    <m/>
    <n v="394727748"/>
    <n v="403850800"/>
  </r>
  <r>
    <x v="5"/>
    <x v="1"/>
    <s v="Medical School"/>
    <n v="157085"/>
    <x v="0"/>
    <m/>
    <m/>
    <m/>
    <m/>
    <m/>
    <m/>
    <m/>
    <m/>
    <n v="0"/>
    <m/>
    <m/>
    <n v="0"/>
    <n v="0"/>
    <n v="0"/>
    <m/>
    <m/>
    <m/>
    <m/>
    <n v="0"/>
    <m/>
    <m/>
    <n v="0"/>
    <n v="68186800"/>
    <n v="63270400"/>
    <n v="10293752"/>
    <n v="17683000"/>
    <n v="78480552"/>
    <n v="80953400"/>
  </r>
  <r>
    <x v="5"/>
    <x v="3"/>
    <s v="Public Service Units"/>
    <n v="157085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3"/>
    <s v="Livestock Disease Diagnostic Laboratory"/>
    <n v="157085"/>
    <x v="0"/>
    <m/>
    <m/>
    <n v="3263500"/>
    <n v="3397100"/>
    <m/>
    <m/>
    <m/>
    <m/>
    <n v="0"/>
    <m/>
    <m/>
    <n v="0"/>
    <n v="3263500"/>
    <n v="3397100"/>
    <m/>
    <m/>
    <m/>
    <m/>
    <n v="0"/>
    <m/>
    <m/>
    <n v="0"/>
    <m/>
    <m/>
    <m/>
    <m/>
    <n v="3263500"/>
    <n v="3397100"/>
  </r>
  <r>
    <x v="5"/>
    <x v="3"/>
    <s v="Agriculture Public Service"/>
    <n v="157085"/>
    <x v="0"/>
    <m/>
    <m/>
    <n v="2063400"/>
    <n v="2029200"/>
    <m/>
    <m/>
    <m/>
    <m/>
    <n v="0"/>
    <m/>
    <m/>
    <n v="0"/>
    <n v="2063400"/>
    <n v="2029200"/>
    <m/>
    <m/>
    <m/>
    <m/>
    <n v="0"/>
    <m/>
    <m/>
    <n v="0"/>
    <m/>
    <m/>
    <m/>
    <m/>
    <n v="2063400"/>
    <n v="2029200"/>
  </r>
  <r>
    <x v="5"/>
    <x v="3"/>
    <s v="Kentucky Geological Survey"/>
    <n v="157085"/>
    <x v="0"/>
    <m/>
    <m/>
    <n v="4154100"/>
    <n v="4138700"/>
    <m/>
    <m/>
    <m/>
    <m/>
    <n v="0"/>
    <m/>
    <m/>
    <n v="0"/>
    <n v="4154100"/>
    <n v="4138700"/>
    <m/>
    <m/>
    <m/>
    <m/>
    <n v="0"/>
    <m/>
    <m/>
    <n v="0"/>
    <m/>
    <m/>
    <m/>
    <m/>
    <n v="4154100"/>
    <n v="4138700"/>
  </r>
  <r>
    <x v="5"/>
    <x v="3"/>
    <s v="University Press"/>
    <n v="157085"/>
    <x v="0"/>
    <m/>
    <m/>
    <n v="657900"/>
    <n v="637900"/>
    <m/>
    <m/>
    <m/>
    <m/>
    <n v="0"/>
    <m/>
    <m/>
    <n v="0"/>
    <n v="657900"/>
    <n v="637900"/>
    <m/>
    <m/>
    <m/>
    <m/>
    <n v="0"/>
    <m/>
    <m/>
    <n v="0"/>
    <m/>
    <m/>
    <m/>
    <m/>
    <n v="657900"/>
    <n v="637900"/>
  </r>
  <r>
    <x v="5"/>
    <x v="3"/>
    <s v="Japanese Saturday School"/>
    <n v="157085"/>
    <x v="0"/>
    <m/>
    <m/>
    <n v="307800"/>
    <n v="297800"/>
    <m/>
    <m/>
    <m/>
    <m/>
    <n v="0"/>
    <m/>
    <m/>
    <n v="0"/>
    <n v="307800"/>
    <n v="297800"/>
    <m/>
    <m/>
    <m/>
    <m/>
    <n v="0"/>
    <m/>
    <m/>
    <n v="0"/>
    <m/>
    <m/>
    <m/>
    <m/>
    <n v="307800"/>
    <n v="297800"/>
  </r>
  <r>
    <x v="5"/>
    <x v="3"/>
    <s v="Rural Health Care"/>
    <n v="157085"/>
    <x v="0"/>
    <m/>
    <m/>
    <n v="626100"/>
    <n v="73800"/>
    <m/>
    <m/>
    <m/>
    <m/>
    <n v="0"/>
    <m/>
    <m/>
    <n v="0"/>
    <n v="626100"/>
    <n v="73800"/>
    <m/>
    <m/>
    <m/>
    <m/>
    <n v="0"/>
    <m/>
    <m/>
    <n v="0"/>
    <m/>
    <m/>
    <m/>
    <m/>
    <n v="626100"/>
    <n v="73800"/>
  </r>
  <r>
    <x v="5"/>
    <x v="5"/>
    <s v="Agricultural cooperative extension"/>
    <n v="157085"/>
    <x v="0"/>
    <m/>
    <m/>
    <n v="35502900"/>
    <n v="33736600"/>
    <m/>
    <m/>
    <m/>
    <m/>
    <n v="0"/>
    <m/>
    <m/>
    <n v="0"/>
    <n v="35502900"/>
    <n v="33736600"/>
    <m/>
    <m/>
    <m/>
    <m/>
    <n v="0"/>
    <m/>
    <m/>
    <n v="0"/>
    <m/>
    <m/>
    <m/>
    <m/>
    <n v="35502900"/>
    <n v="33736600"/>
  </r>
  <r>
    <x v="5"/>
    <x v="5"/>
    <s v="Agricultural experiment stations"/>
    <n v="157085"/>
    <x v="0"/>
    <m/>
    <m/>
    <n v="28752600"/>
    <n v="29235300"/>
    <m/>
    <m/>
    <m/>
    <m/>
    <n v="0"/>
    <m/>
    <m/>
    <n v="0"/>
    <n v="28752600"/>
    <n v="29235300"/>
    <m/>
    <m/>
    <m/>
    <m/>
    <n v="0"/>
    <m/>
    <m/>
    <n v="0"/>
    <m/>
    <m/>
    <m/>
    <m/>
    <n v="28752600"/>
    <n v="29235300"/>
  </r>
  <r>
    <x v="5"/>
    <x v="7"/>
    <s v="Research centers/institutes"/>
    <n v="157085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7"/>
    <s v="Center for Applied Energy Research"/>
    <n v="157085"/>
    <x v="0"/>
    <m/>
    <m/>
    <n v="4740800"/>
    <n v="4644900"/>
    <m/>
    <m/>
    <m/>
    <m/>
    <n v="0"/>
    <m/>
    <m/>
    <n v="0"/>
    <n v="4740800"/>
    <n v="4644900"/>
    <m/>
    <m/>
    <m/>
    <m/>
    <n v="0"/>
    <m/>
    <m/>
    <n v="0"/>
    <m/>
    <m/>
    <m/>
    <m/>
    <n v="4740800"/>
    <n v="4644900"/>
  </r>
  <r>
    <x v="5"/>
    <x v="7"/>
    <s v="KY Cancer Registry"/>
    <n v="157085"/>
    <x v="0"/>
    <m/>
    <m/>
    <n v="833700"/>
    <n v="832000"/>
    <m/>
    <m/>
    <m/>
    <m/>
    <n v="0"/>
    <m/>
    <m/>
    <n v="0"/>
    <n v="833700"/>
    <n v="832000"/>
    <m/>
    <m/>
    <m/>
    <m/>
    <n v="0"/>
    <m/>
    <m/>
    <n v="0"/>
    <m/>
    <m/>
    <m/>
    <m/>
    <n v="833700"/>
    <n v="832000"/>
  </r>
  <r>
    <x v="5"/>
    <x v="7"/>
    <s v="Rural Health Care"/>
    <n v="157085"/>
    <x v="0"/>
    <m/>
    <m/>
    <n v="537400"/>
    <n v="533000"/>
    <m/>
    <m/>
    <m/>
    <m/>
    <n v="0"/>
    <m/>
    <m/>
    <n v="0"/>
    <n v="537400"/>
    <n v="533000"/>
    <m/>
    <m/>
    <m/>
    <m/>
    <n v="0"/>
    <m/>
    <m/>
    <n v="0"/>
    <m/>
    <m/>
    <m/>
    <m/>
    <n v="537400"/>
    <n v="533000"/>
  </r>
  <r>
    <x v="5"/>
    <x v="0"/>
    <s v="University of Louisville"/>
    <n v="157289"/>
    <x v="0"/>
    <n v="127035300"/>
    <n v="125542500"/>
    <m/>
    <m/>
    <m/>
    <m/>
    <n v="171365603"/>
    <m/>
    <n v="171365603"/>
    <n v="170935300"/>
    <m/>
    <n v="170935300"/>
    <n v="298400903"/>
    <n v="296477800"/>
    <m/>
    <m/>
    <m/>
    <m/>
    <n v="0"/>
    <m/>
    <m/>
    <n v="0"/>
    <m/>
    <m/>
    <m/>
    <m/>
    <n v="298400903"/>
    <n v="296477800"/>
  </r>
  <r>
    <x v="5"/>
    <x v="1"/>
    <s v="Medical School"/>
    <n v="157289"/>
    <x v="0"/>
    <m/>
    <m/>
    <m/>
    <m/>
    <m/>
    <m/>
    <m/>
    <m/>
    <n v="0"/>
    <m/>
    <m/>
    <n v="0"/>
    <n v="0"/>
    <n v="0"/>
    <m/>
    <m/>
    <m/>
    <m/>
    <n v="0"/>
    <m/>
    <m/>
    <n v="0"/>
    <n v="49135600"/>
    <n v="39389600"/>
    <n v="15260297"/>
    <n v="16151000"/>
    <n v="64395897"/>
    <n v="55540600"/>
  </r>
  <r>
    <x v="5"/>
    <x v="3"/>
    <s v="Public Service Units"/>
    <n v="15728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3"/>
    <s v="State Data Center"/>
    <n v="157289"/>
    <x v="0"/>
    <m/>
    <m/>
    <n v="285900"/>
    <n v="285200"/>
    <m/>
    <m/>
    <m/>
    <m/>
    <n v="0"/>
    <m/>
    <m/>
    <n v="0"/>
    <n v="285900"/>
    <n v="285200"/>
    <m/>
    <m/>
    <m/>
    <m/>
    <n v="0"/>
    <m/>
    <m/>
    <n v="0"/>
    <m/>
    <m/>
    <m/>
    <m/>
    <n v="285900"/>
    <n v="285200"/>
  </r>
  <r>
    <x v="5"/>
    <x v="7"/>
    <s v="Research centers/institutes"/>
    <n v="15728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0"/>
    <s v="Eastern Kentucky University "/>
    <n v="156620"/>
    <x v="2"/>
    <n v="74975800"/>
    <n v="73731000"/>
    <m/>
    <m/>
    <m/>
    <m/>
    <n v="99155500"/>
    <m/>
    <n v="99155500"/>
    <n v="105634100"/>
    <m/>
    <n v="105634100"/>
    <n v="174131300"/>
    <n v="179365100"/>
    <m/>
    <m/>
    <m/>
    <m/>
    <n v="0"/>
    <m/>
    <m/>
    <n v="0"/>
    <m/>
    <m/>
    <m/>
    <m/>
    <n v="174131300"/>
    <n v="179365100"/>
  </r>
  <r>
    <x v="5"/>
    <x v="0"/>
    <s v="Murray State University "/>
    <n v="157401"/>
    <x v="2"/>
    <n v="50139400"/>
    <n v="49339700"/>
    <m/>
    <m/>
    <m/>
    <m/>
    <n v="74275500"/>
    <m/>
    <n v="74275500"/>
    <n v="79420600"/>
    <m/>
    <n v="79420600"/>
    <n v="124414900"/>
    <n v="128760300"/>
    <m/>
    <m/>
    <m/>
    <m/>
    <n v="0"/>
    <m/>
    <m/>
    <n v="0"/>
    <m/>
    <m/>
    <m/>
    <m/>
    <n v="124414900"/>
    <n v="128760300"/>
  </r>
  <r>
    <x v="5"/>
    <x v="3"/>
    <s v="Community or public service units"/>
    <n v="157401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3"/>
    <s v="Breathitt Veterinary Clinic"/>
    <n v="157401"/>
    <x v="2"/>
    <m/>
    <m/>
    <n v="2694800"/>
    <n v="2544600"/>
    <m/>
    <m/>
    <m/>
    <m/>
    <n v="0"/>
    <m/>
    <m/>
    <n v="0"/>
    <n v="2694800"/>
    <n v="2544600"/>
    <m/>
    <m/>
    <m/>
    <m/>
    <n v="0"/>
    <m/>
    <m/>
    <n v="0"/>
    <m/>
    <m/>
    <m/>
    <m/>
    <n v="2694800"/>
    <n v="2544600"/>
  </r>
  <r>
    <x v="5"/>
    <x v="0"/>
    <s v="Western Kentucky University "/>
    <n v="157951"/>
    <x v="2"/>
    <n v="77208600"/>
    <n v="76297800"/>
    <m/>
    <m/>
    <m/>
    <m/>
    <n v="123936400"/>
    <m/>
    <n v="123936400"/>
    <n v="131783000"/>
    <m/>
    <n v="131783000"/>
    <n v="201145000"/>
    <n v="208080800"/>
    <m/>
    <m/>
    <m/>
    <m/>
    <n v="0"/>
    <m/>
    <m/>
    <n v="0"/>
    <m/>
    <m/>
    <m/>
    <m/>
    <n v="201145000"/>
    <n v="208080800"/>
  </r>
  <r>
    <x v="5"/>
    <x v="3"/>
    <s v="Community or public service units"/>
    <n v="157951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3"/>
    <s v="Kentucky Academy for Math and Science"/>
    <n v="157951"/>
    <x v="2"/>
    <m/>
    <m/>
    <n v="2800000"/>
    <n v="2716000"/>
    <m/>
    <m/>
    <m/>
    <m/>
    <n v="0"/>
    <m/>
    <m/>
    <n v="0"/>
    <n v="2800000"/>
    <n v="2716000"/>
    <m/>
    <m/>
    <m/>
    <m/>
    <n v="0"/>
    <m/>
    <m/>
    <n v="0"/>
    <m/>
    <m/>
    <m/>
    <m/>
    <n v="2800000"/>
    <n v="2716000"/>
  </r>
  <r>
    <x v="5"/>
    <x v="0"/>
    <s v="Morehead State University "/>
    <n v="157386"/>
    <x v="3"/>
    <n v="44186100"/>
    <n v="43506900"/>
    <m/>
    <m/>
    <m/>
    <m/>
    <n v="47316700"/>
    <m/>
    <n v="47316700"/>
    <n v="52800500"/>
    <m/>
    <n v="52800500"/>
    <n v="91502800"/>
    <n v="96307400"/>
    <m/>
    <m/>
    <m/>
    <m/>
    <n v="0"/>
    <m/>
    <m/>
    <n v="0"/>
    <m/>
    <m/>
    <m/>
    <m/>
    <n v="91502800"/>
    <n v="96307400"/>
  </r>
  <r>
    <x v="5"/>
    <x v="3"/>
    <s v="Public Service Units"/>
    <n v="157386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3"/>
    <s v="Appalachian Regional Service"/>
    <n v="157386"/>
    <x v="3"/>
    <m/>
    <m/>
    <n v="982800"/>
    <n v="982800"/>
    <m/>
    <m/>
    <m/>
    <m/>
    <n v="0"/>
    <m/>
    <m/>
    <n v="0"/>
    <n v="982800"/>
    <n v="982800"/>
    <m/>
    <m/>
    <m/>
    <m/>
    <n v="0"/>
    <m/>
    <m/>
    <n v="0"/>
    <m/>
    <m/>
    <m/>
    <m/>
    <n v="982800"/>
    <n v="982800"/>
  </r>
  <r>
    <x v="5"/>
    <x v="7"/>
    <s v="Research centers/institutes"/>
    <n v="157386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7"/>
    <s v="Institute for Correctional Training/Research"/>
    <n v="157386"/>
    <x v="3"/>
    <m/>
    <m/>
    <n v="141000"/>
    <n v="141000"/>
    <m/>
    <m/>
    <m/>
    <m/>
    <n v="0"/>
    <m/>
    <m/>
    <n v="0"/>
    <n v="141000"/>
    <n v="141000"/>
    <m/>
    <m/>
    <m/>
    <m/>
    <n v="0"/>
    <m/>
    <m/>
    <n v="0"/>
    <m/>
    <m/>
    <m/>
    <m/>
    <n v="141000"/>
    <n v="141000"/>
  </r>
  <r>
    <x v="5"/>
    <x v="0"/>
    <s v="Northern Kentucky University "/>
    <n v="157447"/>
    <x v="3"/>
    <n v="53293500"/>
    <n v="49767200"/>
    <m/>
    <m/>
    <m/>
    <m/>
    <n v="97090000"/>
    <m/>
    <n v="97090000"/>
    <n v="96573000"/>
    <m/>
    <n v="96573000"/>
    <n v="150383500"/>
    <n v="146340200"/>
    <m/>
    <m/>
    <m/>
    <m/>
    <n v="0"/>
    <m/>
    <m/>
    <n v="0"/>
    <m/>
    <m/>
    <m/>
    <m/>
    <n v="150383500"/>
    <n v="146340200"/>
  </r>
  <r>
    <x v="5"/>
    <x v="3"/>
    <s v="Community or public service units"/>
    <n v="157447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3"/>
    <s v="Kentucky Center for Mathamatics"/>
    <n v="157447"/>
    <x v="3"/>
    <m/>
    <m/>
    <n v="1500000"/>
    <n v="1500000"/>
    <m/>
    <m/>
    <m/>
    <m/>
    <n v="0"/>
    <m/>
    <m/>
    <n v="0"/>
    <n v="1500000"/>
    <n v="1500000"/>
    <m/>
    <m/>
    <m/>
    <m/>
    <n v="0"/>
    <m/>
    <m/>
    <n v="0"/>
    <m/>
    <m/>
    <m/>
    <m/>
    <n v="1500000"/>
    <n v="1500000"/>
  </r>
  <r>
    <x v="5"/>
    <x v="0"/>
    <s v="Kentucky State University "/>
    <n v="157058"/>
    <x v="4"/>
    <n v="20357400"/>
    <n v="19772500"/>
    <m/>
    <m/>
    <m/>
    <m/>
    <n v="16736100"/>
    <m/>
    <n v="16736100"/>
    <n v="18086900"/>
    <m/>
    <n v="18086900"/>
    <n v="37093500"/>
    <n v="37859400"/>
    <m/>
    <m/>
    <m/>
    <m/>
    <n v="0"/>
    <m/>
    <m/>
    <n v="0"/>
    <m/>
    <m/>
    <m/>
    <m/>
    <n v="37093500"/>
    <n v="37859400"/>
  </r>
  <r>
    <x v="5"/>
    <x v="3"/>
    <s v="Public Service Units"/>
    <n v="157058"/>
    <x v="4"/>
    <m/>
    <m/>
    <n v="2654000"/>
    <n v="2854600"/>
    <m/>
    <m/>
    <m/>
    <m/>
    <n v="0"/>
    <m/>
    <m/>
    <n v="0"/>
    <n v="2654000"/>
    <n v="2854600"/>
    <m/>
    <m/>
    <m/>
    <m/>
    <n v="0"/>
    <m/>
    <m/>
    <n v="0"/>
    <m/>
    <m/>
    <m/>
    <m/>
    <n v="2654000"/>
    <n v="2854600"/>
  </r>
  <r>
    <x v="5"/>
    <x v="5"/>
    <s v="Agricultural cooperative extension"/>
    <n v="157058"/>
    <x v="4"/>
    <m/>
    <m/>
    <n v="2783700"/>
    <n v="2869800"/>
    <m/>
    <m/>
    <m/>
    <m/>
    <n v="0"/>
    <m/>
    <m/>
    <n v="0"/>
    <n v="2783700"/>
    <n v="2869800"/>
    <m/>
    <m/>
    <m/>
    <m/>
    <n v="0"/>
    <m/>
    <m/>
    <n v="0"/>
    <m/>
    <m/>
    <m/>
    <m/>
    <n v="2783700"/>
    <n v="2869800"/>
  </r>
  <r>
    <x v="5"/>
    <x v="0"/>
    <s v="Bluegrass Community and Technical College"/>
    <n v="157173"/>
    <x v="6"/>
    <n v="16499530"/>
    <n v="17038490"/>
    <m/>
    <m/>
    <m/>
    <m/>
    <n v="29224800"/>
    <m/>
    <n v="29224800"/>
    <n v="26853900"/>
    <m/>
    <n v="26853900"/>
    <n v="45724330"/>
    <n v="43892390"/>
    <m/>
    <m/>
    <m/>
    <m/>
    <n v="0"/>
    <m/>
    <m/>
    <n v="0"/>
    <m/>
    <m/>
    <m/>
    <m/>
    <n v="45724330"/>
    <n v="43892390"/>
  </r>
  <r>
    <x v="5"/>
    <x v="0"/>
    <s v="Jefferson Community and Technical College "/>
    <n v="156921"/>
    <x v="6"/>
    <n v="22253749"/>
    <n v="24785435"/>
    <m/>
    <m/>
    <m/>
    <m/>
    <n v="26658600"/>
    <m/>
    <n v="26658600"/>
    <n v="28835600"/>
    <m/>
    <n v="28835600"/>
    <n v="48912349"/>
    <n v="53621035"/>
    <m/>
    <m/>
    <m/>
    <m/>
    <n v="0"/>
    <m/>
    <m/>
    <n v="0"/>
    <m/>
    <m/>
    <m/>
    <m/>
    <n v="48912349"/>
    <n v="53621035"/>
  </r>
  <r>
    <x v="5"/>
    <x v="0"/>
    <s v="Ashland Community and Technical College"/>
    <n v="156231"/>
    <x v="7"/>
    <n v="10432826"/>
    <n v="10141673"/>
    <m/>
    <m/>
    <m/>
    <m/>
    <n v="8325950"/>
    <m/>
    <n v="8325950"/>
    <n v="8586600"/>
    <m/>
    <n v="8586600"/>
    <n v="18758776"/>
    <n v="18728273"/>
    <m/>
    <m/>
    <m/>
    <m/>
    <n v="0"/>
    <m/>
    <m/>
    <n v="0"/>
    <m/>
    <m/>
    <m/>
    <m/>
    <n v="18758776"/>
    <n v="18728273"/>
  </r>
  <r>
    <x v="5"/>
    <x v="0"/>
    <s v="Big Sandy Community and Technical College "/>
    <n v="157553"/>
    <x v="7"/>
    <n v="12168562"/>
    <n v="12356797"/>
    <m/>
    <m/>
    <m/>
    <m/>
    <n v="8668125"/>
    <m/>
    <n v="8668125"/>
    <n v="8778300"/>
    <m/>
    <n v="8778300"/>
    <n v="20836687"/>
    <n v="21135097"/>
    <m/>
    <m/>
    <m/>
    <m/>
    <n v="0"/>
    <m/>
    <m/>
    <n v="0"/>
    <m/>
    <m/>
    <m/>
    <m/>
    <n v="20836687"/>
    <n v="21135097"/>
  </r>
  <r>
    <x v="5"/>
    <x v="0"/>
    <s v="Elizabethtown Community and Technical College "/>
    <n v="156648"/>
    <x v="7"/>
    <n v="11104219"/>
    <n v="9028125"/>
    <m/>
    <m/>
    <m/>
    <m/>
    <n v="10245468"/>
    <m/>
    <n v="10245468"/>
    <n v="12319700"/>
    <m/>
    <n v="12319700"/>
    <n v="21349687"/>
    <n v="21347825"/>
    <m/>
    <m/>
    <m/>
    <m/>
    <n v="0"/>
    <m/>
    <m/>
    <n v="0"/>
    <m/>
    <m/>
    <m/>
    <m/>
    <n v="21349687"/>
    <n v="21347825"/>
  </r>
  <r>
    <x v="5"/>
    <x v="0"/>
    <s v="Madisonville Community College"/>
    <n v="157304"/>
    <x v="7"/>
    <n v="9699139"/>
    <n v="9483123"/>
    <m/>
    <m/>
    <m/>
    <m/>
    <n v="7133350"/>
    <m/>
    <n v="7133350"/>
    <n v="7698600"/>
    <m/>
    <n v="7698600"/>
    <n v="16832489"/>
    <n v="17181723"/>
    <m/>
    <m/>
    <m/>
    <m/>
    <n v="0"/>
    <m/>
    <m/>
    <n v="0"/>
    <m/>
    <m/>
    <m/>
    <m/>
    <n v="16832489"/>
    <n v="17181723"/>
  </r>
  <r>
    <x v="5"/>
    <x v="0"/>
    <s v="Maysville Community and Technical College "/>
    <n v="157331"/>
    <x v="7"/>
    <n v="9099281"/>
    <n v="9997990"/>
    <m/>
    <m/>
    <m/>
    <m/>
    <n v="7649036"/>
    <m/>
    <n v="7649036"/>
    <n v="8027600"/>
    <m/>
    <n v="8027600"/>
    <n v="16748317"/>
    <n v="18025590"/>
    <m/>
    <m/>
    <m/>
    <m/>
    <n v="0"/>
    <m/>
    <m/>
    <n v="0"/>
    <m/>
    <m/>
    <m/>
    <m/>
    <n v="16748317"/>
    <n v="18025590"/>
  </r>
  <r>
    <x v="5"/>
    <x v="0"/>
    <s v="Owensboro Community and Technical College "/>
    <n v="247940"/>
    <x v="7"/>
    <n v="8720584"/>
    <n v="8525232"/>
    <m/>
    <m/>
    <m/>
    <m/>
    <n v="8350043"/>
    <m/>
    <n v="8350043"/>
    <n v="9290900"/>
    <m/>
    <n v="9290900"/>
    <n v="17070627"/>
    <n v="17816132"/>
    <m/>
    <m/>
    <m/>
    <m/>
    <n v="0"/>
    <m/>
    <m/>
    <n v="0"/>
    <m/>
    <m/>
    <m/>
    <m/>
    <n v="17070627"/>
    <n v="17816132"/>
  </r>
  <r>
    <x v="5"/>
    <x v="0"/>
    <s v="Somerset Community College "/>
    <n v="157711"/>
    <x v="7"/>
    <n v="14012356"/>
    <n v="13877449"/>
    <m/>
    <m/>
    <m/>
    <m/>
    <n v="12581461"/>
    <m/>
    <n v="12581461"/>
    <n v="13877300"/>
    <m/>
    <n v="13877300"/>
    <n v="26593817"/>
    <n v="27754749"/>
    <m/>
    <m/>
    <m/>
    <m/>
    <n v="0"/>
    <m/>
    <m/>
    <n v="0"/>
    <m/>
    <m/>
    <m/>
    <m/>
    <n v="26593817"/>
    <n v="27754749"/>
  </r>
  <r>
    <x v="5"/>
    <x v="0"/>
    <s v="Southeast Kentucky Community and Technical College "/>
    <n v="157739"/>
    <x v="7"/>
    <n v="12109132"/>
    <n v="11865878"/>
    <m/>
    <m/>
    <m/>
    <m/>
    <n v="7883800"/>
    <m/>
    <n v="7883800"/>
    <n v="7656000"/>
    <m/>
    <n v="7656000"/>
    <n v="19992932"/>
    <n v="19521878"/>
    <m/>
    <m/>
    <m/>
    <m/>
    <n v="0"/>
    <m/>
    <m/>
    <n v="0"/>
    <m/>
    <m/>
    <m/>
    <m/>
    <n v="19992932"/>
    <n v="19521878"/>
  </r>
  <r>
    <x v="5"/>
    <x v="0"/>
    <s v="West Kentucky Community and Technical College"/>
    <n v="157483"/>
    <x v="7"/>
    <n v="12500476"/>
    <n v="11698247"/>
    <m/>
    <m/>
    <m/>
    <m/>
    <n v="11485509"/>
    <m/>
    <n v="11485509"/>
    <n v="11641600"/>
    <m/>
    <n v="11641600"/>
    <n v="23985985"/>
    <n v="23339847"/>
    <m/>
    <m/>
    <m/>
    <m/>
    <n v="0"/>
    <m/>
    <m/>
    <n v="0"/>
    <m/>
    <m/>
    <m/>
    <m/>
    <n v="23985985"/>
    <n v="23339847"/>
  </r>
  <r>
    <x v="5"/>
    <x v="0"/>
    <s v="Hazard Community and Technical College "/>
    <n v="156790"/>
    <x v="8"/>
    <n v="14414924"/>
    <n v="13925344"/>
    <m/>
    <m/>
    <m/>
    <m/>
    <n v="6927900"/>
    <m/>
    <n v="6927900"/>
    <n v="7211900"/>
    <m/>
    <n v="7211900"/>
    <n v="21342824"/>
    <n v="21137244"/>
    <m/>
    <m/>
    <m/>
    <m/>
    <n v="0"/>
    <m/>
    <m/>
    <n v="0"/>
    <m/>
    <m/>
    <m/>
    <m/>
    <n v="21342824"/>
    <n v="21137244"/>
  </r>
  <r>
    <x v="5"/>
    <x v="0"/>
    <s v="Henderson Community College "/>
    <n v="156851"/>
    <x v="8"/>
    <n v="5835131"/>
    <n v="5807216"/>
    <m/>
    <m/>
    <m/>
    <m/>
    <n v="3705781"/>
    <m/>
    <n v="3705781"/>
    <n v="4325500"/>
    <m/>
    <n v="4325500"/>
    <n v="9540912"/>
    <n v="10132716"/>
    <m/>
    <m/>
    <m/>
    <m/>
    <n v="0"/>
    <m/>
    <m/>
    <n v="0"/>
    <m/>
    <m/>
    <m/>
    <m/>
    <n v="9540912"/>
    <n v="10132716"/>
  </r>
  <r>
    <x v="5"/>
    <x v="0"/>
    <s v="Hopkinsville Community College "/>
    <n v="156860"/>
    <x v="8"/>
    <n v="6247493"/>
    <n v="5196560"/>
    <m/>
    <m/>
    <m/>
    <m/>
    <n v="6778995"/>
    <m/>
    <n v="6778995"/>
    <n v="7784900"/>
    <m/>
    <n v="7784900"/>
    <n v="13026488"/>
    <n v="12981460"/>
    <m/>
    <m/>
    <m/>
    <m/>
    <n v="0"/>
    <m/>
    <m/>
    <n v="0"/>
    <m/>
    <m/>
    <m/>
    <m/>
    <n v="13026488"/>
    <n v="12981460"/>
  </r>
  <r>
    <x v="5"/>
    <x v="0"/>
    <s v="Bowling Green Technical College"/>
    <n v="156338"/>
    <x v="9"/>
    <n v="8051940"/>
    <n v="8177996"/>
    <m/>
    <m/>
    <m/>
    <m/>
    <n v="3928981"/>
    <m/>
    <n v="3928981"/>
    <n v="4477000"/>
    <m/>
    <n v="4477000"/>
    <n v="11980921"/>
    <n v="12654996"/>
    <m/>
    <m/>
    <m/>
    <m/>
    <n v="0"/>
    <m/>
    <m/>
    <n v="0"/>
    <m/>
    <m/>
    <m/>
    <m/>
    <n v="11980921"/>
    <n v="12654996"/>
  </r>
  <r>
    <x v="5"/>
    <x v="0"/>
    <s v="Gateway Community and Technical College"/>
    <n v="157438"/>
    <x v="9"/>
    <n v="7989761"/>
    <n v="7974445"/>
    <m/>
    <m/>
    <m/>
    <m/>
    <n v="5342400"/>
    <m/>
    <n v="5342400"/>
    <n v="6053200"/>
    <m/>
    <n v="6053200"/>
    <n v="13332161"/>
    <n v="14027645"/>
    <m/>
    <m/>
    <m/>
    <m/>
    <n v="0"/>
    <m/>
    <m/>
    <n v="0"/>
    <m/>
    <m/>
    <m/>
    <m/>
    <n v="13332161"/>
    <n v="14027645"/>
  </r>
  <r>
    <x v="5"/>
    <x v="42"/>
    <s v="Education special purpose funds -statewid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42"/>
    <s v="Public Servic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42"/>
    <s v="North American Racing Academy (non-recurring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42"/>
    <s v="Corrections"/>
    <m/>
    <x v="12"/>
    <m/>
    <m/>
    <n v="5625900"/>
    <n v="5513500"/>
    <m/>
    <m/>
    <m/>
    <m/>
    <n v="0"/>
    <m/>
    <m/>
    <n v="0"/>
    <n v="5625900"/>
    <n v="5513500"/>
    <m/>
    <m/>
    <m/>
    <m/>
    <n v="0"/>
    <m/>
    <m/>
    <n v="0"/>
    <m/>
    <m/>
    <m/>
    <m/>
    <n v="5625900"/>
    <n v="5513500"/>
  </r>
  <r>
    <x v="5"/>
    <x v="42"/>
    <s v="KY WINS"/>
    <m/>
    <x v="12"/>
    <m/>
    <m/>
    <n v="5820000"/>
    <n v="5703600"/>
    <m/>
    <m/>
    <m/>
    <m/>
    <n v="0"/>
    <m/>
    <m/>
    <n v="0"/>
    <n v="5820000"/>
    <n v="5703600"/>
    <m/>
    <m/>
    <m/>
    <m/>
    <n v="0"/>
    <m/>
    <m/>
    <n v="0"/>
    <m/>
    <m/>
    <m/>
    <m/>
    <n v="5820000"/>
    <n v="5703600"/>
  </r>
  <r>
    <x v="5"/>
    <x v="42"/>
    <s v="Kentucky Coal Academy"/>
    <m/>
    <x v="12"/>
    <m/>
    <m/>
    <n v="2910000"/>
    <n v="2766200"/>
    <m/>
    <m/>
    <m/>
    <m/>
    <n v="0"/>
    <m/>
    <m/>
    <n v="0"/>
    <n v="2910000"/>
    <n v="2766200"/>
    <m/>
    <m/>
    <m/>
    <m/>
    <n v="0"/>
    <m/>
    <m/>
    <n v="0"/>
    <m/>
    <m/>
    <m/>
    <m/>
    <n v="2910000"/>
    <n v="2766200"/>
  </r>
  <r>
    <x v="5"/>
    <x v="42"/>
    <s v="University Health Insurance Premium Supplement"/>
    <m/>
    <x v="12"/>
    <m/>
    <m/>
    <n v="970000"/>
    <n v="922200"/>
    <m/>
    <m/>
    <m/>
    <m/>
    <n v="0"/>
    <m/>
    <m/>
    <n v="0"/>
    <n v="970000"/>
    <n v="922200"/>
    <m/>
    <m/>
    <m/>
    <m/>
    <n v="0"/>
    <m/>
    <m/>
    <n v="0"/>
    <m/>
    <m/>
    <m/>
    <m/>
    <n v="970000"/>
    <n v="922200"/>
  </r>
  <r>
    <x v="5"/>
    <x v="42"/>
    <s v="Kentucky Board of Emergency Medical Services"/>
    <m/>
    <x v="12"/>
    <m/>
    <m/>
    <n v="2302500"/>
    <n v="2188900"/>
    <m/>
    <m/>
    <m/>
    <m/>
    <n v="0"/>
    <m/>
    <m/>
    <n v="0"/>
    <n v="2302500"/>
    <n v="2188900"/>
    <m/>
    <m/>
    <m/>
    <m/>
    <n v="0"/>
    <m/>
    <m/>
    <n v="0"/>
    <m/>
    <m/>
    <m/>
    <m/>
    <n v="2302500"/>
    <n v="2188900"/>
  </r>
  <r>
    <x v="5"/>
    <x v="42"/>
    <s v="Fire Commission"/>
    <m/>
    <x v="12"/>
    <m/>
    <m/>
    <n v="0"/>
    <n v="2675300"/>
    <m/>
    <m/>
    <m/>
    <m/>
    <n v="0"/>
    <m/>
    <m/>
    <n v="0"/>
    <n v="0"/>
    <n v="2675300"/>
    <m/>
    <m/>
    <m/>
    <m/>
    <n v="0"/>
    <m/>
    <m/>
    <n v="0"/>
    <m/>
    <m/>
    <m/>
    <m/>
    <n v="0"/>
    <n v="2675300"/>
  </r>
  <r>
    <x v="5"/>
    <x v="13"/>
    <s v="Education special purpose funds — all other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13"/>
    <s v="Telecommunications"/>
    <m/>
    <x v="12"/>
    <m/>
    <m/>
    <n v="177200"/>
    <n v="0"/>
    <m/>
    <m/>
    <m/>
    <m/>
    <n v="0"/>
    <m/>
    <m/>
    <n v="0"/>
    <n v="177200"/>
    <n v="0"/>
    <m/>
    <m/>
    <m/>
    <m/>
    <n v="0"/>
    <m/>
    <m/>
    <n v="0"/>
    <m/>
    <m/>
    <m/>
    <m/>
    <n v="177200"/>
    <n v="0"/>
  </r>
  <r>
    <x v="5"/>
    <x v="13"/>
    <s v="(PEPP) Health Programs"/>
    <m/>
    <x v="12"/>
    <m/>
    <m/>
    <n v="404200"/>
    <n v="341500"/>
    <m/>
    <m/>
    <m/>
    <m/>
    <n v="0"/>
    <m/>
    <m/>
    <n v="0"/>
    <n v="404200"/>
    <n v="341500"/>
    <m/>
    <m/>
    <m/>
    <m/>
    <n v="0"/>
    <m/>
    <m/>
    <n v="0"/>
    <m/>
    <m/>
    <m/>
    <m/>
    <n v="404200"/>
    <n v="341500"/>
  </r>
  <r>
    <x v="5"/>
    <x v="13"/>
    <s v="Minority Student Col Prep"/>
    <m/>
    <x v="12"/>
    <m/>
    <m/>
    <n v="292200"/>
    <n v="238500"/>
    <m/>
    <m/>
    <m/>
    <m/>
    <n v="0"/>
    <m/>
    <m/>
    <n v="0"/>
    <n v="292200"/>
    <n v="238500"/>
    <m/>
    <m/>
    <m/>
    <m/>
    <n v="0"/>
    <m/>
    <m/>
    <n v="0"/>
    <m/>
    <m/>
    <m/>
    <m/>
    <n v="292200"/>
    <n v="238500"/>
  </r>
  <r>
    <x v="5"/>
    <x v="13"/>
    <s v="Research Challenge Trust Fund-Lung Cancer Research"/>
    <m/>
    <x v="12"/>
    <m/>
    <m/>
    <n v="5480100"/>
    <n v="5586100"/>
    <m/>
    <m/>
    <m/>
    <m/>
    <n v="0"/>
    <m/>
    <m/>
    <n v="0"/>
    <n v="5480100"/>
    <n v="5586100"/>
    <m/>
    <m/>
    <m/>
    <m/>
    <n v="0"/>
    <m/>
    <m/>
    <n v="0"/>
    <m/>
    <m/>
    <m/>
    <m/>
    <n v="5480100"/>
    <n v="5586100"/>
  </r>
  <r>
    <x v="5"/>
    <x v="13"/>
    <s v="Technology Trust Fund"/>
    <m/>
    <x v="12"/>
    <m/>
    <m/>
    <n v="676400"/>
    <n v="250000"/>
    <m/>
    <m/>
    <m/>
    <m/>
    <n v="0"/>
    <m/>
    <m/>
    <n v="0"/>
    <n v="676400"/>
    <n v="250000"/>
    <m/>
    <m/>
    <m/>
    <m/>
    <n v="0"/>
    <m/>
    <m/>
    <n v="0"/>
    <m/>
    <m/>
    <m/>
    <m/>
    <n v="676400"/>
    <n v="250000"/>
  </r>
  <r>
    <x v="5"/>
    <x v="13"/>
    <s v="Rural Development Center"/>
    <m/>
    <x v="12"/>
    <m/>
    <m/>
    <n v="677300"/>
    <n v="0"/>
    <m/>
    <m/>
    <m/>
    <m/>
    <n v="0"/>
    <m/>
    <m/>
    <n v="0"/>
    <n v="677300"/>
    <n v="0"/>
    <m/>
    <m/>
    <m/>
    <m/>
    <n v="0"/>
    <m/>
    <m/>
    <n v="0"/>
    <m/>
    <m/>
    <m/>
    <m/>
    <n v="677300"/>
    <n v="0"/>
  </r>
  <r>
    <x v="5"/>
    <x v="13"/>
    <s v="KY Postsecondary Education Network"/>
    <m/>
    <x v="12"/>
    <m/>
    <m/>
    <n v="2615600"/>
    <n v="3102000"/>
    <m/>
    <m/>
    <m/>
    <m/>
    <n v="0"/>
    <m/>
    <m/>
    <n v="0"/>
    <n v="2615600"/>
    <n v="3102000"/>
    <m/>
    <m/>
    <m/>
    <m/>
    <n v="0"/>
    <m/>
    <m/>
    <n v="0"/>
    <m/>
    <m/>
    <m/>
    <m/>
    <n v="2615600"/>
    <n v="3102000"/>
  </r>
  <r>
    <x v="5"/>
    <x v="13"/>
    <s v="Commonweatlh Virtual Univ"/>
    <m/>
    <x v="12"/>
    <m/>
    <m/>
    <n v="4076300"/>
    <n v="3522200"/>
    <m/>
    <m/>
    <m/>
    <m/>
    <n v="0"/>
    <m/>
    <m/>
    <n v="0"/>
    <n v="4076300"/>
    <n v="3522200"/>
    <m/>
    <m/>
    <m/>
    <m/>
    <n v="0"/>
    <m/>
    <m/>
    <n v="0"/>
    <m/>
    <m/>
    <m/>
    <m/>
    <n v="4076300"/>
    <n v="3522200"/>
  </r>
  <r>
    <x v="5"/>
    <x v="13"/>
    <s v="Adult Education Operations"/>
    <m/>
    <x v="12"/>
    <m/>
    <m/>
    <n v="2153900"/>
    <n v="1973600"/>
    <m/>
    <m/>
    <m/>
    <m/>
    <n v="0"/>
    <m/>
    <m/>
    <n v="0"/>
    <n v="2153900"/>
    <n v="1973600"/>
    <m/>
    <m/>
    <m/>
    <m/>
    <n v="0"/>
    <m/>
    <m/>
    <n v="0"/>
    <m/>
    <m/>
    <m/>
    <m/>
    <n v="2153900"/>
    <n v="1973600"/>
  </r>
  <r>
    <x v="5"/>
    <x v="13"/>
    <s v=" Adult Education and Literacy Funding Program"/>
    <m/>
    <x v="12"/>
    <m/>
    <m/>
    <n v="24225200"/>
    <n v="22585000"/>
    <m/>
    <m/>
    <m/>
    <m/>
    <n v="0"/>
    <m/>
    <m/>
    <n v="0"/>
    <n v="24225200"/>
    <n v="22585000"/>
    <m/>
    <m/>
    <m/>
    <m/>
    <n v="0"/>
    <m/>
    <m/>
    <n v="0"/>
    <m/>
    <m/>
    <m/>
    <m/>
    <n v="24225200"/>
    <n v="22585000"/>
  </r>
  <r>
    <x v="5"/>
    <x v="13"/>
    <s v="State Autism Training Center"/>
    <m/>
    <x v="12"/>
    <m/>
    <m/>
    <n v="211300"/>
    <n v="170400"/>
    <m/>
    <m/>
    <m/>
    <m/>
    <n v="0"/>
    <m/>
    <m/>
    <n v="0"/>
    <n v="211300"/>
    <n v="170400"/>
    <m/>
    <m/>
    <m/>
    <m/>
    <n v="0"/>
    <m/>
    <m/>
    <n v="0"/>
    <m/>
    <m/>
    <m/>
    <m/>
    <n v="211300"/>
    <n v="170400"/>
  </r>
  <r>
    <x v="5"/>
    <x v="13"/>
    <s v="Science and Technology Trust Fund"/>
    <m/>
    <x v="12"/>
    <m/>
    <m/>
    <n v="9934900"/>
    <n v="7252800"/>
    <m/>
    <m/>
    <m/>
    <m/>
    <n v="0"/>
    <m/>
    <m/>
    <n v="0"/>
    <n v="9934900"/>
    <n v="7252800"/>
    <m/>
    <m/>
    <m/>
    <m/>
    <n v="0"/>
    <m/>
    <m/>
    <n v="0"/>
    <m/>
    <m/>
    <m/>
    <m/>
    <n v="9934900"/>
    <n v="7252800"/>
  </r>
  <r>
    <x v="5"/>
    <x v="14"/>
    <s v="Statewide System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15"/>
    <s v="Colleges and universiti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15"/>
    <s v=" Ky Council on Postsecondary Education"/>
    <m/>
    <x v="12"/>
    <m/>
    <m/>
    <m/>
    <m/>
    <m/>
    <m/>
    <m/>
    <m/>
    <n v="0"/>
    <m/>
    <m/>
    <n v="0"/>
    <n v="0"/>
    <n v="0"/>
    <n v="5759800"/>
    <n v="5336200"/>
    <m/>
    <m/>
    <n v="0"/>
    <m/>
    <m/>
    <n v="0"/>
    <m/>
    <m/>
    <m/>
    <m/>
    <n v="5759800"/>
    <n v="5336200"/>
  </r>
  <r>
    <x v="5"/>
    <x v="16"/>
    <s v="Two-year system(s), if an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16"/>
    <s v="Ky Community and Technical College System operations"/>
    <m/>
    <x v="12"/>
    <m/>
    <m/>
    <m/>
    <m/>
    <m/>
    <m/>
    <m/>
    <m/>
    <n v="0"/>
    <m/>
    <m/>
    <n v="0"/>
    <n v="0"/>
    <n v="0"/>
    <n v="23066299"/>
    <n v="15281500"/>
    <m/>
    <m/>
    <n v="0"/>
    <m/>
    <m/>
    <n v="0"/>
    <m/>
    <m/>
    <m/>
    <m/>
    <n v="23066299"/>
    <n v="15281500"/>
  </r>
  <r>
    <x v="5"/>
    <x v="17"/>
    <s v="National or regional associations, compacts or consortia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17"/>
    <s v="SREB (General Operations + Small Grants)"/>
    <m/>
    <x v="12"/>
    <m/>
    <m/>
    <m/>
    <m/>
    <m/>
    <m/>
    <m/>
    <m/>
    <n v="0"/>
    <m/>
    <m/>
    <n v="0"/>
    <n v="0"/>
    <n v="0"/>
    <n v="113000"/>
    <n v="193550"/>
    <m/>
    <m/>
    <n v="0"/>
    <m/>
    <m/>
    <n v="0"/>
    <m/>
    <m/>
    <m/>
    <m/>
    <n v="113000"/>
    <n v="193550"/>
  </r>
  <r>
    <x v="5"/>
    <x v="13"/>
    <s v="SREB Doctoral Scholar Program"/>
    <m/>
    <x v="12"/>
    <m/>
    <m/>
    <n v="113000"/>
    <n v="92200"/>
    <m/>
    <m/>
    <m/>
    <m/>
    <n v="0"/>
    <m/>
    <m/>
    <n v="0"/>
    <n v="113000"/>
    <n v="92200"/>
    <m/>
    <m/>
    <m/>
    <m/>
    <n v="0"/>
    <m/>
    <m/>
    <n v="0"/>
    <m/>
    <m/>
    <m/>
    <m/>
    <n v="113000"/>
    <n v="92200"/>
  </r>
  <r>
    <x v="5"/>
    <x v="17"/>
    <s v="Metroversity Consortia"/>
    <m/>
    <x v="12"/>
    <m/>
    <m/>
    <n v="58800"/>
    <n v="0"/>
    <m/>
    <m/>
    <m/>
    <m/>
    <n v="0"/>
    <m/>
    <m/>
    <n v="0"/>
    <n v="58800"/>
    <n v="0"/>
    <n v="58800"/>
    <n v="0"/>
    <m/>
    <m/>
    <n v="0"/>
    <m/>
    <m/>
    <n v="0"/>
    <m/>
    <m/>
    <m/>
    <m/>
    <n v="117600"/>
    <n v="0"/>
  </r>
  <r>
    <x v="5"/>
    <x v="18"/>
    <s v="Adm. of Statewide Student Aid Progs. (incldng centralized guaranteed student loans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18"/>
    <s v="H. Ed. Asst. Authority"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n v="0"/>
    <n v="0"/>
  </r>
  <r>
    <x v="5"/>
    <x v="19"/>
    <s v="State Support to Private Colleges Other Than Student Ai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20"/>
    <s v="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21"/>
    <s v="SREB contract program with private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21"/>
    <s v="Tuskegee University (Veterinary Medicine)"/>
    <m/>
    <x v="12"/>
    <m/>
    <m/>
    <m/>
    <m/>
    <m/>
    <m/>
    <m/>
    <m/>
    <n v="0"/>
    <m/>
    <m/>
    <n v="0"/>
    <n v="0"/>
    <n v="0"/>
    <n v="179200"/>
    <n v="268800"/>
    <m/>
    <m/>
    <n v="0"/>
    <m/>
    <m/>
    <n v="0"/>
    <m/>
    <m/>
    <m/>
    <m/>
    <n v="179200"/>
    <n v="268800"/>
  </r>
  <r>
    <x v="5"/>
    <x v="21"/>
    <s v="Southern College of Optometry"/>
    <m/>
    <x v="12"/>
    <m/>
    <m/>
    <m/>
    <m/>
    <m/>
    <m/>
    <m/>
    <m/>
    <n v="0"/>
    <m/>
    <m/>
    <n v="0"/>
    <n v="0"/>
    <n v="0"/>
    <n v="419200"/>
    <n v="222700"/>
    <m/>
    <m/>
    <n v="0"/>
    <m/>
    <m/>
    <n v="0"/>
    <m/>
    <m/>
    <m/>
    <m/>
    <n v="419200"/>
    <n v="222700"/>
  </r>
  <r>
    <x v="5"/>
    <x v="22"/>
    <s v="SREB contract program with public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22"/>
    <s v="Auburn University (Veterinary Medicine)"/>
    <m/>
    <x v="12"/>
    <m/>
    <m/>
    <m/>
    <m/>
    <m/>
    <m/>
    <m/>
    <m/>
    <n v="0"/>
    <m/>
    <m/>
    <n v="0"/>
    <n v="0"/>
    <n v="0"/>
    <n v="3046400"/>
    <n v="3180800"/>
    <m/>
    <m/>
    <n v="0"/>
    <m/>
    <m/>
    <n v="0"/>
    <m/>
    <m/>
    <m/>
    <m/>
    <n v="3046400"/>
    <n v="3180800"/>
  </r>
  <r>
    <x v="5"/>
    <x v="22"/>
    <s v="University of Alabama at Birmingham (Optometry)"/>
    <m/>
    <x v="12"/>
    <m/>
    <m/>
    <m/>
    <m/>
    <m/>
    <m/>
    <m/>
    <m/>
    <n v="0"/>
    <m/>
    <m/>
    <n v="0"/>
    <n v="0"/>
    <n v="0"/>
    <n v="157200"/>
    <n v="144100"/>
    <m/>
    <m/>
    <n v="0"/>
    <m/>
    <m/>
    <n v="0"/>
    <m/>
    <m/>
    <m/>
    <m/>
    <n v="157200"/>
    <n v="144100"/>
  </r>
  <r>
    <x v="5"/>
    <x v="23"/>
    <s v="Other contract education programs (Indiana University)"/>
    <m/>
    <x v="12"/>
    <m/>
    <m/>
    <m/>
    <m/>
    <m/>
    <m/>
    <m/>
    <m/>
    <n v="0"/>
    <m/>
    <m/>
    <n v="0"/>
    <n v="0"/>
    <n v="0"/>
    <n v="222900"/>
    <n v="170400"/>
    <m/>
    <m/>
    <n v="0"/>
    <m/>
    <m/>
    <n v="0"/>
    <m/>
    <m/>
    <m/>
    <m/>
    <n v="222900"/>
    <n v="170400"/>
  </r>
  <r>
    <x v="5"/>
    <x v="24"/>
    <s v="Statewide Student Financial Aid Programs Administered Off Campu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25"/>
    <s v="Available to public &amp;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28"/>
    <s v="KEES Kentucky Educational Excellence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30"/>
    <s v="Non need-based"/>
    <m/>
    <x v="12"/>
    <m/>
    <m/>
    <m/>
    <m/>
    <m/>
    <m/>
    <m/>
    <m/>
    <n v="0"/>
    <m/>
    <m/>
    <n v="0"/>
    <n v="0"/>
    <n v="0"/>
    <n v="71354000"/>
    <n v="71910200"/>
    <m/>
    <m/>
    <n v="0"/>
    <m/>
    <m/>
    <n v="0"/>
    <m/>
    <m/>
    <m/>
    <m/>
    <n v="71354000"/>
    <n v="71910200"/>
  </r>
  <r>
    <x v="5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33"/>
    <s v="Non need-based"/>
    <m/>
    <x v="12"/>
    <m/>
    <m/>
    <m/>
    <m/>
    <m/>
    <m/>
    <m/>
    <m/>
    <n v="0"/>
    <m/>
    <m/>
    <n v="0"/>
    <n v="0"/>
    <n v="0"/>
    <n v="16635500"/>
    <n v="16688000"/>
    <m/>
    <m/>
    <n v="0"/>
    <m/>
    <m/>
    <n v="0"/>
    <m/>
    <m/>
    <m/>
    <m/>
    <n v="16635500"/>
    <n v="16688000"/>
  </r>
  <r>
    <x v="5"/>
    <x v="25"/>
    <s v="College Access Program(CAP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29"/>
    <s v="Need-based"/>
    <m/>
    <x v="12"/>
    <m/>
    <m/>
    <m/>
    <m/>
    <m/>
    <m/>
    <m/>
    <m/>
    <n v="0"/>
    <m/>
    <m/>
    <n v="0"/>
    <n v="0"/>
    <n v="0"/>
    <n v="46790800"/>
    <n v="45021600"/>
    <m/>
    <m/>
    <n v="0"/>
    <m/>
    <m/>
    <n v="0"/>
    <m/>
    <m/>
    <m/>
    <m/>
    <n v="46790800"/>
    <n v="45021600"/>
  </r>
  <r>
    <x v="5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32"/>
    <s v="Need-based"/>
    <m/>
    <x v="12"/>
    <m/>
    <m/>
    <m/>
    <m/>
    <m/>
    <m/>
    <m/>
    <m/>
    <n v="0"/>
    <m/>
    <m/>
    <n v="0"/>
    <n v="0"/>
    <n v="0"/>
    <n v="14426100"/>
    <n v="14374800"/>
    <m/>
    <m/>
    <n v="0"/>
    <m/>
    <m/>
    <n v="0"/>
    <m/>
    <m/>
    <m/>
    <m/>
    <n v="14426100"/>
    <n v="14374800"/>
  </r>
  <r>
    <x v="5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34"/>
    <s v="Limited to public college students onl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34"/>
    <s v="Martin Luther King Scholarship"/>
    <m/>
    <x v="12"/>
    <m/>
    <m/>
    <m/>
    <m/>
    <m/>
    <m/>
    <m/>
    <m/>
    <n v="0"/>
    <m/>
    <m/>
    <n v="0"/>
    <n v="0"/>
    <n v="0"/>
    <n v="9600"/>
    <n v="9600"/>
    <m/>
    <m/>
    <n v="0"/>
    <m/>
    <m/>
    <n v="0"/>
    <m/>
    <m/>
    <m/>
    <m/>
    <n v="9600"/>
    <n v="9600"/>
  </r>
  <r>
    <x v="5"/>
    <x v="35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36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37"/>
    <s v="Limited to private college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37"/>
    <s v="Kentucky Tuition Grant (KTG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5"/>
    <x v="38"/>
    <s v="Need-based"/>
    <m/>
    <x v="12"/>
    <m/>
    <m/>
    <m/>
    <m/>
    <m/>
    <m/>
    <m/>
    <m/>
    <n v="0"/>
    <m/>
    <m/>
    <n v="0"/>
    <n v="0"/>
    <n v="0"/>
    <n v="32038200"/>
    <n v="32764600"/>
    <m/>
    <m/>
    <n v="0"/>
    <m/>
    <m/>
    <n v="0"/>
    <m/>
    <m/>
    <m/>
    <m/>
    <n v="32038200"/>
    <n v="32764600"/>
  </r>
  <r>
    <x v="5"/>
    <x v="39"/>
    <s v="Non need-based"/>
    <m/>
    <x v="12"/>
    <m/>
    <m/>
    <m/>
    <m/>
    <m/>
    <m/>
    <m/>
    <m/>
    <n v="0"/>
    <m/>
    <m/>
    <n v="0"/>
    <n v="0"/>
    <n v="0"/>
    <n v="1024300"/>
    <n v="854400"/>
    <m/>
    <m/>
    <n v="0"/>
    <m/>
    <m/>
    <n v="0"/>
    <m/>
    <m/>
    <m/>
    <m/>
    <n v="1024300"/>
    <n v="854400"/>
  </r>
  <r>
    <x v="6"/>
    <x v="0"/>
    <s v="Louisiana State University and A &amp; M College"/>
    <n v="159391"/>
    <x v="0"/>
    <n v="217984868"/>
    <n v="214766334"/>
    <m/>
    <m/>
    <m/>
    <m/>
    <n v="148175360"/>
    <m/>
    <n v="148175360"/>
    <n v="174375976"/>
    <m/>
    <n v="174375976"/>
    <n v="366160228"/>
    <n v="389142310"/>
    <m/>
    <m/>
    <m/>
    <m/>
    <n v="0"/>
    <m/>
    <m/>
    <n v="0"/>
    <m/>
    <m/>
    <m/>
    <m/>
    <n v="366160228"/>
    <n v="389142310"/>
  </r>
  <r>
    <x v="6"/>
    <x v="12"/>
    <s v="Special line items for education operations"/>
    <n v="15939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12"/>
    <s v="Paul M. Hebert Law Center"/>
    <n v="159391"/>
    <x v="0"/>
    <n v="9884294"/>
    <n v="10104018"/>
    <m/>
    <m/>
    <m/>
    <m/>
    <n v="9640712"/>
    <m/>
    <n v="9640712"/>
    <n v="10040012"/>
    <m/>
    <n v="10040012"/>
    <n v="19525006"/>
    <n v="20144030"/>
    <m/>
    <m/>
    <m/>
    <m/>
    <n v="0"/>
    <m/>
    <m/>
    <n v="0"/>
    <m/>
    <m/>
    <m/>
    <m/>
    <n v="19525006"/>
    <n v="20144030"/>
  </r>
  <r>
    <x v="6"/>
    <x v="1"/>
    <s v="Health professions education"/>
    <n v="15939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1"/>
    <s v="Vet School"/>
    <n v="159391"/>
    <x v="0"/>
    <m/>
    <m/>
    <m/>
    <m/>
    <m/>
    <m/>
    <m/>
    <m/>
    <n v="0"/>
    <m/>
    <m/>
    <n v="0"/>
    <n v="0"/>
    <n v="0"/>
    <m/>
    <m/>
    <m/>
    <m/>
    <n v="0"/>
    <m/>
    <m/>
    <n v="0"/>
    <n v="24765444"/>
    <n v="24923402"/>
    <n v="7117712"/>
    <n v="7647891"/>
    <n v="31883156"/>
    <n v="32571293"/>
  </r>
  <r>
    <x v="6"/>
    <x v="40"/>
    <s v="Agricultural Center"/>
    <n v="15939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40"/>
    <s v="Agricultural cooperative extension"/>
    <n v="159391"/>
    <x v="0"/>
    <m/>
    <m/>
    <n v="31751245"/>
    <n v="32057012"/>
    <m/>
    <m/>
    <m/>
    <m/>
    <n v="0"/>
    <m/>
    <m/>
    <n v="0"/>
    <n v="31751245"/>
    <n v="32057012"/>
    <m/>
    <m/>
    <m/>
    <m/>
    <n v="0"/>
    <m/>
    <m/>
    <n v="0"/>
    <m/>
    <m/>
    <m/>
    <m/>
    <n v="31751245"/>
    <n v="32057012"/>
  </r>
  <r>
    <x v="6"/>
    <x v="44"/>
    <s v="Agricultural experiment stations"/>
    <n v="159391"/>
    <x v="0"/>
    <m/>
    <m/>
    <n v="42461226"/>
    <n v="41030283"/>
    <m/>
    <m/>
    <m/>
    <m/>
    <n v="0"/>
    <m/>
    <m/>
    <n v="0"/>
    <n v="42461226"/>
    <n v="41030283"/>
    <m/>
    <m/>
    <m/>
    <m/>
    <n v="0"/>
    <m/>
    <m/>
    <n v="0"/>
    <m/>
    <m/>
    <m/>
    <m/>
    <n v="42461226"/>
    <n v="41030283"/>
  </r>
  <r>
    <x v="6"/>
    <x v="40"/>
    <s v="Administration"/>
    <n v="159391"/>
    <x v="0"/>
    <m/>
    <m/>
    <n v="17726084"/>
    <n v="16682903"/>
    <m/>
    <m/>
    <m/>
    <m/>
    <n v="0"/>
    <m/>
    <m/>
    <n v="0"/>
    <n v="17726084"/>
    <n v="16682903"/>
    <m/>
    <m/>
    <m/>
    <m/>
    <n v="0"/>
    <m/>
    <m/>
    <n v="0"/>
    <m/>
    <m/>
    <m/>
    <m/>
    <n v="17726084"/>
    <n v="16682903"/>
  </r>
  <r>
    <x v="6"/>
    <x v="0"/>
    <s v="University of Louisiana at Lafayette"/>
    <n v="160658"/>
    <x v="1"/>
    <n v="87555903"/>
    <n v="90623158"/>
    <m/>
    <m/>
    <m/>
    <m/>
    <n v="43365300"/>
    <m/>
    <n v="43365300"/>
    <n v="54659717"/>
    <m/>
    <n v="54659717"/>
    <n v="130921203"/>
    <n v="145282875"/>
    <m/>
    <m/>
    <m/>
    <m/>
    <n v="0"/>
    <m/>
    <m/>
    <n v="0"/>
    <m/>
    <m/>
    <m/>
    <m/>
    <n v="130921203"/>
    <n v="145282875"/>
  </r>
  <r>
    <x v="6"/>
    <x v="0"/>
    <s v="University of New Orleans"/>
    <n v="159939"/>
    <x v="1"/>
    <n v="73837826"/>
    <n v="70887320"/>
    <m/>
    <m/>
    <m/>
    <m/>
    <n v="46261927"/>
    <m/>
    <n v="46261927"/>
    <n v="55849870"/>
    <m/>
    <n v="55849870"/>
    <n v="120099753"/>
    <n v="126737190"/>
    <m/>
    <m/>
    <m/>
    <m/>
    <n v="0"/>
    <m/>
    <m/>
    <n v="0"/>
    <m/>
    <m/>
    <m/>
    <m/>
    <n v="120099753"/>
    <n v="126737190"/>
  </r>
  <r>
    <x v="6"/>
    <x v="0"/>
    <s v="Louisiana Tech University "/>
    <n v="159647"/>
    <x v="1"/>
    <n v="59822664"/>
    <n v="60205177"/>
    <m/>
    <m/>
    <m/>
    <m/>
    <n v="31167000"/>
    <m/>
    <n v="31167000"/>
    <n v="36089000"/>
    <m/>
    <n v="36089000"/>
    <n v="90989664"/>
    <n v="96294177"/>
    <m/>
    <m/>
    <m/>
    <m/>
    <n v="0"/>
    <m/>
    <m/>
    <n v="0"/>
    <m/>
    <m/>
    <m/>
    <m/>
    <n v="90989664"/>
    <n v="96294177"/>
  </r>
  <r>
    <x v="6"/>
    <x v="0"/>
    <s v="Southern University and A&amp;M College at Baton Rouge "/>
    <n v="160621"/>
    <x v="2"/>
    <n v="55161490"/>
    <n v="53318959"/>
    <m/>
    <m/>
    <m/>
    <m/>
    <n v="30045375"/>
    <m/>
    <n v="30045375"/>
    <n v="32343375"/>
    <m/>
    <n v="32343375"/>
    <n v="85206865"/>
    <n v="85662334"/>
    <m/>
    <m/>
    <m/>
    <m/>
    <n v="0"/>
    <m/>
    <m/>
    <n v="0"/>
    <m/>
    <m/>
    <m/>
    <m/>
    <n v="85206865"/>
    <n v="85662334"/>
  </r>
  <r>
    <x v="6"/>
    <x v="12"/>
    <s v="Special line items for education operations"/>
    <n v="160621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12"/>
    <s v="Law Center"/>
    <n v="160621"/>
    <x v="2"/>
    <n v="7415649"/>
    <n v="7302321"/>
    <m/>
    <m/>
    <m/>
    <m/>
    <n v="3338400"/>
    <m/>
    <n v="3338400"/>
    <n v="3446170"/>
    <m/>
    <n v="3446170"/>
    <n v="10754049"/>
    <n v="10748491"/>
    <m/>
    <m/>
    <m/>
    <m/>
    <n v="0"/>
    <m/>
    <m/>
    <n v="0"/>
    <m/>
    <m/>
    <m/>
    <m/>
    <n v="10754049"/>
    <n v="10748491"/>
  </r>
  <r>
    <x v="6"/>
    <x v="40"/>
    <s v="Agricultural Center"/>
    <n v="160621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40"/>
    <s v="Agriculture Center"/>
    <n v="160621"/>
    <x v="2"/>
    <m/>
    <m/>
    <n v="5771589"/>
    <n v="5648740"/>
    <m/>
    <m/>
    <m/>
    <m/>
    <n v="0"/>
    <m/>
    <m/>
    <n v="0"/>
    <n v="5771589"/>
    <n v="5648740"/>
    <m/>
    <m/>
    <m/>
    <m/>
    <n v="0"/>
    <m/>
    <m/>
    <n v="0"/>
    <m/>
    <m/>
    <m/>
    <m/>
    <n v="5771589"/>
    <n v="5648740"/>
  </r>
  <r>
    <x v="6"/>
    <x v="0"/>
    <s v="University of Louisiana at Monroe"/>
    <n v="159993"/>
    <x v="2"/>
    <n v="57182526"/>
    <n v="55547962"/>
    <m/>
    <m/>
    <m/>
    <m/>
    <n v="27202946"/>
    <m/>
    <n v="27202946"/>
    <n v="33011710"/>
    <m/>
    <n v="33011710"/>
    <n v="84385472"/>
    <n v="88559672"/>
    <m/>
    <m/>
    <m/>
    <m/>
    <n v="0"/>
    <m/>
    <m/>
    <n v="0"/>
    <m/>
    <m/>
    <m/>
    <m/>
    <n v="84385472"/>
    <n v="88559672"/>
  </r>
  <r>
    <x v="6"/>
    <x v="0"/>
    <s v="Southeastern Louisiana University "/>
    <n v="160612"/>
    <x v="2"/>
    <n v="74021387"/>
    <n v="75936330"/>
    <m/>
    <m/>
    <m/>
    <m/>
    <n v="39469020"/>
    <m/>
    <n v="39469020"/>
    <n v="45659429"/>
    <m/>
    <n v="45659429"/>
    <n v="113490407"/>
    <n v="121595759"/>
    <m/>
    <m/>
    <m/>
    <m/>
    <n v="0"/>
    <m/>
    <m/>
    <n v="0"/>
    <m/>
    <m/>
    <m/>
    <m/>
    <n v="113490407"/>
    <n v="121595759"/>
  </r>
  <r>
    <x v="6"/>
    <x v="0"/>
    <s v="Grambling State University"/>
    <n v="159009"/>
    <x v="3"/>
    <n v="31679845"/>
    <n v="30499749"/>
    <m/>
    <m/>
    <m/>
    <m/>
    <n v="21938194"/>
    <m/>
    <n v="21938194"/>
    <n v="28038015"/>
    <m/>
    <n v="28038015"/>
    <n v="53618039"/>
    <n v="58537764"/>
    <m/>
    <m/>
    <m/>
    <m/>
    <n v="0"/>
    <m/>
    <m/>
    <n v="0"/>
    <m/>
    <m/>
    <m/>
    <m/>
    <n v="53618039"/>
    <n v="58537764"/>
  </r>
  <r>
    <x v="6"/>
    <x v="0"/>
    <s v="Louisiana State University in Shreveport"/>
    <n v="159416"/>
    <x v="3"/>
    <n v="18351237"/>
    <n v="18267455"/>
    <m/>
    <m/>
    <m/>
    <m/>
    <n v="13350966"/>
    <m/>
    <n v="13350966"/>
    <n v="13872574"/>
    <m/>
    <n v="13872574"/>
    <n v="31702203"/>
    <n v="32140029"/>
    <m/>
    <m/>
    <m/>
    <m/>
    <n v="0"/>
    <m/>
    <m/>
    <n v="0"/>
    <m/>
    <m/>
    <m/>
    <m/>
    <n v="31702203"/>
    <n v="32140029"/>
  </r>
  <r>
    <x v="6"/>
    <x v="0"/>
    <s v="McNeese State University"/>
    <n v="159717"/>
    <x v="3"/>
    <n v="43247275"/>
    <n v="43526694"/>
    <m/>
    <m/>
    <m/>
    <m/>
    <n v="24055645"/>
    <m/>
    <n v="24055645"/>
    <n v="31831837"/>
    <m/>
    <n v="31831837"/>
    <n v="67302920"/>
    <n v="75358531"/>
    <m/>
    <m/>
    <m/>
    <m/>
    <n v="0"/>
    <m/>
    <m/>
    <n v="0"/>
    <m/>
    <m/>
    <m/>
    <m/>
    <n v="67302920"/>
    <n v="75358531"/>
  </r>
  <r>
    <x v="6"/>
    <x v="0"/>
    <s v="Northwestern State University"/>
    <n v="160038"/>
    <x v="3"/>
    <n v="49332713"/>
    <n v="47529856"/>
    <m/>
    <m/>
    <m/>
    <m/>
    <n v="27451474"/>
    <m/>
    <n v="27451474"/>
    <n v="29736205"/>
    <m/>
    <n v="29736205"/>
    <n v="76784187"/>
    <n v="77266061"/>
    <m/>
    <m/>
    <m/>
    <m/>
    <n v="0"/>
    <m/>
    <m/>
    <n v="0"/>
    <m/>
    <m/>
    <m/>
    <m/>
    <n v="76784187"/>
    <n v="77266061"/>
  </r>
  <r>
    <x v="6"/>
    <x v="0"/>
    <s v="Nicholls State University "/>
    <n v="159966"/>
    <x v="3"/>
    <n v="35821191"/>
    <n v="34491698"/>
    <m/>
    <m/>
    <m/>
    <m/>
    <n v="19120904"/>
    <m/>
    <n v="19120904"/>
    <n v="20109701"/>
    <m/>
    <n v="20109701"/>
    <n v="54942095"/>
    <n v="54601399"/>
    <m/>
    <m/>
    <m/>
    <m/>
    <n v="0"/>
    <m/>
    <m/>
    <n v="0"/>
    <m/>
    <m/>
    <m/>
    <m/>
    <n v="54942095"/>
    <n v="54601399"/>
  </r>
  <r>
    <x v="6"/>
    <x v="0"/>
    <s v="Southern University at New Orleans"/>
    <n v="160630"/>
    <x v="4"/>
    <n v="16576070"/>
    <n v="15572008"/>
    <m/>
    <m/>
    <m/>
    <m/>
    <n v="5570255"/>
    <m/>
    <n v="5570255"/>
    <n v="5283651"/>
    <m/>
    <n v="5283651"/>
    <n v="22146325"/>
    <n v="20855659"/>
    <m/>
    <m/>
    <m/>
    <m/>
    <n v="0"/>
    <m/>
    <m/>
    <n v="0"/>
    <m/>
    <m/>
    <m/>
    <m/>
    <n v="22146325"/>
    <n v="20855659"/>
  </r>
  <r>
    <x v="6"/>
    <x v="0"/>
    <s v="Louisiana State University at Alexandria"/>
    <n v="159382"/>
    <x v="13"/>
    <n v="10964169"/>
    <n v="12421305"/>
    <m/>
    <m/>
    <m/>
    <m/>
    <n v="7608478"/>
    <m/>
    <n v="7608478"/>
    <n v="8503124"/>
    <m/>
    <n v="8503124"/>
    <n v="18572647"/>
    <n v="20924429"/>
    <m/>
    <m/>
    <m/>
    <m/>
    <n v="0"/>
    <m/>
    <m/>
    <n v="0"/>
    <m/>
    <m/>
    <m/>
    <m/>
    <n v="18572647"/>
    <n v="20924429"/>
  </r>
  <r>
    <x v="6"/>
    <x v="0"/>
    <s v="Delgado Community College "/>
    <n v="158662"/>
    <x v="6"/>
    <n v="40297923"/>
    <n v="43419869"/>
    <m/>
    <m/>
    <m/>
    <m/>
    <n v="25305103"/>
    <m/>
    <n v="25305103"/>
    <n v="25931278"/>
    <m/>
    <n v="25931278"/>
    <n v="65603026"/>
    <n v="69351147"/>
    <m/>
    <m/>
    <m/>
    <m/>
    <n v="0"/>
    <m/>
    <m/>
    <n v="0"/>
    <m/>
    <m/>
    <m/>
    <m/>
    <n v="65603026"/>
    <n v="69351147"/>
  </r>
  <r>
    <x v="6"/>
    <x v="0"/>
    <s v="Baton Rouge Community College"/>
    <n v="437103"/>
    <x v="7"/>
    <n v="19377497"/>
    <n v="21178461"/>
    <m/>
    <m/>
    <m/>
    <m/>
    <n v="9505516"/>
    <m/>
    <n v="9505516"/>
    <n v="12712863"/>
    <m/>
    <n v="12712863"/>
    <n v="28883013"/>
    <n v="33891324"/>
    <m/>
    <m/>
    <m/>
    <m/>
    <n v="0"/>
    <m/>
    <m/>
    <n v="0"/>
    <m/>
    <m/>
    <m/>
    <m/>
    <n v="28883013"/>
    <n v="33891324"/>
  </r>
  <r>
    <x v="6"/>
    <x v="0"/>
    <s v="Bossier Parish Community College"/>
    <n v="158431"/>
    <x v="7"/>
    <n v="14053966"/>
    <n v="15766690"/>
    <m/>
    <m/>
    <m/>
    <m/>
    <n v="7559435"/>
    <m/>
    <n v="7559435"/>
    <n v="9290692"/>
    <m/>
    <n v="9290692"/>
    <n v="21613401"/>
    <n v="25057382"/>
    <m/>
    <m/>
    <m/>
    <m/>
    <n v="0"/>
    <m/>
    <m/>
    <n v="0"/>
    <m/>
    <m/>
    <m/>
    <m/>
    <n v="21613401"/>
    <n v="25057382"/>
  </r>
  <r>
    <x v="6"/>
    <x v="0"/>
    <s v="Louisiana State University at Eunice"/>
    <n v="159407"/>
    <x v="7"/>
    <n v="9044837"/>
    <n v="8589941"/>
    <m/>
    <m/>
    <m/>
    <m/>
    <n v="4943088"/>
    <m/>
    <n v="4943088"/>
    <n v="5851271"/>
    <m/>
    <n v="5851271"/>
    <n v="13987925"/>
    <n v="14441212"/>
    <m/>
    <m/>
    <m/>
    <m/>
    <n v="0"/>
    <m/>
    <m/>
    <n v="0"/>
    <m/>
    <m/>
    <m/>
    <m/>
    <n v="13987925"/>
    <n v="14441212"/>
  </r>
  <r>
    <x v="6"/>
    <x v="0"/>
    <s v="Louisiana Delta Community College"/>
    <n v="440624"/>
    <x v="8"/>
    <n v="3918751"/>
    <n v="4447768"/>
    <m/>
    <m/>
    <m/>
    <m/>
    <n v="1862500"/>
    <m/>
    <n v="1862500"/>
    <n v="2234380"/>
    <m/>
    <n v="2234380"/>
    <n v="5781251"/>
    <n v="6682148"/>
    <m/>
    <m/>
    <m/>
    <m/>
    <n v="0"/>
    <m/>
    <m/>
    <n v="0"/>
    <m/>
    <m/>
    <m/>
    <m/>
    <n v="5781251"/>
    <n v="6682148"/>
  </r>
  <r>
    <x v="6"/>
    <x v="0"/>
    <s v="Nunez Community College"/>
    <n v="158884"/>
    <x v="8"/>
    <n v="5445110"/>
    <n v="5421435"/>
    <m/>
    <m/>
    <m/>
    <m/>
    <n v="2964512"/>
    <m/>
    <n v="2964512"/>
    <n v="2944421"/>
    <m/>
    <n v="2944421"/>
    <n v="8409622"/>
    <n v="8365856"/>
    <m/>
    <m/>
    <m/>
    <m/>
    <n v="0"/>
    <m/>
    <m/>
    <n v="0"/>
    <m/>
    <m/>
    <m/>
    <m/>
    <n v="8409622"/>
    <n v="8365856"/>
  </r>
  <r>
    <x v="6"/>
    <x v="0"/>
    <s v="River Parishes Community College"/>
    <n v="436304"/>
    <x v="8"/>
    <n v="2874958"/>
    <n v="3243601"/>
    <m/>
    <m/>
    <m/>
    <m/>
    <n v="1481365"/>
    <m/>
    <n v="1481365"/>
    <n v="1666584"/>
    <m/>
    <n v="1666584"/>
    <n v="4356323"/>
    <n v="4910185"/>
    <m/>
    <m/>
    <m/>
    <m/>
    <n v="0"/>
    <m/>
    <m/>
    <n v="0"/>
    <m/>
    <m/>
    <m/>
    <m/>
    <n v="4356323"/>
    <n v="4910185"/>
  </r>
  <r>
    <x v="6"/>
    <x v="0"/>
    <s v="South Louisiana Community College"/>
    <n v="434061"/>
    <x v="8"/>
    <n v="5765403"/>
    <n v="7640598"/>
    <m/>
    <m/>
    <m/>
    <m/>
    <n v="4044508"/>
    <m/>
    <n v="4044508"/>
    <n v="4776442"/>
    <m/>
    <n v="4776442"/>
    <n v="9809911"/>
    <n v="12417040"/>
    <m/>
    <m/>
    <m/>
    <m/>
    <n v="0"/>
    <m/>
    <m/>
    <n v="0"/>
    <m/>
    <m/>
    <m/>
    <m/>
    <n v="9809911"/>
    <n v="12417040"/>
  </r>
  <r>
    <x v="6"/>
    <x v="0"/>
    <s v="Southern University in Shreveport"/>
    <n v="160649"/>
    <x v="8"/>
    <n v="8857441"/>
    <n v="8552639"/>
    <m/>
    <m/>
    <m/>
    <m/>
    <n v="4145184"/>
    <m/>
    <n v="4145184"/>
    <n v="4145184"/>
    <m/>
    <n v="4145184"/>
    <n v="13002625"/>
    <n v="12697823"/>
    <m/>
    <m/>
    <m/>
    <m/>
    <n v="0"/>
    <m/>
    <m/>
    <n v="0"/>
    <m/>
    <m/>
    <m/>
    <m/>
    <n v="13002625"/>
    <n v="12697823"/>
  </r>
  <r>
    <x v="6"/>
    <x v="0"/>
    <s v="Sowela Technical Community College"/>
    <n v="160579"/>
    <x v="9"/>
    <n v="8299283"/>
    <n v="8474404"/>
    <m/>
    <m/>
    <m/>
    <m/>
    <n v="2892276"/>
    <m/>
    <n v="2892276"/>
    <n v="3004240"/>
    <m/>
    <n v="3004240"/>
    <n v="11191559"/>
    <n v="11478644"/>
    <m/>
    <m/>
    <m/>
    <m/>
    <n v="0"/>
    <m/>
    <m/>
    <n v="0"/>
    <m/>
    <m/>
    <m/>
    <m/>
    <n v="11191559"/>
    <n v="11478644"/>
  </r>
  <r>
    <x v="6"/>
    <x v="0"/>
    <s v="L.E. Fletcher Technical Community College"/>
    <n v="160481"/>
    <x v="10"/>
    <n v="4991063"/>
    <n v="4973890"/>
    <m/>
    <m/>
    <m/>
    <m/>
    <n v="1600000"/>
    <m/>
    <n v="1600000"/>
    <n v="1674715"/>
    <m/>
    <n v="1674715"/>
    <n v="6591063"/>
    <n v="6648605"/>
    <m/>
    <m/>
    <m/>
    <m/>
    <n v="0"/>
    <m/>
    <m/>
    <n v="0"/>
    <m/>
    <m/>
    <m/>
    <m/>
    <n v="6591063"/>
    <n v="6648605"/>
  </r>
  <r>
    <x v="6"/>
    <x v="0"/>
    <s v="Louisiana Technical College-Acadian Campus"/>
    <n v="160560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Alexandria Campus"/>
    <n v="158088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Ascension Campus"/>
    <n v="158219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Avoyelles Campus"/>
    <n v="158237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Bastrop Campus"/>
    <n v="158307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Baton Rouge Campus"/>
    <n v="158352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Charles B. Coreil Campus"/>
    <n v="160816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Delta/Ouachita Campus"/>
    <n v="158769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Evangeline Campus"/>
    <n v="158893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Florida Parishes Campus"/>
    <n v="158936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Folkes Campus"/>
    <n v="158945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Gulf Area Campus"/>
    <n v="159018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Hammond Area Campus"/>
    <n v="159045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Huey P. Long Campus"/>
    <n v="159090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Jefferson Campus"/>
    <n v="159258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Jumonville Memorial Campus"/>
    <n v="160214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Lafayette Campus"/>
    <n v="159443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Lafourche Campus"/>
    <n v="160719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Lamar Salter Campus"/>
    <n v="160843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Mansfield Campus"/>
    <n v="159692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Morgan Smith Campus"/>
    <n v="159249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Nachitoches Campus"/>
    <n v="159823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North Central Campus"/>
    <n v="159984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Northeast Louisiana Campus"/>
    <n v="160001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Northwest Louisiana Campus"/>
    <n v="160010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Oakdale Campus"/>
    <n v="160047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River Parishes Campus"/>
    <n v="160311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Ruston Campus"/>
    <n v="160366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Sabine Valley Campus"/>
    <n v="160384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Shelby M. Jackson Campus"/>
    <n v="158583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Shreveport/Bossier Campus"/>
    <n v="160427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Sidney N. Collier Campus"/>
    <n v="160436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Slidell Campus"/>
    <n v="160454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Sullivan Campus"/>
    <n v="160667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T.H. Harris Campus"/>
    <n v="160676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Tallulah Campus"/>
    <n v="160685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Teche Area Campus"/>
    <n v="160694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West Jefferson Campus"/>
    <n v="159267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Westside Campus"/>
    <n v="160870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-Young Memorial Campus"/>
    <n v="160913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0"/>
    <s v="Louisiana Technical Colleges -- all campuses"/>
    <m/>
    <x v="14"/>
    <n v="79775157"/>
    <n v="79489015"/>
    <m/>
    <m/>
    <m/>
    <m/>
    <n v="14232522"/>
    <m/>
    <n v="14232522"/>
    <n v="13850833"/>
    <m/>
    <n v="13850833"/>
    <n v="94007679"/>
    <n v="93339848"/>
    <m/>
    <m/>
    <m/>
    <m/>
    <n v="0"/>
    <m/>
    <m/>
    <n v="0"/>
    <m/>
    <m/>
    <m/>
    <m/>
    <n v="94007679"/>
    <n v="93339848"/>
  </r>
  <r>
    <x v="6"/>
    <x v="41"/>
    <s v="Louisiana State University Health Sciences Center—New Orleans"/>
    <n v="159373"/>
    <x v="11"/>
    <m/>
    <m/>
    <m/>
    <m/>
    <m/>
    <m/>
    <m/>
    <m/>
    <n v="0"/>
    <m/>
    <m/>
    <n v="0"/>
    <n v="0"/>
    <n v="0"/>
    <m/>
    <m/>
    <m/>
    <m/>
    <n v="0"/>
    <m/>
    <m/>
    <n v="0"/>
    <n v="48931721"/>
    <n v="135297368"/>
    <n v="17423872"/>
    <n v="18854747"/>
    <n v="66355593"/>
    <n v="154152115"/>
  </r>
  <r>
    <x v="6"/>
    <x v="41"/>
    <s v="Louisiana State University Health Sciences Center — Shreveport"/>
    <n v="435000"/>
    <x v="11"/>
    <m/>
    <m/>
    <m/>
    <m/>
    <m/>
    <m/>
    <m/>
    <m/>
    <n v="0"/>
    <m/>
    <m/>
    <n v="0"/>
    <n v="0"/>
    <n v="0"/>
    <m/>
    <m/>
    <m/>
    <m/>
    <n v="0"/>
    <m/>
    <m/>
    <n v="0"/>
    <n v="83723252"/>
    <n v="83404987"/>
    <n v="5740704"/>
    <n v="5939688"/>
    <n v="89463956"/>
    <n v="89344675"/>
  </r>
  <r>
    <x v="6"/>
    <x v="10"/>
    <s v="Statewide Special-Purpos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42"/>
    <s v="Community or public servic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42"/>
    <s v="Center for Innovative Teaching and Learning (CITAL)"/>
    <m/>
    <x v="12"/>
    <m/>
    <m/>
    <n v="1000168"/>
    <n v="1022668"/>
    <m/>
    <m/>
    <m/>
    <m/>
    <n v="0"/>
    <m/>
    <m/>
    <n v="0"/>
    <n v="1000168"/>
    <n v="1022668"/>
    <m/>
    <m/>
    <m/>
    <m/>
    <n v="0"/>
    <m/>
    <m/>
    <n v="0"/>
    <m/>
    <m/>
    <m/>
    <m/>
    <n v="1000168"/>
    <n v="1022668"/>
  </r>
  <r>
    <x v="6"/>
    <x v="11"/>
    <s v="Research centers/institut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11"/>
    <s v="Audubon Center for Research of Endangered Species (ACRES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11"/>
    <s v="LA Universities' Marine Consortium"/>
    <m/>
    <x v="12"/>
    <m/>
    <m/>
    <n v="3269719"/>
    <n v="3249933"/>
    <m/>
    <m/>
    <m/>
    <m/>
    <n v="0"/>
    <m/>
    <m/>
    <n v="0"/>
    <n v="3269719"/>
    <n v="3249933"/>
    <m/>
    <m/>
    <m/>
    <m/>
    <n v="0"/>
    <m/>
    <m/>
    <n v="0"/>
    <m/>
    <m/>
    <m/>
    <m/>
    <n v="3269719"/>
    <n v="3249933"/>
  </r>
  <r>
    <x v="6"/>
    <x v="11"/>
    <s v="Pennington Biomedical Research Center"/>
    <m/>
    <x v="12"/>
    <m/>
    <m/>
    <n v="16300216"/>
    <n v="16325053"/>
    <m/>
    <m/>
    <m/>
    <m/>
    <n v="0"/>
    <m/>
    <m/>
    <n v="0"/>
    <n v="16300216"/>
    <n v="16325053"/>
    <m/>
    <m/>
    <m/>
    <m/>
    <n v="0"/>
    <m/>
    <m/>
    <n v="0"/>
    <m/>
    <m/>
    <m/>
    <m/>
    <n v="16300216"/>
    <n v="16325053"/>
  </r>
  <r>
    <x v="6"/>
    <x v="13"/>
    <s v="Education special purpose funds — all other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13"/>
    <s v="Health Care WorkForce"/>
    <m/>
    <x v="12"/>
    <m/>
    <m/>
    <n v="18683092"/>
    <n v="18175532"/>
    <m/>
    <m/>
    <m/>
    <m/>
    <n v="0"/>
    <m/>
    <m/>
    <n v="0"/>
    <n v="18683092"/>
    <n v="18175532"/>
    <m/>
    <m/>
    <m/>
    <m/>
    <n v="0"/>
    <m/>
    <m/>
    <n v="0"/>
    <m/>
    <m/>
    <m/>
    <m/>
    <n v="18683092"/>
    <n v="18175532"/>
  </r>
  <r>
    <x v="6"/>
    <x v="13"/>
    <s v="Distance learning"/>
    <m/>
    <x v="12"/>
    <m/>
    <m/>
    <n v="1482793"/>
    <n v="1142996"/>
    <m/>
    <m/>
    <m/>
    <m/>
    <n v="0"/>
    <m/>
    <m/>
    <n v="0"/>
    <n v="1482793"/>
    <n v="1142996"/>
    <m/>
    <m/>
    <m/>
    <m/>
    <n v="0"/>
    <m/>
    <m/>
    <n v="0"/>
    <m/>
    <m/>
    <m/>
    <m/>
    <n v="1482793"/>
    <n v="1142996"/>
  </r>
  <r>
    <x v="6"/>
    <x v="13"/>
    <s v="LA Online Library Network (LOUIS)"/>
    <m/>
    <x v="12"/>
    <m/>
    <m/>
    <n v="3074768"/>
    <n v="2737601"/>
    <m/>
    <m/>
    <m/>
    <m/>
    <n v="0"/>
    <m/>
    <m/>
    <n v="0"/>
    <n v="3074768"/>
    <n v="2737601"/>
    <m/>
    <m/>
    <m/>
    <m/>
    <n v="0"/>
    <m/>
    <m/>
    <n v="0"/>
    <m/>
    <m/>
    <m/>
    <m/>
    <n v="3074768"/>
    <n v="2737601"/>
  </r>
  <r>
    <x v="6"/>
    <x v="13"/>
    <s v="Gene Therapy"/>
    <m/>
    <x v="12"/>
    <m/>
    <m/>
    <n v="3086214"/>
    <n v="2790255"/>
    <m/>
    <m/>
    <m/>
    <m/>
    <n v="0"/>
    <m/>
    <m/>
    <n v="0"/>
    <n v="3086214"/>
    <n v="2790255"/>
    <m/>
    <m/>
    <m/>
    <m/>
    <n v="0"/>
    <m/>
    <m/>
    <n v="0"/>
    <m/>
    <m/>
    <m/>
    <m/>
    <n v="3086214"/>
    <n v="2790255"/>
  </r>
  <r>
    <x v="6"/>
    <x v="13"/>
    <s v="LA Endowment for the Humanities"/>
    <m/>
    <x v="12"/>
    <m/>
    <m/>
    <n v="1951646"/>
    <n v="1775998"/>
    <m/>
    <m/>
    <m/>
    <m/>
    <n v="0"/>
    <m/>
    <m/>
    <n v="0"/>
    <n v="1951646"/>
    <n v="1775998"/>
    <m/>
    <m/>
    <m/>
    <m/>
    <n v="0"/>
    <m/>
    <m/>
    <n v="0"/>
    <m/>
    <m/>
    <m/>
    <m/>
    <n v="1951646"/>
    <n v="1775998"/>
  </r>
  <r>
    <x v="6"/>
    <x v="13"/>
    <s v="Endowed Chairs/Professorships"/>
    <m/>
    <x v="12"/>
    <m/>
    <m/>
    <n v="14120000"/>
    <n v="5880000"/>
    <m/>
    <m/>
    <m/>
    <m/>
    <n v="0"/>
    <m/>
    <m/>
    <n v="0"/>
    <n v="14120000"/>
    <n v="5880000"/>
    <m/>
    <m/>
    <m/>
    <m/>
    <n v="0"/>
    <m/>
    <m/>
    <n v="0"/>
    <m/>
    <m/>
    <m/>
    <m/>
    <n v="14120000"/>
    <n v="5880000"/>
  </r>
  <r>
    <x v="6"/>
    <x v="13"/>
    <s v="Endowed Scholarships"/>
    <m/>
    <x v="12"/>
    <m/>
    <m/>
    <n v="380000"/>
    <n v="1000000"/>
    <m/>
    <m/>
    <m/>
    <m/>
    <n v="0"/>
    <m/>
    <m/>
    <n v="0"/>
    <n v="380000"/>
    <n v="1000000"/>
    <m/>
    <m/>
    <m/>
    <m/>
    <n v="0"/>
    <m/>
    <m/>
    <n v="0"/>
    <m/>
    <m/>
    <m/>
    <m/>
    <n v="380000"/>
    <n v="1000000"/>
  </r>
  <r>
    <x v="6"/>
    <x v="13"/>
    <s v="Secure Campus Funding"/>
    <m/>
    <x v="12"/>
    <m/>
    <m/>
    <n v="2184200"/>
    <n v="296875"/>
    <m/>
    <m/>
    <m/>
    <m/>
    <n v="0"/>
    <m/>
    <m/>
    <n v="0"/>
    <n v="2184200"/>
    <n v="296875"/>
    <m/>
    <m/>
    <m/>
    <m/>
    <n v="0"/>
    <m/>
    <m/>
    <n v="0"/>
    <m/>
    <m/>
    <m/>
    <m/>
    <n v="2184200"/>
    <n v="296875"/>
  </r>
  <r>
    <x v="6"/>
    <x v="13"/>
    <s v="LONI"/>
    <m/>
    <x v="12"/>
    <m/>
    <m/>
    <n v="7152400"/>
    <n v="5152400"/>
    <m/>
    <m/>
    <m/>
    <m/>
    <n v="0"/>
    <m/>
    <m/>
    <n v="0"/>
    <n v="7152400"/>
    <n v="5152400"/>
    <m/>
    <m/>
    <m/>
    <m/>
    <n v="0"/>
    <m/>
    <m/>
    <n v="0"/>
    <m/>
    <m/>
    <m/>
    <m/>
    <n v="7152400"/>
    <n v="5152400"/>
  </r>
  <r>
    <x v="6"/>
    <x v="13"/>
    <s v="Other Initiatives"/>
    <m/>
    <x v="12"/>
    <m/>
    <m/>
    <n v="0"/>
    <n v="3284898"/>
    <m/>
    <m/>
    <m/>
    <m/>
    <n v="0"/>
    <m/>
    <m/>
    <n v="0"/>
    <n v="0"/>
    <n v="3284898"/>
    <m/>
    <m/>
    <m/>
    <m/>
    <n v="0"/>
    <m/>
    <m/>
    <n v="0"/>
    <m/>
    <m/>
    <m/>
    <m/>
    <n v="0"/>
    <n v="3284898"/>
  </r>
  <r>
    <x v="6"/>
    <x v="13"/>
    <s v="Dual Enrollment"/>
    <m/>
    <x v="12"/>
    <m/>
    <m/>
    <n v="4250000"/>
    <n v="4000000"/>
    <m/>
    <m/>
    <m/>
    <m/>
    <n v="0"/>
    <m/>
    <m/>
    <n v="0"/>
    <n v="4250000"/>
    <n v="4000000"/>
    <m/>
    <m/>
    <m/>
    <m/>
    <n v="0"/>
    <m/>
    <m/>
    <n v="0"/>
    <m/>
    <m/>
    <m/>
    <m/>
    <n v="4250000"/>
    <n v="4000000"/>
  </r>
  <r>
    <x v="6"/>
    <x v="13"/>
    <s v="Adult Education"/>
    <m/>
    <x v="12"/>
    <m/>
    <m/>
    <n v="500000"/>
    <n v="478932.28"/>
    <m/>
    <m/>
    <m/>
    <m/>
    <n v="0"/>
    <m/>
    <m/>
    <n v="0"/>
    <n v="500000"/>
    <n v="478932.28"/>
    <m/>
    <m/>
    <m/>
    <m/>
    <n v="0"/>
    <m/>
    <m/>
    <n v="0"/>
    <m/>
    <m/>
    <m/>
    <m/>
    <n v="500000"/>
    <n v="478932.28"/>
  </r>
  <r>
    <x v="6"/>
    <x v="14"/>
    <s v="Statewide System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15"/>
    <s v="Colleges and universiti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15"/>
    <s v="Board of Regents"/>
    <m/>
    <x v="12"/>
    <m/>
    <m/>
    <m/>
    <m/>
    <m/>
    <m/>
    <m/>
    <m/>
    <n v="0"/>
    <m/>
    <m/>
    <n v="0"/>
    <n v="0"/>
    <n v="0"/>
    <n v="6981000"/>
    <n v="6934760"/>
    <m/>
    <m/>
    <n v="0"/>
    <m/>
    <m/>
    <n v="0"/>
    <m/>
    <m/>
    <m/>
    <m/>
    <n v="6981000"/>
    <n v="6934760"/>
  </r>
  <r>
    <x v="6"/>
    <x v="15"/>
    <s v="Southern University System Office"/>
    <m/>
    <x v="12"/>
    <m/>
    <m/>
    <m/>
    <m/>
    <m/>
    <m/>
    <m/>
    <m/>
    <n v="0"/>
    <m/>
    <m/>
    <n v="0"/>
    <n v="0"/>
    <n v="0"/>
    <n v="3781155"/>
    <n v="3397225"/>
    <m/>
    <m/>
    <n v="0"/>
    <m/>
    <m/>
    <n v="0"/>
    <m/>
    <m/>
    <m/>
    <m/>
    <n v="3781155"/>
    <n v="3397225"/>
  </r>
  <r>
    <x v="6"/>
    <x v="15"/>
    <s v="LA State University System Office"/>
    <m/>
    <x v="12"/>
    <m/>
    <m/>
    <m/>
    <m/>
    <m/>
    <m/>
    <m/>
    <m/>
    <n v="0"/>
    <m/>
    <m/>
    <n v="0"/>
    <n v="0"/>
    <n v="0"/>
    <n v="13958058"/>
    <n v="10793105"/>
    <m/>
    <m/>
    <n v="0"/>
    <m/>
    <m/>
    <n v="0"/>
    <m/>
    <m/>
    <m/>
    <m/>
    <n v="13958058"/>
    <n v="10793105"/>
  </r>
  <r>
    <x v="6"/>
    <x v="15"/>
    <s v="Univ. of LA System Office"/>
    <m/>
    <x v="12"/>
    <m/>
    <m/>
    <m/>
    <m/>
    <m/>
    <m/>
    <m/>
    <m/>
    <n v="0"/>
    <m/>
    <m/>
    <n v="0"/>
    <n v="0"/>
    <n v="0"/>
    <n v="3473693"/>
    <n v="9055261"/>
    <m/>
    <m/>
    <n v="0"/>
    <m/>
    <m/>
    <n v="0"/>
    <m/>
    <m/>
    <m/>
    <m/>
    <n v="3473693"/>
    <n v="9055261"/>
  </r>
  <r>
    <x v="6"/>
    <x v="16"/>
    <s v="Two-year system(s), if an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16"/>
    <s v="LA Community and Technical College System Office"/>
    <m/>
    <x v="12"/>
    <m/>
    <m/>
    <m/>
    <m/>
    <m/>
    <m/>
    <m/>
    <m/>
    <n v="0"/>
    <m/>
    <m/>
    <n v="0"/>
    <n v="0"/>
    <n v="0"/>
    <n v="20471416"/>
    <n v="14631397"/>
    <m/>
    <m/>
    <n v="0"/>
    <m/>
    <m/>
    <n v="0"/>
    <m/>
    <m/>
    <m/>
    <m/>
    <n v="20471416"/>
    <n v="14631397"/>
  </r>
  <r>
    <x v="6"/>
    <x v="17"/>
    <s v="National or regional associations, compacts or consortia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17"/>
    <s v="SREB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18"/>
    <s v="Adm. of Statewide Student Aid Progs. (incldng centralized guaranteed student loans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18"/>
    <s v="Louisiana Office of Student Financial Aid (LOSFA)"/>
    <m/>
    <x v="12"/>
    <m/>
    <m/>
    <m/>
    <m/>
    <m/>
    <m/>
    <m/>
    <m/>
    <n v="0"/>
    <m/>
    <m/>
    <n v="0"/>
    <n v="0"/>
    <n v="0"/>
    <n v="3551659"/>
    <n v="3817183"/>
    <m/>
    <m/>
    <n v="0"/>
    <m/>
    <m/>
    <n v="0"/>
    <m/>
    <m/>
    <m/>
    <m/>
    <n v="3551659"/>
    <n v="3817183"/>
  </r>
  <r>
    <x v="6"/>
    <x v="19"/>
    <s v="State Support to Private Colleges Other Than Student Aid (ATI)"/>
    <m/>
    <x v="12"/>
    <m/>
    <m/>
    <m/>
    <m/>
    <m/>
    <m/>
    <m/>
    <m/>
    <n v="0"/>
    <m/>
    <m/>
    <n v="0"/>
    <n v="0"/>
    <n v="0"/>
    <n v="4185379"/>
    <n v="3812462"/>
    <m/>
    <m/>
    <n v="0"/>
    <m/>
    <m/>
    <n v="0"/>
    <m/>
    <m/>
    <m/>
    <m/>
    <n v="4185379"/>
    <n v="3812462"/>
  </r>
  <r>
    <x v="6"/>
    <x v="20"/>
    <s v="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21"/>
    <s v="SREB contract program with private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22"/>
    <s v="SREB contract program with public colleges"/>
    <m/>
    <x v="12"/>
    <m/>
    <m/>
    <m/>
    <m/>
    <m/>
    <m/>
    <m/>
    <m/>
    <n v="0"/>
    <m/>
    <m/>
    <n v="0"/>
    <n v="0"/>
    <n v="0"/>
    <n v="1307100"/>
    <n v="1312750"/>
    <m/>
    <m/>
    <n v="0"/>
    <m/>
    <m/>
    <n v="0"/>
    <m/>
    <m/>
    <m/>
    <m/>
    <n v="1307100"/>
    <n v="1312750"/>
  </r>
  <r>
    <x v="6"/>
    <x v="23"/>
    <s v="Other 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24"/>
    <s v="Statewide Student Financial Aid Programs Administered Off Campu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25"/>
    <s v="Available to public &amp;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25"/>
    <s v="TOPS,GO GRANT, LEA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29"/>
    <s v="Need-based"/>
    <m/>
    <x v="12"/>
    <m/>
    <m/>
    <m/>
    <m/>
    <m/>
    <m/>
    <m/>
    <m/>
    <n v="0"/>
    <m/>
    <m/>
    <n v="0"/>
    <n v="0"/>
    <n v="0"/>
    <n v="14605369"/>
    <n v="22910043.800000001"/>
    <m/>
    <m/>
    <n v="0"/>
    <m/>
    <m/>
    <n v="0"/>
    <m/>
    <m/>
    <m/>
    <m/>
    <n v="14605369"/>
    <n v="22910043.800000001"/>
  </r>
  <r>
    <x v="6"/>
    <x v="30"/>
    <s v="Non need-based"/>
    <m/>
    <x v="12"/>
    <m/>
    <m/>
    <m/>
    <m/>
    <m/>
    <m/>
    <m/>
    <m/>
    <n v="0"/>
    <m/>
    <m/>
    <n v="0"/>
    <n v="0"/>
    <n v="0"/>
    <n v="106752569"/>
    <n v="108762475"/>
    <m/>
    <m/>
    <n v="0"/>
    <m/>
    <m/>
    <n v="0"/>
    <m/>
    <m/>
    <m/>
    <m/>
    <n v="106752569"/>
    <n v="108762475"/>
  </r>
  <r>
    <x v="6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32"/>
    <s v="Need-based"/>
    <m/>
    <x v="12"/>
    <m/>
    <m/>
    <m/>
    <m/>
    <m/>
    <m/>
    <m/>
    <m/>
    <n v="0"/>
    <m/>
    <m/>
    <n v="0"/>
    <n v="0"/>
    <n v="0"/>
    <n v="1453682"/>
    <n v="2339789.14"/>
    <m/>
    <m/>
    <n v="0"/>
    <m/>
    <m/>
    <n v="0"/>
    <m/>
    <m/>
    <m/>
    <m/>
    <n v="1453682"/>
    <n v="2339789.14"/>
  </r>
  <r>
    <x v="6"/>
    <x v="33"/>
    <s v="Non need-based"/>
    <m/>
    <x v="12"/>
    <m/>
    <m/>
    <m/>
    <m/>
    <m/>
    <m/>
    <m/>
    <m/>
    <n v="0"/>
    <m/>
    <m/>
    <n v="0"/>
    <n v="0"/>
    <n v="0"/>
    <n v="9140146"/>
    <n v="9223851"/>
    <m/>
    <m/>
    <n v="0"/>
    <m/>
    <m/>
    <n v="0"/>
    <m/>
    <m/>
    <m/>
    <m/>
    <n v="9140146"/>
    <n v="9223851"/>
  </r>
  <r>
    <x v="6"/>
    <x v="34"/>
    <s v="Limited to public college students onl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34"/>
    <s v="ROCKEFELLER/DUAL ENROLLMENT (Public sec students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35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36"/>
    <s v="Non need-based"/>
    <m/>
    <x v="12"/>
    <m/>
    <m/>
    <m/>
    <m/>
    <m/>
    <m/>
    <m/>
    <m/>
    <n v="0"/>
    <m/>
    <m/>
    <n v="0"/>
    <n v="0"/>
    <n v="0"/>
    <n v="3539600"/>
    <n v="4031800"/>
    <m/>
    <m/>
    <n v="0"/>
    <m/>
    <m/>
    <n v="0"/>
    <m/>
    <m/>
    <m/>
    <m/>
    <n v="3539600"/>
    <n v="4031800"/>
  </r>
  <r>
    <x v="6"/>
    <x v="37"/>
    <s v="Limited to private college students only"/>
    <m/>
    <x v="12"/>
    <m/>
    <m/>
    <m/>
    <m/>
    <m/>
    <m/>
    <m/>
    <m/>
    <n v="0"/>
    <m/>
    <m/>
    <n v="0"/>
    <n v="0"/>
    <n v="0"/>
    <s v="No program(s) of this type? - NO"/>
    <m/>
    <m/>
    <m/>
    <n v="0"/>
    <m/>
    <m/>
    <n v="0"/>
    <m/>
    <m/>
    <m/>
    <m/>
    <n v="0"/>
    <n v="0"/>
  </r>
  <r>
    <x v="6"/>
    <x v="38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6"/>
    <x v="39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0"/>
    <s v="University of Maryland College Park"/>
    <n v="163286"/>
    <x v="0"/>
    <n v="359938647"/>
    <n v="362946847"/>
    <m/>
    <m/>
    <m/>
    <m/>
    <n v="352206077"/>
    <m/>
    <n v="352206077"/>
    <n v="384779949"/>
    <m/>
    <n v="384779949"/>
    <n v="712144724"/>
    <n v="747726796"/>
    <m/>
    <m/>
    <m/>
    <m/>
    <n v="0"/>
    <m/>
    <m/>
    <n v="0"/>
    <m/>
    <m/>
    <m/>
    <m/>
    <n v="712144724"/>
    <n v="747726796"/>
  </r>
  <r>
    <x v="7"/>
    <x v="4"/>
    <s v="Non-Credit Continuing Education"/>
    <n v="163286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5"/>
    <s v="Agricultural cooperative extension"/>
    <n v="163286"/>
    <x v="0"/>
    <m/>
    <m/>
    <n v="19457358"/>
    <n v="20720943"/>
    <m/>
    <m/>
    <m/>
    <m/>
    <n v="0"/>
    <m/>
    <m/>
    <n v="0"/>
    <n v="19457358"/>
    <n v="20720943"/>
    <m/>
    <m/>
    <m/>
    <m/>
    <n v="0"/>
    <m/>
    <m/>
    <n v="0"/>
    <m/>
    <m/>
    <m/>
    <m/>
    <n v="19457358"/>
    <n v="20720943"/>
  </r>
  <r>
    <x v="7"/>
    <x v="6"/>
    <s v="Agricultural experiment stations"/>
    <n v="163286"/>
    <x v="0"/>
    <m/>
    <m/>
    <n v="16777686"/>
    <n v="17611271"/>
    <m/>
    <m/>
    <m/>
    <m/>
    <n v="0"/>
    <m/>
    <m/>
    <n v="0"/>
    <n v="16777686"/>
    <n v="17611271"/>
    <m/>
    <m/>
    <m/>
    <m/>
    <n v="0"/>
    <m/>
    <m/>
    <n v="0"/>
    <m/>
    <m/>
    <m/>
    <m/>
    <n v="16777686"/>
    <n v="17611271"/>
  </r>
  <r>
    <x v="7"/>
    <x v="7"/>
    <s v="Research centers/institutes"/>
    <n v="163286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7"/>
    <s v="Center for Environmental Science"/>
    <n v="163286"/>
    <x v="0"/>
    <m/>
    <m/>
    <n v="17286306"/>
    <n v="17885006"/>
    <m/>
    <m/>
    <m/>
    <m/>
    <n v="0"/>
    <m/>
    <m/>
    <n v="0"/>
    <n v="17286306"/>
    <n v="17885006"/>
    <m/>
    <m/>
    <m/>
    <m/>
    <n v="0"/>
    <m/>
    <m/>
    <n v="0"/>
    <m/>
    <m/>
    <m/>
    <m/>
    <n v="17286306"/>
    <n v="17885006"/>
  </r>
  <r>
    <x v="7"/>
    <x v="7"/>
    <s v="Biotechnology Institute"/>
    <n v="163286"/>
    <x v="0"/>
    <m/>
    <m/>
    <n v="19959625"/>
    <n v="20624785"/>
    <m/>
    <m/>
    <m/>
    <m/>
    <n v="0"/>
    <m/>
    <m/>
    <n v="0"/>
    <n v="19959625"/>
    <n v="20624785"/>
    <m/>
    <m/>
    <m/>
    <m/>
    <n v="0"/>
    <m/>
    <m/>
    <n v="0"/>
    <m/>
    <m/>
    <m/>
    <m/>
    <n v="19959625"/>
    <n v="20624785"/>
  </r>
  <r>
    <x v="7"/>
    <x v="0"/>
    <s v="University of Maryland, Baltimore County"/>
    <n v="163268"/>
    <x v="1"/>
    <n v="84488263"/>
    <n v="91464824"/>
    <m/>
    <m/>
    <m/>
    <m/>
    <n v="86345477"/>
    <m/>
    <n v="86345477"/>
    <n v="87423937"/>
    <m/>
    <n v="87423937"/>
    <n v="170833740"/>
    <n v="178888761"/>
    <m/>
    <m/>
    <m/>
    <m/>
    <n v="0"/>
    <m/>
    <m/>
    <n v="0"/>
    <m/>
    <m/>
    <m/>
    <m/>
    <n v="170833740"/>
    <n v="178888761"/>
  </r>
  <r>
    <x v="7"/>
    <x v="0"/>
    <s v="Morgan State University"/>
    <n v="163453"/>
    <x v="2"/>
    <n v="67634160"/>
    <n v="74711721"/>
    <m/>
    <m/>
    <m/>
    <m/>
    <n v="44494479"/>
    <m/>
    <n v="44494479"/>
    <n v="46738703"/>
    <m/>
    <n v="46738703"/>
    <n v="112128639"/>
    <n v="121450424"/>
    <m/>
    <m/>
    <m/>
    <m/>
    <n v="0"/>
    <m/>
    <m/>
    <n v="0"/>
    <m/>
    <m/>
    <m/>
    <m/>
    <n v="112128639"/>
    <n v="121450424"/>
  </r>
  <r>
    <x v="7"/>
    <x v="0"/>
    <s v="Towson University "/>
    <n v="164076"/>
    <x v="2"/>
    <n v="82442411"/>
    <n v="91384025"/>
    <m/>
    <m/>
    <m/>
    <m/>
    <n v="128785154"/>
    <m/>
    <n v="128785154"/>
    <n v="140604743"/>
    <m/>
    <n v="140604743"/>
    <n v="211227565"/>
    <n v="231988768"/>
    <m/>
    <m/>
    <m/>
    <m/>
    <n v="0"/>
    <m/>
    <m/>
    <n v="0"/>
    <m/>
    <m/>
    <m/>
    <m/>
    <n v="211227565"/>
    <n v="231988768"/>
  </r>
  <r>
    <x v="7"/>
    <x v="0"/>
    <s v="Bowie State University "/>
    <n v="162007"/>
    <x v="3"/>
    <n v="33232339"/>
    <n v="35856960"/>
    <m/>
    <m/>
    <m/>
    <m/>
    <n v="28821334"/>
    <m/>
    <n v="28821334"/>
    <n v="31150722"/>
    <m/>
    <n v="31150722"/>
    <n v="62053673"/>
    <n v="67007682"/>
    <m/>
    <m/>
    <m/>
    <m/>
    <n v="0"/>
    <m/>
    <m/>
    <n v="0"/>
    <m/>
    <m/>
    <m/>
    <m/>
    <n v="62053673"/>
    <n v="67007682"/>
  </r>
  <r>
    <x v="7"/>
    <x v="0"/>
    <s v="Coppin State University"/>
    <n v="162283"/>
    <x v="3"/>
    <n v="31813469"/>
    <n v="35138565"/>
    <m/>
    <m/>
    <m/>
    <m/>
    <n v="14714406"/>
    <m/>
    <n v="14714406"/>
    <n v="15921522"/>
    <m/>
    <n v="15921522"/>
    <n v="46527875"/>
    <n v="51060087"/>
    <m/>
    <m/>
    <m/>
    <m/>
    <n v="0"/>
    <m/>
    <m/>
    <n v="0"/>
    <m/>
    <m/>
    <m/>
    <m/>
    <n v="46527875"/>
    <n v="51060087"/>
  </r>
  <r>
    <x v="7"/>
    <x v="0"/>
    <s v="Frostburg State University "/>
    <n v="162584"/>
    <x v="3"/>
    <n v="31116909"/>
    <n v="33456543"/>
    <m/>
    <m/>
    <m/>
    <m/>
    <n v="28642036"/>
    <m/>
    <n v="28642036"/>
    <n v="29209036"/>
    <m/>
    <n v="29209036"/>
    <n v="59758945"/>
    <n v="62665579"/>
    <m/>
    <m/>
    <m/>
    <m/>
    <n v="0"/>
    <m/>
    <m/>
    <n v="0"/>
    <m/>
    <m/>
    <m/>
    <m/>
    <n v="59758945"/>
    <n v="62665579"/>
  </r>
  <r>
    <x v="7"/>
    <x v="0"/>
    <s v="Salisbury University "/>
    <n v="163851"/>
    <x v="3"/>
    <n v="35018612"/>
    <n v="39649679"/>
    <m/>
    <m/>
    <m/>
    <m/>
    <n v="45413015"/>
    <m/>
    <n v="45413015"/>
    <n v="47626847"/>
    <m/>
    <n v="47626847"/>
    <n v="80431627"/>
    <n v="87276526"/>
    <m/>
    <m/>
    <m/>
    <m/>
    <n v="0"/>
    <m/>
    <m/>
    <n v="0"/>
    <m/>
    <m/>
    <m/>
    <m/>
    <n v="80431627"/>
    <n v="87276526"/>
  </r>
  <r>
    <x v="7"/>
    <x v="0"/>
    <s v="University of Baltimore"/>
    <n v="161873"/>
    <x v="3"/>
    <n v="27843694"/>
    <n v="31380444"/>
    <m/>
    <m/>
    <m/>
    <m/>
    <n v="46074950"/>
    <m/>
    <n v="46074950"/>
    <n v="50358882"/>
    <m/>
    <n v="50358882"/>
    <n v="73918644"/>
    <n v="81739326"/>
    <m/>
    <m/>
    <m/>
    <m/>
    <n v="0"/>
    <m/>
    <m/>
    <n v="0"/>
    <m/>
    <m/>
    <m/>
    <m/>
    <n v="73918644"/>
    <n v="81739326"/>
  </r>
  <r>
    <x v="7"/>
    <x v="0"/>
    <s v="University of Maryland Eastern Shore "/>
    <n v="163338"/>
    <x v="3"/>
    <n v="30876507"/>
    <n v="33037002"/>
    <m/>
    <m/>
    <m/>
    <m/>
    <n v="21511508"/>
    <m/>
    <n v="21511508"/>
    <n v="21806458"/>
    <m/>
    <n v="21806458"/>
    <n v="52388015"/>
    <n v="54843460"/>
    <m/>
    <m/>
    <m/>
    <m/>
    <n v="0"/>
    <m/>
    <m/>
    <n v="0"/>
    <m/>
    <m/>
    <m/>
    <m/>
    <n v="52388015"/>
    <n v="54843460"/>
  </r>
  <r>
    <x v="7"/>
    <x v="0"/>
    <s v="Saint Mary's College of Maryland"/>
    <n v="163912"/>
    <x v="5"/>
    <n v="16367188"/>
    <n v="17050016"/>
    <m/>
    <m/>
    <m/>
    <m/>
    <n v="24933182"/>
    <m/>
    <n v="24933182"/>
    <n v="26264544"/>
    <m/>
    <n v="26264544"/>
    <n v="41300370"/>
    <n v="43314560"/>
    <m/>
    <m/>
    <m/>
    <m/>
    <n v="0"/>
    <m/>
    <m/>
    <n v="0"/>
    <m/>
    <m/>
    <m/>
    <m/>
    <n v="41300370"/>
    <n v="43314560"/>
  </r>
  <r>
    <x v="7"/>
    <x v="0"/>
    <s v="Anne Arundel Community College "/>
    <n v="161767"/>
    <x v="6"/>
    <n v="27297800"/>
    <n v="28989800"/>
    <m/>
    <m/>
    <n v="32539200"/>
    <n v="33822700"/>
    <n v="30153600"/>
    <m/>
    <n v="30153600"/>
    <n v="31558700"/>
    <m/>
    <n v="31558700"/>
    <n v="89990600"/>
    <n v="94371200"/>
    <m/>
    <m/>
    <m/>
    <m/>
    <n v="0"/>
    <m/>
    <m/>
    <n v="0"/>
    <m/>
    <m/>
    <m/>
    <m/>
    <n v="89990600"/>
    <n v="94371200"/>
  </r>
  <r>
    <x v="7"/>
    <x v="0"/>
    <s v="Community College of Baltimore County"/>
    <n v="434672"/>
    <x v="6"/>
    <n v="36714929"/>
    <n v="37430623"/>
    <m/>
    <m/>
    <n v="38532055"/>
    <n v="38532055"/>
    <n v="52626304"/>
    <m/>
    <n v="52626304"/>
    <n v="51962947"/>
    <m/>
    <n v="51962947"/>
    <n v="127873288"/>
    <n v="127925625"/>
    <m/>
    <m/>
    <m/>
    <m/>
    <n v="0"/>
    <m/>
    <m/>
    <n v="0"/>
    <m/>
    <m/>
    <m/>
    <m/>
    <n v="127873288"/>
    <n v="127925625"/>
  </r>
  <r>
    <x v="7"/>
    <x v="0"/>
    <s v="Montgomery College"/>
    <n v="163426"/>
    <x v="6"/>
    <n v="35450901"/>
    <n v="39093760"/>
    <m/>
    <m/>
    <n v="100050360"/>
    <n v="106376153"/>
    <n v="69521531"/>
    <m/>
    <n v="69521531"/>
    <n v="75217231"/>
    <m/>
    <n v="75217231"/>
    <n v="205022792"/>
    <n v="220687144"/>
    <m/>
    <m/>
    <m/>
    <m/>
    <n v="0"/>
    <m/>
    <m/>
    <n v="0"/>
    <m/>
    <m/>
    <m/>
    <m/>
    <n v="205022792"/>
    <n v="220687144"/>
  </r>
  <r>
    <x v="7"/>
    <x v="0"/>
    <s v="Prince George's Community College "/>
    <n v="163657"/>
    <x v="6"/>
    <n v="21905174"/>
    <n v="23683860"/>
    <m/>
    <m/>
    <n v="27789900"/>
    <n v="30484600"/>
    <n v="31700000"/>
    <m/>
    <n v="31700000"/>
    <n v="33604105"/>
    <m/>
    <n v="33604105"/>
    <n v="81395074"/>
    <n v="87772565"/>
    <m/>
    <m/>
    <m/>
    <m/>
    <n v="0"/>
    <m/>
    <m/>
    <n v="0"/>
    <m/>
    <m/>
    <m/>
    <m/>
    <n v="81395074"/>
    <n v="87772565"/>
  </r>
  <r>
    <x v="7"/>
    <x v="0"/>
    <s v="Allegany College of Maryland"/>
    <n v="161688"/>
    <x v="7"/>
    <n v="5671022"/>
    <n v="5959792"/>
    <m/>
    <m/>
    <n v="7175000"/>
    <n v="7425000"/>
    <n v="13325517"/>
    <m/>
    <n v="13325517"/>
    <n v="13888021"/>
    <m/>
    <n v="13888021"/>
    <n v="26171539"/>
    <n v="27272813"/>
    <m/>
    <m/>
    <m/>
    <m/>
    <n v="0"/>
    <m/>
    <m/>
    <n v="0"/>
    <m/>
    <m/>
    <m/>
    <m/>
    <n v="26171539"/>
    <n v="27272813"/>
  </r>
  <r>
    <x v="7"/>
    <x v="0"/>
    <s v="Baltimore City Community College"/>
    <n v="161864"/>
    <x v="7"/>
    <n v="39697646"/>
    <n v="41001037"/>
    <m/>
    <m/>
    <n v="125000"/>
    <n v="125000"/>
    <n v="15823846"/>
    <m/>
    <n v="15823846"/>
    <n v="16284747"/>
    <m/>
    <n v="16284747"/>
    <n v="55646492"/>
    <n v="57410784"/>
    <m/>
    <m/>
    <m/>
    <m/>
    <n v="0"/>
    <m/>
    <m/>
    <n v="0"/>
    <m/>
    <m/>
    <m/>
    <m/>
    <n v="55646492"/>
    <n v="57410784"/>
  </r>
  <r>
    <x v="7"/>
    <x v="0"/>
    <s v="College of Southern Maryland"/>
    <n v="162122"/>
    <x v="7"/>
    <n v="10335229"/>
    <n v="11224135"/>
    <m/>
    <m/>
    <n v="14156175"/>
    <n v="14780791"/>
    <n v="21240931"/>
    <m/>
    <n v="21240931"/>
    <n v="23423440"/>
    <m/>
    <n v="23423440"/>
    <n v="45732335"/>
    <n v="49428366"/>
    <m/>
    <m/>
    <m/>
    <m/>
    <n v="0"/>
    <m/>
    <m/>
    <n v="0"/>
    <m/>
    <m/>
    <m/>
    <m/>
    <n v="45732335"/>
    <n v="49428366"/>
  </r>
  <r>
    <x v="7"/>
    <x v="0"/>
    <s v="Frederick Community College "/>
    <n v="162557"/>
    <x v="7"/>
    <n v="7561470"/>
    <n v="8312312"/>
    <m/>
    <m/>
    <n v="13664801"/>
    <n v="14654046"/>
    <n v="12429043"/>
    <m/>
    <n v="12429043"/>
    <n v="13198437"/>
    <m/>
    <n v="13198437"/>
    <n v="33655314"/>
    <n v="36164795"/>
    <m/>
    <m/>
    <m/>
    <m/>
    <n v="0"/>
    <m/>
    <m/>
    <n v="0"/>
    <m/>
    <m/>
    <m/>
    <m/>
    <n v="33655314"/>
    <n v="36164795"/>
  </r>
  <r>
    <x v="7"/>
    <x v="0"/>
    <s v="Hagerstown Community College "/>
    <n v="162690"/>
    <x v="7"/>
    <n v="7081056"/>
    <n v="10218796"/>
    <m/>
    <m/>
    <n v="7942580"/>
    <n v="8697128"/>
    <n v="11401823"/>
    <m/>
    <n v="11401823"/>
    <n v="12462526"/>
    <m/>
    <n v="12462526"/>
    <n v="26425459"/>
    <n v="31378450"/>
    <m/>
    <m/>
    <m/>
    <m/>
    <n v="0"/>
    <m/>
    <m/>
    <n v="0"/>
    <m/>
    <m/>
    <m/>
    <m/>
    <n v="26425459"/>
    <n v="31378450"/>
  </r>
  <r>
    <x v="7"/>
    <x v="0"/>
    <s v="Harford Community College "/>
    <n v="162706"/>
    <x v="7"/>
    <n v="9708829"/>
    <n v="10540258"/>
    <m/>
    <m/>
    <n v="15778743"/>
    <n v="16778743"/>
    <n v="11703296"/>
    <m/>
    <n v="11703296"/>
    <n v="12570000"/>
    <m/>
    <n v="12570000"/>
    <n v="37190868"/>
    <n v="39889001"/>
    <m/>
    <m/>
    <m/>
    <m/>
    <n v="0"/>
    <m/>
    <m/>
    <n v="0"/>
    <m/>
    <m/>
    <m/>
    <m/>
    <n v="37190868"/>
    <n v="39889001"/>
  </r>
  <r>
    <x v="7"/>
    <x v="0"/>
    <s v="Howard Community College "/>
    <n v="162779"/>
    <x v="7"/>
    <n v="11617946"/>
    <n v="12869489"/>
    <m/>
    <m/>
    <n v="23635010"/>
    <n v="25195470"/>
    <n v="25147223"/>
    <m/>
    <n v="25147223"/>
    <n v="28392032"/>
    <m/>
    <n v="28392032"/>
    <n v="60400179"/>
    <n v="66456991"/>
    <m/>
    <m/>
    <m/>
    <m/>
    <n v="0"/>
    <m/>
    <m/>
    <n v="0"/>
    <m/>
    <m/>
    <m/>
    <m/>
    <n v="60400179"/>
    <n v="66456991"/>
  </r>
  <r>
    <x v="7"/>
    <x v="0"/>
    <s v="Carroll Community College"/>
    <n v="405872"/>
    <x v="8"/>
    <n v="6880783"/>
    <n v="7260498"/>
    <m/>
    <m/>
    <n v="7655930"/>
    <n v="8120400"/>
    <n v="7995480"/>
    <m/>
    <n v="7995480"/>
    <n v="9263485"/>
    <m/>
    <n v="9263485"/>
    <n v="22532193"/>
    <n v="24644383"/>
    <m/>
    <m/>
    <m/>
    <m/>
    <n v="0"/>
    <m/>
    <m/>
    <n v="0"/>
    <m/>
    <m/>
    <m/>
    <m/>
    <n v="22532193"/>
    <n v="24644383"/>
  </r>
  <r>
    <x v="7"/>
    <x v="0"/>
    <s v="Cecil Community College "/>
    <n v="162104"/>
    <x v="8"/>
    <n v="4646863"/>
    <n v="5005534"/>
    <m/>
    <m/>
    <n v="7607625"/>
    <n v="8101100"/>
    <n v="5761889"/>
    <m/>
    <n v="5761889"/>
    <n v="6233121"/>
    <m/>
    <n v="6233121"/>
    <n v="18016377"/>
    <n v="19339755"/>
    <m/>
    <m/>
    <m/>
    <m/>
    <n v="0"/>
    <m/>
    <m/>
    <n v="0"/>
    <m/>
    <m/>
    <m/>
    <m/>
    <n v="18016377"/>
    <n v="19339755"/>
  </r>
  <r>
    <x v="7"/>
    <x v="0"/>
    <s v="Chesapeake College "/>
    <n v="162168"/>
    <x v="8"/>
    <n v="5696065"/>
    <n v="6038137"/>
    <m/>
    <m/>
    <n v="5770187"/>
    <n v="5885589"/>
    <n v="5864807"/>
    <m/>
    <n v="5864807"/>
    <n v="6201411"/>
    <m/>
    <n v="6201411"/>
    <n v="17331059"/>
    <n v="18125137"/>
    <m/>
    <m/>
    <m/>
    <m/>
    <n v="0"/>
    <m/>
    <m/>
    <n v="0"/>
    <m/>
    <m/>
    <m/>
    <m/>
    <n v="17331059"/>
    <n v="18125137"/>
  </r>
  <r>
    <x v="7"/>
    <x v="0"/>
    <s v="Garrett College "/>
    <n v="162609"/>
    <x v="8"/>
    <n v="3277000"/>
    <n v="3609700"/>
    <m/>
    <m/>
    <n v="4134000"/>
    <n v="4376000"/>
    <n v="2707069"/>
    <m/>
    <n v="2707069"/>
    <n v="2857095"/>
    <m/>
    <n v="2857095"/>
    <n v="10118069"/>
    <n v="10842795"/>
    <m/>
    <m/>
    <m/>
    <m/>
    <n v="0"/>
    <m/>
    <m/>
    <n v="0"/>
    <m/>
    <m/>
    <m/>
    <m/>
    <n v="10118069"/>
    <n v="10842795"/>
  </r>
  <r>
    <x v="7"/>
    <x v="0"/>
    <s v="Wor-Wic Community College "/>
    <n v="164313"/>
    <x v="8"/>
    <n v="6712439"/>
    <n v="7199326"/>
    <m/>
    <m/>
    <n v="5787888"/>
    <n v="6075641"/>
    <n v="7142918"/>
    <m/>
    <n v="7142918"/>
    <n v="7922754"/>
    <m/>
    <n v="7922754"/>
    <n v="19643245"/>
    <n v="21197721"/>
    <m/>
    <m/>
    <m/>
    <m/>
    <n v="0"/>
    <m/>
    <m/>
    <n v="0"/>
    <m/>
    <m/>
    <m/>
    <m/>
    <n v="19643245"/>
    <n v="21197721"/>
  </r>
  <r>
    <x v="7"/>
    <x v="9"/>
    <s v="University of Maryland University College"/>
    <n v="163204"/>
    <x v="11"/>
    <m/>
    <m/>
    <m/>
    <m/>
    <m/>
    <m/>
    <m/>
    <m/>
    <n v="0"/>
    <m/>
    <m/>
    <n v="0"/>
    <n v="0"/>
    <n v="0"/>
    <n v="24691418"/>
    <n v="24933101"/>
    <n v="222457982"/>
    <m/>
    <n v="222457982"/>
    <n v="219194268"/>
    <m/>
    <n v="219194268"/>
    <m/>
    <m/>
    <m/>
    <m/>
    <n v="247149400"/>
    <n v="244127369"/>
  </r>
  <r>
    <x v="7"/>
    <x v="41"/>
    <s v="University of Maryland at Baltimore"/>
    <n v="163259"/>
    <x v="11"/>
    <m/>
    <m/>
    <m/>
    <m/>
    <m/>
    <m/>
    <m/>
    <m/>
    <n v="0"/>
    <m/>
    <m/>
    <n v="0"/>
    <n v="0"/>
    <n v="0"/>
    <m/>
    <m/>
    <m/>
    <m/>
    <n v="0"/>
    <m/>
    <m/>
    <n v="0"/>
    <n v="170642031"/>
    <n v="175542673"/>
    <n v="81435855"/>
    <n v="86882441"/>
    <n v="252077886"/>
    <n v="262425114"/>
  </r>
  <r>
    <x v="7"/>
    <x v="13"/>
    <s v="Education special purpose funds — all other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13"/>
    <s v="Community College Statewide Programs"/>
    <m/>
    <x v="12"/>
    <m/>
    <m/>
    <n v="5335830"/>
    <n v="4747806"/>
    <m/>
    <m/>
    <m/>
    <m/>
    <n v="0"/>
    <m/>
    <m/>
    <n v="0"/>
    <n v="5335830"/>
    <n v="4747806"/>
    <m/>
    <m/>
    <m/>
    <m/>
    <n v="0"/>
    <m/>
    <m/>
    <n v="0"/>
    <m/>
    <m/>
    <m/>
    <m/>
    <n v="5335830"/>
    <n v="4747806"/>
  </r>
  <r>
    <x v="7"/>
    <x v="13"/>
    <s v="Welcome Grants"/>
    <m/>
    <x v="12"/>
    <m/>
    <m/>
    <n v="200000"/>
    <n v="160000"/>
    <m/>
    <m/>
    <m/>
    <m/>
    <n v="0"/>
    <m/>
    <m/>
    <n v="0"/>
    <n v="200000"/>
    <n v="160000"/>
    <m/>
    <m/>
    <m/>
    <m/>
    <n v="0"/>
    <m/>
    <m/>
    <n v="0"/>
    <m/>
    <m/>
    <m/>
    <m/>
    <n v="200000"/>
    <n v="160000"/>
  </r>
  <r>
    <x v="7"/>
    <x v="13"/>
    <s v="Other Race Grants"/>
    <m/>
    <x v="12"/>
    <m/>
    <m/>
    <n v="180000"/>
    <n v="130000"/>
    <m/>
    <m/>
    <m/>
    <m/>
    <n v="0"/>
    <m/>
    <m/>
    <n v="0"/>
    <n v="180000"/>
    <n v="130000"/>
    <m/>
    <m/>
    <m/>
    <m/>
    <n v="0"/>
    <m/>
    <m/>
    <n v="0"/>
    <m/>
    <m/>
    <m/>
    <m/>
    <n v="180000"/>
    <n v="130000"/>
  </r>
  <r>
    <x v="7"/>
    <x v="14"/>
    <s v="Statewide System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15"/>
    <s v="Colleges and universiti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15"/>
    <s v="Univ MD System Adm"/>
    <m/>
    <x v="12"/>
    <m/>
    <m/>
    <m/>
    <m/>
    <m/>
    <m/>
    <m/>
    <m/>
    <n v="0"/>
    <m/>
    <m/>
    <n v="0"/>
    <n v="0"/>
    <n v="0"/>
    <n v="10094747"/>
    <n v="10418831"/>
    <m/>
    <m/>
    <n v="0"/>
    <m/>
    <m/>
    <n v="0"/>
    <m/>
    <m/>
    <m/>
    <m/>
    <n v="10094747"/>
    <n v="10418831"/>
  </r>
  <r>
    <x v="7"/>
    <x v="15"/>
    <s v="Md Commission on Higher Education"/>
    <m/>
    <x v="12"/>
    <m/>
    <m/>
    <m/>
    <m/>
    <m/>
    <m/>
    <m/>
    <m/>
    <n v="0"/>
    <m/>
    <m/>
    <n v="0"/>
    <n v="0"/>
    <n v="0"/>
    <n v="4773971"/>
    <n v="4753266"/>
    <m/>
    <m/>
    <n v="0"/>
    <m/>
    <m/>
    <n v="0"/>
    <m/>
    <m/>
    <m/>
    <m/>
    <n v="4773971"/>
    <n v="4753266"/>
  </r>
  <r>
    <x v="7"/>
    <x v="17"/>
    <s v="National or regional associations, compacts or consortia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17"/>
    <s v="SREB"/>
    <m/>
    <x v="12"/>
    <m/>
    <m/>
    <m/>
    <m/>
    <m/>
    <m/>
    <m/>
    <m/>
    <n v="0"/>
    <m/>
    <m/>
    <n v="0"/>
    <n v="0"/>
    <n v="0"/>
    <n v="195900"/>
    <n v="195900"/>
    <m/>
    <m/>
    <n v="0"/>
    <m/>
    <m/>
    <n v="0"/>
    <m/>
    <m/>
    <m/>
    <m/>
    <n v="195900"/>
    <n v="195900"/>
  </r>
  <r>
    <x v="7"/>
    <x v="18"/>
    <s v="Adm. of Statewide Student Aid Progs. (incldng centralized guaranteed student loans)"/>
    <m/>
    <x v="12"/>
    <m/>
    <m/>
    <m/>
    <m/>
    <m/>
    <m/>
    <m/>
    <m/>
    <n v="0"/>
    <m/>
    <m/>
    <n v="0"/>
    <n v="0"/>
    <n v="0"/>
    <n v="1374933"/>
    <n v="1179264"/>
    <m/>
    <m/>
    <n v="0"/>
    <m/>
    <m/>
    <n v="0"/>
    <m/>
    <m/>
    <m/>
    <m/>
    <n v="1374933"/>
    <n v="1179264"/>
  </r>
  <r>
    <x v="7"/>
    <x v="19"/>
    <s v="State Support to Private Colleges Other Than Student Aid"/>
    <m/>
    <x v="12"/>
    <m/>
    <m/>
    <m/>
    <m/>
    <m/>
    <m/>
    <m/>
    <m/>
    <n v="0"/>
    <m/>
    <m/>
    <n v="0"/>
    <n v="0"/>
    <n v="0"/>
    <n v="56051065"/>
    <n v="50445959"/>
    <m/>
    <m/>
    <n v="0"/>
    <m/>
    <m/>
    <n v="0"/>
    <m/>
    <m/>
    <m/>
    <m/>
    <n v="56051065"/>
    <n v="50445959"/>
  </r>
  <r>
    <x v="7"/>
    <x v="20"/>
    <s v="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1"/>
    <s v="SREB contract program with private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2"/>
    <s v="SREB contract program with public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3"/>
    <s v="Other 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4"/>
    <s v="Statewide Student Financial Aid Programs Administered Off Campu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5"/>
    <s v="Available to public &amp;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5"/>
    <s v="Campus-Based Educational Assistance Grant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6"/>
    <s v="Need-based"/>
    <m/>
    <x v="12"/>
    <m/>
    <m/>
    <m/>
    <m/>
    <m/>
    <m/>
    <m/>
    <m/>
    <n v="0"/>
    <m/>
    <m/>
    <n v="0"/>
    <n v="0"/>
    <n v="0"/>
    <n v="3000"/>
    <m/>
    <m/>
    <m/>
    <n v="0"/>
    <m/>
    <m/>
    <n v="0"/>
    <m/>
    <m/>
    <m/>
    <m/>
    <n v="3000"/>
    <n v="0"/>
  </r>
  <r>
    <x v="7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n v="4472600"/>
    <n v="2651714"/>
    <m/>
    <m/>
    <n v="0"/>
    <m/>
    <m/>
    <n v="0"/>
    <m/>
    <m/>
    <m/>
    <m/>
    <n v="4472600"/>
    <n v="2651714"/>
  </r>
  <r>
    <x v="7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n v="529400"/>
    <n v="348286"/>
    <m/>
    <m/>
    <n v="0"/>
    <m/>
    <m/>
    <n v="0"/>
    <m/>
    <m/>
    <m/>
    <m/>
    <n v="529400"/>
    <n v="348286"/>
  </r>
  <r>
    <x v="7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5"/>
    <s v="Part-Time Grant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n v="5731026"/>
    <n v="5721599"/>
    <m/>
    <m/>
    <n v="0"/>
    <m/>
    <m/>
    <n v="0"/>
    <m/>
    <m/>
    <m/>
    <m/>
    <n v="5731026"/>
    <n v="5721599"/>
  </r>
  <r>
    <x v="7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n v="268975"/>
    <n v="278401"/>
    <m/>
    <m/>
    <n v="0"/>
    <m/>
    <m/>
    <n v="0"/>
    <m/>
    <m/>
    <m/>
    <m/>
    <n v="268975"/>
    <n v="278401"/>
  </r>
  <r>
    <x v="7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5"/>
    <s v="Early College Access Grant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n v="120211"/>
    <n v="120211"/>
    <m/>
    <m/>
    <n v="0"/>
    <m/>
    <m/>
    <n v="0"/>
    <m/>
    <m/>
    <m/>
    <m/>
    <n v="120211"/>
    <n v="120211"/>
  </r>
  <r>
    <x v="7"/>
    <x v="27"/>
    <s v="Non need-based"/>
    <m/>
    <x v="12"/>
    <m/>
    <m/>
    <m/>
    <m/>
    <m/>
    <m/>
    <m/>
    <m/>
    <n v="0"/>
    <m/>
    <m/>
    <n v="0"/>
    <n v="0"/>
    <n v="0"/>
    <s v="Can there be awards to private sector students; there just happen to be none?"/>
    <m/>
    <m/>
    <m/>
    <n v="0"/>
    <m/>
    <m/>
    <n v="0"/>
    <m/>
    <m/>
    <m/>
    <m/>
    <n v="0"/>
    <n v="0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5"/>
    <s v="Graduate and Professional Scholarship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n v="1420483"/>
    <n v="1419061"/>
    <m/>
    <m/>
    <n v="0"/>
    <m/>
    <m/>
    <n v="0"/>
    <m/>
    <m/>
    <m/>
    <m/>
    <n v="1420483"/>
    <n v="1419061"/>
  </r>
  <r>
    <x v="7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n v="79517"/>
    <n v="80939"/>
    <m/>
    <m/>
    <n v="0"/>
    <m/>
    <m/>
    <n v="0"/>
    <m/>
    <m/>
    <m/>
    <m/>
    <n v="79517"/>
    <n v="80939"/>
  </r>
  <r>
    <x v="7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5"/>
    <s v="Educational Excellence Award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n v="58959310"/>
    <n v="59877475.549999997"/>
    <m/>
    <m/>
    <n v="0"/>
    <m/>
    <m/>
    <n v="0"/>
    <m/>
    <m/>
    <m/>
    <m/>
    <n v="58959310"/>
    <n v="59877475.549999997"/>
  </r>
  <r>
    <x v="7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n v="15555100"/>
    <n v="14382410"/>
    <m/>
    <m/>
    <n v="0"/>
    <m/>
    <m/>
    <n v="0"/>
    <m/>
    <m/>
    <m/>
    <m/>
    <n v="15555100"/>
    <n v="14382410"/>
  </r>
  <r>
    <x v="7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5"/>
    <s v="Senatorial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6"/>
    <s v="Need-based"/>
    <m/>
    <x v="12"/>
    <m/>
    <m/>
    <m/>
    <m/>
    <m/>
    <m/>
    <m/>
    <m/>
    <n v="0"/>
    <m/>
    <m/>
    <n v="0"/>
    <n v="0"/>
    <n v="0"/>
    <n v="112050"/>
    <m/>
    <m/>
    <m/>
    <n v="0"/>
    <m/>
    <m/>
    <n v="0"/>
    <m/>
    <m/>
    <m/>
    <m/>
    <n v="112050"/>
    <n v="0"/>
  </r>
  <r>
    <x v="7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n v="4685200"/>
    <n v="5212680"/>
    <m/>
    <m/>
    <n v="0"/>
    <m/>
    <m/>
    <n v="0"/>
    <m/>
    <m/>
    <m/>
    <m/>
    <n v="4685200"/>
    <n v="5212680"/>
  </r>
  <r>
    <x v="7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n v="971775"/>
    <n v="1036650"/>
    <m/>
    <m/>
    <n v="0"/>
    <m/>
    <m/>
    <n v="0"/>
    <m/>
    <m/>
    <m/>
    <m/>
    <n v="971775"/>
    <n v="1036650"/>
  </r>
  <r>
    <x v="7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5"/>
    <s v="Edward Conroy Grant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0"/>
    <s v="Non-need based"/>
    <m/>
    <x v="12"/>
    <m/>
    <m/>
    <m/>
    <m/>
    <m/>
    <m/>
    <m/>
    <m/>
    <n v="0"/>
    <m/>
    <m/>
    <n v="0"/>
    <n v="0"/>
    <n v="0"/>
    <n v="508138"/>
    <n v="549003"/>
    <m/>
    <m/>
    <n v="0"/>
    <m/>
    <m/>
    <n v="0"/>
    <m/>
    <m/>
    <m/>
    <m/>
    <n v="508138"/>
    <n v="549003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3"/>
    <s v="Non-need based"/>
    <m/>
    <x v="12"/>
    <m/>
    <m/>
    <m/>
    <m/>
    <m/>
    <m/>
    <m/>
    <m/>
    <n v="0"/>
    <m/>
    <m/>
    <n v="0"/>
    <n v="0"/>
    <n v="0"/>
    <n v="98499"/>
    <n v="118722"/>
    <m/>
    <m/>
    <n v="0"/>
    <m/>
    <m/>
    <n v="0"/>
    <m/>
    <m/>
    <m/>
    <m/>
    <n v="98499"/>
    <n v="118722"/>
  </r>
  <r>
    <x v="7"/>
    <x v="25"/>
    <s v="Delegate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6"/>
    <s v="Need-based"/>
    <m/>
    <x v="12"/>
    <m/>
    <m/>
    <m/>
    <m/>
    <m/>
    <m/>
    <m/>
    <m/>
    <n v="0"/>
    <m/>
    <m/>
    <n v="0"/>
    <n v="0"/>
    <n v="0"/>
    <n v="156817"/>
    <m/>
    <m/>
    <m/>
    <n v="0"/>
    <m/>
    <m/>
    <n v="0"/>
    <m/>
    <m/>
    <m/>
    <m/>
    <n v="156817"/>
    <n v="0"/>
  </r>
  <r>
    <x v="7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0"/>
    <s v="Non-need based"/>
    <m/>
    <x v="12"/>
    <m/>
    <m/>
    <m/>
    <m/>
    <m/>
    <m/>
    <m/>
    <m/>
    <n v="0"/>
    <m/>
    <m/>
    <n v="0"/>
    <n v="0"/>
    <n v="0"/>
    <n v="3818321"/>
    <n v="3793673"/>
    <m/>
    <m/>
    <n v="0"/>
    <m/>
    <m/>
    <n v="0"/>
    <m/>
    <m/>
    <m/>
    <m/>
    <n v="3818321"/>
    <n v="3793673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3"/>
    <s v="Non-need based"/>
    <m/>
    <x v="12"/>
    <m/>
    <m/>
    <m/>
    <m/>
    <m/>
    <m/>
    <m/>
    <m/>
    <n v="0"/>
    <m/>
    <m/>
    <n v="0"/>
    <n v="0"/>
    <n v="0"/>
    <n v="752719"/>
    <n v="734961"/>
    <m/>
    <m/>
    <n v="0"/>
    <m/>
    <m/>
    <n v="0"/>
    <m/>
    <m/>
    <m/>
    <m/>
    <n v="752719"/>
    <n v="734961"/>
  </r>
  <r>
    <x v="7"/>
    <x v="25"/>
    <s v="Firemen's Tuition Reimbursement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0"/>
    <s v="Non-need based"/>
    <m/>
    <x v="12"/>
    <m/>
    <m/>
    <m/>
    <m/>
    <m/>
    <m/>
    <m/>
    <m/>
    <n v="0"/>
    <m/>
    <m/>
    <n v="0"/>
    <n v="0"/>
    <n v="0"/>
    <n v="327490"/>
    <n v="377616"/>
    <m/>
    <m/>
    <n v="0"/>
    <m/>
    <m/>
    <n v="0"/>
    <m/>
    <m/>
    <m/>
    <m/>
    <n v="327490"/>
    <n v="377616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3"/>
    <s v="Non-need based"/>
    <m/>
    <x v="12"/>
    <m/>
    <m/>
    <m/>
    <m/>
    <m/>
    <m/>
    <m/>
    <m/>
    <n v="0"/>
    <m/>
    <m/>
    <n v="0"/>
    <n v="0"/>
    <n v="0"/>
    <n v="2559"/>
    <n v="0"/>
    <m/>
    <m/>
    <n v="0"/>
    <m/>
    <m/>
    <n v="0"/>
    <m/>
    <m/>
    <m/>
    <m/>
    <n v="2559"/>
    <n v="0"/>
  </r>
  <r>
    <x v="7"/>
    <x v="25"/>
    <s v="Distinguished Scholar Awar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0"/>
    <s v="Non-need based"/>
    <m/>
    <x v="12"/>
    <m/>
    <m/>
    <m/>
    <m/>
    <m/>
    <m/>
    <m/>
    <m/>
    <n v="0"/>
    <m/>
    <m/>
    <n v="0"/>
    <n v="0"/>
    <n v="0"/>
    <n v="2805750"/>
    <n v="2903000"/>
    <m/>
    <m/>
    <n v="0"/>
    <m/>
    <m/>
    <n v="0"/>
    <m/>
    <m/>
    <m/>
    <m/>
    <n v="2805750"/>
    <n v="2903000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3"/>
    <s v="Non-need based"/>
    <m/>
    <x v="12"/>
    <m/>
    <m/>
    <m/>
    <m/>
    <m/>
    <m/>
    <m/>
    <m/>
    <n v="0"/>
    <m/>
    <m/>
    <n v="0"/>
    <n v="0"/>
    <n v="0"/>
    <n v="777000"/>
    <n v="765000"/>
    <m/>
    <m/>
    <n v="0"/>
    <m/>
    <m/>
    <n v="0"/>
    <m/>
    <m/>
    <m/>
    <m/>
    <n v="777000"/>
    <n v="765000"/>
  </r>
  <r>
    <x v="7"/>
    <x v="25"/>
    <s v="Jack F. Tolbert Memorial Student Grant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s v="Can there be awards to public sector students; there just happen to be none?"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0"/>
    <s v="Non-need 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n v="149000"/>
    <n v="111000"/>
    <m/>
    <m/>
    <n v="0"/>
    <m/>
    <m/>
    <n v="0"/>
    <m/>
    <m/>
    <m/>
    <m/>
    <n v="149000"/>
    <n v="111000"/>
  </r>
  <r>
    <x v="7"/>
    <x v="33"/>
    <s v="Non-need 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5"/>
    <s v="Sharon Christa McAuliffe Memorial Teacher Awar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0"/>
    <s v="Non-need based"/>
    <m/>
    <x v="12"/>
    <m/>
    <m/>
    <m/>
    <m/>
    <m/>
    <m/>
    <m/>
    <m/>
    <n v="0"/>
    <m/>
    <m/>
    <n v="0"/>
    <n v="0"/>
    <n v="0"/>
    <n v="147223"/>
    <n v="0"/>
    <m/>
    <m/>
    <n v="0"/>
    <m/>
    <m/>
    <n v="0"/>
    <m/>
    <m/>
    <m/>
    <m/>
    <n v="147223"/>
    <n v="0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3"/>
    <s v="Non-need based"/>
    <m/>
    <x v="12"/>
    <m/>
    <m/>
    <m/>
    <m/>
    <m/>
    <m/>
    <m/>
    <m/>
    <n v="0"/>
    <m/>
    <m/>
    <n v="0"/>
    <n v="0"/>
    <n v="0"/>
    <n v="66885"/>
    <n v="16830"/>
    <m/>
    <m/>
    <n v="0"/>
    <m/>
    <m/>
    <n v="0"/>
    <m/>
    <m/>
    <m/>
    <m/>
    <n v="66885"/>
    <n v="16830"/>
  </r>
  <r>
    <x v="7"/>
    <x v="25"/>
    <s v="Distinguished Scholar Teacher Education Awar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0"/>
    <s v="Non-need based"/>
    <m/>
    <x v="12"/>
    <m/>
    <m/>
    <m/>
    <m/>
    <m/>
    <m/>
    <m/>
    <m/>
    <n v="0"/>
    <m/>
    <m/>
    <n v="0"/>
    <n v="0"/>
    <n v="0"/>
    <n v="34500"/>
    <n v="15000"/>
    <m/>
    <m/>
    <n v="0"/>
    <m/>
    <m/>
    <n v="0"/>
    <m/>
    <m/>
    <m/>
    <m/>
    <n v="34500"/>
    <n v="15000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3"/>
    <s v="Non-need based"/>
    <m/>
    <x v="12"/>
    <m/>
    <m/>
    <m/>
    <m/>
    <m/>
    <m/>
    <m/>
    <m/>
    <n v="0"/>
    <m/>
    <m/>
    <n v="0"/>
    <n v="0"/>
    <n v="0"/>
    <n v="12000"/>
    <n v="4500"/>
    <m/>
    <m/>
    <n v="0"/>
    <m/>
    <m/>
    <n v="0"/>
    <m/>
    <m/>
    <m/>
    <m/>
    <n v="12000"/>
    <n v="4500"/>
  </r>
  <r>
    <x v="7"/>
    <x v="25"/>
    <s v="State Nursing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0"/>
    <s v="Non-need based"/>
    <m/>
    <x v="12"/>
    <m/>
    <m/>
    <m/>
    <m/>
    <m/>
    <m/>
    <m/>
    <m/>
    <n v="0"/>
    <m/>
    <m/>
    <n v="0"/>
    <n v="0"/>
    <n v="0"/>
    <n v="742310"/>
    <n v="119338"/>
    <m/>
    <m/>
    <n v="0"/>
    <m/>
    <m/>
    <n v="0"/>
    <m/>
    <m/>
    <m/>
    <m/>
    <n v="742310"/>
    <n v="119338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3"/>
    <s v="Non-need based"/>
    <m/>
    <x v="12"/>
    <m/>
    <m/>
    <m/>
    <m/>
    <m/>
    <m/>
    <m/>
    <m/>
    <n v="0"/>
    <m/>
    <m/>
    <n v="0"/>
    <n v="0"/>
    <n v="0"/>
    <n v="217500"/>
    <n v="96000"/>
    <m/>
    <m/>
    <n v="0"/>
    <m/>
    <m/>
    <n v="0"/>
    <m/>
    <m/>
    <m/>
    <m/>
    <n v="217500"/>
    <n v="96000"/>
  </r>
  <r>
    <x v="7"/>
    <x v="25"/>
    <s v="Physical and Occupational Therapists and Assistants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0"/>
    <s v="Non-need based"/>
    <m/>
    <x v="12"/>
    <m/>
    <m/>
    <m/>
    <m/>
    <m/>
    <m/>
    <m/>
    <m/>
    <n v="0"/>
    <m/>
    <m/>
    <n v="0"/>
    <n v="0"/>
    <n v="0"/>
    <n v="8000"/>
    <n v="2000"/>
    <m/>
    <m/>
    <n v="0"/>
    <m/>
    <m/>
    <n v="0"/>
    <m/>
    <m/>
    <m/>
    <m/>
    <n v="8000"/>
    <n v="2000"/>
  </r>
  <r>
    <x v="7"/>
    <x v="31"/>
    <s v="Amount to private sector students"/>
    <m/>
    <x v="12"/>
    <m/>
    <m/>
    <m/>
    <m/>
    <m/>
    <m/>
    <m/>
    <m/>
    <n v="0"/>
    <m/>
    <m/>
    <n v="0"/>
    <n v="0"/>
    <n v="0"/>
    <s v="Can there be awards to private sector students; there just happen to be none?"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3"/>
    <s v="Non-need 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5"/>
    <s v="Child Care Providers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0"/>
    <s v="Non-need based"/>
    <m/>
    <x v="12"/>
    <m/>
    <m/>
    <m/>
    <m/>
    <m/>
    <m/>
    <m/>
    <m/>
    <n v="0"/>
    <m/>
    <m/>
    <n v="0"/>
    <n v="0"/>
    <n v="0"/>
    <n v="23125"/>
    <n v="9000"/>
    <m/>
    <m/>
    <n v="0"/>
    <m/>
    <m/>
    <n v="0"/>
    <m/>
    <m/>
    <m/>
    <m/>
    <n v="23125"/>
    <n v="9000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3"/>
    <s v="Non-need based"/>
    <m/>
    <x v="12"/>
    <m/>
    <m/>
    <m/>
    <m/>
    <m/>
    <m/>
    <m/>
    <m/>
    <n v="0"/>
    <m/>
    <m/>
    <n v="0"/>
    <n v="0"/>
    <n v="0"/>
    <n v="4000"/>
    <n v="1500"/>
    <m/>
    <m/>
    <n v="0"/>
    <m/>
    <m/>
    <n v="0"/>
    <m/>
    <m/>
    <m/>
    <m/>
    <n v="4000"/>
    <n v="1500"/>
  </r>
  <r>
    <x v="7"/>
    <x v="25"/>
    <s v="Maryland Teacher Scholarship (Hope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0"/>
    <s v="Non-need based"/>
    <m/>
    <x v="12"/>
    <m/>
    <m/>
    <m/>
    <m/>
    <m/>
    <m/>
    <m/>
    <m/>
    <n v="0"/>
    <m/>
    <m/>
    <n v="0"/>
    <n v="0"/>
    <n v="0"/>
    <n v="47500"/>
    <n v="0"/>
    <m/>
    <m/>
    <n v="0"/>
    <m/>
    <m/>
    <n v="0"/>
    <m/>
    <m/>
    <m/>
    <m/>
    <n v="47500"/>
    <n v="0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3"/>
    <s v="Non-need based"/>
    <m/>
    <x v="12"/>
    <m/>
    <m/>
    <m/>
    <m/>
    <m/>
    <m/>
    <m/>
    <m/>
    <n v="0"/>
    <m/>
    <m/>
    <n v="0"/>
    <n v="0"/>
    <n v="0"/>
    <n v="2500"/>
    <n v="0"/>
    <m/>
    <m/>
    <n v="0"/>
    <m/>
    <m/>
    <n v="0"/>
    <m/>
    <m/>
    <m/>
    <m/>
    <n v="2500"/>
    <n v="0"/>
  </r>
  <r>
    <x v="7"/>
    <x v="25"/>
    <s v="General Hope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0"/>
    <s v="Non-need based"/>
    <m/>
    <x v="12"/>
    <m/>
    <m/>
    <m/>
    <m/>
    <m/>
    <m/>
    <m/>
    <m/>
    <n v="0"/>
    <m/>
    <m/>
    <n v="0"/>
    <n v="0"/>
    <n v="0"/>
    <n v="3000"/>
    <n v="0"/>
    <m/>
    <m/>
    <n v="0"/>
    <m/>
    <m/>
    <n v="0"/>
    <m/>
    <m/>
    <m/>
    <m/>
    <n v="3000"/>
    <n v="0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3"/>
    <s v="Non-need 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5"/>
    <s v="Developmental Disabilities, Mental Health, Child Welfare, and Juvenile Justice Workforce Tuition Assistance Program 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0"/>
    <s v="Non-need based"/>
    <m/>
    <x v="12"/>
    <m/>
    <m/>
    <m/>
    <m/>
    <m/>
    <m/>
    <m/>
    <m/>
    <n v="0"/>
    <m/>
    <m/>
    <n v="0"/>
    <n v="0"/>
    <n v="0"/>
    <n v="239450"/>
    <n v="41700"/>
    <m/>
    <m/>
    <n v="0"/>
    <m/>
    <m/>
    <n v="0"/>
    <m/>
    <m/>
    <m/>
    <m/>
    <n v="239450"/>
    <n v="41700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3"/>
    <s v="Non-need based"/>
    <m/>
    <x v="12"/>
    <m/>
    <m/>
    <m/>
    <m/>
    <m/>
    <m/>
    <m/>
    <m/>
    <n v="0"/>
    <m/>
    <m/>
    <n v="0"/>
    <n v="0"/>
    <n v="0"/>
    <n v="49750"/>
    <n v="8400"/>
    <m/>
    <m/>
    <n v="0"/>
    <m/>
    <m/>
    <n v="0"/>
    <m/>
    <m/>
    <m/>
    <m/>
    <n v="49750"/>
    <n v="8400"/>
  </r>
  <r>
    <x v="7"/>
    <x v="25"/>
    <s v="William Donald Schaefer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0"/>
    <s v="Non-need based"/>
    <m/>
    <x v="12"/>
    <m/>
    <m/>
    <m/>
    <m/>
    <m/>
    <m/>
    <m/>
    <m/>
    <n v="0"/>
    <m/>
    <m/>
    <n v="0"/>
    <n v="0"/>
    <n v="0"/>
    <n v="105567"/>
    <n v="26934"/>
    <m/>
    <m/>
    <n v="0"/>
    <m/>
    <m/>
    <n v="0"/>
    <m/>
    <m/>
    <m/>
    <m/>
    <n v="105567"/>
    <n v="26934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3"/>
    <s v="Non-need based"/>
    <m/>
    <x v="12"/>
    <m/>
    <m/>
    <m/>
    <m/>
    <m/>
    <m/>
    <m/>
    <m/>
    <n v="0"/>
    <m/>
    <m/>
    <n v="0"/>
    <n v="0"/>
    <n v="0"/>
    <n v="17956"/>
    <n v="8978"/>
    <m/>
    <m/>
    <n v="0"/>
    <m/>
    <m/>
    <n v="0"/>
    <m/>
    <m/>
    <m/>
    <m/>
    <n v="17956"/>
    <n v="8978"/>
  </r>
  <r>
    <x v="7"/>
    <x v="25"/>
    <s v="Distinguished Scholar Community College Transfer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0"/>
    <s v="Non-need based"/>
    <m/>
    <x v="12"/>
    <m/>
    <m/>
    <m/>
    <m/>
    <m/>
    <m/>
    <m/>
    <m/>
    <n v="0"/>
    <m/>
    <m/>
    <n v="0"/>
    <n v="0"/>
    <n v="0"/>
    <n v="276000"/>
    <n v="276000"/>
    <m/>
    <m/>
    <n v="0"/>
    <m/>
    <m/>
    <n v="0"/>
    <m/>
    <m/>
    <m/>
    <m/>
    <n v="276000"/>
    <n v="276000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3"/>
    <s v="Non-need based"/>
    <m/>
    <x v="12"/>
    <m/>
    <m/>
    <m/>
    <m/>
    <m/>
    <m/>
    <m/>
    <m/>
    <n v="0"/>
    <m/>
    <m/>
    <n v="0"/>
    <n v="0"/>
    <n v="0"/>
    <n v="25500"/>
    <n v="40500"/>
    <m/>
    <m/>
    <n v="0"/>
    <m/>
    <m/>
    <n v="0"/>
    <m/>
    <m/>
    <m/>
    <m/>
    <n v="25500"/>
    <n v="40500"/>
  </r>
  <r>
    <x v="7"/>
    <x v="25"/>
    <s v="Gear Up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6"/>
    <s v="Need-based"/>
    <m/>
    <x v="12"/>
    <m/>
    <m/>
    <m/>
    <m/>
    <m/>
    <m/>
    <m/>
    <m/>
    <n v="0"/>
    <m/>
    <m/>
    <n v="0"/>
    <n v="0"/>
    <n v="0"/>
    <n v="255880"/>
    <m/>
    <m/>
    <m/>
    <n v="0"/>
    <m/>
    <m/>
    <n v="0"/>
    <m/>
    <m/>
    <m/>
    <m/>
    <n v="25588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n v="359685"/>
    <n v="526155"/>
    <m/>
    <m/>
    <n v="0"/>
    <m/>
    <m/>
    <n v="0"/>
    <m/>
    <m/>
    <m/>
    <m/>
    <n v="359685"/>
    <n v="526155"/>
  </r>
  <r>
    <x v="7"/>
    <x v="30"/>
    <s v="Non-need 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n v="36090"/>
    <n v="90810"/>
    <m/>
    <m/>
    <n v="0"/>
    <m/>
    <m/>
    <n v="0"/>
    <m/>
    <m/>
    <m/>
    <m/>
    <n v="36090"/>
    <n v="90810"/>
  </r>
  <r>
    <x v="7"/>
    <x v="33"/>
    <s v="Non-need 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5"/>
    <s v="Graduate Nursing Faculy Scholarship 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0"/>
    <s v="Non-need based"/>
    <m/>
    <x v="12"/>
    <m/>
    <m/>
    <m/>
    <m/>
    <m/>
    <m/>
    <m/>
    <m/>
    <n v="0"/>
    <m/>
    <m/>
    <n v="0"/>
    <n v="0"/>
    <n v="0"/>
    <n v="405888"/>
    <n v="707582"/>
    <m/>
    <m/>
    <n v="0"/>
    <m/>
    <m/>
    <n v="0"/>
    <m/>
    <m/>
    <m/>
    <m/>
    <n v="405888"/>
    <n v="707582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3"/>
    <s v="Non-need based"/>
    <m/>
    <x v="12"/>
    <m/>
    <m/>
    <m/>
    <m/>
    <m/>
    <m/>
    <m/>
    <m/>
    <n v="0"/>
    <m/>
    <m/>
    <n v="0"/>
    <n v="0"/>
    <n v="0"/>
    <n v="25284"/>
    <n v="114300"/>
    <m/>
    <m/>
    <n v="0"/>
    <m/>
    <m/>
    <n v="0"/>
    <m/>
    <m/>
    <m/>
    <m/>
    <n v="25284"/>
    <n v="114300"/>
  </r>
  <r>
    <x v="7"/>
    <x v="25"/>
    <s v="Graduate Nursing Faculy Living Expenses Grant 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0"/>
    <s v="Non-need based"/>
    <m/>
    <x v="12"/>
    <m/>
    <m/>
    <m/>
    <m/>
    <m/>
    <m/>
    <m/>
    <m/>
    <n v="0"/>
    <m/>
    <m/>
    <n v="0"/>
    <n v="0"/>
    <n v="0"/>
    <n v="531250"/>
    <n v="1131250"/>
    <m/>
    <m/>
    <n v="0"/>
    <m/>
    <m/>
    <n v="0"/>
    <m/>
    <m/>
    <m/>
    <m/>
    <n v="531250"/>
    <n v="1131250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3"/>
    <s v="Non-need based"/>
    <m/>
    <x v="12"/>
    <m/>
    <m/>
    <m/>
    <m/>
    <m/>
    <m/>
    <m/>
    <m/>
    <n v="0"/>
    <m/>
    <m/>
    <n v="0"/>
    <n v="0"/>
    <n v="0"/>
    <n v="37500"/>
    <n v="118750"/>
    <m/>
    <m/>
    <n v="0"/>
    <m/>
    <m/>
    <n v="0"/>
    <m/>
    <m/>
    <m/>
    <m/>
    <n v="37500"/>
    <n v="118750"/>
  </r>
  <r>
    <x v="7"/>
    <x v="25"/>
    <s v="Veterans of Afghanistan and Iraq Conflicts Scholarship 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0"/>
    <s v="Non-need based"/>
    <m/>
    <x v="12"/>
    <m/>
    <m/>
    <m/>
    <m/>
    <m/>
    <m/>
    <m/>
    <m/>
    <n v="0"/>
    <m/>
    <m/>
    <n v="0"/>
    <n v="0"/>
    <n v="0"/>
    <n v="546880"/>
    <n v="672293"/>
    <m/>
    <m/>
    <n v="0"/>
    <m/>
    <m/>
    <n v="0"/>
    <m/>
    <m/>
    <m/>
    <m/>
    <n v="546880"/>
    <n v="672293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3"/>
    <s v="Non-need based"/>
    <m/>
    <x v="12"/>
    <m/>
    <m/>
    <m/>
    <m/>
    <m/>
    <m/>
    <m/>
    <m/>
    <n v="0"/>
    <m/>
    <m/>
    <n v="0"/>
    <n v="0"/>
    <n v="0"/>
    <n v="51781"/>
    <n v="63178"/>
    <m/>
    <m/>
    <n v="0"/>
    <m/>
    <m/>
    <n v="0"/>
    <m/>
    <m/>
    <m/>
    <m/>
    <n v="51781"/>
    <n v="63178"/>
  </r>
  <r>
    <x v="7"/>
    <x v="25"/>
    <s v="Workforce Shortage Student Assistance Grant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0"/>
    <s v="Non-need based"/>
    <m/>
    <x v="12"/>
    <m/>
    <m/>
    <m/>
    <m/>
    <m/>
    <m/>
    <m/>
    <m/>
    <n v="0"/>
    <m/>
    <m/>
    <n v="0"/>
    <n v="0"/>
    <n v="0"/>
    <n v="1633750"/>
    <n v="2674750"/>
    <m/>
    <m/>
    <n v="0"/>
    <m/>
    <m/>
    <n v="0"/>
    <m/>
    <m/>
    <m/>
    <m/>
    <n v="1633750"/>
    <n v="2674750"/>
  </r>
  <r>
    <x v="7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3"/>
    <s v="Non-need based"/>
    <m/>
    <x v="12"/>
    <m/>
    <m/>
    <m/>
    <m/>
    <m/>
    <m/>
    <m/>
    <m/>
    <n v="0"/>
    <m/>
    <m/>
    <n v="0"/>
    <n v="0"/>
    <n v="0"/>
    <n v="476250"/>
    <n v="814500"/>
    <m/>
    <m/>
    <n v="0"/>
    <m/>
    <m/>
    <n v="0"/>
    <m/>
    <m/>
    <m/>
    <m/>
    <n v="476250"/>
    <n v="814500"/>
  </r>
  <r>
    <x v="7"/>
    <x v="34"/>
    <s v="Limited to public college students only"/>
    <m/>
    <x v="12"/>
    <m/>
    <m/>
    <m/>
    <m/>
    <m/>
    <m/>
    <m/>
    <m/>
    <n v="0"/>
    <m/>
    <m/>
    <n v="0"/>
    <n v="0"/>
    <n v="0"/>
    <s v="No program(s) of these types?"/>
    <m/>
    <m/>
    <m/>
    <n v="0"/>
    <m/>
    <m/>
    <n v="0"/>
    <m/>
    <m/>
    <m/>
    <m/>
    <n v="0"/>
    <n v="0"/>
  </r>
  <r>
    <x v="7"/>
    <x v="35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6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7"/>
    <s v="Limited to private college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8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7"/>
    <x v="39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0"/>
    <s v="Mississippi State University"/>
    <n v="176080"/>
    <x v="0"/>
    <n v="100701153"/>
    <n v="98807076.060000017"/>
    <m/>
    <m/>
    <m/>
    <m/>
    <n v="86339814"/>
    <m/>
    <n v="86339814"/>
    <n v="101374729"/>
    <m/>
    <n v="101374729"/>
    <n v="187040967"/>
    <n v="200181805.06"/>
    <m/>
    <m/>
    <m/>
    <m/>
    <n v="0"/>
    <m/>
    <m/>
    <n v="0"/>
    <m/>
    <m/>
    <m/>
    <m/>
    <n v="187040967"/>
    <n v="200181805.06"/>
  </r>
  <r>
    <x v="8"/>
    <x v="1"/>
    <s v="Vet Med School"/>
    <n v="176080"/>
    <x v="0"/>
    <m/>
    <m/>
    <m/>
    <m/>
    <m/>
    <m/>
    <m/>
    <m/>
    <n v="0"/>
    <m/>
    <m/>
    <n v="0"/>
    <n v="0"/>
    <n v="0"/>
    <m/>
    <m/>
    <m/>
    <m/>
    <n v="0"/>
    <m/>
    <m/>
    <n v="0"/>
    <n v="17154751"/>
    <n v="16598495"/>
    <n v="5589000"/>
    <n v="6700000"/>
    <n v="22743751"/>
    <n v="23298495"/>
  </r>
  <r>
    <x v="8"/>
    <x v="5"/>
    <s v="Agricultural Cooperative Extension"/>
    <n v="176080"/>
    <x v="0"/>
    <m/>
    <m/>
    <n v="29374724"/>
    <n v="28822667.300000001"/>
    <m/>
    <m/>
    <m/>
    <m/>
    <n v="0"/>
    <m/>
    <m/>
    <n v="0"/>
    <n v="29374724"/>
    <n v="28822667.300000001"/>
    <m/>
    <m/>
    <m/>
    <m/>
    <n v="0"/>
    <m/>
    <m/>
    <n v="0"/>
    <m/>
    <m/>
    <m/>
    <m/>
    <n v="29374724"/>
    <n v="28822667.300000001"/>
  </r>
  <r>
    <x v="8"/>
    <x v="6"/>
    <s v="Agricultural Experiment Stations"/>
    <n v="176080"/>
    <x v="0"/>
    <m/>
    <m/>
    <n v="23699108"/>
    <n v="23242634.52"/>
    <m/>
    <m/>
    <m/>
    <m/>
    <n v="0"/>
    <m/>
    <m/>
    <n v="0"/>
    <n v="23699108"/>
    <n v="23242634.52"/>
    <m/>
    <m/>
    <m/>
    <m/>
    <n v="0"/>
    <m/>
    <m/>
    <n v="0"/>
    <m/>
    <m/>
    <m/>
    <m/>
    <n v="23699108"/>
    <n v="23242634.52"/>
  </r>
  <r>
    <x v="8"/>
    <x v="7"/>
    <s v="Research Units"/>
    <n v="176080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7"/>
    <s v="State Chemical Lab"/>
    <n v="176080"/>
    <x v="0"/>
    <m/>
    <m/>
    <n v="1519477"/>
    <n v="1882568.24"/>
    <m/>
    <m/>
    <m/>
    <m/>
    <n v="0"/>
    <m/>
    <m/>
    <n v="0"/>
    <n v="1519477"/>
    <n v="1882568.24"/>
    <m/>
    <m/>
    <m/>
    <m/>
    <n v="0"/>
    <m/>
    <m/>
    <n v="0"/>
    <m/>
    <m/>
    <m/>
    <m/>
    <n v="1519477"/>
    <n v="1882568.24"/>
  </r>
  <r>
    <x v="8"/>
    <x v="7"/>
    <s v="Forest/wildlife Research Center"/>
    <n v="176080"/>
    <x v="0"/>
    <m/>
    <m/>
    <n v="6125405"/>
    <n v="6006178.9199999999"/>
    <m/>
    <m/>
    <m/>
    <m/>
    <n v="0"/>
    <m/>
    <m/>
    <n v="0"/>
    <n v="6125405"/>
    <n v="6006178.9199999999"/>
    <m/>
    <m/>
    <m/>
    <m/>
    <n v="0"/>
    <m/>
    <m/>
    <n v="0"/>
    <m/>
    <m/>
    <m/>
    <m/>
    <n v="6125405"/>
    <n v="6006178.9199999999"/>
  </r>
  <r>
    <x v="8"/>
    <x v="7"/>
    <s v="Water resources institute"/>
    <n v="176080"/>
    <x v="0"/>
    <m/>
    <m/>
    <n v="128331"/>
    <n v="125764.38"/>
    <m/>
    <m/>
    <m/>
    <m/>
    <n v="0"/>
    <m/>
    <m/>
    <n v="0"/>
    <n v="128331"/>
    <n v="125764.38"/>
    <m/>
    <m/>
    <m/>
    <m/>
    <n v="0"/>
    <m/>
    <m/>
    <n v="0"/>
    <m/>
    <m/>
    <m/>
    <m/>
    <n v="128331"/>
    <n v="125764.38"/>
  </r>
  <r>
    <x v="8"/>
    <x v="7"/>
    <s v="Stennis Institute"/>
    <n v="176080"/>
    <x v="0"/>
    <m/>
    <m/>
    <n v="1085892"/>
    <n v="1064879.76"/>
    <m/>
    <m/>
    <m/>
    <m/>
    <n v="0"/>
    <m/>
    <m/>
    <n v="0"/>
    <n v="1085892"/>
    <n v="1064879.76"/>
    <m/>
    <m/>
    <m/>
    <m/>
    <n v="0"/>
    <m/>
    <m/>
    <n v="0"/>
    <m/>
    <m/>
    <m/>
    <m/>
    <n v="1085892"/>
    <n v="1064879.76"/>
  </r>
  <r>
    <x v="8"/>
    <x v="7"/>
    <s v="Advanced Vehicular Systems"/>
    <n v="176080"/>
    <x v="0"/>
    <m/>
    <m/>
    <n v="3802128"/>
    <n v="3729319.44"/>
    <m/>
    <m/>
    <m/>
    <m/>
    <n v="0"/>
    <m/>
    <m/>
    <n v="0"/>
    <n v="3802128"/>
    <n v="3729319.44"/>
    <m/>
    <m/>
    <m/>
    <m/>
    <n v="0"/>
    <m/>
    <m/>
    <n v="0"/>
    <m/>
    <m/>
    <m/>
    <m/>
    <n v="3802128"/>
    <n v="3729319.44"/>
  </r>
  <r>
    <x v="8"/>
    <x v="0"/>
    <s v="University of Southern Mississippi"/>
    <n v="176372"/>
    <x v="0"/>
    <n v="90745168"/>
    <n v="88918711.420000002"/>
    <m/>
    <m/>
    <m/>
    <m/>
    <n v="85704990"/>
    <m/>
    <n v="85704990"/>
    <n v="84898191"/>
    <m/>
    <n v="84898191"/>
    <n v="176450158"/>
    <n v="173816902.42000002"/>
    <m/>
    <m/>
    <m/>
    <m/>
    <n v="0"/>
    <m/>
    <m/>
    <n v="0"/>
    <m/>
    <m/>
    <m/>
    <m/>
    <n v="176450158"/>
    <n v="173816902.42000002"/>
  </r>
  <r>
    <x v="8"/>
    <x v="7"/>
    <s v="Research Units"/>
    <n v="17637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7"/>
    <s v="Gulf-Coast Research Lab"/>
    <n v="176372"/>
    <x v="0"/>
    <m/>
    <m/>
    <n v="3278394"/>
    <n v="3216906.84"/>
    <m/>
    <m/>
    <m/>
    <m/>
    <n v="0"/>
    <m/>
    <m/>
    <n v="0"/>
    <n v="3278394"/>
    <n v="3216906.84"/>
    <m/>
    <m/>
    <m/>
    <m/>
    <n v="0"/>
    <m/>
    <m/>
    <n v="0"/>
    <m/>
    <m/>
    <m/>
    <m/>
    <n v="3278394"/>
    <n v="3216906.84"/>
  </r>
  <r>
    <x v="8"/>
    <x v="7"/>
    <s v="Polymer Institute"/>
    <n v="176372"/>
    <x v="0"/>
    <m/>
    <m/>
    <n v="569126"/>
    <n v="656096.28"/>
    <m/>
    <m/>
    <m/>
    <m/>
    <n v="0"/>
    <m/>
    <m/>
    <n v="0"/>
    <n v="569126"/>
    <n v="656096.28"/>
    <m/>
    <m/>
    <m/>
    <m/>
    <n v="0"/>
    <m/>
    <m/>
    <n v="0"/>
    <m/>
    <m/>
    <m/>
    <m/>
    <n v="569126"/>
    <n v="656096.28"/>
  </r>
  <r>
    <x v="8"/>
    <x v="7"/>
    <s v="Stennis Center"/>
    <n v="176372"/>
    <x v="0"/>
    <m/>
    <m/>
    <n v="546241"/>
    <n v="535668.98"/>
    <m/>
    <m/>
    <m/>
    <m/>
    <n v="0"/>
    <m/>
    <m/>
    <n v="0"/>
    <n v="546241"/>
    <n v="535668.98"/>
    <m/>
    <m/>
    <m/>
    <m/>
    <n v="0"/>
    <m/>
    <m/>
    <n v="0"/>
    <m/>
    <m/>
    <m/>
    <m/>
    <n v="546241"/>
    <n v="535668.98"/>
  </r>
  <r>
    <x v="8"/>
    <x v="0"/>
    <s v="Jackson State University "/>
    <n v="175856"/>
    <x v="1"/>
    <n v="53435608"/>
    <n v="52579782.100000009"/>
    <m/>
    <m/>
    <m/>
    <m/>
    <n v="40355670"/>
    <m/>
    <n v="40355670"/>
    <n v="38037458"/>
    <m/>
    <n v="38037458"/>
    <n v="93791278"/>
    <n v="90617240.100000009"/>
    <m/>
    <m/>
    <m/>
    <m/>
    <n v="0"/>
    <m/>
    <m/>
    <n v="0"/>
    <m/>
    <m/>
    <m/>
    <m/>
    <n v="93791278"/>
    <n v="90617240.100000009"/>
  </r>
  <r>
    <x v="8"/>
    <x v="7"/>
    <s v="Urban Research Center"/>
    <n v="175856"/>
    <x v="1"/>
    <m/>
    <m/>
    <n v="535059"/>
    <n v="524945.81999999995"/>
    <m/>
    <m/>
    <m/>
    <m/>
    <n v="0"/>
    <m/>
    <m/>
    <n v="0"/>
    <n v="535059"/>
    <n v="524945.81999999995"/>
    <m/>
    <m/>
    <m/>
    <m/>
    <n v="0"/>
    <m/>
    <m/>
    <n v="0"/>
    <m/>
    <m/>
    <m/>
    <m/>
    <n v="535059"/>
    <n v="524945.81999999995"/>
  </r>
  <r>
    <x v="8"/>
    <x v="0"/>
    <s v="University of Mississippi"/>
    <n v="176017"/>
    <x v="1"/>
    <n v="81126764"/>
    <n v="82443650.520000011"/>
    <m/>
    <m/>
    <m/>
    <m/>
    <n v="116619678"/>
    <m/>
    <n v="116619678"/>
    <n v="113816274"/>
    <m/>
    <n v="113816274"/>
    <n v="197746442"/>
    <n v="196259924.52000001"/>
    <m/>
    <m/>
    <m/>
    <m/>
    <n v="0"/>
    <m/>
    <m/>
    <n v="0"/>
    <m/>
    <m/>
    <m/>
    <m/>
    <n v="197746442"/>
    <n v="196259924.52000001"/>
  </r>
  <r>
    <x v="8"/>
    <x v="3"/>
    <s v="Community/Public Service  Units"/>
    <n v="176017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3"/>
    <s v="Small Business Development Ctr."/>
    <n v="176017"/>
    <x v="1"/>
    <m/>
    <m/>
    <n v="277003"/>
    <n v="271980.38"/>
    <m/>
    <m/>
    <m/>
    <m/>
    <n v="0"/>
    <m/>
    <m/>
    <n v="0"/>
    <n v="277003"/>
    <n v="271980.38"/>
    <m/>
    <m/>
    <m/>
    <m/>
    <n v="0"/>
    <m/>
    <m/>
    <n v="0"/>
    <m/>
    <m/>
    <m/>
    <m/>
    <n v="277003"/>
    <n v="271980.38"/>
  </r>
  <r>
    <x v="8"/>
    <x v="7"/>
    <s v="Research Units"/>
    <n v="176017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7"/>
    <s v="Pharmaceutical research"/>
    <n v="176017"/>
    <x v="1"/>
    <m/>
    <m/>
    <n v="3675791"/>
    <n v="3608214.96"/>
    <m/>
    <m/>
    <m/>
    <m/>
    <n v="0"/>
    <m/>
    <m/>
    <n v="0"/>
    <n v="3675791"/>
    <n v="3608214.96"/>
    <m/>
    <m/>
    <m/>
    <m/>
    <n v="0"/>
    <m/>
    <m/>
    <n v="0"/>
    <m/>
    <m/>
    <m/>
    <m/>
    <n v="3675791"/>
    <n v="3608214.96"/>
  </r>
  <r>
    <x v="8"/>
    <x v="7"/>
    <s v="Law Research Institute"/>
    <n v="176017"/>
    <x v="1"/>
    <m/>
    <m/>
    <n v="882514"/>
    <n v="865456.62"/>
    <m/>
    <m/>
    <m/>
    <m/>
    <n v="0"/>
    <m/>
    <m/>
    <n v="0"/>
    <n v="882514"/>
    <n v="865456.62"/>
    <m/>
    <m/>
    <m/>
    <m/>
    <n v="0"/>
    <m/>
    <m/>
    <n v="0"/>
    <m/>
    <m/>
    <m/>
    <m/>
    <n v="882514"/>
    <n v="865456.62"/>
  </r>
  <r>
    <x v="8"/>
    <x v="7"/>
    <s v="Mineral Resources Institute"/>
    <n v="176017"/>
    <x v="1"/>
    <m/>
    <m/>
    <n v="496636"/>
    <n v="487586.26"/>
    <m/>
    <m/>
    <m/>
    <m/>
    <n v="0"/>
    <m/>
    <m/>
    <n v="0"/>
    <n v="496636"/>
    <n v="487586.26"/>
    <m/>
    <m/>
    <m/>
    <m/>
    <n v="0"/>
    <m/>
    <m/>
    <n v="0"/>
    <m/>
    <m/>
    <m/>
    <m/>
    <n v="496636"/>
    <n v="487586.26"/>
  </r>
  <r>
    <x v="8"/>
    <x v="7"/>
    <s v="Supercomputer"/>
    <n v="176017"/>
    <x v="1"/>
    <m/>
    <m/>
    <n v="845535"/>
    <n v="829028.06"/>
    <m/>
    <m/>
    <m/>
    <m/>
    <n v="0"/>
    <m/>
    <m/>
    <n v="0"/>
    <n v="845535"/>
    <n v="829028.06"/>
    <m/>
    <m/>
    <m/>
    <m/>
    <n v="0"/>
    <m/>
    <m/>
    <n v="0"/>
    <m/>
    <m/>
    <m/>
    <m/>
    <n v="845535"/>
    <n v="829028.06"/>
  </r>
  <r>
    <x v="8"/>
    <x v="0"/>
    <s v="Alcorn State University"/>
    <n v="175342"/>
    <x v="3"/>
    <n v="24637172"/>
    <n v="24265171.919999994"/>
    <m/>
    <m/>
    <m/>
    <m/>
    <n v="16842866"/>
    <m/>
    <n v="16842866"/>
    <n v="18571832"/>
    <m/>
    <n v="18571832"/>
    <n v="41480038"/>
    <n v="42837003.919999994"/>
    <m/>
    <m/>
    <m/>
    <m/>
    <n v="0"/>
    <m/>
    <m/>
    <n v="0"/>
    <m/>
    <m/>
    <m/>
    <m/>
    <n v="41480038"/>
    <n v="42837003.919999994"/>
  </r>
  <r>
    <x v="8"/>
    <x v="5"/>
    <s v="Agricultural Units"/>
    <n v="175342"/>
    <x v="3"/>
    <m/>
    <m/>
    <n v="4775687"/>
    <n v="4684014.8600000003"/>
    <m/>
    <m/>
    <m/>
    <m/>
    <n v="0"/>
    <m/>
    <m/>
    <n v="0"/>
    <n v="4775687"/>
    <n v="4684014.8600000003"/>
    <m/>
    <m/>
    <m/>
    <m/>
    <n v="0"/>
    <m/>
    <m/>
    <n v="0"/>
    <m/>
    <m/>
    <m/>
    <m/>
    <n v="4775687"/>
    <n v="4684014.8600000003"/>
  </r>
  <r>
    <x v="8"/>
    <x v="0"/>
    <s v="Delta State University"/>
    <n v="175616"/>
    <x v="3"/>
    <n v="23960557"/>
    <n v="23431518.739999998"/>
    <m/>
    <m/>
    <m/>
    <m/>
    <n v="18297171"/>
    <m/>
    <n v="18297171"/>
    <n v="18228368"/>
    <m/>
    <n v="18228368"/>
    <n v="42257728"/>
    <n v="41659886.739999995"/>
    <m/>
    <m/>
    <m/>
    <m/>
    <n v="0"/>
    <m/>
    <m/>
    <n v="0"/>
    <m/>
    <m/>
    <m/>
    <m/>
    <n v="42257728"/>
    <n v="41659886.739999995"/>
  </r>
  <r>
    <x v="8"/>
    <x v="0"/>
    <s v="Mississippi University for Women"/>
    <n v="176035"/>
    <x v="4"/>
    <n v="15932285"/>
    <n v="15569861.720000001"/>
    <m/>
    <m/>
    <m/>
    <m/>
    <n v="10350656"/>
    <m/>
    <n v="10350656"/>
    <n v="11711547"/>
    <m/>
    <n v="11711547"/>
    <n v="26282941"/>
    <n v="27281408.719999999"/>
    <m/>
    <m/>
    <m/>
    <m/>
    <n v="0"/>
    <m/>
    <m/>
    <n v="0"/>
    <m/>
    <m/>
    <m/>
    <m/>
    <n v="26282941"/>
    <n v="27281408.719999999"/>
  </r>
  <r>
    <x v="8"/>
    <x v="0"/>
    <s v="Mississippi Valley State University"/>
    <n v="176044"/>
    <x v="4"/>
    <n v="20130434"/>
    <n v="19833687.379999999"/>
    <m/>
    <m/>
    <m/>
    <m/>
    <n v="15558645"/>
    <m/>
    <n v="15558645"/>
    <n v="15285182"/>
    <m/>
    <n v="15285182"/>
    <n v="35689079"/>
    <n v="35118869.379999995"/>
    <m/>
    <m/>
    <m/>
    <m/>
    <n v="0"/>
    <m/>
    <m/>
    <n v="0"/>
    <m/>
    <m/>
    <m/>
    <m/>
    <n v="35689079"/>
    <n v="35118869.379999995"/>
  </r>
  <r>
    <x v="8"/>
    <x v="41"/>
    <s v="University of Mississippi Medical Center"/>
    <n v="176026"/>
    <x v="11"/>
    <m/>
    <m/>
    <m/>
    <m/>
    <m/>
    <m/>
    <m/>
    <m/>
    <n v="0"/>
    <m/>
    <m/>
    <n v="0"/>
    <n v="0"/>
    <n v="0"/>
    <m/>
    <m/>
    <m/>
    <m/>
    <n v="0"/>
    <m/>
    <m/>
    <n v="0"/>
    <n v="224917610"/>
    <n v="227637206.28"/>
    <n v="8511778"/>
    <n v="11465908"/>
    <n v="233429388"/>
    <n v="239103114.28"/>
  </r>
  <r>
    <x v="8"/>
    <x v="10"/>
    <s v="Statewide Special-Purpos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42"/>
    <s v="Community or public servic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42"/>
    <s v="Volunteer Commission"/>
    <m/>
    <x v="12"/>
    <m/>
    <m/>
    <m/>
    <m/>
    <m/>
    <m/>
    <m/>
    <m/>
    <n v="0"/>
    <m/>
    <m/>
    <n v="0"/>
    <n v="0"/>
    <n v="0"/>
    <n v="514773"/>
    <n v="505359.54"/>
    <m/>
    <m/>
    <n v="0"/>
    <m/>
    <m/>
    <n v="0"/>
    <m/>
    <m/>
    <m/>
    <m/>
    <n v="514773"/>
    <n v="505359.54"/>
  </r>
  <r>
    <x v="8"/>
    <x v="13"/>
    <s v="Education special purpose funds — all other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13"/>
    <s v="AYERS Endowment/Summer Programs"/>
    <m/>
    <x v="12"/>
    <m/>
    <m/>
    <n v="5500000"/>
    <n v="5500000"/>
    <m/>
    <m/>
    <m/>
    <m/>
    <n v="0"/>
    <m/>
    <m/>
    <n v="0"/>
    <n v="5500000"/>
    <n v="5500000"/>
    <m/>
    <m/>
    <m/>
    <m/>
    <n v="0"/>
    <m/>
    <m/>
    <n v="0"/>
    <m/>
    <m/>
    <m/>
    <m/>
    <n v="5500000"/>
    <n v="5500000"/>
  </r>
  <r>
    <x v="8"/>
    <x v="13"/>
    <s v="Board Initiative:  Core Course Redesign"/>
    <m/>
    <x v="12"/>
    <m/>
    <m/>
    <n v="1000000"/>
    <n v="980000"/>
    <m/>
    <m/>
    <m/>
    <m/>
    <n v="0"/>
    <m/>
    <m/>
    <n v="0"/>
    <n v="1000000"/>
    <n v="980000"/>
    <m/>
    <m/>
    <m/>
    <m/>
    <n v="0"/>
    <m/>
    <m/>
    <n v="0"/>
    <m/>
    <m/>
    <m/>
    <m/>
    <n v="1000000"/>
    <n v="980000"/>
  </r>
  <r>
    <x v="8"/>
    <x v="13"/>
    <s v="System Cost: Audit"/>
    <m/>
    <x v="12"/>
    <m/>
    <m/>
    <m/>
    <n v="980000"/>
    <m/>
    <m/>
    <m/>
    <m/>
    <n v="0"/>
    <m/>
    <m/>
    <n v="0"/>
    <n v="0"/>
    <n v="980000"/>
    <m/>
    <m/>
    <m/>
    <m/>
    <n v="0"/>
    <m/>
    <m/>
    <n v="0"/>
    <m/>
    <m/>
    <m/>
    <m/>
    <n v="0"/>
    <n v="980000"/>
  </r>
  <r>
    <x v="8"/>
    <x v="14"/>
    <s v="Statewide System Operations"/>
    <m/>
    <x v="12"/>
    <m/>
    <m/>
    <m/>
    <m/>
    <m/>
    <m/>
    <m/>
    <m/>
    <n v="0"/>
    <n v="0"/>
    <m/>
    <n v="0"/>
    <n v="0"/>
    <n v="0"/>
    <m/>
    <m/>
    <n v="0"/>
    <m/>
    <n v="0"/>
    <n v="0"/>
    <m/>
    <n v="0"/>
    <m/>
    <m/>
    <n v="0"/>
    <n v="0"/>
    <n v="0"/>
    <n v="0"/>
  </r>
  <r>
    <x v="8"/>
    <x v="15"/>
    <s v="Colleges and universiti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15"/>
    <s v="Ms Board of Trustees I.H.L"/>
    <m/>
    <x v="12"/>
    <m/>
    <m/>
    <m/>
    <m/>
    <m/>
    <m/>
    <m/>
    <m/>
    <n v="0"/>
    <m/>
    <m/>
    <n v="0"/>
    <n v="0"/>
    <n v="0"/>
    <n v="7819573"/>
    <n v="7153532.54"/>
    <m/>
    <m/>
    <n v="0"/>
    <m/>
    <m/>
    <n v="0"/>
    <m/>
    <m/>
    <m/>
    <m/>
    <n v="7819573"/>
    <n v="7153532.54"/>
  </r>
  <r>
    <x v="8"/>
    <x v="17"/>
    <s v="National or regional associations, compacts or consortia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17"/>
    <s v="SREB"/>
    <m/>
    <x v="12"/>
    <m/>
    <m/>
    <m/>
    <m/>
    <m/>
    <m/>
    <m/>
    <m/>
    <n v="0"/>
    <m/>
    <m/>
    <n v="0"/>
    <n v="0"/>
    <n v="0"/>
    <n v="187900"/>
    <m/>
    <m/>
    <m/>
    <n v="0"/>
    <m/>
    <m/>
    <n v="0"/>
    <m/>
    <m/>
    <m/>
    <m/>
    <n v="187900"/>
    <n v="0"/>
  </r>
  <r>
    <x v="8"/>
    <x v="18"/>
    <s v="Student Financial Aid Administration"/>
    <m/>
    <x v="12"/>
    <m/>
    <m/>
    <m/>
    <m/>
    <m/>
    <m/>
    <m/>
    <m/>
    <n v="0"/>
    <m/>
    <m/>
    <n v="0"/>
    <n v="0"/>
    <n v="0"/>
    <n v="1137636"/>
    <n v="1167548"/>
    <m/>
    <m/>
    <n v="0"/>
    <m/>
    <m/>
    <n v="0"/>
    <m/>
    <m/>
    <m/>
    <m/>
    <n v="1137636"/>
    <n v="1167548"/>
  </r>
  <r>
    <x v="8"/>
    <x v="19"/>
    <s v="State Support to Private Colleges Other Than Student Ai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20"/>
    <s v="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21"/>
    <s v="SREB contract program with private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21"/>
    <s v="Nova Southeastern University (Osteopathic Medicine)"/>
    <m/>
    <x v="12"/>
    <m/>
    <m/>
    <m/>
    <m/>
    <m/>
    <m/>
    <m/>
    <m/>
    <n v="0"/>
    <m/>
    <m/>
    <n v="0"/>
    <n v="0"/>
    <n v="0"/>
    <n v="26200"/>
    <n v="39300"/>
    <m/>
    <m/>
    <n v="0"/>
    <m/>
    <m/>
    <n v="0"/>
    <m/>
    <m/>
    <m/>
    <m/>
    <n v="26200"/>
    <n v="39300"/>
  </r>
  <r>
    <x v="8"/>
    <x v="21"/>
    <s v="Southern College of Optometry"/>
    <m/>
    <x v="12"/>
    <m/>
    <m/>
    <m/>
    <m/>
    <m/>
    <m/>
    <m/>
    <m/>
    <n v="0"/>
    <m/>
    <m/>
    <n v="0"/>
    <n v="0"/>
    <n v="0"/>
    <n v="327500"/>
    <n v="262000"/>
    <m/>
    <m/>
    <n v="0"/>
    <m/>
    <m/>
    <n v="0"/>
    <m/>
    <m/>
    <m/>
    <m/>
    <n v="327500"/>
    <n v="262000"/>
  </r>
  <r>
    <x v="8"/>
    <x v="21"/>
    <s v="Edward Via VA College of Osteopathic Medicine"/>
    <m/>
    <x v="12"/>
    <m/>
    <m/>
    <m/>
    <m/>
    <m/>
    <m/>
    <m/>
    <m/>
    <n v="0"/>
    <m/>
    <m/>
    <n v="0"/>
    <n v="0"/>
    <n v="0"/>
    <n v="39300"/>
    <n v="39300"/>
    <m/>
    <m/>
    <n v="0"/>
    <m/>
    <m/>
    <n v="0"/>
    <m/>
    <m/>
    <m/>
    <m/>
    <n v="39300"/>
    <n v="39300"/>
  </r>
  <r>
    <x v="8"/>
    <x v="22"/>
    <s v="SREB contract program with public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22"/>
    <s v="University of Houston (Optometry)"/>
    <m/>
    <x v="12"/>
    <m/>
    <m/>
    <m/>
    <m/>
    <m/>
    <m/>
    <m/>
    <m/>
    <n v="0"/>
    <m/>
    <m/>
    <n v="0"/>
    <n v="0"/>
    <n v="0"/>
    <n v="26200"/>
    <n v="39300"/>
    <m/>
    <m/>
    <n v="0"/>
    <m/>
    <m/>
    <n v="0"/>
    <m/>
    <m/>
    <m/>
    <m/>
    <n v="26200"/>
    <n v="39300"/>
  </r>
  <r>
    <x v="8"/>
    <x v="22"/>
    <s v="University of Alabama at Birmingham (Optometry)"/>
    <m/>
    <x v="12"/>
    <m/>
    <m/>
    <m/>
    <m/>
    <m/>
    <m/>
    <m/>
    <m/>
    <n v="0"/>
    <m/>
    <m/>
    <n v="0"/>
    <n v="0"/>
    <n v="0"/>
    <n v="52400"/>
    <n v="52400"/>
    <m/>
    <m/>
    <n v="0"/>
    <m/>
    <m/>
    <n v="0"/>
    <m/>
    <m/>
    <m/>
    <m/>
    <n v="52400"/>
    <n v="52400"/>
  </r>
  <r>
    <x v="8"/>
    <x v="24"/>
    <s v="Statewide Student Financial Aid Programs Administered Off Campu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25"/>
    <s v="Available to public &amp;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25"/>
    <s v="Higher Education Legislative Plan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29"/>
    <s v="Need-based"/>
    <m/>
    <x v="12"/>
    <m/>
    <m/>
    <m/>
    <m/>
    <m/>
    <m/>
    <m/>
    <m/>
    <n v="0"/>
    <m/>
    <m/>
    <n v="0"/>
    <n v="0"/>
    <n v="0"/>
    <n v="1500668"/>
    <n v="1284076"/>
    <m/>
    <m/>
    <n v="0"/>
    <m/>
    <m/>
    <n v="0"/>
    <m/>
    <m/>
    <m/>
    <m/>
    <n v="1500668"/>
    <n v="1284076"/>
  </r>
  <r>
    <x v="8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32"/>
    <s v="Need-based"/>
    <m/>
    <x v="12"/>
    <m/>
    <m/>
    <m/>
    <m/>
    <m/>
    <m/>
    <m/>
    <m/>
    <n v="0"/>
    <m/>
    <m/>
    <n v="0"/>
    <n v="0"/>
    <n v="0"/>
    <n v="243815"/>
    <n v="197274"/>
    <m/>
    <m/>
    <n v="0"/>
    <m/>
    <m/>
    <n v="0"/>
    <m/>
    <m/>
    <m/>
    <m/>
    <n v="243815"/>
    <n v="197274"/>
  </r>
  <r>
    <x v="8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25"/>
    <s v="Loan/Scholarship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29"/>
    <s v="Need-based"/>
    <m/>
    <x v="12"/>
    <m/>
    <m/>
    <m/>
    <m/>
    <m/>
    <m/>
    <m/>
    <m/>
    <n v="0"/>
    <m/>
    <m/>
    <n v="0"/>
    <n v="0"/>
    <n v="0"/>
    <n v="504731"/>
    <n v="495102"/>
    <m/>
    <m/>
    <n v="0"/>
    <m/>
    <m/>
    <n v="0"/>
    <m/>
    <m/>
    <m/>
    <m/>
    <n v="504731"/>
    <n v="495102"/>
  </r>
  <r>
    <x v="8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32"/>
    <s v="Need-based"/>
    <m/>
    <x v="12"/>
    <m/>
    <m/>
    <m/>
    <m/>
    <m/>
    <m/>
    <m/>
    <m/>
    <n v="0"/>
    <m/>
    <m/>
    <n v="0"/>
    <n v="0"/>
    <n v="0"/>
    <n v="139554"/>
    <n v="149183"/>
    <m/>
    <m/>
    <n v="0"/>
    <m/>
    <m/>
    <n v="0"/>
    <m/>
    <m/>
    <m/>
    <m/>
    <n v="139554"/>
    <n v="149183"/>
  </r>
  <r>
    <x v="8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25"/>
    <s v="Critical NeedsTeacher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29"/>
    <s v="Non need-based"/>
    <m/>
    <x v="12"/>
    <m/>
    <m/>
    <m/>
    <m/>
    <m/>
    <m/>
    <m/>
    <m/>
    <n v="0"/>
    <m/>
    <m/>
    <n v="0"/>
    <n v="0"/>
    <n v="0"/>
    <n v="2334634"/>
    <n v="2406050"/>
    <m/>
    <m/>
    <n v="0"/>
    <m/>
    <m/>
    <n v="0"/>
    <m/>
    <m/>
    <m/>
    <m/>
    <n v="2334634"/>
    <n v="2406050"/>
  </r>
  <r>
    <x v="8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25"/>
    <s v="MS Resident Tuition Assistance Grant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30"/>
    <s v="Non need-based"/>
    <m/>
    <x v="12"/>
    <m/>
    <m/>
    <m/>
    <m/>
    <m/>
    <m/>
    <m/>
    <m/>
    <n v="0"/>
    <m/>
    <m/>
    <n v="0"/>
    <n v="0"/>
    <n v="0"/>
    <n v="13613979"/>
    <n v="13932527.699999999"/>
    <m/>
    <m/>
    <n v="0"/>
    <m/>
    <m/>
    <n v="0"/>
    <m/>
    <m/>
    <m/>
    <m/>
    <n v="13613979"/>
    <n v="13932527.699999999"/>
  </r>
  <r>
    <x v="8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33"/>
    <s v="Non need-based"/>
    <m/>
    <x v="12"/>
    <m/>
    <m/>
    <m/>
    <m/>
    <m/>
    <m/>
    <m/>
    <m/>
    <n v="0"/>
    <m/>
    <m/>
    <n v="0"/>
    <n v="0"/>
    <n v="0"/>
    <n v="365366"/>
    <n v="1800614"/>
    <m/>
    <m/>
    <n v="0"/>
    <m/>
    <m/>
    <n v="0"/>
    <m/>
    <m/>
    <m/>
    <m/>
    <n v="365366"/>
    <n v="1800614"/>
  </r>
  <r>
    <x v="8"/>
    <x v="30"/>
    <s v="MS Eminent Scholars Grant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35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36"/>
    <s v="Non need-based"/>
    <m/>
    <x v="12"/>
    <m/>
    <m/>
    <m/>
    <m/>
    <m/>
    <m/>
    <m/>
    <m/>
    <n v="0"/>
    <m/>
    <m/>
    <n v="0"/>
    <n v="0"/>
    <n v="0"/>
    <n v="3512563"/>
    <n v="3764720"/>
    <m/>
    <m/>
    <n v="0"/>
    <m/>
    <m/>
    <n v="0"/>
    <m/>
    <m/>
    <m/>
    <m/>
    <n v="3512563"/>
    <n v="3764720"/>
  </r>
  <r>
    <x v="8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33"/>
    <s v="Non need-based"/>
    <m/>
    <x v="12"/>
    <m/>
    <m/>
    <m/>
    <m/>
    <m/>
    <m/>
    <m/>
    <m/>
    <n v="0"/>
    <m/>
    <m/>
    <n v="0"/>
    <n v="0"/>
    <n v="0"/>
    <n v="1744021"/>
    <n v="806250"/>
    <m/>
    <m/>
    <n v="0"/>
    <m/>
    <m/>
    <n v="0"/>
    <m/>
    <m/>
    <m/>
    <m/>
    <n v="1744021"/>
    <n v="806250"/>
  </r>
  <r>
    <x v="8"/>
    <x v="28"/>
    <s v="Loan/Scholarship Programs"/>
    <m/>
    <x v="12"/>
    <m/>
    <m/>
    <m/>
    <m/>
    <m/>
    <m/>
    <m/>
    <m/>
    <n v="0"/>
    <m/>
    <m/>
    <n v="0"/>
    <n v="0"/>
    <n v="0"/>
    <n v="3512563"/>
    <m/>
    <m/>
    <m/>
    <n v="0"/>
    <m/>
    <m/>
    <n v="0"/>
    <m/>
    <m/>
    <m/>
    <m/>
    <n v="3512563"/>
    <n v="0"/>
  </r>
  <r>
    <x v="8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36"/>
    <s v="Non need-based"/>
    <m/>
    <x v="12"/>
    <m/>
    <m/>
    <m/>
    <m/>
    <m/>
    <m/>
    <m/>
    <m/>
    <n v="0"/>
    <m/>
    <m/>
    <n v="0"/>
    <n v="0"/>
    <n v="0"/>
    <n v="2703746"/>
    <n v="1824511"/>
    <m/>
    <m/>
    <n v="0"/>
    <m/>
    <m/>
    <n v="0"/>
    <m/>
    <m/>
    <m/>
    <m/>
    <n v="2703746"/>
    <n v="1824511"/>
  </r>
  <r>
    <x v="8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33"/>
    <s v="Non need-based"/>
    <m/>
    <x v="12"/>
    <m/>
    <m/>
    <m/>
    <m/>
    <m/>
    <m/>
    <m/>
    <m/>
    <n v="0"/>
    <m/>
    <m/>
    <n v="0"/>
    <n v="0"/>
    <n v="0"/>
    <n v="816667"/>
    <n v="505652"/>
    <m/>
    <m/>
    <n v="0"/>
    <m/>
    <m/>
    <n v="0"/>
    <m/>
    <m/>
    <m/>
    <m/>
    <n v="816667"/>
    <n v="505652"/>
  </r>
  <r>
    <x v="8"/>
    <x v="34"/>
    <s v="Limited to public college students only"/>
    <m/>
    <x v="12"/>
    <m/>
    <m/>
    <m/>
    <m/>
    <m/>
    <m/>
    <m/>
    <m/>
    <n v="0"/>
    <m/>
    <m/>
    <n v="0"/>
    <n v="0"/>
    <n v="0"/>
    <n v="599893"/>
    <n v="376432"/>
    <m/>
    <m/>
    <n v="0"/>
    <m/>
    <m/>
    <n v="0"/>
    <m/>
    <m/>
    <m/>
    <m/>
    <n v="599893"/>
    <n v="376432"/>
  </r>
  <r>
    <x v="8"/>
    <x v="35"/>
    <s v="Need-based"/>
    <m/>
    <x v="12"/>
    <m/>
    <m/>
    <m/>
    <m/>
    <m/>
    <m/>
    <m/>
    <m/>
    <n v="0"/>
    <m/>
    <m/>
    <n v="0"/>
    <n v="0"/>
    <n v="0"/>
    <s v="No detail on basis?"/>
    <m/>
    <m/>
    <m/>
    <n v="0"/>
    <m/>
    <m/>
    <n v="0"/>
    <m/>
    <m/>
    <m/>
    <m/>
    <n v="0"/>
    <n v="0"/>
  </r>
  <r>
    <x v="8"/>
    <x v="36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34"/>
    <s v="Limited to private college students only"/>
    <m/>
    <x v="12"/>
    <m/>
    <m/>
    <m/>
    <m/>
    <m/>
    <m/>
    <m/>
    <m/>
    <n v="0"/>
    <m/>
    <m/>
    <n v="0"/>
    <n v="0"/>
    <n v="0"/>
    <s v="No program(s) of this type?"/>
    <m/>
    <m/>
    <m/>
    <n v="0"/>
    <m/>
    <m/>
    <n v="0"/>
    <m/>
    <m/>
    <m/>
    <m/>
    <n v="0"/>
    <n v="0"/>
  </r>
  <r>
    <x v="8"/>
    <x v="35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36"/>
    <s v="Non need-based"/>
    <m/>
    <x v="12"/>
    <m/>
    <m/>
    <m/>
    <m/>
    <m/>
    <m/>
    <m/>
    <m/>
    <n v="0"/>
    <m/>
    <m/>
    <n v="0"/>
    <n v="0"/>
    <n v="0"/>
    <m/>
    <n v="41512"/>
    <m/>
    <m/>
    <n v="0"/>
    <m/>
    <m/>
    <n v="0"/>
    <m/>
    <m/>
    <m/>
    <m/>
    <n v="0"/>
    <n v="41512"/>
  </r>
  <r>
    <x v="8"/>
    <x v="0"/>
    <s v="Hinds Community College "/>
    <n v="175786"/>
    <x v="6"/>
    <n v="30941092"/>
    <n v="32725710"/>
    <m/>
    <m/>
    <n v="10000000"/>
    <n v="10650000"/>
    <n v="19600000"/>
    <n v="0"/>
    <n v="19600000"/>
    <n v="19500000"/>
    <m/>
    <n v="19500000"/>
    <n v="60541092"/>
    <n v="62875710"/>
    <m/>
    <m/>
    <m/>
    <m/>
    <n v="0"/>
    <m/>
    <m/>
    <n v="0"/>
    <m/>
    <m/>
    <m/>
    <m/>
    <n v="60541092"/>
    <n v="62875710"/>
  </r>
  <r>
    <x v="8"/>
    <x v="0"/>
    <s v="Mississippi Gulf Coast Community College "/>
    <n v="176071"/>
    <x v="6"/>
    <n v="26617542"/>
    <n v="27316847"/>
    <m/>
    <m/>
    <n v="7698068"/>
    <n v="8233068"/>
    <n v="16422570"/>
    <m/>
    <n v="16422570"/>
    <n v="17615052"/>
    <m/>
    <n v="17615052"/>
    <n v="50738180"/>
    <n v="53164967"/>
    <m/>
    <m/>
    <m/>
    <m/>
    <n v="0"/>
    <m/>
    <m/>
    <n v="0"/>
    <m/>
    <m/>
    <m/>
    <m/>
    <n v="50738180"/>
    <n v="53164967"/>
  </r>
  <r>
    <x v="8"/>
    <x v="0"/>
    <s v="Northwest Mississippi Community College "/>
    <n v="176178"/>
    <x v="6"/>
    <n v="19803442"/>
    <n v="20763293"/>
    <m/>
    <m/>
    <n v="4406954"/>
    <n v="4654496"/>
    <n v="11818760"/>
    <m/>
    <n v="11818760"/>
    <n v="12602062"/>
    <m/>
    <n v="12602062"/>
    <n v="36029156"/>
    <n v="38019851"/>
    <m/>
    <m/>
    <m/>
    <m/>
    <n v="0"/>
    <m/>
    <m/>
    <n v="0"/>
    <m/>
    <m/>
    <m/>
    <m/>
    <n v="36029156"/>
    <n v="38019851"/>
  </r>
  <r>
    <x v="8"/>
    <x v="0"/>
    <s v="Copiah-Lincoln Community College "/>
    <n v="175573"/>
    <x v="7"/>
    <n v="11514621"/>
    <n v="12401075"/>
    <m/>
    <m/>
    <n v="2150700"/>
    <n v="2120500"/>
    <n v="5981200"/>
    <m/>
    <n v="5981200"/>
    <n v="6111850"/>
    <m/>
    <n v="6111850"/>
    <n v="19646521"/>
    <n v="20633425"/>
    <m/>
    <m/>
    <m/>
    <m/>
    <n v="0"/>
    <m/>
    <m/>
    <n v="0"/>
    <m/>
    <m/>
    <m/>
    <m/>
    <n v="19646521"/>
    <n v="20633425"/>
  </r>
  <r>
    <x v="8"/>
    <x v="0"/>
    <s v="East Central Community College "/>
    <n v="175643"/>
    <x v="7"/>
    <n v="9154262"/>
    <n v="9690983"/>
    <m/>
    <m/>
    <n v="1232923"/>
    <n v="1240774"/>
    <n v="3498144"/>
    <m/>
    <n v="3498144"/>
    <n v="3723276"/>
    <m/>
    <n v="3723276"/>
    <n v="13885329"/>
    <n v="14655033"/>
    <m/>
    <m/>
    <m/>
    <m/>
    <n v="0"/>
    <m/>
    <m/>
    <n v="0"/>
    <m/>
    <m/>
    <m/>
    <m/>
    <n v="13885329"/>
    <n v="14655033"/>
  </r>
  <r>
    <x v="8"/>
    <x v="0"/>
    <s v="East Mississippi Community College "/>
    <n v="175652"/>
    <x v="7"/>
    <n v="13623558"/>
    <n v="13840663"/>
    <m/>
    <m/>
    <n v="1452517"/>
    <n v="1413411"/>
    <n v="8480346"/>
    <m/>
    <n v="8480346"/>
    <n v="8719388"/>
    <m/>
    <n v="8719388"/>
    <n v="23556421"/>
    <n v="23973462"/>
    <m/>
    <m/>
    <m/>
    <m/>
    <n v="0"/>
    <m/>
    <m/>
    <n v="0"/>
    <m/>
    <m/>
    <m/>
    <m/>
    <n v="23556421"/>
    <n v="23973462"/>
  </r>
  <r>
    <x v="8"/>
    <x v="0"/>
    <s v="Holmes Community College "/>
    <n v="175810"/>
    <x v="7"/>
    <n v="15513043"/>
    <n v="16890950"/>
    <m/>
    <m/>
    <n v="2519500"/>
    <n v="2521000"/>
    <n v="8000000"/>
    <m/>
    <n v="8000000"/>
    <n v="9150000"/>
    <m/>
    <n v="9150000"/>
    <n v="26032543"/>
    <n v="28561950"/>
    <m/>
    <m/>
    <m/>
    <m/>
    <n v="0"/>
    <m/>
    <m/>
    <n v="0"/>
    <m/>
    <m/>
    <m/>
    <m/>
    <n v="26032543"/>
    <n v="28561950"/>
  </r>
  <r>
    <x v="8"/>
    <x v="0"/>
    <s v="Itawamba Community College "/>
    <n v="175829"/>
    <x v="7"/>
    <n v="18107957"/>
    <n v="20813884"/>
    <m/>
    <m/>
    <n v="4885176"/>
    <n v="4990570"/>
    <n v="10255698"/>
    <m/>
    <n v="10255698"/>
    <n v="11966686"/>
    <m/>
    <n v="11966686"/>
    <n v="33248831"/>
    <n v="37771140"/>
    <m/>
    <m/>
    <m/>
    <m/>
    <n v="0"/>
    <m/>
    <m/>
    <n v="0"/>
    <m/>
    <m/>
    <m/>
    <m/>
    <n v="33248831"/>
    <n v="37771140"/>
  </r>
  <r>
    <x v="8"/>
    <x v="0"/>
    <s v="Jones County Junior College "/>
    <n v="175883"/>
    <x v="7"/>
    <n v="15674983"/>
    <n v="16178580"/>
    <m/>
    <m/>
    <n v="2067614"/>
    <n v="1974320"/>
    <n v="8600000"/>
    <m/>
    <n v="8600000"/>
    <n v="9700000"/>
    <m/>
    <n v="9700000"/>
    <n v="26342597"/>
    <n v="27852900"/>
    <m/>
    <m/>
    <m/>
    <m/>
    <n v="0"/>
    <m/>
    <m/>
    <n v="0"/>
    <m/>
    <m/>
    <m/>
    <m/>
    <n v="26342597"/>
    <n v="27852900"/>
  </r>
  <r>
    <x v="8"/>
    <x v="0"/>
    <s v="Meridian Community College "/>
    <n v="175935"/>
    <x v="7"/>
    <n v="12798314"/>
    <n v="13549025"/>
    <m/>
    <m/>
    <n v="1660526"/>
    <n v="1683008"/>
    <n v="5889306"/>
    <m/>
    <n v="5889306"/>
    <n v="6422463"/>
    <m/>
    <n v="6422463"/>
    <n v="20348146"/>
    <n v="21654496"/>
    <m/>
    <m/>
    <m/>
    <m/>
    <n v="0"/>
    <m/>
    <m/>
    <n v="0"/>
    <m/>
    <m/>
    <m/>
    <m/>
    <n v="20348146"/>
    <n v="21654496"/>
  </r>
  <r>
    <x v="8"/>
    <x v="0"/>
    <s v="Mississippi Delta Community College "/>
    <n v="176008"/>
    <x v="7"/>
    <n v="10688630"/>
    <n v="11302506"/>
    <m/>
    <m/>
    <n v="1826000"/>
    <n v="1894000"/>
    <n v="5595900"/>
    <m/>
    <n v="5595900"/>
    <n v="5809370"/>
    <m/>
    <n v="5809370"/>
    <n v="18110530"/>
    <n v="19005876"/>
    <m/>
    <m/>
    <m/>
    <m/>
    <n v="0"/>
    <m/>
    <m/>
    <n v="0"/>
    <m/>
    <m/>
    <m/>
    <m/>
    <n v="18110530"/>
    <n v="19005876"/>
  </r>
  <r>
    <x v="8"/>
    <x v="0"/>
    <s v="Northeast Mississippi Community College "/>
    <n v="176169"/>
    <x v="7"/>
    <n v="11502182"/>
    <n v="12694406"/>
    <m/>
    <m/>
    <n v="1315000"/>
    <n v="1325000"/>
    <n v="6363000"/>
    <m/>
    <n v="6363000"/>
    <n v="6767000"/>
    <m/>
    <n v="6767000"/>
    <n v="19180182"/>
    <n v="20786406"/>
    <m/>
    <m/>
    <m/>
    <m/>
    <n v="0"/>
    <m/>
    <m/>
    <n v="0"/>
    <m/>
    <m/>
    <m/>
    <m/>
    <n v="19180182"/>
    <n v="20786406"/>
  </r>
  <r>
    <x v="8"/>
    <x v="0"/>
    <s v="Pearl River Community College "/>
    <n v="176239"/>
    <x v="7"/>
    <n v="13556917"/>
    <n v="14452403"/>
    <m/>
    <m/>
    <n v="2359968"/>
    <n v="2470177"/>
    <n v="8232863"/>
    <m/>
    <n v="8232863"/>
    <n v="8867522"/>
    <m/>
    <n v="8867522"/>
    <n v="24149748"/>
    <n v="25790102"/>
    <m/>
    <m/>
    <m/>
    <m/>
    <n v="0"/>
    <m/>
    <m/>
    <n v="0"/>
    <m/>
    <m/>
    <m/>
    <m/>
    <n v="24149748"/>
    <n v="25790102"/>
  </r>
  <r>
    <x v="8"/>
    <x v="0"/>
    <s v="Coahoma Community College "/>
    <n v="175519"/>
    <x v="8"/>
    <n v="7001768"/>
    <n v="7998010"/>
    <m/>
    <m/>
    <n v="1372064"/>
    <n v="1356203"/>
    <n v="3568862"/>
    <m/>
    <n v="3568862"/>
    <n v="3997897"/>
    <m/>
    <n v="3997897"/>
    <n v="11942694"/>
    <n v="13352110"/>
    <m/>
    <m/>
    <m/>
    <m/>
    <n v="0"/>
    <m/>
    <m/>
    <n v="0"/>
    <m/>
    <m/>
    <m/>
    <m/>
    <n v="11942694"/>
    <n v="13352110"/>
  </r>
  <r>
    <x v="8"/>
    <x v="0"/>
    <s v="Southwest Mississippi Community College  "/>
    <n v="176354"/>
    <x v="8"/>
    <n v="7422267"/>
    <n v="8057768"/>
    <m/>
    <m/>
    <n v="1062500"/>
    <n v="1095000"/>
    <n v="3581525"/>
    <m/>
    <n v="3581525"/>
    <n v="4008725"/>
    <m/>
    <n v="4008725"/>
    <n v="12066292"/>
    <n v="13161493"/>
    <m/>
    <m/>
    <m/>
    <m/>
    <n v="0"/>
    <m/>
    <m/>
    <n v="0"/>
    <m/>
    <m/>
    <m/>
    <m/>
    <n v="12066292"/>
    <n v="13161493"/>
  </r>
  <r>
    <x v="8"/>
    <x v="10"/>
    <s v="Education special purpose funds — statewid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45"/>
    <s v="Non-credit continuing education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45"/>
    <s v="Adult workforce education at community colleges"/>
    <m/>
    <x v="12"/>
    <m/>
    <m/>
    <n v="27045704"/>
    <n v="24849146"/>
    <m/>
    <m/>
    <m/>
    <m/>
    <n v="0"/>
    <m/>
    <m/>
    <n v="0"/>
    <n v="27045704"/>
    <n v="24849146"/>
    <m/>
    <m/>
    <m/>
    <m/>
    <n v="0"/>
    <m/>
    <m/>
    <n v="0"/>
    <m/>
    <m/>
    <m/>
    <m/>
    <n v="27045704"/>
    <n v="24849146"/>
  </r>
  <r>
    <x v="8"/>
    <x v="13"/>
    <s v="Education special purpose funds — all other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13"/>
    <s v="Data Backbone for community colleges"/>
    <m/>
    <x v="12"/>
    <m/>
    <m/>
    <n v="27392"/>
    <n v="106392"/>
    <m/>
    <m/>
    <m/>
    <m/>
    <n v="0"/>
    <m/>
    <m/>
    <n v="0"/>
    <n v="27392"/>
    <n v="106392"/>
    <m/>
    <m/>
    <m/>
    <m/>
    <n v="0"/>
    <m/>
    <m/>
    <n v="0"/>
    <m/>
    <m/>
    <m/>
    <m/>
    <n v="27392"/>
    <n v="106392"/>
  </r>
  <r>
    <x v="8"/>
    <x v="13"/>
    <s v="Post-Secondary Vocational Education @ Comm. Cols."/>
    <m/>
    <x v="12"/>
    <m/>
    <m/>
    <n v="27205973"/>
    <n v="26443473"/>
    <m/>
    <m/>
    <m/>
    <m/>
    <n v="0"/>
    <m/>
    <m/>
    <n v="0"/>
    <n v="27205973"/>
    <n v="26443473"/>
    <m/>
    <m/>
    <m/>
    <m/>
    <n v="0"/>
    <m/>
    <m/>
    <n v="0"/>
    <m/>
    <m/>
    <m/>
    <m/>
    <n v="27205973"/>
    <n v="26443473"/>
  </r>
  <r>
    <x v="8"/>
    <x v="13"/>
    <s v="Greenville Higher Education Center (MDCC via SBCJC)"/>
    <m/>
    <x v="12"/>
    <m/>
    <m/>
    <n v="548492"/>
    <n v="548492"/>
    <m/>
    <m/>
    <m/>
    <m/>
    <n v="0"/>
    <m/>
    <m/>
    <n v="0"/>
    <n v="548492"/>
    <n v="548492"/>
    <m/>
    <m/>
    <m/>
    <m/>
    <n v="0"/>
    <m/>
    <m/>
    <n v="0"/>
    <m/>
    <m/>
    <m/>
    <m/>
    <n v="548492"/>
    <n v="548492"/>
  </r>
  <r>
    <x v="8"/>
    <x v="14"/>
    <s v="Statewide System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16"/>
    <s v="Two-year system(s), if an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8"/>
    <x v="16"/>
    <s v="MS State Board for Com/Jr Colleges"/>
    <m/>
    <x v="12"/>
    <m/>
    <m/>
    <m/>
    <m/>
    <m/>
    <m/>
    <m/>
    <m/>
    <n v="0"/>
    <m/>
    <m/>
    <n v="0"/>
    <n v="0"/>
    <n v="0"/>
    <n v="2139629"/>
    <n v="2437157"/>
    <m/>
    <m/>
    <n v="0"/>
    <m/>
    <m/>
    <n v="0"/>
    <m/>
    <m/>
    <m/>
    <m/>
    <n v="2139629"/>
    <n v="2437157"/>
  </r>
  <r>
    <x v="9"/>
    <x v="0"/>
    <s v="North Carolina State University "/>
    <n v="199193"/>
    <x v="0"/>
    <n v="340022159"/>
    <n v="372449049"/>
    <m/>
    <m/>
    <m/>
    <m/>
    <n v="166883707"/>
    <m/>
    <n v="166883707"/>
    <n v="173201416"/>
    <m/>
    <n v="173201416"/>
    <n v="506905866"/>
    <n v="545650465"/>
    <m/>
    <m/>
    <m/>
    <m/>
    <n v="0"/>
    <m/>
    <m/>
    <n v="0"/>
    <m/>
    <m/>
    <m/>
    <m/>
    <n v="506905866"/>
    <n v="545650465"/>
  </r>
  <r>
    <x v="9"/>
    <x v="1"/>
    <s v="Vet Med School"/>
    <n v="199193"/>
    <x v="0"/>
    <m/>
    <m/>
    <m/>
    <m/>
    <m/>
    <m/>
    <m/>
    <m/>
    <n v="0"/>
    <m/>
    <m/>
    <n v="0"/>
    <n v="0"/>
    <n v="0"/>
    <m/>
    <m/>
    <m/>
    <m/>
    <n v="0"/>
    <m/>
    <m/>
    <n v="0"/>
    <n v="26941113"/>
    <n v="28373304"/>
    <n v="3720113"/>
    <n v="3720113"/>
    <n v="30661226"/>
    <n v="32093417"/>
  </r>
  <r>
    <x v="9"/>
    <x v="5"/>
    <s v="Agricultural cooperative extension"/>
    <n v="199193"/>
    <x v="0"/>
    <m/>
    <m/>
    <n v="44062874"/>
    <n v="45406148"/>
    <m/>
    <m/>
    <m/>
    <m/>
    <n v="0"/>
    <m/>
    <m/>
    <n v="0"/>
    <n v="44062874"/>
    <n v="45406148"/>
    <m/>
    <m/>
    <m/>
    <m/>
    <n v="0"/>
    <m/>
    <m/>
    <n v="0"/>
    <m/>
    <m/>
    <m/>
    <m/>
    <n v="44062874"/>
    <n v="45406148"/>
  </r>
  <r>
    <x v="9"/>
    <x v="6"/>
    <s v="Agricultural experiment stations"/>
    <n v="19919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6"/>
    <s v="Agricultural Research Service"/>
    <n v="199193"/>
    <x v="0"/>
    <m/>
    <m/>
    <n v="64912224"/>
    <n v="62920006"/>
    <m/>
    <m/>
    <m/>
    <m/>
    <n v="0"/>
    <m/>
    <m/>
    <n v="0"/>
    <n v="64912224"/>
    <n v="62920006"/>
    <m/>
    <m/>
    <m/>
    <m/>
    <n v="0"/>
    <m/>
    <m/>
    <n v="0"/>
    <m/>
    <m/>
    <m/>
    <m/>
    <n v="64912224"/>
    <n v="62920006"/>
  </r>
  <r>
    <x v="9"/>
    <x v="0"/>
    <s v="University of North Carolina at Chapel Hill "/>
    <n v="199120"/>
    <x v="0"/>
    <n v="284282600"/>
    <n v="301709293"/>
    <m/>
    <m/>
    <m/>
    <m/>
    <n v="188564559"/>
    <m/>
    <n v="188564559"/>
    <n v="199628357"/>
    <m/>
    <n v="199628357"/>
    <n v="472847159"/>
    <n v="501337650"/>
    <m/>
    <m/>
    <m/>
    <m/>
    <n v="0"/>
    <m/>
    <m/>
    <n v="0"/>
    <m/>
    <m/>
    <m/>
    <m/>
    <n v="472847159"/>
    <n v="501337650"/>
  </r>
  <r>
    <x v="9"/>
    <x v="1"/>
    <s v="Health professions education"/>
    <n v="199120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1"/>
    <s v="Medical School"/>
    <n v="199120"/>
    <x v="0"/>
    <m/>
    <m/>
    <m/>
    <m/>
    <m/>
    <m/>
    <m/>
    <m/>
    <n v="0"/>
    <m/>
    <m/>
    <n v="0"/>
    <n v="0"/>
    <n v="0"/>
    <m/>
    <m/>
    <m/>
    <m/>
    <n v="0"/>
    <m/>
    <m/>
    <n v="0"/>
    <n v="207586478"/>
    <n v="220952479"/>
    <n v="44235477"/>
    <n v="47415010"/>
    <n v="251821955"/>
    <n v="268367489"/>
  </r>
  <r>
    <x v="9"/>
    <x v="0"/>
    <s v="University of North Carolina at Charlotte"/>
    <n v="199139"/>
    <x v="1"/>
    <n v="173669900"/>
    <n v="190353065"/>
    <m/>
    <m/>
    <m/>
    <m/>
    <n v="88863920"/>
    <s v=" "/>
    <n v="88863920"/>
    <n v="92160227"/>
    <m/>
    <n v="92160227"/>
    <n v="262533820"/>
    <n v="282513292"/>
    <m/>
    <m/>
    <m/>
    <m/>
    <n v="0"/>
    <m/>
    <m/>
    <n v="0"/>
    <m/>
    <m/>
    <m/>
    <m/>
    <n v="262533820"/>
    <n v="282513292"/>
  </r>
  <r>
    <x v="9"/>
    <x v="0"/>
    <s v="University of North Carolina at Greensboro"/>
    <n v="199148"/>
    <x v="1"/>
    <n v="156611888"/>
    <n v="170894106"/>
    <m/>
    <m/>
    <m/>
    <m/>
    <n v="61127581"/>
    <s v=" "/>
    <n v="61127581"/>
    <n v="61123107"/>
    <m/>
    <n v="61123107"/>
    <n v="217739469"/>
    <n v="232017213"/>
    <m/>
    <m/>
    <m/>
    <m/>
    <n v="0"/>
    <m/>
    <m/>
    <n v="0"/>
    <m/>
    <m/>
    <m/>
    <m/>
    <n v="217739469"/>
    <n v="232017213"/>
  </r>
  <r>
    <x v="9"/>
    <x v="0"/>
    <s v="Appalachian State University "/>
    <n v="197869"/>
    <x v="2"/>
    <n v="129331078"/>
    <n v="137919102"/>
    <m/>
    <m/>
    <m/>
    <m/>
    <n v="57722315"/>
    <m/>
    <n v="57722315"/>
    <n v="61002182"/>
    <m/>
    <n v="61002182"/>
    <n v="187053393"/>
    <n v="198921284"/>
    <m/>
    <m/>
    <m/>
    <m/>
    <n v="0"/>
    <m/>
    <m/>
    <n v="0"/>
    <m/>
    <m/>
    <m/>
    <m/>
    <n v="187053393"/>
    <n v="198921284"/>
  </r>
  <r>
    <x v="9"/>
    <x v="0"/>
    <s v="East Carolina University "/>
    <n v="198464"/>
    <x v="2"/>
    <n v="211451551"/>
    <n v="229920438"/>
    <m/>
    <m/>
    <m/>
    <m/>
    <n v="99100636"/>
    <m/>
    <n v="99100636"/>
    <n v="101938343"/>
    <m/>
    <n v="101938343"/>
    <n v="310552187"/>
    <n v="331858781"/>
    <m/>
    <m/>
    <m/>
    <m/>
    <n v="0"/>
    <m/>
    <m/>
    <n v="0"/>
    <m/>
    <m/>
    <m/>
    <m/>
    <n v="310552187"/>
    <n v="331858781"/>
  </r>
  <r>
    <x v="9"/>
    <x v="1"/>
    <s v="Medical School"/>
    <n v="198464"/>
    <x v="2"/>
    <m/>
    <m/>
    <m/>
    <m/>
    <m/>
    <m/>
    <m/>
    <m/>
    <n v="0"/>
    <m/>
    <m/>
    <n v="0"/>
    <n v="0"/>
    <n v="0"/>
    <m/>
    <m/>
    <m/>
    <m/>
    <n v="0"/>
    <m/>
    <m/>
    <n v="0"/>
    <n v="54439236"/>
    <n v="55411606"/>
    <n v="1949800"/>
    <n v="2299600"/>
    <n v="56389036"/>
    <n v="57711206"/>
  </r>
  <r>
    <x v="9"/>
    <x v="0"/>
    <s v="North Carolina Agricultural &amp; Technical State University"/>
    <n v="199102"/>
    <x v="2"/>
    <n v="99046493"/>
    <n v="103921992"/>
    <m/>
    <m/>
    <m/>
    <m/>
    <n v="50725399"/>
    <m/>
    <n v="50725399"/>
    <n v="51292704"/>
    <m/>
    <n v="51292704"/>
    <n v="149771892"/>
    <n v="155214696"/>
    <m/>
    <m/>
    <m/>
    <m/>
    <n v="0"/>
    <m/>
    <m/>
    <n v="0"/>
    <m/>
    <m/>
    <m/>
    <m/>
    <n v="149771892"/>
    <n v="155214696"/>
  </r>
  <r>
    <x v="9"/>
    <x v="0"/>
    <s v="North Carolina Central University "/>
    <n v="199157"/>
    <x v="2"/>
    <n v="84415479"/>
    <n v="95179452"/>
    <m/>
    <m/>
    <m/>
    <m/>
    <n v="31703459"/>
    <m/>
    <n v="31703459"/>
    <n v="33504570"/>
    <m/>
    <n v="33504570"/>
    <n v="116118938"/>
    <n v="128684022"/>
    <m/>
    <m/>
    <m/>
    <m/>
    <n v="0"/>
    <m/>
    <m/>
    <n v="0"/>
    <m/>
    <m/>
    <m/>
    <m/>
    <n v="116118938"/>
    <n v="128684022"/>
  </r>
  <r>
    <x v="9"/>
    <x v="0"/>
    <s v="University of North Carolina at Wilmington"/>
    <n v="199218"/>
    <x v="2"/>
    <n v="99809774"/>
    <n v="103502765"/>
    <m/>
    <m/>
    <m/>
    <m/>
    <n v="50868028"/>
    <m/>
    <n v="50868028"/>
    <n v="50665691"/>
    <m/>
    <n v="50665691"/>
    <n v="150677802"/>
    <n v="154168456"/>
    <m/>
    <m/>
    <m/>
    <m/>
    <n v="0"/>
    <m/>
    <m/>
    <n v="0"/>
    <m/>
    <m/>
    <m/>
    <m/>
    <n v="150677802"/>
    <n v="154168456"/>
  </r>
  <r>
    <x v="9"/>
    <x v="0"/>
    <s v="Western Carolina University "/>
    <n v="200004"/>
    <x v="2"/>
    <n v="80101851"/>
    <n v="87935528"/>
    <m/>
    <m/>
    <m/>
    <m/>
    <n v="26797179"/>
    <m/>
    <n v="26797179"/>
    <n v="26938609"/>
    <m/>
    <n v="26938609"/>
    <n v="106899030"/>
    <n v="114874137"/>
    <m/>
    <m/>
    <m/>
    <m/>
    <n v="0"/>
    <m/>
    <m/>
    <n v="0"/>
    <m/>
    <m/>
    <m/>
    <m/>
    <n v="106899030"/>
    <n v="114874137"/>
  </r>
  <r>
    <x v="9"/>
    <x v="0"/>
    <s v="Fayetteville State University "/>
    <n v="198543"/>
    <x v="3"/>
    <n v="56361501"/>
    <n v="59925013"/>
    <m/>
    <m/>
    <m/>
    <m/>
    <n v="18814670"/>
    <m/>
    <n v="18814670"/>
    <n v="17323398"/>
    <m/>
    <n v="17323398"/>
    <n v="75176171"/>
    <n v="77248411"/>
    <m/>
    <m/>
    <m/>
    <m/>
    <n v="0"/>
    <m/>
    <m/>
    <n v="0"/>
    <m/>
    <m/>
    <m/>
    <m/>
    <n v="75176171"/>
    <n v="77248411"/>
  </r>
  <r>
    <x v="9"/>
    <x v="0"/>
    <s v="University of North Carolina at Pembroke"/>
    <n v="199281"/>
    <x v="4"/>
    <n v="57535219"/>
    <n v="59884214"/>
    <m/>
    <m/>
    <m/>
    <m/>
    <n v="15622931"/>
    <m/>
    <n v="15622931"/>
    <n v="15901916"/>
    <m/>
    <n v="15901916"/>
    <n v="73158150"/>
    <n v="75786130"/>
    <m/>
    <m/>
    <m/>
    <m/>
    <n v="0"/>
    <m/>
    <m/>
    <n v="0"/>
    <m/>
    <m/>
    <m/>
    <m/>
    <n v="73158150"/>
    <n v="75786130"/>
  </r>
  <r>
    <x v="9"/>
    <x v="0"/>
    <s v="Winston-Salem State University "/>
    <n v="199999"/>
    <x v="4"/>
    <n v="69561462"/>
    <n v="71720063"/>
    <m/>
    <m/>
    <m/>
    <m/>
    <n v="16125643"/>
    <m/>
    <n v="16125643"/>
    <n v="17911370"/>
    <m/>
    <n v="17911370"/>
    <n v="85687105"/>
    <n v="89631433"/>
    <m/>
    <m/>
    <m/>
    <m/>
    <n v="0"/>
    <m/>
    <m/>
    <n v="0"/>
    <m/>
    <m/>
    <m/>
    <m/>
    <n v="85687105"/>
    <n v="89631433"/>
  </r>
  <r>
    <x v="9"/>
    <x v="0"/>
    <s v="Elizabeth City State University "/>
    <n v="198507"/>
    <x v="5"/>
    <n v="33295369"/>
    <n v="37640821"/>
    <m/>
    <m/>
    <m/>
    <m/>
    <n v="9002087"/>
    <m/>
    <n v="9002087"/>
    <n v="9732256"/>
    <m/>
    <n v="9732256"/>
    <n v="42297456"/>
    <n v="47373077"/>
    <m/>
    <m/>
    <m/>
    <m/>
    <n v="0"/>
    <m/>
    <m/>
    <n v="0"/>
    <m/>
    <m/>
    <m/>
    <m/>
    <n v="42297456"/>
    <n v="47373077"/>
  </r>
  <r>
    <x v="9"/>
    <x v="0"/>
    <s v="University of North Carolina at Asheville"/>
    <n v="199111"/>
    <x v="5"/>
    <n v="33838716"/>
    <n v="37081338"/>
    <m/>
    <m/>
    <m/>
    <m/>
    <n v="14830011"/>
    <m/>
    <n v="14830011"/>
    <n v="13608616"/>
    <m/>
    <n v="13608616"/>
    <n v="48668727"/>
    <n v="50689954"/>
    <m/>
    <m/>
    <m/>
    <m/>
    <n v="0"/>
    <m/>
    <m/>
    <n v="0"/>
    <m/>
    <m/>
    <m/>
    <m/>
    <n v="48668727"/>
    <n v="50689954"/>
  </r>
  <r>
    <x v="9"/>
    <x v="9"/>
    <s v="North Carolina School of the Arts"/>
    <n v="199184"/>
    <x v="11"/>
    <m/>
    <m/>
    <m/>
    <m/>
    <m/>
    <m/>
    <m/>
    <m/>
    <n v="0"/>
    <m/>
    <m/>
    <n v="0"/>
    <n v="0"/>
    <n v="0"/>
    <n v="26426818"/>
    <n v="27949980"/>
    <m/>
    <m/>
    <n v="0"/>
    <m/>
    <m/>
    <n v="0"/>
    <m/>
    <m/>
    <m/>
    <m/>
    <n v="26426818"/>
    <n v="27949980"/>
  </r>
  <r>
    <x v="9"/>
    <x v="10"/>
    <s v="Education special purpose funds- statewid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42"/>
    <s v="Community or public servic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42"/>
    <s v="Statewide Educational TV"/>
    <m/>
    <x v="12"/>
    <m/>
    <m/>
    <n v="13674426"/>
    <n v="13261330"/>
    <m/>
    <m/>
    <m/>
    <m/>
    <n v="0"/>
    <m/>
    <m/>
    <n v="0"/>
    <n v="13674426"/>
    <n v="13261330"/>
    <m/>
    <m/>
    <m/>
    <m/>
    <n v="0"/>
    <m/>
    <m/>
    <n v="0"/>
    <m/>
    <m/>
    <m/>
    <m/>
    <n v="13674426"/>
    <n v="13261330"/>
  </r>
  <r>
    <x v="9"/>
    <x v="42"/>
    <s v="Univ Syst Community Service Programs"/>
    <m/>
    <x v="12"/>
    <m/>
    <m/>
    <n v="28823085"/>
    <n v="30680889"/>
    <m/>
    <m/>
    <m/>
    <m/>
    <n v="0"/>
    <m/>
    <m/>
    <n v="0"/>
    <n v="28823085"/>
    <n v="30680889"/>
    <m/>
    <m/>
    <m/>
    <m/>
    <n v="0"/>
    <m/>
    <m/>
    <n v="0"/>
    <m/>
    <m/>
    <m/>
    <m/>
    <n v="28823085"/>
    <n v="30680889"/>
  </r>
  <r>
    <x v="9"/>
    <x v="42"/>
    <s v="Univ Syst Educational Computing Service"/>
    <m/>
    <x v="12"/>
    <m/>
    <m/>
    <n v="890220"/>
    <n v="778534"/>
    <m/>
    <m/>
    <m/>
    <m/>
    <n v="0"/>
    <m/>
    <m/>
    <n v="0"/>
    <n v="890220"/>
    <n v="778534"/>
    <m/>
    <m/>
    <m/>
    <m/>
    <n v="0"/>
    <m/>
    <m/>
    <n v="0"/>
    <m/>
    <m/>
    <m/>
    <m/>
    <n v="890220"/>
    <n v="778534"/>
  </r>
  <r>
    <x v="9"/>
    <x v="42"/>
    <s v="UNC Hospitals"/>
    <m/>
    <x v="12"/>
    <m/>
    <m/>
    <m/>
    <m/>
    <m/>
    <m/>
    <m/>
    <m/>
    <n v="0"/>
    <m/>
    <m/>
    <n v="0"/>
    <n v="0"/>
    <n v="0"/>
    <n v="53009966"/>
    <n v="46011882"/>
    <m/>
    <m/>
    <n v="0"/>
    <m/>
    <m/>
    <n v="0"/>
    <m/>
    <m/>
    <m/>
    <m/>
    <n v="53009966"/>
    <n v="46011882"/>
  </r>
  <r>
    <x v="9"/>
    <x v="42"/>
    <s v="UNC Area Health Education Centers Program"/>
    <m/>
    <x v="12"/>
    <m/>
    <m/>
    <m/>
    <m/>
    <m/>
    <m/>
    <m/>
    <m/>
    <n v="0"/>
    <m/>
    <m/>
    <n v="0"/>
    <n v="0"/>
    <n v="0"/>
    <n v="49689944"/>
    <n v="52109208"/>
    <m/>
    <m/>
    <n v="0"/>
    <m/>
    <m/>
    <n v="0"/>
    <m/>
    <m/>
    <m/>
    <m/>
    <n v="49689944"/>
    <n v="52109208"/>
  </r>
  <r>
    <x v="9"/>
    <x v="11"/>
    <s v="Research centers/institut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11"/>
    <s v="Microelectronic Computing Center of North Carolina"/>
    <m/>
    <x v="12"/>
    <m/>
    <m/>
    <n v="6677308"/>
    <n v="6237329"/>
    <m/>
    <m/>
    <m/>
    <m/>
    <n v="0"/>
    <m/>
    <m/>
    <n v="0"/>
    <n v="6677308"/>
    <n v="6237329"/>
    <m/>
    <m/>
    <m/>
    <m/>
    <n v="0"/>
    <m/>
    <m/>
    <n v="0"/>
    <m/>
    <m/>
    <m/>
    <m/>
    <n v="6677308"/>
    <n v="6237329"/>
  </r>
  <r>
    <x v="9"/>
    <x v="13"/>
    <s v="Education special purpose funds- all other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13"/>
    <s v="UNC Reserve for Future Allocation"/>
    <m/>
    <x v="12"/>
    <m/>
    <m/>
    <n v="0"/>
    <n v="204405"/>
    <m/>
    <m/>
    <m/>
    <m/>
    <n v="0"/>
    <m/>
    <m/>
    <n v="0"/>
    <n v="0"/>
    <n v="204405"/>
    <m/>
    <m/>
    <m/>
    <m/>
    <n v="0"/>
    <m/>
    <m/>
    <n v="0"/>
    <m/>
    <m/>
    <m/>
    <m/>
    <n v="0"/>
    <n v="204405"/>
  </r>
  <r>
    <x v="9"/>
    <x v="14"/>
    <s v="Statewide System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15"/>
    <s v="Colleges and universiti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15"/>
    <s v="UNC General Administration"/>
    <m/>
    <x v="12"/>
    <m/>
    <m/>
    <m/>
    <m/>
    <m/>
    <m/>
    <m/>
    <m/>
    <n v="0"/>
    <m/>
    <m/>
    <n v="0"/>
    <n v="0"/>
    <n v="0"/>
    <n v="53368030"/>
    <n v="41451967"/>
    <m/>
    <m/>
    <n v="0"/>
    <m/>
    <m/>
    <n v="0"/>
    <m/>
    <m/>
    <m/>
    <m/>
    <n v="53368030"/>
    <n v="41451967"/>
  </r>
  <r>
    <x v="9"/>
    <x v="17"/>
    <s v="National or regional associations, compacts or consortia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17"/>
    <s v="SREB Membership"/>
    <m/>
    <x v="12"/>
    <m/>
    <m/>
    <m/>
    <m/>
    <m/>
    <m/>
    <m/>
    <m/>
    <n v="0"/>
    <m/>
    <m/>
    <n v="0"/>
    <n v="0"/>
    <n v="0"/>
    <n v="192900"/>
    <n v="187571"/>
    <m/>
    <m/>
    <n v="0"/>
    <m/>
    <m/>
    <n v="0"/>
    <m/>
    <m/>
    <m/>
    <m/>
    <n v="192900"/>
    <n v="187571"/>
  </r>
  <r>
    <x v="9"/>
    <x v="18"/>
    <s v="Adm. of Statewide Student Aid Progs. (incldng centralized guaranteed student loans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19"/>
    <s v="State Support to Private Colleges Other Than Student Ai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19"/>
    <s v="Capitation pymnts &amp; fnncl ad for rsdnt stdnts nrlld at prvt md schls"/>
    <m/>
    <x v="12"/>
    <m/>
    <m/>
    <m/>
    <m/>
    <m/>
    <m/>
    <m/>
    <m/>
    <n v="0"/>
    <m/>
    <m/>
    <n v="0"/>
    <n v="0"/>
    <n v="0"/>
    <n v="1705540"/>
    <n v="1767000"/>
    <m/>
    <m/>
    <n v="0"/>
    <m/>
    <m/>
    <n v="0"/>
    <m/>
    <m/>
    <m/>
    <m/>
    <n v="1705540"/>
    <n v="1767000"/>
  </r>
  <r>
    <x v="9"/>
    <x v="19"/>
    <s v="Grants for Teacher Education"/>
    <m/>
    <x v="12"/>
    <m/>
    <m/>
    <m/>
    <m/>
    <m/>
    <m/>
    <m/>
    <m/>
    <n v="0"/>
    <m/>
    <m/>
    <n v="0"/>
    <n v="0"/>
    <n v="0"/>
    <n v="63635"/>
    <n v="63635"/>
    <m/>
    <m/>
    <n v="0"/>
    <m/>
    <m/>
    <n v="0"/>
    <m/>
    <m/>
    <m/>
    <m/>
    <n v="63635"/>
    <n v="63635"/>
  </r>
  <r>
    <x v="9"/>
    <x v="20"/>
    <s v="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1"/>
    <s v="SREB contract program with private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1"/>
    <s v="Meharry Medical College (Dentistry, Medicine, Special Aid)"/>
    <m/>
    <x v="12"/>
    <m/>
    <m/>
    <m/>
    <m/>
    <m/>
    <m/>
    <m/>
    <m/>
    <n v="0"/>
    <m/>
    <m/>
    <n v="0"/>
    <n v="0"/>
    <n v="0"/>
    <n v="185300"/>
    <n v="54100"/>
    <m/>
    <m/>
    <n v="0"/>
    <m/>
    <m/>
    <n v="0"/>
    <m/>
    <m/>
    <m/>
    <m/>
    <n v="185300"/>
    <n v="54100"/>
  </r>
  <r>
    <x v="9"/>
    <x v="21"/>
    <s v="Southern College of Optometry"/>
    <m/>
    <x v="12"/>
    <m/>
    <m/>
    <m/>
    <m/>
    <m/>
    <m/>
    <m/>
    <m/>
    <n v="0"/>
    <m/>
    <m/>
    <n v="0"/>
    <n v="0"/>
    <n v="0"/>
    <n v="406100"/>
    <n v="137550"/>
    <m/>
    <m/>
    <n v="0"/>
    <m/>
    <m/>
    <n v="0"/>
    <m/>
    <m/>
    <m/>
    <m/>
    <n v="406100"/>
    <n v="137550"/>
  </r>
  <r>
    <x v="9"/>
    <x v="22"/>
    <s v="SREB contract program with public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2"/>
    <s v="University of Houston (Optometry)"/>
    <m/>
    <x v="12"/>
    <m/>
    <m/>
    <m/>
    <m/>
    <m/>
    <m/>
    <m/>
    <m/>
    <n v="0"/>
    <m/>
    <m/>
    <n v="0"/>
    <n v="0"/>
    <n v="0"/>
    <n v="39300"/>
    <n v="19650"/>
    <m/>
    <m/>
    <n v="0"/>
    <m/>
    <m/>
    <n v="0"/>
    <m/>
    <m/>
    <m/>
    <m/>
    <n v="39300"/>
    <n v="19650"/>
  </r>
  <r>
    <x v="9"/>
    <x v="22"/>
    <s v="University of Alabama at Birmingham (Optometry)"/>
    <m/>
    <x v="12"/>
    <m/>
    <m/>
    <m/>
    <m/>
    <m/>
    <m/>
    <m/>
    <m/>
    <n v="0"/>
    <m/>
    <m/>
    <n v="0"/>
    <n v="0"/>
    <n v="0"/>
    <n v="183400"/>
    <n v="78600"/>
    <m/>
    <m/>
    <n v="0"/>
    <m/>
    <m/>
    <n v="0"/>
    <m/>
    <m/>
    <m/>
    <m/>
    <n v="183400"/>
    <n v="78600"/>
  </r>
  <r>
    <x v="9"/>
    <x v="23"/>
    <s v="Other contract education programs"/>
    <m/>
    <x v="12"/>
    <m/>
    <m/>
    <m/>
    <m/>
    <m/>
    <m/>
    <m/>
    <m/>
    <n v="0"/>
    <m/>
    <m/>
    <n v="0"/>
    <n v="0"/>
    <n v="0"/>
    <n v="366800"/>
    <n v="255450"/>
    <m/>
    <m/>
    <n v="0"/>
    <m/>
    <m/>
    <n v="0"/>
    <m/>
    <m/>
    <m/>
    <m/>
    <n v="366800"/>
    <n v="255450"/>
  </r>
  <r>
    <x v="9"/>
    <x v="24"/>
    <s v="Statewide Student Financial Aid Programs Administered Off Campu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5"/>
    <s v="Available to public &amp;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5"/>
    <s v="Board of Governors Medical Scholarship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6"/>
    <s v="Need-based"/>
    <m/>
    <x v="12"/>
    <m/>
    <m/>
    <m/>
    <m/>
    <m/>
    <m/>
    <m/>
    <m/>
    <n v="0"/>
    <m/>
    <m/>
    <n v="0"/>
    <n v="0"/>
    <n v="0"/>
    <n v="645000"/>
    <n v="645000"/>
    <m/>
    <m/>
    <n v="0"/>
    <m/>
    <m/>
    <n v="0"/>
    <m/>
    <m/>
    <m/>
    <m/>
    <n v="645000"/>
    <n v="645000"/>
  </r>
  <r>
    <x v="9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8"/>
    <s v="Amount to public sector students"/>
    <m/>
    <x v="12"/>
    <m/>
    <m/>
    <m/>
    <m/>
    <m/>
    <m/>
    <m/>
    <m/>
    <n v="0"/>
    <m/>
    <m/>
    <n v="0"/>
    <n v="0"/>
    <n v="0"/>
    <s v="No detail on sector?"/>
    <m/>
    <m/>
    <m/>
    <n v="0"/>
    <m/>
    <m/>
    <n v="0"/>
    <m/>
    <m/>
    <m/>
    <m/>
    <n v="0"/>
    <n v="0"/>
  </r>
  <r>
    <x v="9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5"/>
    <s v="NC Student Incentive Grant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6"/>
    <s v="Need-based"/>
    <m/>
    <x v="12"/>
    <m/>
    <m/>
    <m/>
    <m/>
    <m/>
    <m/>
    <m/>
    <m/>
    <n v="0"/>
    <m/>
    <m/>
    <n v="0"/>
    <n v="0"/>
    <n v="0"/>
    <n v="877765"/>
    <n v="877765"/>
    <m/>
    <m/>
    <n v="0"/>
    <m/>
    <m/>
    <n v="0"/>
    <m/>
    <m/>
    <m/>
    <m/>
    <n v="877765"/>
    <n v="877765"/>
  </r>
  <r>
    <x v="9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8"/>
    <s v="Amount to public sector students"/>
    <m/>
    <x v="12"/>
    <m/>
    <m/>
    <m/>
    <m/>
    <m/>
    <m/>
    <m/>
    <m/>
    <n v="0"/>
    <m/>
    <m/>
    <n v="0"/>
    <n v="0"/>
    <n v="0"/>
    <s v="No detail on sector?"/>
    <m/>
    <m/>
    <m/>
    <n v="0"/>
    <m/>
    <m/>
    <n v="0"/>
    <m/>
    <m/>
    <m/>
    <m/>
    <n v="0"/>
    <n v="0"/>
  </r>
  <r>
    <x v="9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5"/>
    <s v="NC Student Loan Program for Health, Science and Mathematic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6"/>
    <s v="Need-based"/>
    <m/>
    <x v="12"/>
    <m/>
    <m/>
    <m/>
    <m/>
    <m/>
    <m/>
    <m/>
    <m/>
    <n v="0"/>
    <m/>
    <m/>
    <n v="0"/>
    <n v="0"/>
    <n v="0"/>
    <n v="822779"/>
    <n v="822779"/>
    <m/>
    <m/>
    <n v="0"/>
    <m/>
    <m/>
    <n v="0"/>
    <m/>
    <m/>
    <m/>
    <m/>
    <n v="822779"/>
    <n v="822779"/>
  </r>
  <r>
    <x v="9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8"/>
    <s v="Amount to public sector students"/>
    <m/>
    <x v="12"/>
    <m/>
    <m/>
    <m/>
    <m/>
    <m/>
    <m/>
    <m/>
    <m/>
    <n v="0"/>
    <m/>
    <m/>
    <n v="0"/>
    <n v="0"/>
    <n v="0"/>
    <s v="No detail on sector?"/>
    <m/>
    <m/>
    <m/>
    <n v="0"/>
    <m/>
    <m/>
    <n v="0"/>
    <m/>
    <m/>
    <m/>
    <m/>
    <n v="0"/>
    <n v="0"/>
  </r>
  <r>
    <x v="9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5"/>
    <s v="Nurse Education Scholarship/Loa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6"/>
    <s v="Need-based"/>
    <m/>
    <x v="12"/>
    <m/>
    <m/>
    <m/>
    <m/>
    <m/>
    <m/>
    <m/>
    <m/>
    <n v="0"/>
    <m/>
    <m/>
    <n v="0"/>
    <n v="0"/>
    <n v="0"/>
    <n v="67756"/>
    <n v="67756"/>
    <m/>
    <m/>
    <n v="0"/>
    <m/>
    <m/>
    <n v="0"/>
    <m/>
    <m/>
    <m/>
    <m/>
    <n v="67756"/>
    <n v="67756"/>
  </r>
  <r>
    <x v="9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8"/>
    <s v="Amount to public sector students"/>
    <m/>
    <x v="12"/>
    <m/>
    <m/>
    <m/>
    <m/>
    <m/>
    <m/>
    <m/>
    <m/>
    <n v="0"/>
    <m/>
    <m/>
    <n v="0"/>
    <n v="0"/>
    <n v="0"/>
    <s v="No detail on sector?"/>
    <m/>
    <m/>
    <m/>
    <n v="0"/>
    <m/>
    <m/>
    <n v="0"/>
    <m/>
    <m/>
    <m/>
    <m/>
    <n v="0"/>
    <n v="0"/>
  </r>
  <r>
    <x v="9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5"/>
    <s v="Nurse Scholars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6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7"/>
    <s v="Non need-based"/>
    <m/>
    <x v="12"/>
    <m/>
    <m/>
    <m/>
    <m/>
    <m/>
    <m/>
    <m/>
    <m/>
    <n v="0"/>
    <m/>
    <m/>
    <n v="0"/>
    <n v="0"/>
    <n v="0"/>
    <n v="3426482"/>
    <n v="3426482"/>
    <m/>
    <m/>
    <n v="0"/>
    <m/>
    <m/>
    <n v="0"/>
    <m/>
    <m/>
    <m/>
    <m/>
    <n v="3426482"/>
    <n v="3426482"/>
  </r>
  <r>
    <x v="9"/>
    <x v="28"/>
    <s v="Amount to public sector students"/>
    <m/>
    <x v="12"/>
    <m/>
    <m/>
    <m/>
    <m/>
    <m/>
    <m/>
    <m/>
    <m/>
    <n v="0"/>
    <m/>
    <m/>
    <n v="0"/>
    <n v="0"/>
    <n v="0"/>
    <s v="No detail on sector?"/>
    <m/>
    <m/>
    <m/>
    <n v="0"/>
    <m/>
    <m/>
    <n v="0"/>
    <m/>
    <m/>
    <m/>
    <m/>
    <n v="0"/>
    <n v="0"/>
  </r>
  <r>
    <x v="9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5"/>
    <s v="NC Veterans Scholarship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6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7"/>
    <s v="Non need-based"/>
    <m/>
    <x v="12"/>
    <m/>
    <m/>
    <m/>
    <m/>
    <m/>
    <m/>
    <m/>
    <m/>
    <n v="0"/>
    <m/>
    <m/>
    <n v="0"/>
    <n v="0"/>
    <n v="0"/>
    <n v="5107293"/>
    <n v="5107293"/>
    <m/>
    <m/>
    <n v="0"/>
    <m/>
    <m/>
    <n v="0"/>
    <m/>
    <m/>
    <m/>
    <m/>
    <n v="5107293"/>
    <n v="5107293"/>
  </r>
  <r>
    <x v="9"/>
    <x v="28"/>
    <s v="Amount to public sector students"/>
    <m/>
    <x v="12"/>
    <m/>
    <m/>
    <m/>
    <m/>
    <m/>
    <m/>
    <m/>
    <m/>
    <n v="0"/>
    <m/>
    <m/>
    <n v="0"/>
    <n v="0"/>
    <n v="0"/>
    <s v="No detail on sector?"/>
    <m/>
    <m/>
    <m/>
    <n v="0"/>
    <m/>
    <m/>
    <n v="0"/>
    <m/>
    <m/>
    <m/>
    <m/>
    <n v="0"/>
    <n v="0"/>
  </r>
  <r>
    <x v="9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4"/>
    <s v="Limited to public college students onl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4"/>
    <s v="UNC Need-Based Grant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5"/>
    <s v="Need-based"/>
    <m/>
    <x v="12"/>
    <m/>
    <m/>
    <m/>
    <m/>
    <m/>
    <m/>
    <m/>
    <m/>
    <n v="0"/>
    <m/>
    <m/>
    <n v="0"/>
    <n v="0"/>
    <n v="0"/>
    <n v="98496370"/>
    <n v="136595136"/>
    <m/>
    <m/>
    <n v="0"/>
    <m/>
    <m/>
    <n v="0"/>
    <m/>
    <m/>
    <m/>
    <m/>
    <n v="98496370"/>
    <n v="136595136"/>
  </r>
  <r>
    <x v="9"/>
    <x v="36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4"/>
    <s v="Teacher Assistant Scholarship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5"/>
    <s v="Need-based"/>
    <m/>
    <x v="12"/>
    <m/>
    <m/>
    <m/>
    <m/>
    <m/>
    <m/>
    <m/>
    <m/>
    <n v="0"/>
    <m/>
    <m/>
    <n v="0"/>
    <n v="0"/>
    <n v="0"/>
    <n v="739174"/>
    <n v="364174"/>
    <m/>
    <m/>
    <n v="0"/>
    <m/>
    <m/>
    <n v="0"/>
    <m/>
    <m/>
    <m/>
    <m/>
    <n v="739174"/>
    <n v="364174"/>
  </r>
  <r>
    <x v="9"/>
    <x v="36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4"/>
    <s v="UNC Incentive Scholarships for Certain Institu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5"/>
    <s v="Need-based"/>
    <m/>
    <x v="12"/>
    <m/>
    <m/>
    <m/>
    <m/>
    <m/>
    <m/>
    <m/>
    <m/>
    <n v="0"/>
    <m/>
    <m/>
    <n v="0"/>
    <n v="0"/>
    <n v="0"/>
    <n v="5166168"/>
    <n v="5126646"/>
    <m/>
    <m/>
    <n v="0"/>
    <m/>
    <m/>
    <n v="0"/>
    <m/>
    <m/>
    <m/>
    <m/>
    <n v="5166168"/>
    <n v="5126646"/>
  </r>
  <r>
    <x v="9"/>
    <x v="36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4"/>
    <s v="Board of Governor's Dental Scholarship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5"/>
    <s v="Need-based"/>
    <m/>
    <x v="12"/>
    <m/>
    <m/>
    <m/>
    <m/>
    <m/>
    <m/>
    <m/>
    <m/>
    <n v="0"/>
    <m/>
    <m/>
    <n v="0"/>
    <n v="0"/>
    <n v="0"/>
    <n v="450239"/>
    <n v="450239"/>
    <m/>
    <m/>
    <n v="0"/>
    <m/>
    <m/>
    <n v="0"/>
    <m/>
    <m/>
    <m/>
    <m/>
    <n v="450239"/>
    <n v="450239"/>
  </r>
  <r>
    <x v="9"/>
    <x v="36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4"/>
    <s v="Principal Fellows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5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6"/>
    <s v="Non need-based"/>
    <m/>
    <x v="12"/>
    <m/>
    <m/>
    <m/>
    <m/>
    <m/>
    <m/>
    <m/>
    <m/>
    <n v="0"/>
    <m/>
    <m/>
    <n v="0"/>
    <n v="0"/>
    <n v="0"/>
    <n v="3620000"/>
    <n v="3620000"/>
    <m/>
    <m/>
    <n v="0"/>
    <m/>
    <m/>
    <n v="0"/>
    <m/>
    <m/>
    <m/>
    <m/>
    <n v="3620000"/>
    <n v="3620000"/>
  </r>
  <r>
    <x v="9"/>
    <x v="37"/>
    <s v="Limited to private college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7"/>
    <s v="State Contractual Scholarhip Fun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8"/>
    <s v="Need-based"/>
    <m/>
    <x v="12"/>
    <m/>
    <m/>
    <m/>
    <m/>
    <m/>
    <m/>
    <m/>
    <m/>
    <n v="0"/>
    <m/>
    <m/>
    <n v="0"/>
    <n v="0"/>
    <n v="0"/>
    <n v="45158375"/>
    <n v="44058375"/>
    <m/>
    <m/>
    <n v="0"/>
    <m/>
    <m/>
    <n v="0"/>
    <m/>
    <m/>
    <m/>
    <m/>
    <n v="45158375"/>
    <n v="44058375"/>
  </r>
  <r>
    <x v="9"/>
    <x v="39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7"/>
    <s v="Legislative Tuition Grant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8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39"/>
    <s v="Non need-based"/>
    <m/>
    <x v="12"/>
    <m/>
    <m/>
    <m/>
    <m/>
    <m/>
    <m/>
    <m/>
    <m/>
    <n v="0"/>
    <m/>
    <m/>
    <n v="0"/>
    <n v="0"/>
    <n v="0"/>
    <n v="60822305"/>
    <n v="60935305"/>
    <m/>
    <m/>
    <n v="0"/>
    <m/>
    <m/>
    <n v="0"/>
    <m/>
    <m/>
    <m/>
    <m/>
    <n v="60822305"/>
    <n v="60935305"/>
  </r>
  <r>
    <x v="9"/>
    <x v="0"/>
    <s v="Asheville-Buncombe Technical Community College"/>
    <n v="197887"/>
    <x v="6"/>
    <n v="20651730"/>
    <n v="22014914"/>
    <m/>
    <m/>
    <n v="8150101"/>
    <n v="9566533"/>
    <n v="4533665"/>
    <m/>
    <n v="4533665"/>
    <n v="5108401"/>
    <m/>
    <n v="5108401"/>
    <n v="33335496"/>
    <n v="36689848"/>
    <m/>
    <m/>
    <m/>
    <m/>
    <n v="0"/>
    <m/>
    <m/>
    <n v="0"/>
    <m/>
    <m/>
    <m/>
    <m/>
    <n v="33335496"/>
    <n v="36689848"/>
  </r>
  <r>
    <x v="9"/>
    <x v="0"/>
    <s v="Nursing / allied health supplement"/>
    <n v="197887"/>
    <x v="6"/>
    <m/>
    <m/>
    <n v="256710"/>
    <n v="394376"/>
    <m/>
    <m/>
    <m/>
    <m/>
    <n v="0"/>
    <m/>
    <m/>
    <n v="0"/>
    <n v="256710"/>
    <n v="394376"/>
    <m/>
    <m/>
    <m/>
    <m/>
    <n v="0"/>
    <m/>
    <m/>
    <n v="0"/>
    <m/>
    <m/>
    <m/>
    <m/>
    <n v="256710"/>
    <n v="394376"/>
  </r>
  <r>
    <x v="9"/>
    <x v="3"/>
    <s v="Community or public service units"/>
    <n v="197887"/>
    <x v="6"/>
    <m/>
    <m/>
    <n v="278862"/>
    <n v="282195"/>
    <m/>
    <m/>
    <m/>
    <m/>
    <n v="0"/>
    <m/>
    <m/>
    <n v="0"/>
    <n v="278862"/>
    <n v="282195"/>
    <m/>
    <m/>
    <m/>
    <m/>
    <n v="0"/>
    <m/>
    <m/>
    <n v="0"/>
    <m/>
    <m/>
    <m/>
    <m/>
    <n v="278862"/>
    <n v="282195"/>
  </r>
  <r>
    <x v="9"/>
    <x v="45"/>
    <s v="Non-credit continuing education"/>
    <n v="197887"/>
    <x v="6"/>
    <m/>
    <m/>
    <n v="1279807"/>
    <n v="1667122"/>
    <m/>
    <m/>
    <n v="574906"/>
    <m/>
    <n v="574906"/>
    <n v="334983"/>
    <m/>
    <n v="334983"/>
    <n v="1854713"/>
    <n v="2002105"/>
    <m/>
    <m/>
    <m/>
    <m/>
    <n v="0"/>
    <m/>
    <m/>
    <n v="0"/>
    <m/>
    <m/>
    <m/>
    <m/>
    <n v="1854713"/>
    <n v="2002105"/>
  </r>
  <r>
    <x v="9"/>
    <x v="0"/>
    <s v="Cape Fear Community College"/>
    <n v="198154"/>
    <x v="6"/>
    <n v="24620902"/>
    <n v="26009545"/>
    <m/>
    <m/>
    <n v="5719069"/>
    <n v="7417127"/>
    <n v="6145398"/>
    <m/>
    <n v="6145398"/>
    <n v="7755856"/>
    <m/>
    <n v="7755856"/>
    <n v="36485369"/>
    <n v="41182528"/>
    <m/>
    <m/>
    <m/>
    <m/>
    <n v="0"/>
    <m/>
    <m/>
    <n v="0"/>
    <m/>
    <m/>
    <m/>
    <m/>
    <n v="36485369"/>
    <n v="41182528"/>
  </r>
  <r>
    <x v="9"/>
    <x v="0"/>
    <s v="Nursing / allied health supplement"/>
    <n v="198154"/>
    <x v="6"/>
    <m/>
    <m/>
    <n v="107854"/>
    <n v="213113"/>
    <m/>
    <m/>
    <m/>
    <m/>
    <n v="0"/>
    <m/>
    <m/>
    <n v="0"/>
    <n v="107854"/>
    <n v="213113"/>
    <m/>
    <m/>
    <m/>
    <m/>
    <n v="0"/>
    <m/>
    <m/>
    <n v="0"/>
    <m/>
    <m/>
    <m/>
    <m/>
    <n v="107854"/>
    <n v="213113"/>
  </r>
  <r>
    <x v="9"/>
    <x v="3"/>
    <s v="Community or public service units"/>
    <n v="198154"/>
    <x v="6"/>
    <m/>
    <m/>
    <n v="210279"/>
    <n v="223188"/>
    <m/>
    <m/>
    <m/>
    <m/>
    <n v="0"/>
    <m/>
    <m/>
    <n v="0"/>
    <n v="210279"/>
    <n v="223188"/>
    <m/>
    <m/>
    <m/>
    <m/>
    <n v="0"/>
    <m/>
    <m/>
    <n v="0"/>
    <m/>
    <m/>
    <m/>
    <m/>
    <n v="210279"/>
    <n v="223188"/>
  </r>
  <r>
    <x v="9"/>
    <x v="45"/>
    <s v="Non-credit continuing education"/>
    <n v="198154"/>
    <x v="6"/>
    <m/>
    <m/>
    <n v="1392906"/>
    <n v="1500900"/>
    <m/>
    <m/>
    <n v="315612"/>
    <m/>
    <n v="315612"/>
    <n v="255229"/>
    <m/>
    <n v="255229"/>
    <n v="1708518"/>
    <n v="1756129"/>
    <m/>
    <m/>
    <m/>
    <m/>
    <n v="0"/>
    <m/>
    <m/>
    <n v="0"/>
    <m/>
    <m/>
    <m/>
    <m/>
    <n v="1708518"/>
    <n v="1756129"/>
  </r>
  <r>
    <x v="9"/>
    <x v="0"/>
    <s v="Catawba Valley Community College"/>
    <n v="198233"/>
    <x v="6"/>
    <n v="17669173"/>
    <n v="17783041"/>
    <m/>
    <m/>
    <n v="2831526"/>
    <n v="3774000"/>
    <n v="3446760"/>
    <m/>
    <n v="3446760"/>
    <n v="4273105"/>
    <m/>
    <n v="4273105"/>
    <n v="23947459"/>
    <n v="25830146"/>
    <m/>
    <m/>
    <m/>
    <m/>
    <n v="0"/>
    <m/>
    <m/>
    <n v="0"/>
    <m/>
    <m/>
    <m/>
    <m/>
    <n v="23947459"/>
    <n v="25830146"/>
  </r>
  <r>
    <x v="9"/>
    <x v="0"/>
    <s v="Nursing / allied health supplement"/>
    <n v="198233"/>
    <x v="6"/>
    <m/>
    <m/>
    <n v="136497"/>
    <n v="194771"/>
    <m/>
    <m/>
    <m/>
    <m/>
    <n v="0"/>
    <m/>
    <m/>
    <n v="0"/>
    <n v="136497"/>
    <n v="194771"/>
    <m/>
    <m/>
    <m/>
    <m/>
    <n v="0"/>
    <m/>
    <m/>
    <n v="0"/>
    <m/>
    <m/>
    <m/>
    <m/>
    <n v="136497"/>
    <n v="194771"/>
  </r>
  <r>
    <x v="9"/>
    <x v="3"/>
    <s v="Community or public service units"/>
    <n v="198233"/>
    <x v="6"/>
    <m/>
    <m/>
    <n v="241100"/>
    <n v="240439"/>
    <m/>
    <m/>
    <m/>
    <m/>
    <n v="0"/>
    <m/>
    <m/>
    <n v="0"/>
    <n v="241100"/>
    <n v="240439"/>
    <m/>
    <m/>
    <m/>
    <m/>
    <n v="0"/>
    <m/>
    <m/>
    <n v="0"/>
    <m/>
    <m/>
    <m/>
    <m/>
    <n v="241100"/>
    <n v="240439"/>
  </r>
  <r>
    <x v="9"/>
    <x v="45"/>
    <s v="Non-credit continuing education"/>
    <n v="198233"/>
    <x v="6"/>
    <m/>
    <m/>
    <n v="955911"/>
    <n v="1161853"/>
    <m/>
    <m/>
    <n v="283855"/>
    <m/>
    <n v="283855"/>
    <n v="104620"/>
    <m/>
    <n v="104620"/>
    <n v="1239766"/>
    <n v="1266473"/>
    <m/>
    <m/>
    <m/>
    <m/>
    <n v="0"/>
    <m/>
    <m/>
    <n v="0"/>
    <m/>
    <m/>
    <m/>
    <m/>
    <n v="1239766"/>
    <n v="1266473"/>
  </r>
  <r>
    <x v="9"/>
    <x v="0"/>
    <s v="Central Carolina Commuity College"/>
    <n v="198251"/>
    <x v="6"/>
    <n v="20529238"/>
    <n v="20761835"/>
    <m/>
    <m/>
    <n v="3252119"/>
    <n v="3342678"/>
    <n v="3247721"/>
    <m/>
    <n v="3247721"/>
    <n v="3332090"/>
    <m/>
    <n v="3332090"/>
    <n v="27029078"/>
    <n v="27436603"/>
    <m/>
    <m/>
    <m/>
    <m/>
    <n v="0"/>
    <m/>
    <m/>
    <n v="0"/>
    <m/>
    <m/>
    <m/>
    <m/>
    <n v="27029078"/>
    <n v="27436603"/>
  </r>
  <r>
    <x v="9"/>
    <x v="0"/>
    <s v="Nursing / allied health supplement"/>
    <n v="198251"/>
    <x v="6"/>
    <m/>
    <m/>
    <n v="241917"/>
    <n v="367593"/>
    <m/>
    <m/>
    <m/>
    <m/>
    <n v="0"/>
    <m/>
    <m/>
    <n v="0"/>
    <n v="241917"/>
    <n v="367593"/>
    <m/>
    <m/>
    <m/>
    <m/>
    <n v="0"/>
    <m/>
    <m/>
    <n v="0"/>
    <m/>
    <m/>
    <m/>
    <m/>
    <n v="241917"/>
    <n v="367593"/>
  </r>
  <r>
    <x v="9"/>
    <x v="3"/>
    <s v="Community or public service units"/>
    <n v="198251"/>
    <x v="6"/>
    <m/>
    <m/>
    <n v="227461"/>
    <n v="223160"/>
    <m/>
    <m/>
    <m/>
    <m/>
    <n v="0"/>
    <m/>
    <m/>
    <n v="0"/>
    <n v="227461"/>
    <n v="223160"/>
    <m/>
    <m/>
    <m/>
    <m/>
    <n v="0"/>
    <m/>
    <m/>
    <n v="0"/>
    <m/>
    <m/>
    <m/>
    <m/>
    <n v="227461"/>
    <n v="223160"/>
  </r>
  <r>
    <x v="9"/>
    <x v="45"/>
    <s v="Non-credit continuing education"/>
    <n v="198251"/>
    <x v="6"/>
    <m/>
    <m/>
    <n v="1432864"/>
    <n v="1528326"/>
    <m/>
    <m/>
    <n v="353406"/>
    <m/>
    <n v="353406"/>
    <n v="246794"/>
    <m/>
    <n v="246794"/>
    <n v="1786270"/>
    <n v="1775120"/>
    <m/>
    <m/>
    <m/>
    <m/>
    <n v="0"/>
    <m/>
    <m/>
    <n v="0"/>
    <m/>
    <m/>
    <m/>
    <m/>
    <n v="1786270"/>
    <n v="1775120"/>
  </r>
  <r>
    <x v="9"/>
    <x v="0"/>
    <s v="Central Piedmont Community College "/>
    <n v="198260"/>
    <x v="6"/>
    <n v="46484405"/>
    <n v="51492512"/>
    <m/>
    <m/>
    <n v="25174542"/>
    <n v="28294542"/>
    <n v="14228565"/>
    <m/>
    <n v="14228565"/>
    <n v="15768574"/>
    <m/>
    <n v="15768574"/>
    <n v="85887512"/>
    <n v="95555628"/>
    <m/>
    <m/>
    <m/>
    <m/>
    <n v="0"/>
    <m/>
    <m/>
    <n v="0"/>
    <m/>
    <m/>
    <m/>
    <m/>
    <n v="85887512"/>
    <n v="95555628"/>
  </r>
  <r>
    <x v="9"/>
    <x v="0"/>
    <s v="Nursing / allied health supplement"/>
    <n v="198260"/>
    <x v="6"/>
    <m/>
    <m/>
    <n v="243741"/>
    <n v="409638"/>
    <m/>
    <m/>
    <m/>
    <m/>
    <n v="0"/>
    <m/>
    <m/>
    <n v="0"/>
    <n v="243741"/>
    <n v="409638"/>
    <m/>
    <m/>
    <m/>
    <m/>
    <n v="0"/>
    <m/>
    <m/>
    <n v="0"/>
    <m/>
    <m/>
    <m/>
    <m/>
    <n v="243741"/>
    <n v="409638"/>
  </r>
  <r>
    <x v="9"/>
    <x v="3"/>
    <s v="Community or public service units"/>
    <n v="198260"/>
    <x v="6"/>
    <m/>
    <m/>
    <n v="267143"/>
    <n v="251273"/>
    <m/>
    <m/>
    <m/>
    <m/>
    <n v="0"/>
    <m/>
    <m/>
    <n v="0"/>
    <n v="267143"/>
    <n v="251273"/>
    <m/>
    <m/>
    <m/>
    <m/>
    <n v="0"/>
    <m/>
    <m/>
    <n v="0"/>
    <m/>
    <m/>
    <m/>
    <m/>
    <n v="267143"/>
    <n v="251273"/>
  </r>
  <r>
    <x v="9"/>
    <x v="45"/>
    <s v="Non-credit continuing education"/>
    <n v="198260"/>
    <x v="6"/>
    <m/>
    <m/>
    <n v="1565206"/>
    <n v="1862141"/>
    <m/>
    <m/>
    <n v="705505"/>
    <m/>
    <n v="705505"/>
    <n v="253920"/>
    <m/>
    <n v="253920"/>
    <n v="2270711"/>
    <n v="2116061"/>
    <m/>
    <m/>
    <m/>
    <m/>
    <n v="0"/>
    <m/>
    <m/>
    <n v="0"/>
    <m/>
    <m/>
    <m/>
    <m/>
    <n v="2270711"/>
    <n v="2116061"/>
  </r>
  <r>
    <x v="9"/>
    <x v="0"/>
    <s v="Fayetteville Technical Community College"/>
    <n v="198534"/>
    <x v="6"/>
    <n v="36876415"/>
    <n v="35432036"/>
    <m/>
    <m/>
    <n v="9125151"/>
    <n v="9521293"/>
    <n v="7898108"/>
    <m/>
    <n v="7898108"/>
    <n v="9441975"/>
    <m/>
    <n v="9441975"/>
    <n v="53899674"/>
    <n v="54395304"/>
    <m/>
    <m/>
    <m/>
    <m/>
    <n v="0"/>
    <m/>
    <m/>
    <n v="0"/>
    <m/>
    <m/>
    <m/>
    <m/>
    <n v="53899674"/>
    <n v="54395304"/>
  </r>
  <r>
    <x v="9"/>
    <x v="0"/>
    <s v="Nursing / allied health supplement"/>
    <n v="198534"/>
    <x v="6"/>
    <m/>
    <m/>
    <n v="279929"/>
    <n v="402149"/>
    <m/>
    <m/>
    <m/>
    <m/>
    <n v="0"/>
    <m/>
    <m/>
    <n v="0"/>
    <n v="279929"/>
    <n v="402149"/>
    <m/>
    <m/>
    <m/>
    <m/>
    <n v="0"/>
    <m/>
    <m/>
    <n v="0"/>
    <m/>
    <m/>
    <m/>
    <m/>
    <n v="279929"/>
    <n v="402149"/>
  </r>
  <r>
    <x v="9"/>
    <x v="3"/>
    <s v="Community or public service units"/>
    <n v="198534"/>
    <x v="6"/>
    <m/>
    <m/>
    <n v="230154"/>
    <n v="239234"/>
    <m/>
    <m/>
    <m/>
    <m/>
    <n v="0"/>
    <m/>
    <m/>
    <n v="0"/>
    <n v="230154"/>
    <n v="239234"/>
    <m/>
    <m/>
    <m/>
    <m/>
    <n v="0"/>
    <m/>
    <m/>
    <n v="0"/>
    <m/>
    <m/>
    <m/>
    <m/>
    <n v="230154"/>
    <n v="239234"/>
  </r>
  <r>
    <x v="9"/>
    <x v="45"/>
    <s v="Non-credit continuing education"/>
    <n v="198534"/>
    <x v="6"/>
    <m/>
    <m/>
    <n v="2955544"/>
    <n v="3193199"/>
    <m/>
    <m/>
    <n v="948233"/>
    <m/>
    <n v="948233"/>
    <n v="516269"/>
    <m/>
    <n v="516269"/>
    <n v="3903777"/>
    <n v="3709468"/>
    <m/>
    <m/>
    <m/>
    <m/>
    <n v="0"/>
    <m/>
    <m/>
    <n v="0"/>
    <m/>
    <m/>
    <m/>
    <m/>
    <n v="3903777"/>
    <n v="3709468"/>
  </r>
  <r>
    <x v="9"/>
    <x v="0"/>
    <s v="Forsyth Technical Community College"/>
    <n v="198552"/>
    <x v="6"/>
    <n v="22368887"/>
    <n v="23466647"/>
    <m/>
    <m/>
    <n v="6221037"/>
    <n v="8052738"/>
    <n v="5557630"/>
    <m/>
    <n v="5557630"/>
    <n v="6523496"/>
    <m/>
    <n v="6523496"/>
    <n v="34147554"/>
    <n v="38042881"/>
    <m/>
    <m/>
    <m/>
    <m/>
    <n v="0"/>
    <m/>
    <m/>
    <n v="0"/>
    <m/>
    <m/>
    <m/>
    <m/>
    <n v="34147554"/>
    <n v="38042881"/>
  </r>
  <r>
    <x v="9"/>
    <x v="0"/>
    <s v="Nursing / allied health supplement"/>
    <n v="198552"/>
    <x v="6"/>
    <m/>
    <m/>
    <n v="344163"/>
    <n v="545229"/>
    <m/>
    <m/>
    <m/>
    <m/>
    <n v="0"/>
    <m/>
    <m/>
    <n v="0"/>
    <n v="344163"/>
    <n v="545229"/>
    <m/>
    <m/>
    <m/>
    <m/>
    <n v="0"/>
    <m/>
    <m/>
    <n v="0"/>
    <m/>
    <m/>
    <m/>
    <m/>
    <n v="344163"/>
    <n v="545229"/>
  </r>
  <r>
    <x v="9"/>
    <x v="3"/>
    <s v="Community or public service units"/>
    <n v="198552"/>
    <x v="6"/>
    <m/>
    <m/>
    <n v="252097"/>
    <n v="249675"/>
    <m/>
    <m/>
    <m/>
    <m/>
    <n v="0"/>
    <m/>
    <m/>
    <n v="0"/>
    <n v="252097"/>
    <n v="249675"/>
    <m/>
    <m/>
    <m/>
    <m/>
    <n v="0"/>
    <m/>
    <m/>
    <n v="0"/>
    <m/>
    <m/>
    <m/>
    <m/>
    <n v="252097"/>
    <n v="249675"/>
  </r>
  <r>
    <x v="9"/>
    <x v="45"/>
    <s v="Non-credit continuing education"/>
    <n v="198552"/>
    <x v="6"/>
    <m/>
    <m/>
    <n v="1295578"/>
    <n v="1545898"/>
    <m/>
    <m/>
    <n v="676424"/>
    <m/>
    <n v="676424"/>
    <n v="515508"/>
    <m/>
    <n v="515508"/>
    <n v="1972002"/>
    <n v="2061406"/>
    <m/>
    <m/>
    <m/>
    <m/>
    <n v="0"/>
    <m/>
    <m/>
    <n v="0"/>
    <m/>
    <m/>
    <m/>
    <m/>
    <n v="1972002"/>
    <n v="2061406"/>
  </r>
  <r>
    <x v="9"/>
    <x v="0"/>
    <s v="Guilford Technical Community College"/>
    <n v="198622"/>
    <x v="6"/>
    <n v="33077984"/>
    <n v="35232788"/>
    <m/>
    <m/>
    <n v="10748028"/>
    <n v="11752690"/>
    <n v="7970836"/>
    <m/>
    <n v="7970836"/>
    <n v="9816032"/>
    <m/>
    <n v="9816032"/>
    <n v="51796848"/>
    <n v="56801510"/>
    <m/>
    <m/>
    <m/>
    <m/>
    <n v="0"/>
    <m/>
    <m/>
    <n v="0"/>
    <m/>
    <m/>
    <m/>
    <m/>
    <n v="51796848"/>
    <n v="56801510"/>
  </r>
  <r>
    <x v="9"/>
    <x v="0"/>
    <s v="Nursing / allied health supplement"/>
    <n v="198622"/>
    <x v="6"/>
    <m/>
    <m/>
    <n v="278318"/>
    <n v="461445"/>
    <m/>
    <m/>
    <m/>
    <m/>
    <n v="0"/>
    <m/>
    <m/>
    <n v="0"/>
    <n v="278318"/>
    <n v="461445"/>
    <m/>
    <m/>
    <m/>
    <m/>
    <n v="0"/>
    <m/>
    <m/>
    <n v="0"/>
    <m/>
    <m/>
    <m/>
    <m/>
    <n v="278318"/>
    <n v="461445"/>
  </r>
  <r>
    <x v="9"/>
    <x v="3"/>
    <s v="Community or public service units"/>
    <n v="198622"/>
    <x v="6"/>
    <m/>
    <m/>
    <n v="272015"/>
    <n v="265001"/>
    <m/>
    <m/>
    <m/>
    <m/>
    <n v="0"/>
    <m/>
    <m/>
    <n v="0"/>
    <n v="272015"/>
    <n v="265001"/>
    <m/>
    <m/>
    <m/>
    <m/>
    <n v="0"/>
    <m/>
    <m/>
    <n v="0"/>
    <m/>
    <m/>
    <m/>
    <m/>
    <n v="272015"/>
    <n v="265001"/>
  </r>
  <r>
    <x v="9"/>
    <x v="45"/>
    <s v="Non-credit continuing education"/>
    <n v="198622"/>
    <x v="6"/>
    <m/>
    <m/>
    <n v="1282171"/>
    <n v="1809979"/>
    <m/>
    <m/>
    <n v="710741"/>
    <m/>
    <n v="710741"/>
    <n v="337028"/>
    <m/>
    <n v="337028"/>
    <n v="1992912"/>
    <n v="2147007"/>
    <m/>
    <m/>
    <m/>
    <m/>
    <n v="0"/>
    <m/>
    <m/>
    <n v="0"/>
    <m/>
    <m/>
    <m/>
    <m/>
    <n v="1992912"/>
    <n v="2147007"/>
  </r>
  <r>
    <x v="9"/>
    <x v="0"/>
    <s v="Pitt Community College"/>
    <n v="199333"/>
    <x v="6"/>
    <n v="20308043"/>
    <n v="20984881"/>
    <m/>
    <m/>
    <n v="3704400"/>
    <n v="3968689"/>
    <n v="5669315"/>
    <m/>
    <n v="5669315"/>
    <n v="6444324"/>
    <m/>
    <n v="6444324"/>
    <n v="29681758"/>
    <n v="31397894"/>
    <m/>
    <m/>
    <m/>
    <m/>
    <n v="0"/>
    <m/>
    <m/>
    <n v="0"/>
    <m/>
    <m/>
    <m/>
    <m/>
    <n v="29681758"/>
    <n v="31397894"/>
  </r>
  <r>
    <x v="9"/>
    <x v="0"/>
    <s v="Nursing / allied health supplement"/>
    <n v="199333"/>
    <x v="6"/>
    <m/>
    <m/>
    <n v="266918"/>
    <n v="421815"/>
    <m/>
    <m/>
    <m/>
    <m/>
    <n v="0"/>
    <m/>
    <m/>
    <n v="0"/>
    <n v="266918"/>
    <n v="421815"/>
    <m/>
    <m/>
    <m/>
    <m/>
    <n v="0"/>
    <m/>
    <m/>
    <n v="0"/>
    <m/>
    <m/>
    <m/>
    <m/>
    <n v="266918"/>
    <n v="421815"/>
  </r>
  <r>
    <x v="9"/>
    <x v="3"/>
    <s v="Community or public service units"/>
    <n v="199333"/>
    <x v="6"/>
    <m/>
    <m/>
    <n v="181378"/>
    <n v="196178"/>
    <m/>
    <m/>
    <m/>
    <m/>
    <n v="0"/>
    <m/>
    <m/>
    <n v="0"/>
    <n v="181378"/>
    <n v="196178"/>
    <m/>
    <m/>
    <m/>
    <m/>
    <n v="0"/>
    <m/>
    <m/>
    <n v="0"/>
    <m/>
    <m/>
    <m/>
    <m/>
    <n v="181378"/>
    <n v="196178"/>
  </r>
  <r>
    <x v="9"/>
    <x v="45"/>
    <s v="Non-credit continuing education"/>
    <n v="199333"/>
    <x v="6"/>
    <m/>
    <m/>
    <n v="838209"/>
    <n v="907509"/>
    <m/>
    <m/>
    <n v="164738"/>
    <m/>
    <n v="164738"/>
    <n v="187728"/>
    <m/>
    <n v="187728"/>
    <n v="1002947"/>
    <n v="1095237"/>
    <m/>
    <m/>
    <m/>
    <m/>
    <n v="0"/>
    <m/>
    <m/>
    <n v="0"/>
    <m/>
    <m/>
    <m/>
    <m/>
    <n v="1002947"/>
    <n v="1095237"/>
  </r>
  <r>
    <x v="9"/>
    <x v="0"/>
    <s v="Wake Technical Community College"/>
    <n v="199856"/>
    <x v="6"/>
    <n v="37182732"/>
    <n v="39820707"/>
    <m/>
    <m/>
    <n v="16738165"/>
    <n v="18525000"/>
    <n v="9897310"/>
    <m/>
    <n v="9897310"/>
    <n v="13738654"/>
    <m/>
    <n v="13738654"/>
    <n v="63818207"/>
    <n v="72084361"/>
    <m/>
    <m/>
    <m/>
    <m/>
    <n v="0"/>
    <m/>
    <m/>
    <n v="0"/>
    <m/>
    <m/>
    <m/>
    <m/>
    <n v="63818207"/>
    <n v="72084361"/>
  </r>
  <r>
    <x v="9"/>
    <x v="0"/>
    <s v="Nursing / allied health supplement"/>
    <n v="199856"/>
    <x v="6"/>
    <m/>
    <m/>
    <n v="306464"/>
    <n v="528191"/>
    <m/>
    <m/>
    <m/>
    <m/>
    <n v="0"/>
    <m/>
    <m/>
    <n v="0"/>
    <n v="306464"/>
    <n v="528191"/>
    <m/>
    <m/>
    <m/>
    <m/>
    <n v="0"/>
    <m/>
    <m/>
    <n v="0"/>
    <m/>
    <m/>
    <m/>
    <m/>
    <n v="306464"/>
    <n v="528191"/>
  </r>
  <r>
    <x v="9"/>
    <x v="3"/>
    <s v="Community or public service units"/>
    <n v="199856"/>
    <x v="6"/>
    <m/>
    <m/>
    <n v="238736"/>
    <n v="236023"/>
    <m/>
    <m/>
    <m/>
    <m/>
    <n v="0"/>
    <m/>
    <m/>
    <n v="0"/>
    <n v="238736"/>
    <n v="236023"/>
    <m/>
    <m/>
    <m/>
    <m/>
    <n v="0"/>
    <m/>
    <m/>
    <n v="0"/>
    <m/>
    <m/>
    <m/>
    <m/>
    <n v="238736"/>
    <n v="236023"/>
  </r>
  <r>
    <x v="9"/>
    <x v="45"/>
    <s v="Non-credit continuing education"/>
    <n v="199856"/>
    <x v="6"/>
    <m/>
    <m/>
    <n v="2726535"/>
    <n v="2910560"/>
    <m/>
    <m/>
    <n v="822516"/>
    <m/>
    <n v="822516"/>
    <n v="775772"/>
    <m/>
    <n v="775772"/>
    <n v="3549051"/>
    <n v="3686332"/>
    <m/>
    <m/>
    <m/>
    <m/>
    <n v="0"/>
    <m/>
    <m/>
    <n v="0"/>
    <m/>
    <m/>
    <m/>
    <m/>
    <n v="3549051"/>
    <n v="3686332"/>
  </r>
  <r>
    <x v="9"/>
    <x v="0"/>
    <s v="Durham Technical Community College"/>
    <n v="198455"/>
    <x v="6"/>
    <n v="15861707"/>
    <n v="16103504"/>
    <m/>
    <m/>
    <n v="4044184"/>
    <n v="5386147"/>
    <n v="4264852"/>
    <m/>
    <n v="4264852"/>
    <n v="3978496"/>
    <m/>
    <n v="3978496"/>
    <n v="24170743"/>
    <n v="25468147"/>
    <m/>
    <m/>
    <m/>
    <m/>
    <n v="0"/>
    <m/>
    <m/>
    <n v="0"/>
    <m/>
    <m/>
    <m/>
    <m/>
    <n v="24170743"/>
    <n v="25468147"/>
  </r>
  <r>
    <x v="9"/>
    <x v="0"/>
    <s v="Nursing / allied health supplement"/>
    <n v="198455"/>
    <x v="6"/>
    <m/>
    <m/>
    <n v="187122"/>
    <n v="306204"/>
    <m/>
    <m/>
    <m/>
    <m/>
    <n v="0"/>
    <m/>
    <m/>
    <n v="0"/>
    <n v="187122"/>
    <n v="306204"/>
    <m/>
    <m/>
    <m/>
    <m/>
    <n v="0"/>
    <m/>
    <m/>
    <n v="0"/>
    <m/>
    <m/>
    <m/>
    <m/>
    <n v="187122"/>
    <n v="306204"/>
  </r>
  <r>
    <x v="9"/>
    <x v="3"/>
    <s v="Community or public service units"/>
    <n v="198455"/>
    <x v="6"/>
    <m/>
    <m/>
    <n v="203711"/>
    <n v="200605"/>
    <m/>
    <m/>
    <m/>
    <m/>
    <n v="0"/>
    <m/>
    <m/>
    <n v="0"/>
    <n v="203711"/>
    <n v="200605"/>
    <m/>
    <m/>
    <m/>
    <m/>
    <n v="0"/>
    <m/>
    <m/>
    <n v="0"/>
    <m/>
    <m/>
    <m/>
    <m/>
    <n v="203711"/>
    <n v="200605"/>
  </r>
  <r>
    <x v="9"/>
    <x v="45"/>
    <s v="Non-credit continuing education"/>
    <n v="198455"/>
    <x v="6"/>
    <m/>
    <m/>
    <n v="1719100"/>
    <n v="1875523"/>
    <m/>
    <m/>
    <n v="417494"/>
    <m/>
    <n v="417494"/>
    <n v="442557"/>
    <m/>
    <n v="442557"/>
    <n v="2136594"/>
    <n v="2318080"/>
    <m/>
    <m/>
    <m/>
    <m/>
    <n v="0"/>
    <m/>
    <m/>
    <n v="0"/>
    <m/>
    <m/>
    <m/>
    <m/>
    <n v="2136594"/>
    <n v="2318080"/>
  </r>
  <r>
    <x v="9"/>
    <x v="0"/>
    <s v="Rowan-Cabarrus Community College"/>
    <n v="199494"/>
    <x v="6"/>
    <n v="18801746"/>
    <n v="19065991"/>
    <m/>
    <m/>
    <n v="3464844"/>
    <n v="3894520"/>
    <n v="3865391"/>
    <m/>
    <n v="3865391"/>
    <n v="4458866"/>
    <m/>
    <n v="4458866"/>
    <n v="26131981"/>
    <n v="27419377"/>
    <m/>
    <m/>
    <m/>
    <m/>
    <n v="0"/>
    <m/>
    <m/>
    <n v="0"/>
    <m/>
    <m/>
    <m/>
    <m/>
    <n v="26131981"/>
    <n v="27419377"/>
  </r>
  <r>
    <x v="9"/>
    <x v="0"/>
    <s v="Nursing / allied health supplement"/>
    <n v="199494"/>
    <x v="6"/>
    <m/>
    <m/>
    <n v="90654"/>
    <n v="138977"/>
    <m/>
    <m/>
    <m/>
    <m/>
    <n v="0"/>
    <m/>
    <m/>
    <n v="0"/>
    <n v="90654"/>
    <n v="138977"/>
    <m/>
    <m/>
    <m/>
    <m/>
    <n v="0"/>
    <m/>
    <m/>
    <n v="0"/>
    <m/>
    <m/>
    <m/>
    <m/>
    <n v="90654"/>
    <n v="138977"/>
  </r>
  <r>
    <x v="9"/>
    <x v="3"/>
    <s v="Community or public service units"/>
    <n v="199494"/>
    <x v="6"/>
    <m/>
    <m/>
    <n v="212444"/>
    <n v="217692"/>
    <m/>
    <m/>
    <m/>
    <m/>
    <n v="0"/>
    <m/>
    <m/>
    <n v="0"/>
    <n v="212444"/>
    <n v="217692"/>
    <m/>
    <m/>
    <m/>
    <m/>
    <n v="0"/>
    <m/>
    <m/>
    <n v="0"/>
    <m/>
    <m/>
    <m/>
    <m/>
    <n v="212444"/>
    <n v="217692"/>
  </r>
  <r>
    <x v="9"/>
    <x v="45"/>
    <s v="Non-credit continuing education"/>
    <n v="199494"/>
    <x v="6"/>
    <m/>
    <m/>
    <n v="1462543"/>
    <n v="1633233"/>
    <m/>
    <m/>
    <n v="338948"/>
    <m/>
    <n v="338948"/>
    <n v="213206"/>
    <m/>
    <n v="213206"/>
    <n v="1801491"/>
    <n v="1846439"/>
    <m/>
    <m/>
    <m/>
    <m/>
    <n v="0"/>
    <m/>
    <m/>
    <n v="0"/>
    <m/>
    <m/>
    <m/>
    <m/>
    <n v="1801491"/>
    <n v="1846439"/>
  </r>
  <r>
    <x v="9"/>
    <x v="0"/>
    <s v="Alamance Community College"/>
    <n v="199786"/>
    <x v="7"/>
    <n v="15238460"/>
    <n v="14699943"/>
    <m/>
    <m/>
    <n v="2531000"/>
    <n v="2889766"/>
    <n v="2918944"/>
    <m/>
    <n v="2918944"/>
    <n v="3597698"/>
    <m/>
    <n v="3597698"/>
    <n v="20688404"/>
    <n v="21187407"/>
    <m/>
    <m/>
    <m/>
    <m/>
    <n v="0"/>
    <m/>
    <m/>
    <n v="0"/>
    <m/>
    <m/>
    <m/>
    <m/>
    <n v="20688404"/>
    <n v="21187407"/>
  </r>
  <r>
    <x v="9"/>
    <x v="0"/>
    <s v="Nursing / allied health supplement"/>
    <n v="199786"/>
    <x v="7"/>
    <m/>
    <m/>
    <n v="131981"/>
    <n v="153293"/>
    <m/>
    <m/>
    <m/>
    <m/>
    <n v="0"/>
    <m/>
    <m/>
    <n v="0"/>
    <n v="131981"/>
    <n v="153293"/>
    <m/>
    <m/>
    <m/>
    <m/>
    <n v="0"/>
    <m/>
    <m/>
    <n v="0"/>
    <m/>
    <m/>
    <m/>
    <m/>
    <n v="131981"/>
    <n v="153293"/>
  </r>
  <r>
    <x v="9"/>
    <x v="3"/>
    <s v="Community or public service units"/>
    <n v="199786"/>
    <x v="7"/>
    <m/>
    <m/>
    <n v="210305"/>
    <n v="222325"/>
    <m/>
    <m/>
    <m/>
    <m/>
    <n v="0"/>
    <m/>
    <m/>
    <n v="0"/>
    <n v="210305"/>
    <n v="222325"/>
    <m/>
    <m/>
    <m/>
    <m/>
    <n v="0"/>
    <m/>
    <m/>
    <n v="0"/>
    <m/>
    <m/>
    <m/>
    <m/>
    <n v="210305"/>
    <n v="222325"/>
  </r>
  <r>
    <x v="9"/>
    <x v="45"/>
    <s v="Non-credit continuing education"/>
    <n v="199786"/>
    <x v="7"/>
    <m/>
    <m/>
    <n v="377329"/>
    <n v="673781"/>
    <m/>
    <m/>
    <n v="395726"/>
    <m/>
    <n v="395726"/>
    <n v="202594"/>
    <m/>
    <n v="202594"/>
    <n v="773055"/>
    <n v="876375"/>
    <m/>
    <m/>
    <m/>
    <m/>
    <n v="0"/>
    <m/>
    <m/>
    <n v="0"/>
    <m/>
    <m/>
    <m/>
    <m/>
    <n v="773055"/>
    <n v="876375"/>
  </r>
  <r>
    <x v="9"/>
    <x v="0"/>
    <s v="Blue Ridge Community College"/>
    <n v="198039"/>
    <x v="7"/>
    <n v="8093893"/>
    <n v="7948845"/>
    <m/>
    <m/>
    <n v="2265982"/>
    <n v="2976561"/>
    <n v="1688149"/>
    <m/>
    <n v="1688149"/>
    <n v="1685994"/>
    <m/>
    <n v="1685994"/>
    <n v="12048024"/>
    <n v="12611400"/>
    <m/>
    <m/>
    <m/>
    <m/>
    <n v="0"/>
    <m/>
    <m/>
    <n v="0"/>
    <m/>
    <m/>
    <m/>
    <m/>
    <n v="12048024"/>
    <n v="12611400"/>
  </r>
  <r>
    <x v="9"/>
    <x v="0"/>
    <s v="Nursing / allied health supplement"/>
    <n v="198039"/>
    <x v="7"/>
    <m/>
    <m/>
    <n v="39792"/>
    <n v="58672"/>
    <m/>
    <m/>
    <m/>
    <m/>
    <n v="0"/>
    <m/>
    <m/>
    <n v="0"/>
    <n v="39792"/>
    <n v="58672"/>
    <m/>
    <m/>
    <m/>
    <m/>
    <n v="0"/>
    <m/>
    <m/>
    <n v="0"/>
    <m/>
    <m/>
    <m/>
    <m/>
    <n v="39792"/>
    <n v="58672"/>
  </r>
  <r>
    <x v="9"/>
    <x v="3"/>
    <s v="Community or public service units"/>
    <n v="198039"/>
    <x v="7"/>
    <m/>
    <m/>
    <n v="194257"/>
    <n v="205670"/>
    <m/>
    <m/>
    <m/>
    <m/>
    <n v="0"/>
    <m/>
    <m/>
    <n v="0"/>
    <n v="194257"/>
    <n v="205670"/>
    <m/>
    <m/>
    <m/>
    <m/>
    <n v="0"/>
    <m/>
    <m/>
    <n v="0"/>
    <m/>
    <m/>
    <m/>
    <m/>
    <n v="194257"/>
    <n v="205670"/>
  </r>
  <r>
    <x v="9"/>
    <x v="45"/>
    <s v="Non-credit continuing education"/>
    <n v="198039"/>
    <x v="7"/>
    <m/>
    <m/>
    <n v="1141941"/>
    <n v="1227192"/>
    <m/>
    <m/>
    <n v="291628"/>
    <m/>
    <n v="291628"/>
    <n v="189858"/>
    <m/>
    <n v="189858"/>
    <n v="1433569"/>
    <n v="1417050"/>
    <m/>
    <m/>
    <m/>
    <m/>
    <n v="0"/>
    <m/>
    <m/>
    <n v="0"/>
    <m/>
    <m/>
    <m/>
    <m/>
    <n v="1433569"/>
    <n v="1417050"/>
  </r>
  <r>
    <x v="9"/>
    <x v="0"/>
    <s v="Caldwell Community College  &amp; Technical Institute"/>
    <n v="198118"/>
    <x v="7"/>
    <n v="15393133"/>
    <n v="16425319"/>
    <m/>
    <m/>
    <n v="3568720"/>
    <n v="4683628"/>
    <n v="3274833"/>
    <m/>
    <n v="3274833"/>
    <n v="3275898"/>
    <m/>
    <n v="3275898"/>
    <n v="22236686"/>
    <n v="24384845"/>
    <m/>
    <m/>
    <m/>
    <m/>
    <n v="0"/>
    <m/>
    <m/>
    <n v="0"/>
    <m/>
    <m/>
    <m/>
    <m/>
    <n v="22236686"/>
    <n v="24384845"/>
  </r>
  <r>
    <x v="9"/>
    <x v="0"/>
    <s v="Nursing / allied health supplement"/>
    <n v="198118"/>
    <x v="7"/>
    <m/>
    <m/>
    <n v="125800"/>
    <n v="181127"/>
    <m/>
    <m/>
    <m/>
    <m/>
    <n v="0"/>
    <m/>
    <m/>
    <n v="0"/>
    <n v="125800"/>
    <n v="181127"/>
    <m/>
    <m/>
    <m/>
    <m/>
    <n v="0"/>
    <m/>
    <m/>
    <n v="0"/>
    <m/>
    <m/>
    <m/>
    <m/>
    <n v="125800"/>
    <n v="181127"/>
  </r>
  <r>
    <x v="9"/>
    <x v="3"/>
    <s v="Community or public service units"/>
    <n v="198118"/>
    <x v="7"/>
    <m/>
    <m/>
    <n v="187894"/>
    <n v="193688"/>
    <m/>
    <m/>
    <m/>
    <m/>
    <n v="0"/>
    <m/>
    <m/>
    <n v="0"/>
    <n v="187894"/>
    <n v="193688"/>
    <m/>
    <m/>
    <m/>
    <m/>
    <n v="0"/>
    <m/>
    <m/>
    <n v="0"/>
    <m/>
    <m/>
    <m/>
    <m/>
    <n v="187894"/>
    <n v="193688"/>
  </r>
  <r>
    <x v="9"/>
    <x v="45"/>
    <s v="Non-credit continuing education"/>
    <n v="198118"/>
    <x v="7"/>
    <m/>
    <m/>
    <n v="926278"/>
    <n v="1157152"/>
    <m/>
    <m/>
    <n v="297593"/>
    <m/>
    <n v="297593"/>
    <n v="117187"/>
    <m/>
    <n v="117187"/>
    <n v="1223871"/>
    <n v="1274339"/>
    <m/>
    <m/>
    <m/>
    <m/>
    <n v="0"/>
    <m/>
    <m/>
    <n v="0"/>
    <m/>
    <m/>
    <m/>
    <m/>
    <n v="1223871"/>
    <n v="1274339"/>
  </r>
  <r>
    <x v="9"/>
    <x v="0"/>
    <s v="Cleveland Community College"/>
    <n v="198321"/>
    <x v="7"/>
    <n v="12618245"/>
    <n v="12026044"/>
    <m/>
    <m/>
    <n v="1150129"/>
    <n v="1350129"/>
    <n v="1622777"/>
    <m/>
    <n v="1622777"/>
    <n v="2290018"/>
    <m/>
    <n v="2290018"/>
    <n v="15391151"/>
    <n v="15666191"/>
    <m/>
    <m/>
    <m/>
    <m/>
    <n v="0"/>
    <m/>
    <m/>
    <n v="0"/>
    <m/>
    <m/>
    <m/>
    <m/>
    <n v="15391151"/>
    <n v="15666191"/>
  </r>
  <r>
    <x v="9"/>
    <x v="0"/>
    <s v="Nursing / allied health supplement"/>
    <n v="198321"/>
    <x v="7"/>
    <m/>
    <m/>
    <n v="69654"/>
    <n v="89111"/>
    <m/>
    <m/>
    <m/>
    <m/>
    <n v="0"/>
    <m/>
    <m/>
    <n v="0"/>
    <n v="69654"/>
    <n v="89111"/>
    <m/>
    <m/>
    <m/>
    <m/>
    <n v="0"/>
    <m/>
    <m/>
    <n v="0"/>
    <m/>
    <m/>
    <m/>
    <m/>
    <n v="69654"/>
    <n v="89111"/>
  </r>
  <r>
    <x v="9"/>
    <x v="3"/>
    <s v="Community or public service units"/>
    <n v="198321"/>
    <x v="7"/>
    <m/>
    <m/>
    <n v="198074"/>
    <n v="212152"/>
    <m/>
    <m/>
    <m/>
    <m/>
    <n v="0"/>
    <m/>
    <m/>
    <n v="0"/>
    <n v="198074"/>
    <n v="212152"/>
    <m/>
    <m/>
    <m/>
    <m/>
    <n v="0"/>
    <m/>
    <m/>
    <n v="0"/>
    <m/>
    <m/>
    <m/>
    <m/>
    <n v="198074"/>
    <n v="212152"/>
  </r>
  <r>
    <x v="9"/>
    <x v="45"/>
    <s v="Non-credit continuing education"/>
    <n v="198321"/>
    <x v="7"/>
    <m/>
    <m/>
    <n v="607299"/>
    <n v="597504"/>
    <m/>
    <m/>
    <n v="96960"/>
    <m/>
    <n v="96960"/>
    <n v="88870"/>
    <m/>
    <n v="88870"/>
    <n v="704259"/>
    <n v="686374"/>
    <m/>
    <m/>
    <m/>
    <m/>
    <n v="0"/>
    <m/>
    <m/>
    <n v="0"/>
    <m/>
    <m/>
    <m/>
    <m/>
    <n v="704259"/>
    <n v="686374"/>
  </r>
  <r>
    <x v="9"/>
    <x v="0"/>
    <s v="Coastal Carolina Community College "/>
    <n v="198330"/>
    <x v="7"/>
    <n v="13193903"/>
    <n v="14453039"/>
    <m/>
    <m/>
    <n v="2716231"/>
    <n v="3527429"/>
    <n v="5205059"/>
    <m/>
    <n v="5205059"/>
    <n v="4229084"/>
    <m/>
    <n v="4229084"/>
    <n v="21115193"/>
    <n v="22209552"/>
    <m/>
    <m/>
    <m/>
    <m/>
    <n v="0"/>
    <m/>
    <m/>
    <n v="0"/>
    <m/>
    <m/>
    <m/>
    <m/>
    <n v="21115193"/>
    <n v="22209552"/>
  </r>
  <r>
    <x v="9"/>
    <x v="0"/>
    <s v="Nursing / allied health supplement"/>
    <n v="198330"/>
    <x v="7"/>
    <m/>
    <m/>
    <n v="103928"/>
    <n v="159031"/>
    <m/>
    <m/>
    <m/>
    <m/>
    <n v="0"/>
    <m/>
    <m/>
    <n v="0"/>
    <n v="103928"/>
    <n v="159031"/>
    <m/>
    <m/>
    <m/>
    <m/>
    <n v="0"/>
    <m/>
    <m/>
    <n v="0"/>
    <m/>
    <m/>
    <m/>
    <m/>
    <n v="103928"/>
    <n v="159031"/>
  </r>
  <r>
    <x v="9"/>
    <x v="3"/>
    <s v="Community or public service units"/>
    <n v="198330"/>
    <x v="7"/>
    <m/>
    <m/>
    <n v="191120"/>
    <n v="188682"/>
    <m/>
    <m/>
    <m/>
    <m/>
    <n v="0"/>
    <m/>
    <m/>
    <n v="0"/>
    <n v="191120"/>
    <n v="188682"/>
    <m/>
    <m/>
    <m/>
    <m/>
    <n v="0"/>
    <m/>
    <m/>
    <n v="0"/>
    <m/>
    <m/>
    <m/>
    <m/>
    <n v="191120"/>
    <n v="188682"/>
  </r>
  <r>
    <x v="9"/>
    <x v="45"/>
    <s v="Non-credit continuing education"/>
    <n v="198330"/>
    <x v="7"/>
    <m/>
    <m/>
    <n v="1270600"/>
    <n v="1637807"/>
    <m/>
    <m/>
    <n v="963151"/>
    <m/>
    <n v="963151"/>
    <n v="529285"/>
    <m/>
    <n v="529285"/>
    <n v="2233751"/>
    <n v="2167092"/>
    <m/>
    <m/>
    <m/>
    <m/>
    <n v="0"/>
    <m/>
    <m/>
    <n v="0"/>
    <m/>
    <m/>
    <m/>
    <m/>
    <n v="2233751"/>
    <n v="2167092"/>
  </r>
  <r>
    <x v="9"/>
    <x v="0"/>
    <s v="College of the Albemarle"/>
    <n v="197814"/>
    <x v="7"/>
    <n v="9514362"/>
    <n v="10049735"/>
    <m/>
    <m/>
    <n v="1443606"/>
    <n v="1582360"/>
    <n v="1796917"/>
    <m/>
    <n v="1796917"/>
    <n v="1872865"/>
    <m/>
    <n v="1872865"/>
    <n v="12754885"/>
    <n v="13504960"/>
    <m/>
    <m/>
    <m/>
    <m/>
    <n v="0"/>
    <m/>
    <m/>
    <n v="0"/>
    <m/>
    <m/>
    <m/>
    <m/>
    <n v="12754885"/>
    <n v="13504960"/>
  </r>
  <r>
    <x v="9"/>
    <x v="0"/>
    <s v="Nursing / allied health supplement"/>
    <n v="197814"/>
    <x v="7"/>
    <m/>
    <m/>
    <n v="53406"/>
    <n v="68589"/>
    <m/>
    <m/>
    <m/>
    <m/>
    <n v="0"/>
    <m/>
    <m/>
    <n v="0"/>
    <n v="53406"/>
    <n v="68589"/>
    <m/>
    <m/>
    <m/>
    <m/>
    <n v="0"/>
    <m/>
    <m/>
    <n v="0"/>
    <m/>
    <m/>
    <m/>
    <m/>
    <n v="53406"/>
    <n v="68589"/>
  </r>
  <r>
    <x v="9"/>
    <x v="3"/>
    <s v="Community or public service units"/>
    <n v="197814"/>
    <x v="7"/>
    <m/>
    <m/>
    <n v="175525"/>
    <n v="170428"/>
    <m/>
    <m/>
    <m/>
    <m/>
    <n v="0"/>
    <m/>
    <m/>
    <n v="0"/>
    <n v="175525"/>
    <n v="170428"/>
    <m/>
    <m/>
    <m/>
    <m/>
    <n v="0"/>
    <m/>
    <m/>
    <n v="0"/>
    <m/>
    <m/>
    <m/>
    <m/>
    <n v="175525"/>
    <n v="170428"/>
  </r>
  <r>
    <x v="9"/>
    <x v="45"/>
    <s v="Non-credit continuing education"/>
    <n v="197814"/>
    <x v="7"/>
    <m/>
    <m/>
    <n v="518080"/>
    <n v="606451"/>
    <m/>
    <m/>
    <n v="164660"/>
    <m/>
    <n v="164660"/>
    <n v="119472"/>
    <m/>
    <n v="119472"/>
    <n v="682740"/>
    <n v="725923"/>
    <m/>
    <m/>
    <m/>
    <m/>
    <n v="0"/>
    <m/>
    <m/>
    <n v="0"/>
    <m/>
    <m/>
    <m/>
    <m/>
    <n v="682740"/>
    <n v="725923"/>
  </r>
  <r>
    <x v="9"/>
    <x v="0"/>
    <s v="Craven Community College "/>
    <n v="198367"/>
    <x v="7"/>
    <n v="9955988"/>
    <n v="10725017"/>
    <m/>
    <m/>
    <n v="2985130"/>
    <n v="3330130"/>
    <n v="3096462"/>
    <m/>
    <n v="3096462"/>
    <n v="2629878"/>
    <m/>
    <n v="2629878"/>
    <n v="16037580"/>
    <n v="16685025"/>
    <m/>
    <m/>
    <m/>
    <m/>
    <n v="0"/>
    <m/>
    <m/>
    <n v="0"/>
    <m/>
    <m/>
    <m/>
    <m/>
    <n v="16037580"/>
    <n v="16685025"/>
  </r>
  <r>
    <x v="9"/>
    <x v="0"/>
    <s v="Nursing / allied health supplement"/>
    <n v="198367"/>
    <x v="7"/>
    <m/>
    <m/>
    <n v="96562"/>
    <n v="142889"/>
    <m/>
    <m/>
    <m/>
    <m/>
    <n v="0"/>
    <m/>
    <m/>
    <n v="0"/>
    <n v="96562"/>
    <n v="142889"/>
    <m/>
    <m/>
    <m/>
    <m/>
    <n v="0"/>
    <m/>
    <m/>
    <n v="0"/>
    <m/>
    <m/>
    <m/>
    <m/>
    <n v="96562"/>
    <n v="142889"/>
  </r>
  <r>
    <x v="9"/>
    <x v="3"/>
    <s v="Community or public service units"/>
    <n v="198367"/>
    <x v="7"/>
    <m/>
    <m/>
    <n v="196918"/>
    <n v="212216"/>
    <m/>
    <m/>
    <m/>
    <m/>
    <n v="0"/>
    <m/>
    <m/>
    <n v="0"/>
    <n v="196918"/>
    <n v="212216"/>
    <m/>
    <m/>
    <m/>
    <m/>
    <n v="0"/>
    <m/>
    <m/>
    <n v="0"/>
    <m/>
    <m/>
    <m/>
    <m/>
    <n v="196918"/>
    <n v="212216"/>
  </r>
  <r>
    <x v="9"/>
    <x v="45"/>
    <s v="Non-credit continuing education"/>
    <n v="198367"/>
    <x v="7"/>
    <m/>
    <m/>
    <n v="732815"/>
    <n v="835247"/>
    <m/>
    <m/>
    <n v="212470"/>
    <m/>
    <n v="212470"/>
    <n v="160945"/>
    <m/>
    <n v="160945"/>
    <n v="945285"/>
    <n v="996192"/>
    <m/>
    <m/>
    <m/>
    <m/>
    <n v="0"/>
    <m/>
    <m/>
    <n v="0"/>
    <m/>
    <m/>
    <m/>
    <m/>
    <n v="945285"/>
    <n v="996192"/>
  </r>
  <r>
    <x v="9"/>
    <x v="0"/>
    <s v="Davidson County Community College "/>
    <n v="198376"/>
    <x v="7"/>
    <n v="13914649"/>
    <n v="14683568"/>
    <m/>
    <m/>
    <n v="3061000"/>
    <n v="3933902"/>
    <n v="2091503"/>
    <m/>
    <n v="2091503"/>
    <n v="2425992"/>
    <m/>
    <n v="2425992"/>
    <n v="19067152"/>
    <n v="21043462"/>
    <m/>
    <m/>
    <m/>
    <m/>
    <n v="0"/>
    <m/>
    <m/>
    <n v="0"/>
    <m/>
    <m/>
    <m/>
    <m/>
    <n v="19067152"/>
    <n v="21043462"/>
  </r>
  <r>
    <x v="9"/>
    <x v="0"/>
    <s v="Nursing / allied health supplement"/>
    <n v="198376"/>
    <x v="7"/>
    <m/>
    <m/>
    <n v="172456"/>
    <n v="247889"/>
    <m/>
    <m/>
    <m/>
    <m/>
    <n v="0"/>
    <m/>
    <m/>
    <n v="0"/>
    <n v="172456"/>
    <n v="247889"/>
    <m/>
    <m/>
    <m/>
    <m/>
    <n v="0"/>
    <m/>
    <m/>
    <n v="0"/>
    <m/>
    <m/>
    <m/>
    <m/>
    <n v="172456"/>
    <n v="247889"/>
  </r>
  <r>
    <x v="9"/>
    <x v="3"/>
    <s v="Community or public service units"/>
    <n v="198376"/>
    <x v="7"/>
    <m/>
    <m/>
    <n v="194609"/>
    <n v="202555"/>
    <m/>
    <m/>
    <m/>
    <m/>
    <n v="0"/>
    <m/>
    <m/>
    <n v="0"/>
    <n v="194609"/>
    <n v="202555"/>
    <m/>
    <m/>
    <m/>
    <m/>
    <n v="0"/>
    <m/>
    <m/>
    <n v="0"/>
    <m/>
    <m/>
    <m/>
    <m/>
    <n v="194609"/>
    <n v="202555"/>
  </r>
  <r>
    <x v="9"/>
    <x v="45"/>
    <s v="Non-credit continuing education"/>
    <n v="198376"/>
    <x v="7"/>
    <m/>
    <m/>
    <n v="1228244"/>
    <n v="1509214"/>
    <m/>
    <m/>
    <n v="463065"/>
    <m/>
    <n v="463065"/>
    <n v="199261"/>
    <m/>
    <n v="199261"/>
    <n v="1691309"/>
    <n v="1708475"/>
    <m/>
    <m/>
    <m/>
    <m/>
    <n v="0"/>
    <m/>
    <m/>
    <n v="0"/>
    <m/>
    <m/>
    <m/>
    <m/>
    <n v="1691309"/>
    <n v="1708475"/>
  </r>
  <r>
    <x v="9"/>
    <x v="0"/>
    <s v="Edgecombe Community College"/>
    <n v="198491"/>
    <x v="7"/>
    <n v="10479004"/>
    <n v="10013011"/>
    <m/>
    <m/>
    <n v="1163000"/>
    <n v="1130000"/>
    <n v="1462265"/>
    <m/>
    <n v="1462265"/>
    <n v="1643467"/>
    <m/>
    <n v="1643467"/>
    <n v="13104269"/>
    <n v="12786478"/>
    <m/>
    <m/>
    <m/>
    <m/>
    <n v="0"/>
    <m/>
    <m/>
    <n v="0"/>
    <m/>
    <m/>
    <m/>
    <m/>
    <n v="13104269"/>
    <n v="12786478"/>
  </r>
  <r>
    <x v="9"/>
    <x v="0"/>
    <s v="Nursing / allied health supplement"/>
    <n v="198491"/>
    <x v="7"/>
    <m/>
    <m/>
    <n v="151025"/>
    <n v="225455"/>
    <m/>
    <m/>
    <m/>
    <m/>
    <n v="0"/>
    <m/>
    <m/>
    <n v="0"/>
    <n v="151025"/>
    <n v="225455"/>
    <m/>
    <m/>
    <m/>
    <m/>
    <n v="0"/>
    <m/>
    <m/>
    <n v="0"/>
    <m/>
    <m/>
    <m/>
    <m/>
    <n v="151025"/>
    <n v="225455"/>
  </r>
  <r>
    <x v="9"/>
    <x v="3"/>
    <s v="Community or public service units"/>
    <n v="198491"/>
    <x v="7"/>
    <m/>
    <m/>
    <n v="180392"/>
    <n v="169148"/>
    <m/>
    <m/>
    <m/>
    <m/>
    <n v="0"/>
    <m/>
    <m/>
    <n v="0"/>
    <n v="180392"/>
    <n v="169148"/>
    <m/>
    <m/>
    <m/>
    <m/>
    <n v="0"/>
    <m/>
    <m/>
    <n v="0"/>
    <m/>
    <m/>
    <m/>
    <m/>
    <n v="180392"/>
    <n v="169148"/>
  </r>
  <r>
    <x v="9"/>
    <x v="45"/>
    <s v="Non-credit continuing education"/>
    <n v="198491"/>
    <x v="7"/>
    <m/>
    <m/>
    <n v="644397"/>
    <n v="720625"/>
    <m/>
    <m/>
    <n v="85776"/>
    <m/>
    <n v="85776"/>
    <n v="93697"/>
    <m/>
    <n v="93697"/>
    <n v="730173"/>
    <n v="814322"/>
    <m/>
    <m/>
    <m/>
    <m/>
    <n v="0"/>
    <m/>
    <m/>
    <n v="0"/>
    <m/>
    <m/>
    <m/>
    <m/>
    <n v="730173"/>
    <n v="814322"/>
  </r>
  <r>
    <x v="9"/>
    <x v="0"/>
    <s v="Gaston College "/>
    <n v="198570"/>
    <x v="7"/>
    <n v="17248034"/>
    <n v="18030235"/>
    <m/>
    <m/>
    <n v="3808517"/>
    <n v="10543405"/>
    <n v="4109893"/>
    <m/>
    <n v="4109893"/>
    <n v="4312333"/>
    <m/>
    <n v="4312333"/>
    <n v="25166444"/>
    <n v="32885973"/>
    <m/>
    <m/>
    <m/>
    <m/>
    <n v="0"/>
    <m/>
    <m/>
    <n v="0"/>
    <m/>
    <m/>
    <m/>
    <m/>
    <n v="25166444"/>
    <n v="32885973"/>
  </r>
  <r>
    <x v="9"/>
    <x v="0"/>
    <s v="Nursing / allied health supplement"/>
    <n v="198570"/>
    <x v="7"/>
    <m/>
    <m/>
    <n v="159696"/>
    <n v="236130"/>
    <m/>
    <m/>
    <m/>
    <m/>
    <n v="0"/>
    <m/>
    <m/>
    <n v="0"/>
    <n v="159696"/>
    <n v="236130"/>
    <m/>
    <m/>
    <m/>
    <m/>
    <n v="0"/>
    <m/>
    <m/>
    <n v="0"/>
    <m/>
    <m/>
    <m/>
    <m/>
    <n v="159696"/>
    <n v="236130"/>
  </r>
  <r>
    <x v="9"/>
    <x v="3"/>
    <s v="Community or public service units"/>
    <n v="198570"/>
    <x v="7"/>
    <m/>
    <m/>
    <n v="217221"/>
    <n v="222757"/>
    <m/>
    <m/>
    <m/>
    <m/>
    <n v="0"/>
    <m/>
    <m/>
    <n v="0"/>
    <n v="217221"/>
    <n v="222757"/>
    <m/>
    <m/>
    <m/>
    <m/>
    <n v="0"/>
    <m/>
    <m/>
    <n v="0"/>
    <m/>
    <m/>
    <m/>
    <m/>
    <n v="217221"/>
    <n v="222757"/>
  </r>
  <r>
    <x v="9"/>
    <x v="45"/>
    <s v="Non-credit continuing education"/>
    <n v="198570"/>
    <x v="7"/>
    <m/>
    <m/>
    <n v="744864"/>
    <n v="839215"/>
    <m/>
    <m/>
    <n v="231608"/>
    <m/>
    <n v="231608"/>
    <n v="138743"/>
    <m/>
    <n v="138743"/>
    <n v="976472"/>
    <n v="977958"/>
    <m/>
    <m/>
    <m/>
    <m/>
    <n v="0"/>
    <m/>
    <m/>
    <n v="0"/>
    <m/>
    <m/>
    <m/>
    <m/>
    <n v="976472"/>
    <n v="977958"/>
  </r>
  <r>
    <x v="9"/>
    <x v="0"/>
    <s v="Haywood Community College"/>
    <n v="198668"/>
    <x v="7"/>
    <n v="8449697"/>
    <n v="8737870"/>
    <m/>
    <m/>
    <n v="2056228"/>
    <n v="2566941"/>
    <n v="1661844"/>
    <m/>
    <n v="1661844"/>
    <n v="1485484"/>
    <m/>
    <n v="1485484"/>
    <n v="12167769"/>
    <n v="12790295"/>
    <m/>
    <m/>
    <m/>
    <m/>
    <n v="0"/>
    <m/>
    <m/>
    <n v="0"/>
    <m/>
    <m/>
    <m/>
    <m/>
    <n v="12167769"/>
    <n v="12790295"/>
  </r>
  <r>
    <x v="9"/>
    <x v="0"/>
    <s v="Nursing / allied health supplement"/>
    <n v="198668"/>
    <x v="7"/>
    <m/>
    <m/>
    <n v="48410"/>
    <n v="64290"/>
    <m/>
    <m/>
    <m/>
    <m/>
    <n v="0"/>
    <m/>
    <m/>
    <n v="0"/>
    <n v="48410"/>
    <n v="64290"/>
    <m/>
    <m/>
    <m/>
    <m/>
    <n v="0"/>
    <m/>
    <m/>
    <n v="0"/>
    <m/>
    <m/>
    <m/>
    <m/>
    <n v="48410"/>
    <n v="64290"/>
  </r>
  <r>
    <x v="9"/>
    <x v="3"/>
    <s v="Community or public service units"/>
    <n v="198668"/>
    <x v="7"/>
    <m/>
    <m/>
    <n v="189939"/>
    <n v="161533"/>
    <m/>
    <m/>
    <m/>
    <m/>
    <n v="0"/>
    <m/>
    <m/>
    <n v="0"/>
    <n v="189939"/>
    <n v="161533"/>
    <m/>
    <m/>
    <m/>
    <m/>
    <n v="0"/>
    <m/>
    <m/>
    <n v="0"/>
    <m/>
    <m/>
    <m/>
    <m/>
    <n v="189939"/>
    <n v="161533"/>
  </r>
  <r>
    <x v="9"/>
    <x v="45"/>
    <s v="Non-credit continuing education"/>
    <n v="198668"/>
    <x v="7"/>
    <m/>
    <m/>
    <n v="634784"/>
    <n v="585767"/>
    <m/>
    <m/>
    <n v="104545"/>
    <m/>
    <n v="104545"/>
    <n v="58371"/>
    <m/>
    <n v="58371"/>
    <n v="739329"/>
    <n v="644138"/>
    <m/>
    <m/>
    <m/>
    <m/>
    <n v="0"/>
    <m/>
    <m/>
    <n v="0"/>
    <m/>
    <m/>
    <m/>
    <m/>
    <n v="739329"/>
    <n v="644138"/>
  </r>
  <r>
    <x v="9"/>
    <x v="0"/>
    <s v="Isothermal Community College "/>
    <n v="198710"/>
    <x v="7"/>
    <n v="8471124"/>
    <n v="8656833"/>
    <m/>
    <m/>
    <n v="1957646"/>
    <n v="2042671"/>
    <n v="1883431"/>
    <m/>
    <n v="1883431"/>
    <n v="1678685"/>
    <m/>
    <n v="1678685"/>
    <n v="12312201"/>
    <n v="12378189"/>
    <m/>
    <m/>
    <m/>
    <m/>
    <n v="0"/>
    <m/>
    <m/>
    <n v="0"/>
    <m/>
    <m/>
    <m/>
    <m/>
    <n v="12312201"/>
    <n v="12378189"/>
  </r>
  <r>
    <x v="9"/>
    <x v="0"/>
    <s v="Nursing / allied health supplement"/>
    <n v="198710"/>
    <x v="7"/>
    <m/>
    <m/>
    <n v="48885"/>
    <n v="69141"/>
    <m/>
    <m/>
    <m/>
    <m/>
    <n v="0"/>
    <m/>
    <m/>
    <n v="0"/>
    <n v="48885"/>
    <n v="69141"/>
    <m/>
    <m/>
    <m/>
    <m/>
    <n v="0"/>
    <m/>
    <m/>
    <n v="0"/>
    <m/>
    <m/>
    <m/>
    <m/>
    <n v="48885"/>
    <n v="69141"/>
  </r>
  <r>
    <x v="9"/>
    <x v="3"/>
    <s v="Community or public service units"/>
    <n v="198710"/>
    <x v="7"/>
    <m/>
    <m/>
    <n v="182585"/>
    <n v="172565"/>
    <m/>
    <m/>
    <m/>
    <m/>
    <n v="0"/>
    <m/>
    <m/>
    <n v="0"/>
    <n v="182585"/>
    <n v="172565"/>
    <m/>
    <m/>
    <m/>
    <m/>
    <n v="0"/>
    <m/>
    <m/>
    <n v="0"/>
    <m/>
    <m/>
    <m/>
    <m/>
    <n v="182585"/>
    <n v="172565"/>
  </r>
  <r>
    <x v="9"/>
    <x v="45"/>
    <s v="Non-credit continuing education"/>
    <n v="198710"/>
    <x v="7"/>
    <m/>
    <m/>
    <n v="500604"/>
    <n v="568894"/>
    <m/>
    <m/>
    <n v="67270"/>
    <m/>
    <n v="67270"/>
    <n v="69197"/>
    <m/>
    <n v="69197"/>
    <n v="567874"/>
    <n v="638091"/>
    <m/>
    <m/>
    <m/>
    <m/>
    <n v="0"/>
    <m/>
    <m/>
    <n v="0"/>
    <m/>
    <m/>
    <m/>
    <m/>
    <n v="567874"/>
    <n v="638091"/>
  </r>
  <r>
    <x v="9"/>
    <x v="0"/>
    <s v="Johnston Community College"/>
    <n v="198774"/>
    <x v="7"/>
    <n v="15377232"/>
    <n v="16897113"/>
    <m/>
    <m/>
    <n v="3480657"/>
    <n v="3830657"/>
    <n v="2425414"/>
    <m/>
    <n v="2425414"/>
    <n v="2610532"/>
    <m/>
    <n v="2610532"/>
    <n v="21283303"/>
    <n v="23338302"/>
    <m/>
    <m/>
    <m/>
    <m/>
    <n v="0"/>
    <m/>
    <m/>
    <n v="0"/>
    <m/>
    <m/>
    <m/>
    <m/>
    <n v="21283303"/>
    <n v="23338302"/>
  </r>
  <r>
    <x v="9"/>
    <x v="0"/>
    <s v="Nursing / allied health supplement"/>
    <n v="198774"/>
    <x v="7"/>
    <m/>
    <m/>
    <n v="127242"/>
    <n v="208293"/>
    <m/>
    <m/>
    <m/>
    <m/>
    <n v="0"/>
    <m/>
    <m/>
    <n v="0"/>
    <n v="127242"/>
    <n v="208293"/>
    <m/>
    <m/>
    <m/>
    <m/>
    <n v="0"/>
    <m/>
    <m/>
    <n v="0"/>
    <m/>
    <m/>
    <m/>
    <m/>
    <n v="127242"/>
    <n v="208293"/>
  </r>
  <r>
    <x v="9"/>
    <x v="3"/>
    <s v="Community or public service units"/>
    <n v="198774"/>
    <x v="7"/>
    <m/>
    <m/>
    <n v="202225"/>
    <n v="200533"/>
    <m/>
    <m/>
    <m/>
    <m/>
    <n v="0"/>
    <m/>
    <m/>
    <n v="0"/>
    <n v="202225"/>
    <n v="200533"/>
    <m/>
    <m/>
    <m/>
    <m/>
    <n v="0"/>
    <m/>
    <m/>
    <n v="0"/>
    <m/>
    <m/>
    <m/>
    <m/>
    <n v="202225"/>
    <n v="200533"/>
  </r>
  <r>
    <x v="9"/>
    <x v="45"/>
    <s v="Non-credit continuing education"/>
    <n v="198774"/>
    <x v="7"/>
    <m/>
    <m/>
    <n v="733599"/>
    <n v="883425"/>
    <m/>
    <m/>
    <n v="213186"/>
    <m/>
    <n v="213186"/>
    <n v="179816"/>
    <m/>
    <n v="179816"/>
    <n v="946785"/>
    <n v="1063241"/>
    <m/>
    <m/>
    <m/>
    <m/>
    <n v="0"/>
    <m/>
    <m/>
    <n v="0"/>
    <m/>
    <m/>
    <m/>
    <m/>
    <n v="946785"/>
    <n v="1063241"/>
  </r>
  <r>
    <x v="9"/>
    <x v="0"/>
    <s v="Lenoir Community College "/>
    <n v="198817"/>
    <x v="7"/>
    <n v="12313749"/>
    <n v="12585174"/>
    <m/>
    <m/>
    <n v="1938026"/>
    <n v="2504338"/>
    <n v="1926043"/>
    <m/>
    <n v="1926043"/>
    <n v="2243265"/>
    <m/>
    <n v="2243265"/>
    <n v="16177818"/>
    <n v="17332777"/>
    <m/>
    <m/>
    <m/>
    <m/>
    <n v="0"/>
    <m/>
    <m/>
    <n v="0"/>
    <m/>
    <m/>
    <m/>
    <m/>
    <n v="16177818"/>
    <n v="17332777"/>
  </r>
  <r>
    <x v="9"/>
    <x v="0"/>
    <s v="Nursing / allied health supplement"/>
    <n v="198817"/>
    <x v="7"/>
    <m/>
    <m/>
    <n v="93242"/>
    <n v="138280"/>
    <m/>
    <m/>
    <m/>
    <m/>
    <n v="0"/>
    <m/>
    <m/>
    <n v="0"/>
    <n v="93242"/>
    <n v="138280"/>
    <m/>
    <m/>
    <m/>
    <m/>
    <n v="0"/>
    <m/>
    <m/>
    <n v="0"/>
    <m/>
    <m/>
    <m/>
    <m/>
    <n v="93242"/>
    <n v="138280"/>
  </r>
  <r>
    <x v="9"/>
    <x v="3"/>
    <s v="Community or public service units"/>
    <n v="198817"/>
    <x v="7"/>
    <m/>
    <m/>
    <n v="188786"/>
    <n v="191945"/>
    <m/>
    <m/>
    <m/>
    <m/>
    <n v="0"/>
    <m/>
    <m/>
    <n v="0"/>
    <n v="188786"/>
    <n v="191945"/>
    <m/>
    <m/>
    <m/>
    <m/>
    <n v="0"/>
    <m/>
    <m/>
    <n v="0"/>
    <m/>
    <m/>
    <m/>
    <m/>
    <n v="188786"/>
    <n v="191945"/>
  </r>
  <r>
    <x v="9"/>
    <x v="45"/>
    <s v="Non-credit continuing education"/>
    <n v="198817"/>
    <x v="7"/>
    <m/>
    <m/>
    <n v="1463548"/>
    <n v="1485891"/>
    <m/>
    <m/>
    <n v="257124"/>
    <m/>
    <n v="257124"/>
    <n v="150157"/>
    <m/>
    <n v="150157"/>
    <n v="1720672"/>
    <n v="1636048"/>
    <m/>
    <m/>
    <m/>
    <m/>
    <n v="0"/>
    <m/>
    <m/>
    <n v="0"/>
    <m/>
    <m/>
    <m/>
    <m/>
    <n v="1720672"/>
    <n v="1636048"/>
  </r>
  <r>
    <x v="9"/>
    <x v="0"/>
    <s v="Mayland Community College"/>
    <n v="198914"/>
    <x v="7"/>
    <n v="8337041"/>
    <n v="8509313"/>
    <m/>
    <m/>
    <n v="712732"/>
    <n v="859260"/>
    <n v="678684"/>
    <m/>
    <n v="678684"/>
    <n v="741005"/>
    <m/>
    <n v="741005"/>
    <n v="9728457"/>
    <n v="10109578"/>
    <m/>
    <m/>
    <m/>
    <m/>
    <n v="0"/>
    <m/>
    <m/>
    <n v="0"/>
    <m/>
    <m/>
    <m/>
    <m/>
    <n v="9728457"/>
    <n v="10109578"/>
  </r>
  <r>
    <x v="9"/>
    <x v="0"/>
    <s v="Nursing / allied health supplement"/>
    <n v="198914"/>
    <x v="7"/>
    <m/>
    <m/>
    <n v="54264"/>
    <n v="83574"/>
    <m/>
    <m/>
    <m/>
    <m/>
    <n v="0"/>
    <m/>
    <m/>
    <n v="0"/>
    <n v="54264"/>
    <n v="83574"/>
    <m/>
    <m/>
    <m/>
    <m/>
    <n v="0"/>
    <m/>
    <m/>
    <n v="0"/>
    <m/>
    <m/>
    <m/>
    <m/>
    <n v="54264"/>
    <n v="83574"/>
  </r>
  <r>
    <x v="9"/>
    <x v="3"/>
    <s v="Community or public service units"/>
    <n v="198914"/>
    <x v="7"/>
    <m/>
    <m/>
    <n v="108560"/>
    <n v="131195"/>
    <m/>
    <m/>
    <m/>
    <m/>
    <n v="0"/>
    <m/>
    <m/>
    <n v="0"/>
    <n v="108560"/>
    <n v="131195"/>
    <m/>
    <m/>
    <m/>
    <m/>
    <n v="0"/>
    <m/>
    <m/>
    <n v="0"/>
    <m/>
    <m/>
    <m/>
    <m/>
    <n v="108560"/>
    <n v="131195"/>
  </r>
  <r>
    <x v="9"/>
    <x v="45"/>
    <s v="Non-credit continuing education"/>
    <n v="198914"/>
    <x v="7"/>
    <m/>
    <m/>
    <n v="981433"/>
    <n v="885275"/>
    <m/>
    <m/>
    <n v="96091"/>
    <m/>
    <n v="96091"/>
    <n v="52591"/>
    <m/>
    <n v="52591"/>
    <n v="1077524"/>
    <n v="937866"/>
    <m/>
    <m/>
    <m/>
    <m/>
    <n v="0"/>
    <m/>
    <m/>
    <n v="0"/>
    <m/>
    <m/>
    <m/>
    <m/>
    <n v="1077524"/>
    <n v="937866"/>
  </r>
  <r>
    <x v="9"/>
    <x v="0"/>
    <s v="Mitchell Community College "/>
    <n v="198987"/>
    <x v="7"/>
    <n v="8900012"/>
    <n v="9455761"/>
    <m/>
    <m/>
    <n v="2392160"/>
    <n v="3438155"/>
    <n v="1822361"/>
    <m/>
    <n v="1822361"/>
    <n v="2000876"/>
    <m/>
    <n v="2000876"/>
    <n v="13114533"/>
    <n v="14894792"/>
    <m/>
    <m/>
    <m/>
    <m/>
    <n v="0"/>
    <m/>
    <m/>
    <n v="0"/>
    <m/>
    <m/>
    <m/>
    <m/>
    <n v="13114533"/>
    <n v="14894792"/>
  </r>
  <r>
    <x v="9"/>
    <x v="0"/>
    <s v="Nursing / allied health supplement"/>
    <n v="198987"/>
    <x v="7"/>
    <m/>
    <m/>
    <n v="78015"/>
    <n v="125383"/>
    <m/>
    <m/>
    <m/>
    <m/>
    <n v="0"/>
    <m/>
    <m/>
    <n v="0"/>
    <n v="78015"/>
    <n v="125383"/>
    <m/>
    <m/>
    <m/>
    <m/>
    <n v="0"/>
    <m/>
    <m/>
    <n v="0"/>
    <m/>
    <m/>
    <m/>
    <m/>
    <n v="78015"/>
    <n v="125383"/>
  </r>
  <r>
    <x v="9"/>
    <x v="3"/>
    <s v="Community or public service units"/>
    <n v="198987"/>
    <x v="7"/>
    <m/>
    <m/>
    <n v="189154"/>
    <n v="201002"/>
    <m/>
    <m/>
    <m/>
    <m/>
    <n v="0"/>
    <m/>
    <m/>
    <n v="0"/>
    <n v="189154"/>
    <n v="201002"/>
    <m/>
    <m/>
    <m/>
    <m/>
    <n v="0"/>
    <m/>
    <m/>
    <n v="0"/>
    <m/>
    <m/>
    <m/>
    <m/>
    <n v="189154"/>
    <n v="201002"/>
  </r>
  <r>
    <x v="9"/>
    <x v="45"/>
    <s v="Non-credit continuing education"/>
    <n v="198987"/>
    <x v="7"/>
    <m/>
    <m/>
    <n v="604314"/>
    <n v="699931"/>
    <m/>
    <m/>
    <n v="214238"/>
    <m/>
    <n v="214238"/>
    <n v="114046"/>
    <m/>
    <n v="114046"/>
    <n v="818552"/>
    <n v="813977"/>
    <m/>
    <m/>
    <m/>
    <m/>
    <n v="0"/>
    <m/>
    <m/>
    <n v="0"/>
    <m/>
    <m/>
    <m/>
    <m/>
    <n v="818552"/>
    <n v="813977"/>
  </r>
  <r>
    <x v="9"/>
    <x v="0"/>
    <s v="Nash Community College"/>
    <n v="199087"/>
    <x v="7"/>
    <n v="9982608"/>
    <n v="10231029"/>
    <m/>
    <m/>
    <n v="1610750"/>
    <n v="1795180"/>
    <n v="1745763"/>
    <m/>
    <n v="1745763"/>
    <n v="2011682"/>
    <m/>
    <n v="2011682"/>
    <n v="13339121"/>
    <n v="14037891"/>
    <m/>
    <m/>
    <m/>
    <m/>
    <n v="0"/>
    <m/>
    <m/>
    <n v="0"/>
    <m/>
    <m/>
    <m/>
    <m/>
    <n v="13339121"/>
    <n v="14037891"/>
  </r>
  <r>
    <x v="9"/>
    <x v="0"/>
    <s v="Nursing / allied health supplement"/>
    <n v="199087"/>
    <x v="7"/>
    <m/>
    <m/>
    <n v="70729"/>
    <n v="117963"/>
    <m/>
    <m/>
    <m/>
    <m/>
    <n v="0"/>
    <m/>
    <m/>
    <n v="0"/>
    <n v="70729"/>
    <n v="117963"/>
    <m/>
    <m/>
    <m/>
    <m/>
    <n v="0"/>
    <m/>
    <m/>
    <n v="0"/>
    <m/>
    <m/>
    <m/>
    <m/>
    <n v="70729"/>
    <n v="117963"/>
  </r>
  <r>
    <x v="9"/>
    <x v="3"/>
    <s v="Community or public service units"/>
    <n v="199087"/>
    <x v="7"/>
    <m/>
    <m/>
    <n v="184707"/>
    <n v="193015"/>
    <m/>
    <m/>
    <m/>
    <m/>
    <n v="0"/>
    <m/>
    <m/>
    <n v="0"/>
    <n v="184707"/>
    <n v="193015"/>
    <m/>
    <m/>
    <m/>
    <m/>
    <n v="0"/>
    <m/>
    <m/>
    <n v="0"/>
    <m/>
    <m/>
    <m/>
    <m/>
    <n v="184707"/>
    <n v="193015"/>
  </r>
  <r>
    <x v="9"/>
    <x v="45"/>
    <s v="Non-credit continuing education"/>
    <n v="199087"/>
    <x v="7"/>
    <m/>
    <m/>
    <n v="795458"/>
    <n v="953811"/>
    <m/>
    <m/>
    <n v="233150"/>
    <m/>
    <n v="233150"/>
    <n v="125270"/>
    <m/>
    <n v="125270"/>
    <n v="1028608"/>
    <n v="1079081"/>
    <m/>
    <m/>
    <m/>
    <m/>
    <n v="0"/>
    <m/>
    <m/>
    <n v="0"/>
    <m/>
    <m/>
    <m/>
    <m/>
    <n v="1028608"/>
    <n v="1079081"/>
  </r>
  <r>
    <x v="9"/>
    <x v="0"/>
    <s v="Piedmont Community College"/>
    <n v="199324"/>
    <x v="7"/>
    <n v="11566198"/>
    <n v="11833718"/>
    <m/>
    <m/>
    <n v="1224311"/>
    <n v="1303350"/>
    <n v="1159169"/>
    <m/>
    <n v="1159169"/>
    <n v="1518288"/>
    <m/>
    <n v="1518288"/>
    <n v="13949678"/>
    <n v="14655356"/>
    <m/>
    <m/>
    <m/>
    <m/>
    <n v="0"/>
    <m/>
    <m/>
    <n v="0"/>
    <m/>
    <m/>
    <m/>
    <m/>
    <n v="13949678"/>
    <n v="14655356"/>
  </r>
  <r>
    <x v="9"/>
    <x v="0"/>
    <s v="Nursing / allied health supplement"/>
    <n v="199324"/>
    <x v="7"/>
    <m/>
    <m/>
    <n v="30637"/>
    <n v="67131"/>
    <m/>
    <m/>
    <m/>
    <m/>
    <n v="0"/>
    <m/>
    <m/>
    <n v="0"/>
    <n v="30637"/>
    <n v="67131"/>
    <m/>
    <m/>
    <m/>
    <m/>
    <n v="0"/>
    <m/>
    <m/>
    <n v="0"/>
    <m/>
    <m/>
    <m/>
    <m/>
    <n v="30637"/>
    <n v="67131"/>
  </r>
  <r>
    <x v="9"/>
    <x v="3"/>
    <s v="Community or public service units"/>
    <n v="199324"/>
    <x v="7"/>
    <m/>
    <m/>
    <n v="168711"/>
    <n v="161444"/>
    <m/>
    <m/>
    <m/>
    <m/>
    <n v="0"/>
    <m/>
    <m/>
    <n v="0"/>
    <n v="168711"/>
    <n v="161444"/>
    <m/>
    <m/>
    <m/>
    <m/>
    <n v="0"/>
    <m/>
    <m/>
    <n v="0"/>
    <m/>
    <m/>
    <m/>
    <m/>
    <n v="168711"/>
    <n v="161444"/>
  </r>
  <r>
    <x v="9"/>
    <x v="45"/>
    <s v="Non-credit continuing education"/>
    <n v="199324"/>
    <x v="7"/>
    <m/>
    <m/>
    <n v="659510"/>
    <n v="711251"/>
    <m/>
    <m/>
    <n v="99592"/>
    <m/>
    <n v="99592"/>
    <n v="59136"/>
    <m/>
    <n v="59136"/>
    <n v="759102"/>
    <n v="770387"/>
    <m/>
    <m/>
    <m/>
    <m/>
    <n v="0"/>
    <m/>
    <m/>
    <n v="0"/>
    <m/>
    <m/>
    <m/>
    <m/>
    <n v="759102"/>
    <n v="770387"/>
  </r>
  <r>
    <x v="9"/>
    <x v="0"/>
    <s v="Randolph Community College"/>
    <n v="199421"/>
    <x v="7"/>
    <n v="9349412"/>
    <n v="9473208"/>
    <m/>
    <m/>
    <n v="2184807"/>
    <n v="2400000"/>
    <n v="1788923"/>
    <m/>
    <n v="1788923"/>
    <n v="1941079"/>
    <m/>
    <n v="1941079"/>
    <n v="13323142"/>
    <n v="13814287"/>
    <m/>
    <m/>
    <m/>
    <m/>
    <n v="0"/>
    <m/>
    <m/>
    <n v="0"/>
    <m/>
    <m/>
    <m/>
    <m/>
    <n v="13323142"/>
    <n v="13814287"/>
  </r>
  <r>
    <x v="9"/>
    <x v="0"/>
    <s v="Nursing / allied health supplement"/>
    <n v="199421"/>
    <x v="7"/>
    <m/>
    <m/>
    <n v="49993"/>
    <n v="60932"/>
    <m/>
    <m/>
    <m/>
    <m/>
    <n v="0"/>
    <m/>
    <m/>
    <n v="0"/>
    <n v="49993"/>
    <n v="60932"/>
    <m/>
    <m/>
    <m/>
    <m/>
    <n v="0"/>
    <m/>
    <m/>
    <n v="0"/>
    <m/>
    <m/>
    <m/>
    <m/>
    <n v="49993"/>
    <n v="60932"/>
  </r>
  <r>
    <x v="9"/>
    <x v="3"/>
    <s v="Community or public service units"/>
    <n v="199421"/>
    <x v="7"/>
    <m/>
    <m/>
    <n v="196581"/>
    <n v="201727"/>
    <m/>
    <m/>
    <m/>
    <m/>
    <n v="0"/>
    <m/>
    <m/>
    <n v="0"/>
    <n v="196581"/>
    <n v="201727"/>
    <m/>
    <m/>
    <m/>
    <m/>
    <n v="0"/>
    <m/>
    <m/>
    <n v="0"/>
    <m/>
    <m/>
    <m/>
    <m/>
    <n v="196581"/>
    <n v="201727"/>
  </r>
  <r>
    <x v="9"/>
    <x v="45"/>
    <s v="Non-credit continuing education"/>
    <n v="199421"/>
    <x v="7"/>
    <m/>
    <m/>
    <n v="808359"/>
    <n v="937659"/>
    <m/>
    <m/>
    <n v="359941"/>
    <m/>
    <n v="359941"/>
    <n v="186116"/>
    <m/>
    <n v="186116"/>
    <n v="1168300"/>
    <n v="1123775"/>
    <m/>
    <m/>
    <m/>
    <m/>
    <n v="0"/>
    <m/>
    <m/>
    <n v="0"/>
    <m/>
    <m/>
    <m/>
    <m/>
    <n v="1168300"/>
    <n v="1123775"/>
  </r>
  <r>
    <x v="9"/>
    <x v="0"/>
    <s v="Richmond Community College"/>
    <n v="199449"/>
    <x v="7"/>
    <n v="8210740"/>
    <n v="8900200"/>
    <m/>
    <m/>
    <n v="1161291"/>
    <n v="1200656"/>
    <n v="1470746"/>
    <m/>
    <n v="1470746"/>
    <n v="1437876"/>
    <m/>
    <n v="1437876"/>
    <n v="10842777"/>
    <n v="11538732"/>
    <m/>
    <m/>
    <m/>
    <m/>
    <n v="0"/>
    <m/>
    <m/>
    <n v="0"/>
    <m/>
    <m/>
    <m/>
    <m/>
    <n v="10842777"/>
    <n v="11538732"/>
  </r>
  <r>
    <x v="9"/>
    <x v="0"/>
    <s v="Nursing / allied health supplement"/>
    <n v="199449"/>
    <x v="7"/>
    <m/>
    <m/>
    <n v="125794"/>
    <n v="187928"/>
    <m/>
    <m/>
    <m/>
    <m/>
    <n v="0"/>
    <m/>
    <m/>
    <n v="0"/>
    <n v="125794"/>
    <n v="187928"/>
    <m/>
    <m/>
    <m/>
    <m/>
    <n v="0"/>
    <m/>
    <m/>
    <n v="0"/>
    <m/>
    <m/>
    <m/>
    <m/>
    <n v="125794"/>
    <n v="187928"/>
  </r>
  <r>
    <x v="9"/>
    <x v="3"/>
    <s v="Community or public service units"/>
    <n v="199449"/>
    <x v="7"/>
    <m/>
    <m/>
    <n v="175639"/>
    <n v="174229"/>
    <m/>
    <m/>
    <m/>
    <m/>
    <n v="0"/>
    <m/>
    <m/>
    <n v="0"/>
    <n v="175639"/>
    <n v="174229"/>
    <m/>
    <m/>
    <m/>
    <m/>
    <n v="0"/>
    <m/>
    <m/>
    <n v="0"/>
    <m/>
    <m/>
    <m/>
    <m/>
    <n v="175639"/>
    <n v="174229"/>
  </r>
  <r>
    <x v="9"/>
    <x v="45"/>
    <s v="Non-credit continuing education"/>
    <n v="199449"/>
    <x v="7"/>
    <m/>
    <m/>
    <n v="619143"/>
    <n v="668061"/>
    <m/>
    <m/>
    <n v="92762"/>
    <m/>
    <n v="92762"/>
    <n v="67696"/>
    <m/>
    <n v="67696"/>
    <n v="711905"/>
    <n v="735757"/>
    <m/>
    <m/>
    <m/>
    <m/>
    <n v="0"/>
    <m/>
    <m/>
    <n v="0"/>
    <m/>
    <m/>
    <m/>
    <m/>
    <n v="711905"/>
    <n v="735757"/>
  </r>
  <r>
    <x v="9"/>
    <x v="0"/>
    <s v="Robeson Community College"/>
    <n v="199476"/>
    <x v="7"/>
    <n v="14318436"/>
    <n v="14360796"/>
    <m/>
    <m/>
    <n v="2040000"/>
    <n v="2551094"/>
    <n v="1863588"/>
    <m/>
    <n v="1863588"/>
    <n v="1995029"/>
    <m/>
    <n v="1995029"/>
    <n v="18222024"/>
    <n v="18906919"/>
    <m/>
    <m/>
    <m/>
    <m/>
    <n v="0"/>
    <m/>
    <m/>
    <n v="0"/>
    <m/>
    <m/>
    <m/>
    <m/>
    <n v="18222024"/>
    <n v="18906919"/>
  </r>
  <r>
    <x v="9"/>
    <x v="0"/>
    <s v="Nursing / allied health supplement"/>
    <n v="199476"/>
    <x v="7"/>
    <m/>
    <m/>
    <n v="53259"/>
    <n v="90024"/>
    <m/>
    <m/>
    <m/>
    <m/>
    <n v="0"/>
    <m/>
    <m/>
    <n v="0"/>
    <n v="53259"/>
    <n v="90024"/>
    <m/>
    <m/>
    <m/>
    <m/>
    <n v="0"/>
    <m/>
    <m/>
    <n v="0"/>
    <m/>
    <m/>
    <m/>
    <m/>
    <n v="53259"/>
    <n v="90024"/>
  </r>
  <r>
    <x v="9"/>
    <x v="3"/>
    <s v="Community or public service units"/>
    <n v="199476"/>
    <x v="7"/>
    <m/>
    <m/>
    <n v="187439"/>
    <n v="202526"/>
    <m/>
    <m/>
    <m/>
    <m/>
    <n v="0"/>
    <m/>
    <m/>
    <n v="0"/>
    <n v="187439"/>
    <n v="202526"/>
    <m/>
    <m/>
    <m/>
    <m/>
    <n v="0"/>
    <m/>
    <m/>
    <n v="0"/>
    <m/>
    <m/>
    <m/>
    <m/>
    <n v="187439"/>
    <n v="202526"/>
  </r>
  <r>
    <x v="9"/>
    <x v="45"/>
    <s v="Non-credit continuing education"/>
    <n v="199476"/>
    <x v="7"/>
    <m/>
    <m/>
    <n v="1475710"/>
    <n v="1773464"/>
    <m/>
    <m/>
    <n v="220094"/>
    <m/>
    <n v="220094"/>
    <n v="103050"/>
    <m/>
    <n v="103050"/>
    <n v="1695804"/>
    <n v="1876514"/>
    <m/>
    <m/>
    <m/>
    <m/>
    <n v="0"/>
    <m/>
    <m/>
    <n v="0"/>
    <m/>
    <m/>
    <m/>
    <m/>
    <n v="1695804"/>
    <n v="1876514"/>
  </r>
  <r>
    <x v="9"/>
    <x v="0"/>
    <s v="Rockingham Community College "/>
    <n v="199485"/>
    <x v="7"/>
    <n v="7727493"/>
    <n v="7926082"/>
    <m/>
    <m/>
    <n v="2240718"/>
    <n v="2127430"/>
    <n v="1994026"/>
    <m/>
    <n v="1994026"/>
    <n v="1797234"/>
    <m/>
    <n v="1797234"/>
    <n v="11962237"/>
    <n v="11850746"/>
    <m/>
    <m/>
    <m/>
    <m/>
    <n v="0"/>
    <m/>
    <m/>
    <n v="0"/>
    <m/>
    <m/>
    <m/>
    <m/>
    <n v="11962237"/>
    <n v="11850746"/>
  </r>
  <r>
    <x v="9"/>
    <x v="0"/>
    <s v="Nursing / allied health supplement"/>
    <n v="199485"/>
    <x v="7"/>
    <m/>
    <m/>
    <n v="93263"/>
    <n v="125269"/>
    <m/>
    <m/>
    <m/>
    <m/>
    <n v="0"/>
    <m/>
    <m/>
    <n v="0"/>
    <n v="93263"/>
    <n v="125269"/>
    <m/>
    <m/>
    <m/>
    <m/>
    <n v="0"/>
    <m/>
    <m/>
    <n v="0"/>
    <m/>
    <m/>
    <m/>
    <m/>
    <n v="93263"/>
    <n v="125269"/>
  </r>
  <r>
    <x v="9"/>
    <x v="3"/>
    <s v="Community or public service units"/>
    <n v="199485"/>
    <x v="7"/>
    <m/>
    <m/>
    <n v="192583"/>
    <n v="205068"/>
    <m/>
    <m/>
    <m/>
    <m/>
    <n v="0"/>
    <m/>
    <m/>
    <n v="0"/>
    <n v="192583"/>
    <n v="205068"/>
    <m/>
    <m/>
    <m/>
    <m/>
    <n v="0"/>
    <m/>
    <m/>
    <n v="0"/>
    <m/>
    <m/>
    <m/>
    <m/>
    <n v="192583"/>
    <n v="205068"/>
  </r>
  <r>
    <x v="9"/>
    <x v="45"/>
    <s v="Non-credit continuing education"/>
    <n v="199485"/>
    <x v="7"/>
    <m/>
    <m/>
    <n v="693063"/>
    <n v="802273"/>
    <m/>
    <m/>
    <n v="256610"/>
    <m/>
    <n v="256610"/>
    <n v="129947"/>
    <m/>
    <n v="129947"/>
    <n v="949673"/>
    <n v="932220"/>
    <m/>
    <m/>
    <m/>
    <m/>
    <n v="0"/>
    <m/>
    <m/>
    <n v="0"/>
    <m/>
    <m/>
    <m/>
    <m/>
    <n v="949673"/>
    <n v="932220"/>
  </r>
  <r>
    <x v="9"/>
    <x v="0"/>
    <s v="Sandhills Community College "/>
    <n v="199634"/>
    <x v="7"/>
    <n v="13660012"/>
    <n v="14538878"/>
    <m/>
    <m/>
    <n v="4294882"/>
    <n v="4976485"/>
    <n v="3289743"/>
    <m/>
    <n v="3289743"/>
    <n v="2998462"/>
    <m/>
    <n v="2998462"/>
    <n v="21244637"/>
    <n v="22513825"/>
    <m/>
    <m/>
    <m/>
    <m/>
    <n v="0"/>
    <m/>
    <m/>
    <n v="0"/>
    <m/>
    <m/>
    <m/>
    <m/>
    <n v="21244637"/>
    <n v="22513825"/>
  </r>
  <r>
    <x v="9"/>
    <x v="0"/>
    <s v="Nursing / allied health supplement"/>
    <n v="199634"/>
    <x v="7"/>
    <m/>
    <m/>
    <n v="109667"/>
    <n v="417569"/>
    <m/>
    <m/>
    <m/>
    <m/>
    <n v="0"/>
    <m/>
    <m/>
    <n v="0"/>
    <n v="109667"/>
    <n v="417569"/>
    <m/>
    <m/>
    <m/>
    <m/>
    <n v="0"/>
    <m/>
    <m/>
    <n v="0"/>
    <m/>
    <m/>
    <m/>
    <m/>
    <n v="109667"/>
    <n v="417569"/>
  </r>
  <r>
    <x v="9"/>
    <x v="3"/>
    <s v="Community or public service units"/>
    <n v="199634"/>
    <x v="7"/>
    <m/>
    <m/>
    <n v="165488"/>
    <n v="170861"/>
    <m/>
    <m/>
    <m/>
    <m/>
    <n v="0"/>
    <m/>
    <m/>
    <n v="0"/>
    <n v="165488"/>
    <n v="170861"/>
    <m/>
    <m/>
    <m/>
    <m/>
    <n v="0"/>
    <m/>
    <m/>
    <n v="0"/>
    <m/>
    <m/>
    <m/>
    <m/>
    <n v="165488"/>
    <n v="170861"/>
  </r>
  <r>
    <x v="9"/>
    <x v="45"/>
    <s v="Non-credit continuing education"/>
    <n v="199634"/>
    <x v="7"/>
    <m/>
    <m/>
    <n v="578132"/>
    <n v="785306"/>
    <m/>
    <m/>
    <n v="226696"/>
    <m/>
    <n v="226696"/>
    <n v="86248"/>
    <m/>
    <n v="86248"/>
    <n v="804828"/>
    <n v="871554"/>
    <m/>
    <m/>
    <m/>
    <m/>
    <n v="0"/>
    <m/>
    <m/>
    <n v="0"/>
    <m/>
    <m/>
    <m/>
    <m/>
    <n v="804828"/>
    <n v="871554"/>
  </r>
  <r>
    <x v="9"/>
    <x v="0"/>
    <s v="South Piedmont Community College"/>
    <n v="197850"/>
    <x v="7"/>
    <n v="9408282"/>
    <n v="9348525"/>
    <m/>
    <m/>
    <n v="1555258"/>
    <n v="1822900"/>
    <n v="1218389"/>
    <m/>
    <n v="1218389"/>
    <n v="1514470"/>
    <m/>
    <n v="1514470"/>
    <n v="12181929"/>
    <n v="12685895"/>
    <m/>
    <m/>
    <m/>
    <m/>
    <n v="0"/>
    <m/>
    <m/>
    <n v="0"/>
    <m/>
    <m/>
    <m/>
    <m/>
    <n v="12181929"/>
    <n v="12685895"/>
  </r>
  <r>
    <x v="9"/>
    <x v="0"/>
    <s v="Nursing / allied health supplement"/>
    <n v="197850"/>
    <x v="7"/>
    <m/>
    <m/>
    <n v="86262"/>
    <n v="126961"/>
    <m/>
    <m/>
    <m/>
    <m/>
    <n v="0"/>
    <m/>
    <m/>
    <n v="0"/>
    <n v="86262"/>
    <n v="126961"/>
    <m/>
    <m/>
    <m/>
    <m/>
    <n v="0"/>
    <m/>
    <m/>
    <n v="0"/>
    <m/>
    <m/>
    <m/>
    <m/>
    <n v="86262"/>
    <n v="126961"/>
  </r>
  <r>
    <x v="9"/>
    <x v="3"/>
    <s v="Community or public service units"/>
    <n v="197850"/>
    <x v="7"/>
    <m/>
    <m/>
    <n v="188323"/>
    <n v="193518"/>
    <m/>
    <m/>
    <m/>
    <m/>
    <n v="0"/>
    <m/>
    <m/>
    <n v="0"/>
    <n v="188323"/>
    <n v="193518"/>
    <m/>
    <m/>
    <m/>
    <m/>
    <n v="0"/>
    <m/>
    <m/>
    <n v="0"/>
    <m/>
    <m/>
    <m/>
    <m/>
    <n v="188323"/>
    <n v="193518"/>
  </r>
  <r>
    <x v="9"/>
    <x v="45"/>
    <s v="Non-credit continuing education"/>
    <n v="197850"/>
    <x v="7"/>
    <m/>
    <m/>
    <n v="874052"/>
    <n v="1040857"/>
    <m/>
    <m/>
    <n v="127919"/>
    <m/>
    <n v="127919"/>
    <n v="56266"/>
    <m/>
    <n v="56266"/>
    <n v="1001971"/>
    <n v="1097123"/>
    <m/>
    <m/>
    <m/>
    <m/>
    <n v="0"/>
    <m/>
    <m/>
    <n v="0"/>
    <m/>
    <m/>
    <m/>
    <m/>
    <n v="1001971"/>
    <n v="1097123"/>
  </r>
  <r>
    <x v="9"/>
    <x v="0"/>
    <s v="Southeastern Community College "/>
    <n v="199722"/>
    <x v="7"/>
    <n v="8905890"/>
    <n v="9577393"/>
    <m/>
    <m/>
    <n v="1082937"/>
    <n v="1218426"/>
    <n v="2139169"/>
    <m/>
    <n v="2139169"/>
    <n v="1603740"/>
    <m/>
    <n v="1603740"/>
    <n v="12127996"/>
    <n v="12399559"/>
    <m/>
    <m/>
    <m/>
    <m/>
    <n v="0"/>
    <m/>
    <m/>
    <n v="0"/>
    <m/>
    <m/>
    <m/>
    <m/>
    <n v="12127996"/>
    <n v="12399559"/>
  </r>
  <r>
    <x v="9"/>
    <x v="0"/>
    <s v="Nursing / allied health supplement"/>
    <n v="199722"/>
    <x v="7"/>
    <m/>
    <m/>
    <n v="91850"/>
    <n v="144699"/>
    <m/>
    <m/>
    <m/>
    <m/>
    <n v="0"/>
    <m/>
    <m/>
    <n v="0"/>
    <n v="91850"/>
    <n v="144699"/>
    <m/>
    <m/>
    <m/>
    <m/>
    <n v="0"/>
    <m/>
    <m/>
    <n v="0"/>
    <m/>
    <m/>
    <m/>
    <m/>
    <n v="91850"/>
    <n v="144699"/>
  </r>
  <r>
    <x v="9"/>
    <x v="3"/>
    <s v="Community or public service units"/>
    <n v="199722"/>
    <x v="7"/>
    <m/>
    <m/>
    <n v="114901"/>
    <n v="154012"/>
    <m/>
    <m/>
    <m/>
    <m/>
    <n v="0"/>
    <m/>
    <m/>
    <n v="0"/>
    <n v="114901"/>
    <n v="154012"/>
    <m/>
    <m/>
    <m/>
    <m/>
    <n v="0"/>
    <m/>
    <m/>
    <n v="0"/>
    <m/>
    <m/>
    <m/>
    <m/>
    <n v="114901"/>
    <n v="154012"/>
  </r>
  <r>
    <x v="9"/>
    <x v="45"/>
    <s v="Non-credit continuing education"/>
    <n v="199722"/>
    <x v="7"/>
    <m/>
    <m/>
    <n v="880847"/>
    <n v="980057"/>
    <m/>
    <m/>
    <n v="143659"/>
    <m/>
    <n v="143659"/>
    <n v="132026"/>
    <m/>
    <n v="132026"/>
    <n v="1024506"/>
    <n v="1112083"/>
    <m/>
    <m/>
    <m/>
    <m/>
    <n v="0"/>
    <m/>
    <m/>
    <n v="0"/>
    <m/>
    <m/>
    <m/>
    <m/>
    <n v="1024506"/>
    <n v="1112083"/>
  </r>
  <r>
    <x v="9"/>
    <x v="0"/>
    <s v="Southwestern Community College "/>
    <n v="199731"/>
    <x v="7"/>
    <n v="8515257"/>
    <n v="9002097"/>
    <m/>
    <m/>
    <n v="1816250"/>
    <n v="2321220"/>
    <n v="1786959"/>
    <m/>
    <n v="1786959"/>
    <n v="1762781"/>
    <m/>
    <n v="1762781"/>
    <n v="12118466"/>
    <n v="13086098"/>
    <m/>
    <m/>
    <m/>
    <m/>
    <n v="0"/>
    <m/>
    <m/>
    <n v="0"/>
    <m/>
    <m/>
    <m/>
    <m/>
    <n v="12118466"/>
    <n v="13086098"/>
  </r>
  <r>
    <x v="9"/>
    <x v="0"/>
    <s v="Nursing / allied health supplement"/>
    <n v="199731"/>
    <x v="7"/>
    <m/>
    <m/>
    <n v="110771"/>
    <n v="184469"/>
    <m/>
    <m/>
    <m/>
    <m/>
    <n v="0"/>
    <m/>
    <m/>
    <n v="0"/>
    <n v="110771"/>
    <n v="184469"/>
    <m/>
    <m/>
    <m/>
    <m/>
    <n v="0"/>
    <m/>
    <m/>
    <n v="0"/>
    <m/>
    <m/>
    <m/>
    <m/>
    <n v="110771"/>
    <n v="184469"/>
  </r>
  <r>
    <x v="9"/>
    <x v="3"/>
    <s v="Community or public service units"/>
    <n v="199731"/>
    <x v="7"/>
    <m/>
    <m/>
    <n v="94489"/>
    <n v="142536"/>
    <m/>
    <m/>
    <m/>
    <m/>
    <n v="0"/>
    <m/>
    <m/>
    <n v="0"/>
    <n v="94489"/>
    <n v="142536"/>
    <m/>
    <m/>
    <m/>
    <m/>
    <n v="0"/>
    <m/>
    <m/>
    <n v="0"/>
    <m/>
    <m/>
    <m/>
    <m/>
    <n v="94489"/>
    <n v="142536"/>
  </r>
  <r>
    <x v="9"/>
    <x v="45"/>
    <s v="Non-credit continuing education"/>
    <n v="199731"/>
    <x v="7"/>
    <m/>
    <m/>
    <n v="1251341"/>
    <n v="1322915"/>
    <m/>
    <m/>
    <n v="224722"/>
    <m/>
    <n v="224722"/>
    <n v="82931"/>
    <m/>
    <n v="82931"/>
    <n v="1476063"/>
    <n v="1405846"/>
    <m/>
    <m/>
    <m/>
    <m/>
    <n v="0"/>
    <m/>
    <m/>
    <n v="0"/>
    <m/>
    <m/>
    <m/>
    <m/>
    <n v="1476063"/>
    <n v="1405846"/>
  </r>
  <r>
    <x v="9"/>
    <x v="0"/>
    <s v="Stanly Community College"/>
    <n v="199740"/>
    <x v="7"/>
    <n v="9639527"/>
    <n v="9981225"/>
    <m/>
    <m/>
    <n v="1247857"/>
    <n v="1507857"/>
    <n v="1323874"/>
    <m/>
    <n v="1323874"/>
    <n v="1859253"/>
    <m/>
    <n v="1859253"/>
    <n v="12211258"/>
    <n v="13348335"/>
    <m/>
    <m/>
    <m/>
    <m/>
    <n v="0"/>
    <m/>
    <m/>
    <n v="0"/>
    <m/>
    <m/>
    <m/>
    <m/>
    <n v="12211258"/>
    <n v="13348335"/>
  </r>
  <r>
    <x v="9"/>
    <x v="0"/>
    <s v="Nursing / allied health supplement"/>
    <n v="199740"/>
    <x v="7"/>
    <m/>
    <m/>
    <n v="143787"/>
    <n v="220653"/>
    <m/>
    <m/>
    <m/>
    <m/>
    <n v="0"/>
    <m/>
    <m/>
    <n v="0"/>
    <n v="143787"/>
    <n v="220653"/>
    <m/>
    <m/>
    <m/>
    <m/>
    <n v="0"/>
    <m/>
    <m/>
    <n v="0"/>
    <m/>
    <m/>
    <m/>
    <m/>
    <n v="143787"/>
    <n v="220653"/>
  </r>
  <r>
    <x v="9"/>
    <x v="3"/>
    <s v="Community or public service units"/>
    <n v="199740"/>
    <x v="7"/>
    <m/>
    <m/>
    <n v="186636"/>
    <n v="155820"/>
    <m/>
    <m/>
    <m/>
    <m/>
    <n v="0"/>
    <m/>
    <m/>
    <n v="0"/>
    <n v="186636"/>
    <n v="155820"/>
    <m/>
    <m/>
    <m/>
    <m/>
    <n v="0"/>
    <m/>
    <m/>
    <n v="0"/>
    <m/>
    <m/>
    <m/>
    <m/>
    <n v="186636"/>
    <n v="155820"/>
  </r>
  <r>
    <x v="9"/>
    <x v="45"/>
    <s v="Non-credit continuing education"/>
    <n v="199740"/>
    <x v="7"/>
    <m/>
    <m/>
    <n v="952770"/>
    <n v="940792"/>
    <m/>
    <m/>
    <n v="163070"/>
    <m/>
    <n v="163070"/>
    <n v="130950"/>
    <m/>
    <n v="130950"/>
    <n v="1115840"/>
    <n v="1071742"/>
    <m/>
    <m/>
    <m/>
    <m/>
    <n v="0"/>
    <m/>
    <m/>
    <n v="0"/>
    <m/>
    <m/>
    <m/>
    <m/>
    <n v="1115840"/>
    <n v="1071742"/>
  </r>
  <r>
    <x v="9"/>
    <x v="0"/>
    <s v="Surry Community College "/>
    <n v="199768"/>
    <x v="7"/>
    <n v="10531668"/>
    <n v="12299785"/>
    <m/>
    <m/>
    <n v="2217912"/>
    <n v="2434648"/>
    <n v="2967586"/>
    <m/>
    <n v="2967586"/>
    <n v="2573790"/>
    <m/>
    <n v="2573790"/>
    <n v="15717166"/>
    <n v="17308223"/>
    <m/>
    <m/>
    <m/>
    <m/>
    <n v="0"/>
    <m/>
    <m/>
    <n v="0"/>
    <m/>
    <m/>
    <m/>
    <m/>
    <n v="15717166"/>
    <n v="17308223"/>
  </r>
  <r>
    <x v="9"/>
    <x v="0"/>
    <s v="Nursing / allied health supplement"/>
    <n v="199768"/>
    <x v="7"/>
    <m/>
    <m/>
    <n v="112864"/>
    <n v="172095"/>
    <m/>
    <m/>
    <m/>
    <m/>
    <n v="0"/>
    <m/>
    <m/>
    <n v="0"/>
    <n v="112864"/>
    <n v="172095"/>
    <m/>
    <m/>
    <m/>
    <m/>
    <n v="0"/>
    <m/>
    <m/>
    <n v="0"/>
    <m/>
    <m/>
    <m/>
    <m/>
    <n v="112864"/>
    <n v="172095"/>
  </r>
  <r>
    <x v="9"/>
    <x v="3"/>
    <s v="Community or public service units"/>
    <n v="199768"/>
    <x v="7"/>
    <m/>
    <m/>
    <n v="194900"/>
    <n v="198553"/>
    <m/>
    <m/>
    <m/>
    <m/>
    <n v="0"/>
    <m/>
    <m/>
    <n v="0"/>
    <n v="194900"/>
    <n v="198553"/>
    <m/>
    <m/>
    <m/>
    <m/>
    <n v="0"/>
    <m/>
    <m/>
    <n v="0"/>
    <m/>
    <m/>
    <m/>
    <m/>
    <n v="194900"/>
    <n v="198553"/>
  </r>
  <r>
    <x v="9"/>
    <x v="45"/>
    <s v="Non-credit continuing education"/>
    <n v="199768"/>
    <x v="7"/>
    <m/>
    <m/>
    <n v="1072304"/>
    <n v="1253725"/>
    <m/>
    <m/>
    <n v="271648"/>
    <m/>
    <n v="271648"/>
    <n v="144939"/>
    <m/>
    <n v="144939"/>
    <n v="1343952"/>
    <n v="1398664"/>
    <m/>
    <m/>
    <m/>
    <m/>
    <n v="0"/>
    <m/>
    <m/>
    <n v="0"/>
    <m/>
    <m/>
    <m/>
    <m/>
    <n v="1343952"/>
    <n v="1398664"/>
  </r>
  <r>
    <x v="9"/>
    <x v="0"/>
    <s v="Vance-Granville Community College "/>
    <n v="199838"/>
    <x v="7"/>
    <n v="17212576"/>
    <n v="17289957"/>
    <m/>
    <m/>
    <n v="2265757"/>
    <n v="2062960"/>
    <n v="2761064"/>
    <m/>
    <n v="2761064"/>
    <n v="2747359"/>
    <m/>
    <n v="2747359"/>
    <n v="22239397"/>
    <n v="22100276"/>
    <m/>
    <m/>
    <m/>
    <m/>
    <n v="0"/>
    <m/>
    <m/>
    <n v="0"/>
    <m/>
    <m/>
    <m/>
    <m/>
    <n v="22239397"/>
    <n v="22100276"/>
  </r>
  <r>
    <x v="9"/>
    <x v="0"/>
    <s v="Nursing / allied health supplement"/>
    <n v="199838"/>
    <x v="7"/>
    <m/>
    <m/>
    <n v="135216"/>
    <n v="198662"/>
    <m/>
    <m/>
    <m/>
    <m/>
    <n v="0"/>
    <m/>
    <m/>
    <n v="0"/>
    <n v="135216"/>
    <n v="198662"/>
    <m/>
    <m/>
    <m/>
    <m/>
    <n v="0"/>
    <m/>
    <m/>
    <n v="0"/>
    <m/>
    <m/>
    <m/>
    <m/>
    <n v="135216"/>
    <n v="198662"/>
  </r>
  <r>
    <x v="9"/>
    <x v="3"/>
    <s v="Community or public service units"/>
    <n v="199838"/>
    <x v="7"/>
    <m/>
    <m/>
    <n v="191694"/>
    <n v="200357"/>
    <m/>
    <m/>
    <m/>
    <m/>
    <n v="0"/>
    <m/>
    <m/>
    <n v="0"/>
    <n v="191694"/>
    <n v="200357"/>
    <m/>
    <m/>
    <m/>
    <m/>
    <n v="0"/>
    <m/>
    <m/>
    <n v="0"/>
    <m/>
    <m/>
    <m/>
    <m/>
    <n v="191694"/>
    <n v="200357"/>
  </r>
  <r>
    <x v="9"/>
    <x v="45"/>
    <s v="Non-credit continuing education"/>
    <n v="199838"/>
    <x v="7"/>
    <m/>
    <m/>
    <n v="1591289"/>
    <n v="1633657"/>
    <m/>
    <m/>
    <n v="232712"/>
    <m/>
    <n v="232712"/>
    <n v="205866"/>
    <m/>
    <n v="205866"/>
    <n v="1824001"/>
    <n v="1839523"/>
    <m/>
    <m/>
    <m/>
    <m/>
    <n v="0"/>
    <m/>
    <m/>
    <n v="0"/>
    <m/>
    <m/>
    <m/>
    <m/>
    <n v="1824001"/>
    <n v="1839523"/>
  </r>
  <r>
    <x v="9"/>
    <x v="0"/>
    <s v="Wayne Community College"/>
    <n v="199892"/>
    <x v="7"/>
    <n v="12632010"/>
    <n v="12939923"/>
    <m/>
    <m/>
    <n v="2819366"/>
    <n v="3552122"/>
    <n v="2919422"/>
    <m/>
    <n v="2919422"/>
    <n v="2992816"/>
    <m/>
    <n v="2992816"/>
    <n v="18370798"/>
    <n v="19484861"/>
    <m/>
    <m/>
    <m/>
    <m/>
    <n v="0"/>
    <m/>
    <m/>
    <n v="0"/>
    <m/>
    <m/>
    <m/>
    <m/>
    <n v="18370798"/>
    <n v="19484861"/>
  </r>
  <r>
    <x v="9"/>
    <x v="0"/>
    <s v="Nursing / allied health supplement"/>
    <n v="199892"/>
    <x v="7"/>
    <m/>
    <m/>
    <n v="112325"/>
    <n v="173475"/>
    <m/>
    <m/>
    <m/>
    <m/>
    <n v="0"/>
    <m/>
    <m/>
    <n v="0"/>
    <n v="112325"/>
    <n v="173475"/>
    <m/>
    <m/>
    <m/>
    <m/>
    <n v="0"/>
    <m/>
    <m/>
    <n v="0"/>
    <m/>
    <m/>
    <m/>
    <m/>
    <n v="112325"/>
    <n v="173475"/>
  </r>
  <r>
    <x v="9"/>
    <x v="3"/>
    <s v="Community or public service units"/>
    <n v="199892"/>
    <x v="7"/>
    <m/>
    <m/>
    <n v="119416"/>
    <n v="196651"/>
    <m/>
    <m/>
    <m/>
    <m/>
    <n v="0"/>
    <m/>
    <m/>
    <n v="0"/>
    <n v="119416"/>
    <n v="196651"/>
    <m/>
    <m/>
    <m/>
    <m/>
    <n v="0"/>
    <m/>
    <m/>
    <n v="0"/>
    <m/>
    <m/>
    <m/>
    <m/>
    <n v="119416"/>
    <n v="196651"/>
  </r>
  <r>
    <x v="9"/>
    <x v="45"/>
    <s v="Non-credit continuing education"/>
    <n v="199892"/>
    <x v="7"/>
    <m/>
    <m/>
    <n v="1297530"/>
    <n v="1407714"/>
    <m/>
    <m/>
    <n v="262010"/>
    <m/>
    <n v="262010"/>
    <n v="141333"/>
    <m/>
    <n v="141333"/>
    <n v="1559540"/>
    <n v="1549047"/>
    <m/>
    <m/>
    <m/>
    <m/>
    <n v="0"/>
    <m/>
    <m/>
    <n v="0"/>
    <m/>
    <m/>
    <m/>
    <m/>
    <n v="1559540"/>
    <n v="1549047"/>
  </r>
  <r>
    <x v="9"/>
    <x v="0"/>
    <s v="Western Piedmont Community College "/>
    <n v="199908"/>
    <x v="7"/>
    <n v="11698779"/>
    <n v="12217307"/>
    <m/>
    <m/>
    <n v="1764384"/>
    <n v="1932000"/>
    <n v="1969082"/>
    <m/>
    <n v="1969082"/>
    <n v="2270506"/>
    <m/>
    <n v="2270506"/>
    <n v="15432245"/>
    <n v="16419813"/>
    <m/>
    <m/>
    <m/>
    <m/>
    <n v="0"/>
    <m/>
    <m/>
    <n v="0"/>
    <m/>
    <m/>
    <m/>
    <m/>
    <n v="15432245"/>
    <n v="16419813"/>
  </r>
  <r>
    <x v="9"/>
    <x v="0"/>
    <s v="Nursing / allied health supplement"/>
    <n v="199908"/>
    <x v="7"/>
    <m/>
    <m/>
    <n v="114384"/>
    <n v="167048"/>
    <m/>
    <m/>
    <m/>
    <m/>
    <n v="0"/>
    <m/>
    <m/>
    <n v="0"/>
    <n v="114384"/>
    <n v="167048"/>
    <m/>
    <m/>
    <m/>
    <m/>
    <n v="0"/>
    <m/>
    <m/>
    <n v="0"/>
    <m/>
    <m/>
    <m/>
    <m/>
    <n v="114384"/>
    <n v="167048"/>
  </r>
  <r>
    <x v="9"/>
    <x v="3"/>
    <s v="Community or public service units"/>
    <n v="199908"/>
    <x v="7"/>
    <m/>
    <m/>
    <n v="198265"/>
    <n v="203516"/>
    <m/>
    <m/>
    <m/>
    <m/>
    <n v="0"/>
    <m/>
    <m/>
    <n v="0"/>
    <n v="198265"/>
    <n v="203516"/>
    <m/>
    <m/>
    <m/>
    <m/>
    <n v="0"/>
    <m/>
    <m/>
    <n v="0"/>
    <m/>
    <m/>
    <m/>
    <m/>
    <n v="198265"/>
    <n v="203516"/>
  </r>
  <r>
    <x v="9"/>
    <x v="45"/>
    <s v="Non-credit continuing education"/>
    <n v="199908"/>
    <x v="7"/>
    <m/>
    <m/>
    <n v="808459"/>
    <n v="983173"/>
    <m/>
    <m/>
    <n v="158228"/>
    <m/>
    <n v="158228"/>
    <n v="82819"/>
    <m/>
    <n v="82819"/>
    <n v="966687"/>
    <n v="1065992"/>
    <m/>
    <m/>
    <m/>
    <m/>
    <n v="0"/>
    <m/>
    <m/>
    <n v="0"/>
    <m/>
    <m/>
    <m/>
    <m/>
    <n v="966687"/>
    <n v="1065992"/>
  </r>
  <r>
    <x v="9"/>
    <x v="0"/>
    <s v="Wilkes Community College "/>
    <n v="199926"/>
    <x v="7"/>
    <n v="10854218"/>
    <n v="10912848"/>
    <m/>
    <m/>
    <n v="3174085"/>
    <n v="3736181"/>
    <n v="1972052"/>
    <m/>
    <n v="1972052"/>
    <n v="2096885"/>
    <m/>
    <n v="2096885"/>
    <n v="16000355"/>
    <n v="16745914"/>
    <m/>
    <m/>
    <m/>
    <m/>
    <n v="0"/>
    <m/>
    <m/>
    <n v="0"/>
    <m/>
    <m/>
    <m/>
    <m/>
    <n v="16000355"/>
    <n v="16745914"/>
  </r>
  <r>
    <x v="9"/>
    <x v="0"/>
    <s v="Nursing / allied health supplement"/>
    <n v="199926"/>
    <x v="7"/>
    <m/>
    <m/>
    <n v="102308"/>
    <n v="144061"/>
    <m/>
    <m/>
    <m/>
    <m/>
    <n v="0"/>
    <m/>
    <m/>
    <n v="0"/>
    <n v="102308"/>
    <n v="144061"/>
    <m/>
    <m/>
    <m/>
    <m/>
    <n v="0"/>
    <m/>
    <m/>
    <n v="0"/>
    <m/>
    <m/>
    <m/>
    <m/>
    <n v="102308"/>
    <n v="144061"/>
  </r>
  <r>
    <x v="9"/>
    <x v="3"/>
    <s v="Community or public service units"/>
    <n v="199926"/>
    <x v="7"/>
    <m/>
    <m/>
    <n v="198704"/>
    <n v="209326"/>
    <m/>
    <m/>
    <m/>
    <m/>
    <n v="0"/>
    <m/>
    <m/>
    <n v="0"/>
    <n v="198704"/>
    <n v="209326"/>
    <m/>
    <m/>
    <m/>
    <m/>
    <n v="0"/>
    <m/>
    <m/>
    <n v="0"/>
    <m/>
    <m/>
    <m/>
    <m/>
    <n v="198704"/>
    <n v="209326"/>
  </r>
  <r>
    <x v="9"/>
    <x v="45"/>
    <s v="Non-credit continuing education"/>
    <n v="199926"/>
    <x v="7"/>
    <m/>
    <m/>
    <n v="1191458"/>
    <n v="1299896"/>
    <m/>
    <m/>
    <n v="297271"/>
    <m/>
    <n v="297271"/>
    <n v="209937"/>
    <m/>
    <n v="209937"/>
    <n v="1488729"/>
    <n v="1509833"/>
    <m/>
    <m/>
    <m/>
    <m/>
    <n v="0"/>
    <m/>
    <m/>
    <n v="0"/>
    <m/>
    <m/>
    <m/>
    <m/>
    <n v="1488729"/>
    <n v="1509833"/>
  </r>
  <r>
    <x v="9"/>
    <x v="0"/>
    <s v="Wilson Technical Community College"/>
    <n v="199953"/>
    <x v="7"/>
    <n v="8726624"/>
    <n v="8622481"/>
    <m/>
    <m/>
    <n v="1717108"/>
    <n v="2291162"/>
    <n v="1670551"/>
    <m/>
    <n v="1670551"/>
    <n v="1695472"/>
    <m/>
    <n v="1695472"/>
    <n v="12114283"/>
    <n v="12609115"/>
    <m/>
    <m/>
    <m/>
    <m/>
    <n v="0"/>
    <m/>
    <m/>
    <n v="0"/>
    <m/>
    <m/>
    <m/>
    <m/>
    <n v="12114283"/>
    <n v="12609115"/>
  </r>
  <r>
    <x v="9"/>
    <x v="0"/>
    <s v="Nursing / allied health supplement"/>
    <n v="199953"/>
    <x v="7"/>
    <m/>
    <m/>
    <n v="71282"/>
    <n v="100015"/>
    <m/>
    <m/>
    <m/>
    <m/>
    <n v="0"/>
    <m/>
    <m/>
    <n v="0"/>
    <n v="71282"/>
    <n v="100015"/>
    <m/>
    <m/>
    <m/>
    <m/>
    <n v="0"/>
    <m/>
    <m/>
    <n v="0"/>
    <m/>
    <m/>
    <m/>
    <m/>
    <n v="71282"/>
    <n v="100015"/>
  </r>
  <r>
    <x v="9"/>
    <x v="3"/>
    <s v="Community or public service units"/>
    <n v="199953"/>
    <x v="7"/>
    <m/>
    <m/>
    <n v="194142"/>
    <n v="203777"/>
    <m/>
    <m/>
    <m/>
    <m/>
    <n v="0"/>
    <m/>
    <m/>
    <n v="0"/>
    <n v="194142"/>
    <n v="203777"/>
    <m/>
    <m/>
    <m/>
    <m/>
    <n v="0"/>
    <m/>
    <m/>
    <n v="0"/>
    <m/>
    <m/>
    <m/>
    <m/>
    <n v="194142"/>
    <n v="203777"/>
  </r>
  <r>
    <x v="9"/>
    <x v="45"/>
    <s v="Non-credit continuing education"/>
    <n v="199953"/>
    <x v="7"/>
    <m/>
    <m/>
    <n v="1036313"/>
    <n v="1105173"/>
    <m/>
    <m/>
    <n v="248402"/>
    <m/>
    <n v="248402"/>
    <n v="170688"/>
    <m/>
    <n v="170688"/>
    <n v="1284715"/>
    <n v="1275861"/>
    <m/>
    <m/>
    <m/>
    <m/>
    <n v="0"/>
    <m/>
    <m/>
    <n v="0"/>
    <m/>
    <m/>
    <m/>
    <m/>
    <n v="1284715"/>
    <n v="1275861"/>
  </r>
  <r>
    <x v="9"/>
    <x v="0"/>
    <s v="Beaufort County Community College "/>
    <n v="197966"/>
    <x v="8"/>
    <n v="7507508"/>
    <n v="7918999"/>
    <m/>
    <m/>
    <n v="1780958"/>
    <n v="2311550"/>
    <n v="1159810"/>
    <m/>
    <n v="1159810"/>
    <n v="1199400"/>
    <m/>
    <n v="1199400"/>
    <n v="10448276"/>
    <n v="11429949"/>
    <m/>
    <m/>
    <m/>
    <m/>
    <n v="0"/>
    <m/>
    <m/>
    <n v="0"/>
    <m/>
    <m/>
    <m/>
    <m/>
    <n v="10448276"/>
    <n v="11429949"/>
  </r>
  <r>
    <x v="9"/>
    <x v="0"/>
    <s v="Nursing / allied health supplement"/>
    <n v="197966"/>
    <x v="8"/>
    <m/>
    <m/>
    <n v="61289"/>
    <n v="102265"/>
    <m/>
    <m/>
    <m/>
    <m/>
    <n v="0"/>
    <m/>
    <m/>
    <n v="0"/>
    <n v="61289"/>
    <n v="102265"/>
    <m/>
    <m/>
    <m/>
    <m/>
    <n v="0"/>
    <m/>
    <m/>
    <n v="0"/>
    <m/>
    <m/>
    <m/>
    <m/>
    <n v="61289"/>
    <n v="102265"/>
  </r>
  <r>
    <x v="9"/>
    <x v="3"/>
    <s v="Community or public service units"/>
    <n v="197966"/>
    <x v="8"/>
    <m/>
    <m/>
    <n v="117005"/>
    <n v="172064"/>
    <m/>
    <m/>
    <m/>
    <m/>
    <n v="0"/>
    <m/>
    <m/>
    <n v="0"/>
    <n v="117005"/>
    <n v="172064"/>
    <m/>
    <m/>
    <m/>
    <m/>
    <n v="0"/>
    <m/>
    <m/>
    <n v="0"/>
    <m/>
    <m/>
    <m/>
    <m/>
    <n v="117005"/>
    <n v="172064"/>
  </r>
  <r>
    <x v="9"/>
    <x v="45"/>
    <s v="Non-credit continuing education"/>
    <n v="197966"/>
    <x v="8"/>
    <m/>
    <m/>
    <n v="384289"/>
    <n v="496941"/>
    <m/>
    <m/>
    <n v="143337"/>
    <m/>
    <n v="143337"/>
    <n v="60393"/>
    <m/>
    <n v="60393"/>
    <n v="527626"/>
    <n v="557334"/>
    <m/>
    <m/>
    <m/>
    <m/>
    <n v="0"/>
    <m/>
    <m/>
    <n v="0"/>
    <m/>
    <m/>
    <m/>
    <m/>
    <n v="527626"/>
    <n v="557334"/>
  </r>
  <r>
    <x v="9"/>
    <x v="0"/>
    <s v="Bladen Community College"/>
    <n v="198011"/>
    <x v="8"/>
    <n v="6455451"/>
    <n v="6298436"/>
    <m/>
    <m/>
    <n v="637564"/>
    <n v="1003912"/>
    <n v="959873"/>
    <m/>
    <n v="959873"/>
    <n v="1169584"/>
    <m/>
    <n v="1169584"/>
    <n v="8052888"/>
    <n v="8471932"/>
    <m/>
    <m/>
    <m/>
    <m/>
    <n v="0"/>
    <m/>
    <m/>
    <n v="0"/>
    <m/>
    <m/>
    <m/>
    <m/>
    <n v="8052888"/>
    <n v="8471932"/>
  </r>
  <r>
    <x v="9"/>
    <x v="0"/>
    <s v="Nursing / allied health supplement"/>
    <n v="198011"/>
    <x v="8"/>
    <m/>
    <m/>
    <n v="33221"/>
    <n v="37941"/>
    <m/>
    <m/>
    <m/>
    <m/>
    <n v="0"/>
    <m/>
    <m/>
    <n v="0"/>
    <n v="33221"/>
    <n v="37941"/>
    <m/>
    <m/>
    <m/>
    <m/>
    <n v="0"/>
    <m/>
    <m/>
    <n v="0"/>
    <m/>
    <m/>
    <m/>
    <m/>
    <n v="33221"/>
    <n v="37941"/>
  </r>
  <r>
    <x v="9"/>
    <x v="3"/>
    <s v="Community or public service units"/>
    <n v="198011"/>
    <x v="8"/>
    <m/>
    <m/>
    <n v="186208"/>
    <n v="181747"/>
    <m/>
    <m/>
    <m/>
    <m/>
    <n v="0"/>
    <m/>
    <m/>
    <n v="0"/>
    <n v="186208"/>
    <n v="181747"/>
    <m/>
    <m/>
    <m/>
    <m/>
    <n v="0"/>
    <m/>
    <m/>
    <n v="0"/>
    <m/>
    <m/>
    <m/>
    <m/>
    <n v="186208"/>
    <n v="181747"/>
  </r>
  <r>
    <x v="9"/>
    <x v="45"/>
    <s v="Non-credit continuing education"/>
    <n v="198011"/>
    <x v="8"/>
    <m/>
    <m/>
    <n v="464140"/>
    <n v="473248"/>
    <m/>
    <m/>
    <n v="103000"/>
    <m/>
    <n v="103000"/>
    <n v="43020"/>
    <m/>
    <n v="43020"/>
    <n v="567140"/>
    <n v="516268"/>
    <m/>
    <m/>
    <m/>
    <m/>
    <n v="0"/>
    <m/>
    <m/>
    <n v="0"/>
    <m/>
    <m/>
    <m/>
    <m/>
    <n v="567140"/>
    <n v="516268"/>
  </r>
  <r>
    <x v="9"/>
    <x v="0"/>
    <s v="Brunswick Community College"/>
    <n v="198084"/>
    <x v="8"/>
    <n v="6288650"/>
    <n v="6723660"/>
    <m/>
    <m/>
    <n v="2616163"/>
    <n v="3409358"/>
    <n v="909135"/>
    <m/>
    <n v="909135"/>
    <n v="981023"/>
    <m/>
    <n v="981023"/>
    <n v="9813948"/>
    <n v="11114041"/>
    <m/>
    <m/>
    <m/>
    <m/>
    <n v="0"/>
    <m/>
    <m/>
    <n v="0"/>
    <m/>
    <m/>
    <m/>
    <m/>
    <n v="9813948"/>
    <n v="11114041"/>
  </r>
  <r>
    <x v="9"/>
    <x v="0"/>
    <s v="Nursing / allied health supplement"/>
    <n v="198084"/>
    <x v="8"/>
    <m/>
    <m/>
    <n v="71423"/>
    <n v="88706"/>
    <m/>
    <m/>
    <m/>
    <m/>
    <n v="0"/>
    <m/>
    <m/>
    <n v="0"/>
    <n v="71423"/>
    <n v="88706"/>
    <m/>
    <m/>
    <m/>
    <m/>
    <n v="0"/>
    <m/>
    <m/>
    <n v="0"/>
    <m/>
    <m/>
    <m/>
    <m/>
    <n v="71423"/>
    <n v="88706"/>
  </r>
  <r>
    <x v="9"/>
    <x v="3"/>
    <s v="Community or public service units"/>
    <n v="198084"/>
    <x v="8"/>
    <m/>
    <m/>
    <n v="101969"/>
    <n v="140429"/>
    <m/>
    <m/>
    <m/>
    <m/>
    <n v="0"/>
    <m/>
    <m/>
    <n v="0"/>
    <n v="101969"/>
    <n v="140429"/>
    <m/>
    <m/>
    <m/>
    <m/>
    <n v="0"/>
    <m/>
    <m/>
    <n v="0"/>
    <m/>
    <m/>
    <m/>
    <m/>
    <n v="101969"/>
    <n v="140429"/>
  </r>
  <r>
    <x v="9"/>
    <x v="45"/>
    <s v="Non-credit continuing education"/>
    <n v="198084"/>
    <x v="8"/>
    <m/>
    <m/>
    <n v="648078"/>
    <n v="604830"/>
    <m/>
    <m/>
    <n v="102916"/>
    <m/>
    <n v="102916"/>
    <n v="98357"/>
    <m/>
    <n v="98357"/>
    <n v="750994"/>
    <n v="703187"/>
    <m/>
    <m/>
    <m/>
    <m/>
    <n v="0"/>
    <m/>
    <m/>
    <n v="0"/>
    <m/>
    <m/>
    <m/>
    <m/>
    <n v="750994"/>
    <n v="703187"/>
  </r>
  <r>
    <x v="9"/>
    <x v="0"/>
    <s v="Carteret Community College"/>
    <n v="198206"/>
    <x v="8"/>
    <n v="6875525"/>
    <n v="7192308"/>
    <m/>
    <m/>
    <n v="1992785"/>
    <n v="2311000"/>
    <n v="1415224"/>
    <m/>
    <n v="1415224"/>
    <n v="1264087"/>
    <m/>
    <n v="1264087"/>
    <n v="10283534"/>
    <n v="10767395"/>
    <m/>
    <m/>
    <m/>
    <m/>
    <n v="0"/>
    <m/>
    <m/>
    <n v="0"/>
    <m/>
    <m/>
    <m/>
    <m/>
    <n v="10283534"/>
    <n v="10767395"/>
  </r>
  <r>
    <x v="9"/>
    <x v="0"/>
    <s v="Nursing / allied health supplement"/>
    <n v="198206"/>
    <x v="8"/>
    <m/>
    <m/>
    <n v="80554"/>
    <n v="127572"/>
    <m/>
    <m/>
    <m/>
    <m/>
    <n v="0"/>
    <m/>
    <m/>
    <n v="0"/>
    <n v="80554"/>
    <n v="127572"/>
    <m/>
    <m/>
    <m/>
    <m/>
    <n v="0"/>
    <m/>
    <m/>
    <n v="0"/>
    <m/>
    <m/>
    <m/>
    <m/>
    <n v="80554"/>
    <n v="127572"/>
  </r>
  <r>
    <x v="9"/>
    <x v="3"/>
    <s v="Community or public service units"/>
    <n v="198206"/>
    <x v="8"/>
    <m/>
    <m/>
    <n v="108437"/>
    <n v="150111"/>
    <m/>
    <m/>
    <m/>
    <m/>
    <n v="0"/>
    <m/>
    <m/>
    <n v="0"/>
    <n v="108437"/>
    <n v="150111"/>
    <m/>
    <m/>
    <m/>
    <m/>
    <n v="0"/>
    <m/>
    <m/>
    <n v="0"/>
    <m/>
    <m/>
    <m/>
    <m/>
    <n v="108437"/>
    <n v="150111"/>
  </r>
  <r>
    <x v="9"/>
    <x v="45"/>
    <s v="Non-credit continuing education"/>
    <n v="198206"/>
    <x v="8"/>
    <m/>
    <m/>
    <n v="634988"/>
    <n v="710936"/>
    <m/>
    <m/>
    <n v="150522"/>
    <m/>
    <n v="150522"/>
    <n v="116132"/>
    <m/>
    <n v="116132"/>
    <n v="785510"/>
    <n v="827068"/>
    <m/>
    <m/>
    <m/>
    <m/>
    <n v="0"/>
    <m/>
    <m/>
    <n v="0"/>
    <m/>
    <m/>
    <m/>
    <m/>
    <n v="785510"/>
    <n v="827068"/>
  </r>
  <r>
    <x v="9"/>
    <x v="0"/>
    <s v="Halifax Community College "/>
    <n v="198640"/>
    <x v="8"/>
    <n v="7009904"/>
    <n v="6911856"/>
    <m/>
    <m/>
    <n v="1065917"/>
    <n v="1143387"/>
    <n v="1204371"/>
    <m/>
    <n v="1204371"/>
    <n v="1052205"/>
    <m/>
    <n v="1052205"/>
    <n v="9280192"/>
    <n v="9107448"/>
    <m/>
    <m/>
    <m/>
    <m/>
    <n v="0"/>
    <m/>
    <m/>
    <n v="0"/>
    <m/>
    <m/>
    <m/>
    <m/>
    <n v="9280192"/>
    <n v="9107448"/>
  </r>
  <r>
    <x v="9"/>
    <x v="0"/>
    <s v="Nursing / allied health supplement"/>
    <n v="198640"/>
    <x v="8"/>
    <m/>
    <m/>
    <n v="80488"/>
    <n v="114727"/>
    <m/>
    <m/>
    <m/>
    <m/>
    <n v="0"/>
    <m/>
    <m/>
    <n v="0"/>
    <n v="80488"/>
    <n v="114727"/>
    <m/>
    <m/>
    <m/>
    <m/>
    <n v="0"/>
    <m/>
    <m/>
    <n v="0"/>
    <m/>
    <m/>
    <m/>
    <m/>
    <n v="80488"/>
    <n v="114727"/>
  </r>
  <r>
    <x v="9"/>
    <x v="3"/>
    <s v="Community or public service units"/>
    <n v="198640"/>
    <x v="8"/>
    <m/>
    <m/>
    <n v="177214"/>
    <n v="168986"/>
    <m/>
    <m/>
    <m/>
    <m/>
    <n v="0"/>
    <m/>
    <m/>
    <n v="0"/>
    <n v="177214"/>
    <n v="168986"/>
    <m/>
    <m/>
    <m/>
    <m/>
    <n v="0"/>
    <m/>
    <m/>
    <n v="0"/>
    <m/>
    <m/>
    <m/>
    <m/>
    <n v="177214"/>
    <n v="168986"/>
  </r>
  <r>
    <x v="9"/>
    <x v="45"/>
    <s v="Non-credit continuing education"/>
    <n v="198640"/>
    <x v="8"/>
    <m/>
    <m/>
    <n v="440853"/>
    <n v="586083"/>
    <m/>
    <m/>
    <n v="158523"/>
    <m/>
    <n v="158523"/>
    <n v="72337"/>
    <m/>
    <n v="72337"/>
    <n v="599376"/>
    <n v="658420"/>
    <m/>
    <m/>
    <m/>
    <m/>
    <n v="0"/>
    <m/>
    <m/>
    <n v="0"/>
    <m/>
    <m/>
    <m/>
    <m/>
    <n v="599376"/>
    <n v="658420"/>
  </r>
  <r>
    <x v="9"/>
    <x v="0"/>
    <s v="James Sprunt Community College"/>
    <n v="198729"/>
    <x v="8"/>
    <n v="6017981"/>
    <n v="6134654"/>
    <m/>
    <m/>
    <n v="1260125"/>
    <n v="1613397"/>
    <n v="998092"/>
    <m/>
    <n v="998092"/>
    <n v="839085"/>
    <m/>
    <n v="839085"/>
    <n v="8276198"/>
    <n v="8587136"/>
    <m/>
    <m/>
    <m/>
    <m/>
    <n v="0"/>
    <m/>
    <m/>
    <n v="0"/>
    <m/>
    <m/>
    <m/>
    <m/>
    <n v="8276198"/>
    <n v="8587136"/>
  </r>
  <r>
    <x v="9"/>
    <x v="0"/>
    <s v="Nursing / allied health supplement"/>
    <n v="198729"/>
    <x v="8"/>
    <m/>
    <m/>
    <n v="73145"/>
    <n v="84131"/>
    <m/>
    <m/>
    <m/>
    <m/>
    <n v="0"/>
    <m/>
    <m/>
    <n v="0"/>
    <n v="73145"/>
    <n v="84131"/>
    <m/>
    <m/>
    <m/>
    <m/>
    <n v="0"/>
    <m/>
    <m/>
    <n v="0"/>
    <m/>
    <m/>
    <m/>
    <m/>
    <n v="73145"/>
    <n v="84131"/>
  </r>
  <r>
    <x v="9"/>
    <x v="3"/>
    <s v="Community or public service units"/>
    <n v="198729"/>
    <x v="8"/>
    <m/>
    <m/>
    <n v="110546"/>
    <n v="178261"/>
    <m/>
    <m/>
    <m/>
    <m/>
    <n v="0"/>
    <m/>
    <m/>
    <n v="0"/>
    <n v="110546"/>
    <n v="178261"/>
    <m/>
    <m/>
    <m/>
    <m/>
    <n v="0"/>
    <m/>
    <m/>
    <n v="0"/>
    <m/>
    <m/>
    <m/>
    <m/>
    <n v="110546"/>
    <n v="178261"/>
  </r>
  <r>
    <x v="9"/>
    <x v="45"/>
    <s v="Non-credit continuing education"/>
    <n v="198729"/>
    <x v="8"/>
    <m/>
    <m/>
    <n v="477086"/>
    <n v="637810"/>
    <m/>
    <m/>
    <n v="71139"/>
    <m/>
    <n v="71139"/>
    <n v="39198"/>
    <m/>
    <n v="39198"/>
    <n v="548225"/>
    <n v="677008"/>
    <m/>
    <m/>
    <m/>
    <m/>
    <n v="0"/>
    <m/>
    <m/>
    <n v="0"/>
    <m/>
    <m/>
    <m/>
    <m/>
    <n v="548225"/>
    <n v="677008"/>
  </r>
  <r>
    <x v="9"/>
    <x v="0"/>
    <s v="Martin Community College "/>
    <n v="198905"/>
    <x v="8"/>
    <n v="5051396"/>
    <n v="5023790"/>
    <m/>
    <m/>
    <n v="883359"/>
    <n v="930443"/>
    <n v="678876"/>
    <m/>
    <n v="678876"/>
    <n v="491035"/>
    <m/>
    <n v="491035"/>
    <n v="6613631"/>
    <n v="6445268"/>
    <m/>
    <m/>
    <m/>
    <m/>
    <n v="0"/>
    <m/>
    <m/>
    <n v="0"/>
    <m/>
    <m/>
    <m/>
    <m/>
    <n v="6613631"/>
    <n v="6445268"/>
  </r>
  <r>
    <x v="9"/>
    <x v="0"/>
    <s v="Nursing / allied health supplement"/>
    <n v="198905"/>
    <x v="8"/>
    <m/>
    <m/>
    <n v="31508"/>
    <n v="38158"/>
    <m/>
    <m/>
    <m/>
    <m/>
    <n v="0"/>
    <m/>
    <m/>
    <n v="0"/>
    <n v="31508"/>
    <n v="38158"/>
    <m/>
    <m/>
    <m/>
    <m/>
    <n v="0"/>
    <m/>
    <m/>
    <n v="0"/>
    <m/>
    <m/>
    <m/>
    <m/>
    <n v="31508"/>
    <n v="38158"/>
  </r>
  <r>
    <x v="9"/>
    <x v="3"/>
    <s v="Community or public service units"/>
    <n v="198905"/>
    <x v="8"/>
    <m/>
    <m/>
    <n v="108534"/>
    <n v="137643"/>
    <m/>
    <m/>
    <m/>
    <m/>
    <n v="0"/>
    <m/>
    <m/>
    <n v="0"/>
    <n v="108534"/>
    <n v="137643"/>
    <m/>
    <m/>
    <m/>
    <m/>
    <n v="0"/>
    <m/>
    <m/>
    <n v="0"/>
    <m/>
    <m/>
    <m/>
    <m/>
    <n v="108534"/>
    <n v="137643"/>
  </r>
  <r>
    <x v="9"/>
    <x v="45"/>
    <s v="Non-credit continuing education"/>
    <n v="198905"/>
    <x v="8"/>
    <m/>
    <m/>
    <n v="307459"/>
    <n v="351092"/>
    <m/>
    <m/>
    <n v="97760"/>
    <m/>
    <n v="97760"/>
    <n v="42857"/>
    <m/>
    <n v="42857"/>
    <n v="405219"/>
    <n v="393949"/>
    <m/>
    <m/>
    <m/>
    <m/>
    <n v="0"/>
    <m/>
    <m/>
    <n v="0"/>
    <m/>
    <m/>
    <m/>
    <m/>
    <n v="405219"/>
    <n v="393949"/>
  </r>
  <r>
    <x v="9"/>
    <x v="0"/>
    <s v="McDowell Technical Community College"/>
    <n v="198923"/>
    <x v="8"/>
    <n v="6005038"/>
    <n v="5921833"/>
    <m/>
    <m/>
    <n v="765920"/>
    <n v="863448"/>
    <n v="986378"/>
    <m/>
    <n v="986378"/>
    <n v="844734"/>
    <m/>
    <n v="844734"/>
    <n v="7757336"/>
    <n v="7630015"/>
    <m/>
    <m/>
    <m/>
    <m/>
    <n v="0"/>
    <m/>
    <m/>
    <n v="0"/>
    <m/>
    <m/>
    <m/>
    <m/>
    <n v="7757336"/>
    <n v="7630015"/>
  </r>
  <r>
    <x v="9"/>
    <x v="0"/>
    <s v="Nursing / allied health supplement"/>
    <n v="198923"/>
    <x v="8"/>
    <m/>
    <m/>
    <n v="63039"/>
    <n v="79529"/>
    <m/>
    <m/>
    <m/>
    <m/>
    <n v="0"/>
    <m/>
    <m/>
    <n v="0"/>
    <n v="63039"/>
    <n v="79529"/>
    <m/>
    <m/>
    <m/>
    <m/>
    <n v="0"/>
    <m/>
    <m/>
    <n v="0"/>
    <m/>
    <m/>
    <m/>
    <m/>
    <n v="63039"/>
    <n v="79529"/>
  </r>
  <r>
    <x v="9"/>
    <x v="3"/>
    <s v="Community or public service units"/>
    <n v="198923"/>
    <x v="8"/>
    <m/>
    <m/>
    <n v="191076"/>
    <n v="187420"/>
    <m/>
    <m/>
    <m/>
    <m/>
    <n v="0"/>
    <m/>
    <m/>
    <n v="0"/>
    <n v="191076"/>
    <n v="187420"/>
    <m/>
    <m/>
    <m/>
    <m/>
    <n v="0"/>
    <m/>
    <m/>
    <n v="0"/>
    <m/>
    <m/>
    <m/>
    <m/>
    <n v="191076"/>
    <n v="187420"/>
  </r>
  <r>
    <x v="9"/>
    <x v="45"/>
    <s v="Non-credit continuing education"/>
    <n v="198923"/>
    <x v="8"/>
    <m/>
    <m/>
    <n v="395649"/>
    <n v="466575"/>
    <m/>
    <m/>
    <n v="46839"/>
    <m/>
    <n v="46839"/>
    <n v="20081"/>
    <m/>
    <n v="20081"/>
    <n v="442488"/>
    <n v="486656"/>
    <m/>
    <m/>
    <m/>
    <m/>
    <n v="0"/>
    <m/>
    <m/>
    <n v="0"/>
    <m/>
    <m/>
    <m/>
    <m/>
    <n v="442488"/>
    <n v="486656"/>
  </r>
  <r>
    <x v="9"/>
    <x v="0"/>
    <s v="Montgomery Community College"/>
    <n v="199023"/>
    <x v="8"/>
    <n v="4981559"/>
    <n v="4892286"/>
    <m/>
    <m/>
    <n v="873170"/>
    <n v="973017"/>
    <n v="578148"/>
    <m/>
    <n v="578148"/>
    <n v="778203"/>
    <m/>
    <n v="778203"/>
    <n v="6432877"/>
    <n v="6643506"/>
    <m/>
    <m/>
    <m/>
    <m/>
    <n v="0"/>
    <m/>
    <m/>
    <n v="0"/>
    <m/>
    <m/>
    <m/>
    <m/>
    <n v="6432877"/>
    <n v="6643506"/>
  </r>
  <r>
    <x v="9"/>
    <x v="0"/>
    <s v="Nursing / allied health supplement"/>
    <n v="199023"/>
    <x v="8"/>
    <m/>
    <m/>
    <n v="47437"/>
    <n v="75774"/>
    <m/>
    <m/>
    <m/>
    <m/>
    <n v="0"/>
    <m/>
    <m/>
    <n v="0"/>
    <n v="47437"/>
    <n v="75774"/>
    <m/>
    <m/>
    <m/>
    <m/>
    <n v="0"/>
    <m/>
    <m/>
    <n v="0"/>
    <m/>
    <m/>
    <m/>
    <m/>
    <n v="47437"/>
    <n v="75774"/>
  </r>
  <r>
    <x v="9"/>
    <x v="3"/>
    <s v="Community or public service units"/>
    <n v="199023"/>
    <x v="8"/>
    <m/>
    <m/>
    <n v="101075"/>
    <n v="148276"/>
    <m/>
    <m/>
    <m/>
    <m/>
    <n v="0"/>
    <m/>
    <m/>
    <n v="0"/>
    <n v="101075"/>
    <n v="148276"/>
    <m/>
    <m/>
    <m/>
    <m/>
    <n v="0"/>
    <m/>
    <m/>
    <n v="0"/>
    <m/>
    <m/>
    <m/>
    <m/>
    <n v="101075"/>
    <n v="148276"/>
  </r>
  <r>
    <x v="9"/>
    <x v="45"/>
    <s v="Non-credit continuing education"/>
    <n v="199023"/>
    <x v="8"/>
    <m/>
    <m/>
    <n v="370858"/>
    <n v="380239"/>
    <m/>
    <m/>
    <n v="46282"/>
    <m/>
    <n v="46282"/>
    <n v="45085"/>
    <m/>
    <n v="45085"/>
    <n v="417140"/>
    <n v="425324"/>
    <m/>
    <m/>
    <m/>
    <m/>
    <n v="0"/>
    <m/>
    <m/>
    <n v="0"/>
    <m/>
    <m/>
    <m/>
    <m/>
    <n v="417140"/>
    <n v="425324"/>
  </r>
  <r>
    <x v="9"/>
    <x v="0"/>
    <s v="Pamlico Community College"/>
    <n v="199263"/>
    <x v="8"/>
    <n v="3698159"/>
    <n v="3608917"/>
    <m/>
    <m/>
    <n v="497670"/>
    <n v="609832"/>
    <n v="191019"/>
    <m/>
    <n v="191019"/>
    <n v="224874"/>
    <m/>
    <n v="224874"/>
    <n v="4386848"/>
    <n v="4443623"/>
    <m/>
    <m/>
    <m/>
    <m/>
    <n v="0"/>
    <m/>
    <m/>
    <n v="0"/>
    <m/>
    <m/>
    <m/>
    <m/>
    <n v="4386848"/>
    <n v="4443623"/>
  </r>
  <r>
    <x v="9"/>
    <x v="0"/>
    <s v="Nursing / allied health supplement"/>
    <n v="199263"/>
    <x v="8"/>
    <m/>
    <m/>
    <n v="18829"/>
    <n v="34415"/>
    <m/>
    <m/>
    <m/>
    <m/>
    <n v="0"/>
    <m/>
    <m/>
    <n v="0"/>
    <n v="18829"/>
    <n v="34415"/>
    <m/>
    <m/>
    <m/>
    <m/>
    <n v="0"/>
    <m/>
    <m/>
    <n v="0"/>
    <m/>
    <m/>
    <m/>
    <m/>
    <n v="18829"/>
    <n v="34415"/>
  </r>
  <r>
    <x v="9"/>
    <x v="3"/>
    <s v="Community or public service units"/>
    <n v="199263"/>
    <x v="8"/>
    <m/>
    <m/>
    <n v="104268"/>
    <n v="100603"/>
    <m/>
    <m/>
    <m/>
    <m/>
    <n v="0"/>
    <m/>
    <m/>
    <n v="0"/>
    <n v="104268"/>
    <n v="100603"/>
    <m/>
    <m/>
    <m/>
    <m/>
    <n v="0"/>
    <m/>
    <m/>
    <n v="0"/>
    <m/>
    <m/>
    <m/>
    <m/>
    <n v="104268"/>
    <n v="100603"/>
  </r>
  <r>
    <x v="9"/>
    <x v="45"/>
    <s v="Non-credit continuing education"/>
    <n v="199263"/>
    <x v="8"/>
    <m/>
    <m/>
    <n v="242820"/>
    <n v="294398"/>
    <m/>
    <m/>
    <n v="22887"/>
    <m/>
    <n v="22887"/>
    <n v="16486"/>
    <m/>
    <n v="16486"/>
    <n v="265707"/>
    <n v="310884"/>
    <m/>
    <m/>
    <m/>
    <m/>
    <n v="0"/>
    <m/>
    <m/>
    <n v="0"/>
    <m/>
    <m/>
    <m/>
    <m/>
    <n v="265707"/>
    <n v="310884"/>
  </r>
  <r>
    <x v="9"/>
    <x v="0"/>
    <s v="Roanoke-Chowan Community College"/>
    <n v="199467"/>
    <x v="8"/>
    <n v="4570534"/>
    <n v="4906602"/>
    <m/>
    <m/>
    <n v="827737"/>
    <n v="844839"/>
    <n v="938882"/>
    <m/>
    <n v="938882"/>
    <n v="607466"/>
    <m/>
    <n v="607466"/>
    <n v="6337153"/>
    <n v="6358907"/>
    <m/>
    <m/>
    <m/>
    <m/>
    <n v="0"/>
    <m/>
    <m/>
    <n v="0"/>
    <m/>
    <m/>
    <m/>
    <m/>
    <n v="6337153"/>
    <n v="6358907"/>
  </r>
  <r>
    <x v="9"/>
    <x v="0"/>
    <s v="Nursing / allied health supplement"/>
    <n v="199467"/>
    <x v="8"/>
    <m/>
    <m/>
    <n v="33154"/>
    <n v="45272"/>
    <m/>
    <m/>
    <m/>
    <m/>
    <n v="0"/>
    <m/>
    <m/>
    <n v="0"/>
    <n v="33154"/>
    <n v="45272"/>
    <m/>
    <m/>
    <m/>
    <m/>
    <n v="0"/>
    <m/>
    <m/>
    <n v="0"/>
    <m/>
    <m/>
    <m/>
    <m/>
    <n v="33154"/>
    <n v="45272"/>
  </r>
  <r>
    <x v="9"/>
    <x v="3"/>
    <s v="Community or public service units"/>
    <n v="199467"/>
    <x v="8"/>
    <m/>
    <m/>
    <n v="104569"/>
    <n v="121904"/>
    <m/>
    <m/>
    <m/>
    <m/>
    <n v="0"/>
    <m/>
    <m/>
    <n v="0"/>
    <n v="104569"/>
    <n v="121904"/>
    <m/>
    <m/>
    <m/>
    <m/>
    <n v="0"/>
    <m/>
    <m/>
    <n v="0"/>
    <m/>
    <m/>
    <m/>
    <m/>
    <n v="104569"/>
    <n v="121904"/>
  </r>
  <r>
    <x v="9"/>
    <x v="45"/>
    <s v="Non-credit continuing education"/>
    <n v="199467"/>
    <x v="8"/>
    <m/>
    <m/>
    <n v="221373"/>
    <n v="220278"/>
    <m/>
    <m/>
    <n v="42823"/>
    <m/>
    <n v="42823"/>
    <n v="35920"/>
    <m/>
    <n v="35920"/>
    <n v="264196"/>
    <n v="256198"/>
    <m/>
    <m/>
    <m/>
    <m/>
    <n v="0"/>
    <m/>
    <m/>
    <n v="0"/>
    <m/>
    <m/>
    <m/>
    <m/>
    <n v="264196"/>
    <n v="256198"/>
  </r>
  <r>
    <x v="9"/>
    <x v="0"/>
    <s v="Sampson Community College"/>
    <n v="199625"/>
    <x v="8"/>
    <n v="7451451"/>
    <n v="7546606"/>
    <m/>
    <m/>
    <n v="1056739"/>
    <n v="1222308"/>
    <n v="1060287"/>
    <m/>
    <n v="1060287"/>
    <n v="928771"/>
    <m/>
    <n v="928771"/>
    <n v="9568477"/>
    <n v="9697685"/>
    <m/>
    <m/>
    <m/>
    <m/>
    <n v="0"/>
    <m/>
    <m/>
    <n v="0"/>
    <m/>
    <m/>
    <m/>
    <m/>
    <n v="9568477"/>
    <n v="9697685"/>
  </r>
  <r>
    <x v="9"/>
    <x v="0"/>
    <s v="Nursing / allied health supplement"/>
    <n v="199625"/>
    <x v="8"/>
    <m/>
    <m/>
    <n v="67443"/>
    <n v="71697"/>
    <m/>
    <m/>
    <m/>
    <m/>
    <n v="0"/>
    <m/>
    <m/>
    <n v="0"/>
    <n v="67443"/>
    <n v="71697"/>
    <m/>
    <m/>
    <m/>
    <m/>
    <n v="0"/>
    <m/>
    <m/>
    <n v="0"/>
    <m/>
    <m/>
    <m/>
    <m/>
    <n v="67443"/>
    <n v="71697"/>
  </r>
  <r>
    <x v="9"/>
    <x v="3"/>
    <s v="Community or public service units"/>
    <n v="199625"/>
    <x v="8"/>
    <m/>
    <m/>
    <n v="193384"/>
    <n v="162181"/>
    <m/>
    <m/>
    <m/>
    <m/>
    <n v="0"/>
    <m/>
    <m/>
    <n v="0"/>
    <n v="193384"/>
    <n v="162181"/>
    <m/>
    <m/>
    <m/>
    <m/>
    <n v="0"/>
    <m/>
    <m/>
    <n v="0"/>
    <m/>
    <m/>
    <m/>
    <m/>
    <n v="193384"/>
    <n v="162181"/>
  </r>
  <r>
    <x v="9"/>
    <x v="45"/>
    <s v="Non-credit continuing education"/>
    <n v="199625"/>
    <x v="8"/>
    <m/>
    <m/>
    <n v="724052"/>
    <n v="775251"/>
    <m/>
    <m/>
    <n v="112389"/>
    <m/>
    <n v="112389"/>
    <n v="64275"/>
    <m/>
    <n v="64275"/>
    <n v="836441"/>
    <n v="839526"/>
    <m/>
    <m/>
    <m/>
    <m/>
    <n v="0"/>
    <m/>
    <m/>
    <n v="0"/>
    <m/>
    <m/>
    <m/>
    <m/>
    <n v="836441"/>
    <n v="839526"/>
  </r>
  <r>
    <x v="9"/>
    <x v="0"/>
    <s v="Tri-County Community College "/>
    <n v="199795"/>
    <x v="8"/>
    <n v="4597049"/>
    <n v="4882386"/>
    <m/>
    <m/>
    <n v="915321"/>
    <n v="1021084"/>
    <n v="1025230"/>
    <m/>
    <n v="1025230"/>
    <n v="826937"/>
    <m/>
    <n v="826937"/>
    <n v="6537600"/>
    <n v="6730407"/>
    <m/>
    <m/>
    <m/>
    <m/>
    <n v="0"/>
    <m/>
    <m/>
    <n v="0"/>
    <m/>
    <m/>
    <m/>
    <m/>
    <n v="6537600"/>
    <n v="6730407"/>
  </r>
  <r>
    <x v="9"/>
    <x v="0"/>
    <s v="Nursing / allied health supplement"/>
    <n v="199795"/>
    <x v="8"/>
    <m/>
    <m/>
    <n v="29434"/>
    <n v="48214"/>
    <m/>
    <m/>
    <m/>
    <m/>
    <n v="0"/>
    <m/>
    <m/>
    <n v="0"/>
    <n v="29434"/>
    <n v="48214"/>
    <m/>
    <m/>
    <m/>
    <m/>
    <n v="0"/>
    <m/>
    <m/>
    <n v="0"/>
    <m/>
    <m/>
    <m/>
    <m/>
    <n v="29434"/>
    <n v="48214"/>
  </r>
  <r>
    <x v="9"/>
    <x v="3"/>
    <s v="Community or public service units"/>
    <n v="199795"/>
    <x v="8"/>
    <m/>
    <m/>
    <n v="114043"/>
    <n v="133578"/>
    <m/>
    <m/>
    <m/>
    <m/>
    <n v="0"/>
    <m/>
    <m/>
    <n v="0"/>
    <n v="114043"/>
    <n v="133578"/>
    <m/>
    <m/>
    <m/>
    <m/>
    <n v="0"/>
    <m/>
    <m/>
    <n v="0"/>
    <m/>
    <m/>
    <m/>
    <m/>
    <n v="114043"/>
    <n v="133578"/>
  </r>
  <r>
    <x v="9"/>
    <x v="45"/>
    <s v="Non-credit continuing education"/>
    <n v="199795"/>
    <x v="8"/>
    <m/>
    <m/>
    <n v="614875"/>
    <n v="674238"/>
    <m/>
    <m/>
    <n v="65522"/>
    <m/>
    <n v="65522"/>
    <n v="74442"/>
    <m/>
    <n v="74442"/>
    <n v="680397"/>
    <n v="748680"/>
    <m/>
    <m/>
    <m/>
    <m/>
    <n v="0"/>
    <m/>
    <m/>
    <n v="0"/>
    <m/>
    <m/>
    <m/>
    <m/>
    <n v="680397"/>
    <n v="748680"/>
  </r>
  <r>
    <x v="9"/>
    <x v="12"/>
    <s v="Educational special-purpose funds to statewid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12"/>
    <s v="Prison Education"/>
    <m/>
    <x v="12"/>
    <m/>
    <m/>
    <n v="1657805"/>
    <n v="1268478"/>
    <m/>
    <m/>
    <m/>
    <m/>
    <n v="0"/>
    <m/>
    <m/>
    <n v="0"/>
    <n v="1657805"/>
    <n v="1268478"/>
    <m/>
    <m/>
    <m/>
    <m/>
    <n v="0"/>
    <m/>
    <m/>
    <n v="0"/>
    <m/>
    <m/>
    <m/>
    <m/>
    <n v="1657805"/>
    <n v="1268478"/>
  </r>
  <r>
    <x v="9"/>
    <x v="12"/>
    <s v="New &amp; Expanding Industry"/>
    <m/>
    <x v="12"/>
    <m/>
    <m/>
    <n v="10983270"/>
    <n v="8284710"/>
    <m/>
    <m/>
    <m/>
    <m/>
    <n v="0"/>
    <m/>
    <m/>
    <n v="0"/>
    <n v="10983270"/>
    <n v="8284710"/>
    <m/>
    <m/>
    <m/>
    <m/>
    <n v="0"/>
    <m/>
    <m/>
    <n v="0"/>
    <m/>
    <m/>
    <m/>
    <m/>
    <n v="10983270"/>
    <n v="8284710"/>
  </r>
  <r>
    <x v="9"/>
    <x v="12"/>
    <s v="Nursing"/>
    <m/>
    <x v="12"/>
    <m/>
    <m/>
    <n v="80000"/>
    <n v="80000"/>
    <m/>
    <m/>
    <m/>
    <m/>
    <n v="0"/>
    <m/>
    <m/>
    <n v="0"/>
    <n v="80000"/>
    <n v="80000"/>
    <m/>
    <m/>
    <m/>
    <m/>
    <n v="0"/>
    <m/>
    <m/>
    <n v="0"/>
    <m/>
    <m/>
    <m/>
    <m/>
    <n v="80000"/>
    <n v="80000"/>
  </r>
  <r>
    <x v="9"/>
    <x v="14"/>
    <s v="Statewide System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16"/>
    <s v="Two-year system(s), if an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9"/>
    <x v="16"/>
    <s v="NC State Board for Community Colleges"/>
    <m/>
    <x v="12"/>
    <m/>
    <m/>
    <m/>
    <m/>
    <m/>
    <m/>
    <m/>
    <m/>
    <n v="0"/>
    <m/>
    <m/>
    <n v="0"/>
    <n v="0"/>
    <n v="0"/>
    <n v="36751864"/>
    <n v="28174586"/>
    <m/>
    <m/>
    <n v="0"/>
    <m/>
    <m/>
    <n v="0"/>
    <m/>
    <m/>
    <m/>
    <m/>
    <n v="36751864"/>
    <n v="28174586"/>
  </r>
  <r>
    <x v="10"/>
    <x v="0"/>
    <s v="Oklahoma State University Main Campus"/>
    <s v="207388"/>
    <x v="0"/>
    <n v="130953392"/>
    <n v="127931217"/>
    <m/>
    <m/>
    <m/>
    <m/>
    <n v="137423104"/>
    <m/>
    <n v="137423104"/>
    <n v="152871688"/>
    <m/>
    <n v="152871688"/>
    <n v="268376496"/>
    <n v="280802905"/>
    <m/>
    <m/>
    <m/>
    <m/>
    <n v="0"/>
    <m/>
    <m/>
    <n v="0"/>
    <m/>
    <m/>
    <m/>
    <m/>
    <n v="268376496"/>
    <n v="280802905"/>
  </r>
  <r>
    <x v="10"/>
    <x v="1"/>
    <s v="Veterinary School"/>
    <s v="207388"/>
    <x v="0"/>
    <m/>
    <m/>
    <m/>
    <m/>
    <m/>
    <m/>
    <m/>
    <m/>
    <n v="0"/>
    <m/>
    <m/>
    <n v="0"/>
    <n v="0"/>
    <n v="0"/>
    <m/>
    <m/>
    <m/>
    <m/>
    <n v="0"/>
    <m/>
    <m/>
    <n v="0"/>
    <n v="11559909"/>
    <n v="11649928"/>
    <n v="5384633"/>
    <n v="5870020"/>
    <n v="16944542"/>
    <n v="17519948"/>
  </r>
  <r>
    <x v="10"/>
    <x v="1"/>
    <s v="College of Osteopathic Medicine"/>
    <s v="207389"/>
    <x v="0"/>
    <m/>
    <m/>
    <m/>
    <m/>
    <m/>
    <m/>
    <m/>
    <m/>
    <n v="0"/>
    <m/>
    <m/>
    <n v="0"/>
    <n v="0"/>
    <n v="0"/>
    <m/>
    <m/>
    <m/>
    <m/>
    <n v="0"/>
    <m/>
    <m/>
    <n v="0"/>
    <n v="14827128"/>
    <n v="14991461"/>
    <n v="6962590"/>
    <n v="7676184"/>
    <n v="21789718"/>
    <n v="22667645"/>
  </r>
  <r>
    <x v="10"/>
    <x v="5"/>
    <s v="Agricultural cooperative extension"/>
    <s v="207388"/>
    <x v="0"/>
    <m/>
    <m/>
    <n v="29792416"/>
    <n v="30017859"/>
    <m/>
    <m/>
    <m/>
    <m/>
    <n v="0"/>
    <m/>
    <m/>
    <n v="0"/>
    <n v="29792416"/>
    <n v="30017859"/>
    <m/>
    <m/>
    <m/>
    <m/>
    <n v="0"/>
    <m/>
    <m/>
    <n v="0"/>
    <m/>
    <m/>
    <m/>
    <m/>
    <n v="29792416"/>
    <n v="30017859"/>
  </r>
  <r>
    <x v="10"/>
    <x v="6"/>
    <s v="Agricultural experiment stations"/>
    <s v="207388"/>
    <x v="0"/>
    <m/>
    <m/>
    <n v="29635879"/>
    <n v="29818928"/>
    <m/>
    <m/>
    <m/>
    <m/>
    <n v="0"/>
    <m/>
    <m/>
    <n v="0"/>
    <n v="29635879"/>
    <n v="29818928"/>
    <m/>
    <m/>
    <m/>
    <m/>
    <n v="0"/>
    <m/>
    <m/>
    <n v="0"/>
    <m/>
    <m/>
    <m/>
    <m/>
    <n v="29635879"/>
    <n v="29818928"/>
  </r>
  <r>
    <x v="10"/>
    <x v="0"/>
    <s v="Tulsa Branch"/>
    <s v="207388"/>
    <x v="0"/>
    <n v="12866775"/>
    <n v="12219153"/>
    <m/>
    <m/>
    <m/>
    <m/>
    <n v="7435950"/>
    <m/>
    <n v="7435950"/>
    <n v="8996098"/>
    <m/>
    <n v="8996098"/>
    <n v="20302725"/>
    <n v="21215251"/>
    <m/>
    <m/>
    <m/>
    <m/>
    <n v="0"/>
    <m/>
    <m/>
    <n v="0"/>
    <m/>
    <m/>
    <m/>
    <m/>
    <n v="20302725"/>
    <n v="21215251"/>
  </r>
  <r>
    <x v="10"/>
    <x v="0"/>
    <s v="University of Oklahoma Norman Campus"/>
    <s v="207500"/>
    <x v="0"/>
    <n v="156926019"/>
    <n v="153393552"/>
    <m/>
    <m/>
    <m/>
    <m/>
    <n v="167757075"/>
    <m/>
    <n v="167757075"/>
    <n v="187811768"/>
    <m/>
    <n v="187811768"/>
    <n v="324683094"/>
    <n v="341205320"/>
    <m/>
    <m/>
    <m/>
    <m/>
    <n v="0"/>
    <m/>
    <m/>
    <n v="0"/>
    <m/>
    <m/>
    <m/>
    <m/>
    <n v="324683094"/>
    <n v="341205320"/>
  </r>
  <r>
    <x v="10"/>
    <x v="1"/>
    <s v="Health Sciences Center"/>
    <n v="207500"/>
    <x v="0"/>
    <m/>
    <m/>
    <m/>
    <m/>
    <m/>
    <m/>
    <m/>
    <m/>
    <n v="0"/>
    <m/>
    <m/>
    <n v="0"/>
    <n v="0"/>
    <n v="0"/>
    <m/>
    <m/>
    <m/>
    <m/>
    <n v="0"/>
    <m/>
    <m/>
    <n v="0"/>
    <n v="97023804"/>
    <n v="98298187"/>
    <n v="43074487"/>
    <n v="46800562"/>
    <n v="140098291"/>
    <n v="145098749"/>
  </r>
  <r>
    <x v="10"/>
    <x v="0"/>
    <s v="Law Center"/>
    <s v="207500"/>
    <x v="0"/>
    <n v="6308205"/>
    <n v="6362641"/>
    <m/>
    <m/>
    <m/>
    <m/>
    <n v="6729500"/>
    <m/>
    <n v="6729500"/>
    <n v="8022300"/>
    <m/>
    <n v="8022300"/>
    <n v="13037705"/>
    <n v="14384941"/>
    <m/>
    <m/>
    <m/>
    <m/>
    <n v="0"/>
    <m/>
    <m/>
    <n v="0"/>
    <m/>
    <m/>
    <m/>
    <m/>
    <n v="13037705"/>
    <n v="14384941"/>
  </r>
  <r>
    <x v="10"/>
    <x v="0"/>
    <s v="University of Central Oklahoma"/>
    <s v="206941"/>
    <x v="2"/>
    <n v="59956990"/>
    <n v="56426203"/>
    <m/>
    <m/>
    <m/>
    <m/>
    <n v="52422372"/>
    <m/>
    <n v="52422372"/>
    <n v="57562749"/>
    <m/>
    <n v="57562749"/>
    <n v="112379362"/>
    <n v="113988952"/>
    <m/>
    <m/>
    <m/>
    <m/>
    <n v="0"/>
    <m/>
    <m/>
    <n v="0"/>
    <m/>
    <m/>
    <m/>
    <m/>
    <n v="112379362"/>
    <n v="113988952"/>
  </r>
  <r>
    <x v="10"/>
    <x v="0"/>
    <s v="Northeastern State University"/>
    <s v="207263"/>
    <x v="2"/>
    <n v="39451403"/>
    <n v="39271027"/>
    <m/>
    <m/>
    <m/>
    <m/>
    <n v="27753250"/>
    <m/>
    <n v="27753250"/>
    <n v="30096855"/>
    <m/>
    <n v="30096855"/>
    <n v="67204653"/>
    <n v="69367882"/>
    <m/>
    <m/>
    <m/>
    <m/>
    <n v="0"/>
    <m/>
    <m/>
    <n v="0"/>
    <m/>
    <m/>
    <m/>
    <m/>
    <n v="67204653"/>
    <n v="69367882"/>
  </r>
  <r>
    <x v="10"/>
    <x v="0"/>
    <s v="Cameron University "/>
    <s v="206914"/>
    <x v="4"/>
    <n v="23201837"/>
    <n v="23119327"/>
    <m/>
    <m/>
    <m/>
    <m/>
    <n v="18148750"/>
    <m/>
    <n v="18148750"/>
    <n v="18878425"/>
    <m/>
    <n v="18878425"/>
    <n v="41350587"/>
    <n v="41997752"/>
    <m/>
    <m/>
    <m/>
    <m/>
    <n v="0"/>
    <m/>
    <m/>
    <n v="0"/>
    <m/>
    <m/>
    <m/>
    <m/>
    <n v="41350587"/>
    <n v="41997752"/>
  </r>
  <r>
    <x v="10"/>
    <x v="0"/>
    <s v="East Central University "/>
    <s v="207041"/>
    <x v="4"/>
    <n v="18969254"/>
    <n v="18791057"/>
    <m/>
    <m/>
    <m/>
    <m/>
    <n v="13375906"/>
    <m/>
    <n v="13375906"/>
    <n v="14961949"/>
    <m/>
    <n v="14961949"/>
    <n v="32345160"/>
    <n v="33753006"/>
    <m/>
    <m/>
    <m/>
    <m/>
    <n v="0"/>
    <m/>
    <m/>
    <n v="0"/>
    <m/>
    <m/>
    <m/>
    <m/>
    <n v="32345160"/>
    <n v="33753006"/>
  </r>
  <r>
    <x v="10"/>
    <x v="0"/>
    <s v="Langston University"/>
    <s v="207209"/>
    <x v="4"/>
    <n v="21959362"/>
    <n v="21831863"/>
    <m/>
    <m/>
    <m/>
    <m/>
    <n v="11140959"/>
    <m/>
    <n v="11140959"/>
    <n v="11852409"/>
    <m/>
    <n v="11852409"/>
    <n v="33100321"/>
    <n v="33684272"/>
    <m/>
    <m/>
    <m/>
    <m/>
    <n v="0"/>
    <m/>
    <m/>
    <n v="0"/>
    <m/>
    <m/>
    <m/>
    <m/>
    <n v="33100321"/>
    <n v="33684272"/>
  </r>
  <r>
    <x v="10"/>
    <x v="0"/>
    <s v="Northwestern Oklahoma State University "/>
    <s v="207306"/>
    <x v="4"/>
    <n v="11056330"/>
    <n v="11572421"/>
    <m/>
    <m/>
    <m/>
    <m/>
    <n v="8120581"/>
    <m/>
    <n v="8120581"/>
    <n v="9277288"/>
    <m/>
    <n v="9277288"/>
    <n v="19176911"/>
    <n v="20849709"/>
    <m/>
    <m/>
    <m/>
    <m/>
    <n v="0"/>
    <m/>
    <m/>
    <n v="0"/>
    <m/>
    <m/>
    <m/>
    <m/>
    <n v="19176911"/>
    <n v="20849709"/>
  </r>
  <r>
    <x v="10"/>
    <x v="0"/>
    <s v="Southeastern Oklahoma State University "/>
    <s v="207847"/>
    <x v="4"/>
    <n v="20414184"/>
    <n v="20242638"/>
    <m/>
    <m/>
    <m/>
    <m/>
    <n v="17302931"/>
    <m/>
    <n v="17302931"/>
    <n v="18470663"/>
    <m/>
    <n v="18470663"/>
    <n v="37717115"/>
    <n v="38713301"/>
    <m/>
    <m/>
    <m/>
    <m/>
    <n v="0"/>
    <m/>
    <m/>
    <n v="0"/>
    <m/>
    <m/>
    <m/>
    <m/>
    <n v="37717115"/>
    <n v="38713301"/>
  </r>
  <r>
    <x v="10"/>
    <x v="0"/>
    <s v="Southwestern Oklahoma State University"/>
    <s v="207865"/>
    <x v="4"/>
    <n v="24541672"/>
    <n v="24358129"/>
    <m/>
    <m/>
    <m/>
    <m/>
    <n v="19707460"/>
    <m/>
    <n v="19707460"/>
    <n v="20915880"/>
    <m/>
    <n v="20915880"/>
    <n v="44249132"/>
    <n v="45274009"/>
    <m/>
    <m/>
    <m/>
    <m/>
    <n v="0"/>
    <m/>
    <m/>
    <n v="0"/>
    <m/>
    <m/>
    <m/>
    <m/>
    <n v="44249132"/>
    <n v="45274009"/>
  </r>
  <r>
    <x v="10"/>
    <x v="0"/>
    <s v="Oklahoma Panhandle State University "/>
    <s v="207351"/>
    <x v="5"/>
    <n v="7809703"/>
    <n v="7621213"/>
    <m/>
    <m/>
    <m/>
    <m/>
    <n v="5369355"/>
    <m/>
    <n v="5369355"/>
    <n v="6424414"/>
    <m/>
    <n v="6424414"/>
    <n v="13179058"/>
    <n v="14045627"/>
    <m/>
    <m/>
    <m/>
    <m/>
    <n v="0"/>
    <m/>
    <m/>
    <n v="0"/>
    <m/>
    <m/>
    <m/>
    <m/>
    <n v="13179058"/>
    <n v="14045627"/>
  </r>
  <r>
    <x v="10"/>
    <x v="0"/>
    <s v="Rogers State University"/>
    <s v="207661"/>
    <x v="5"/>
    <n v="15039541"/>
    <n v="14860639"/>
    <m/>
    <m/>
    <m/>
    <m/>
    <n v="9896093"/>
    <m/>
    <n v="9896093"/>
    <n v="11946453"/>
    <m/>
    <n v="11946453"/>
    <n v="24935634"/>
    <n v="26807092"/>
    <m/>
    <m/>
    <m/>
    <m/>
    <n v="0"/>
    <m/>
    <m/>
    <n v="0"/>
    <m/>
    <m/>
    <m/>
    <m/>
    <n v="24935634"/>
    <n v="26807092"/>
  </r>
  <r>
    <x v="10"/>
    <x v="0"/>
    <s v="University of Science and Arts of Oklahoma"/>
    <s v="207722"/>
    <x v="5"/>
    <n v="7677235"/>
    <n v="7489542"/>
    <m/>
    <m/>
    <m/>
    <m/>
    <n v="4093199"/>
    <m/>
    <n v="4093199"/>
    <n v="4251899"/>
    <m/>
    <n v="4251899"/>
    <n v="11770434"/>
    <n v="11741441"/>
    <m/>
    <m/>
    <m/>
    <m/>
    <n v="0"/>
    <m/>
    <m/>
    <n v="0"/>
    <m/>
    <m/>
    <m/>
    <m/>
    <n v="11770434"/>
    <n v="11741441"/>
  </r>
  <r>
    <x v="10"/>
    <x v="0"/>
    <s v="Oklahoma State University Technical Branch-Okmulgee "/>
    <s v="207564"/>
    <x v="13"/>
    <n v="15280028"/>
    <n v="15399432"/>
    <m/>
    <m/>
    <m/>
    <m/>
    <n v="8462946"/>
    <m/>
    <n v="8462946"/>
    <n v="9031443"/>
    <m/>
    <n v="9031443"/>
    <n v="23742974"/>
    <n v="24430875"/>
    <m/>
    <m/>
    <m/>
    <m/>
    <n v="0"/>
    <m/>
    <m/>
    <n v="0"/>
    <m/>
    <m/>
    <m/>
    <m/>
    <n v="23742974"/>
    <n v="24430875"/>
  </r>
  <r>
    <x v="10"/>
    <x v="0"/>
    <s v="Oklahoma City Community College "/>
    <s v="207449"/>
    <x v="6"/>
    <n v="26428060"/>
    <n v="26271561"/>
    <m/>
    <m/>
    <n v="3100000"/>
    <n v="3800000"/>
    <n v="16198582"/>
    <m/>
    <n v="16198582"/>
    <n v="18062056"/>
    <m/>
    <n v="18062056"/>
    <n v="45726642"/>
    <n v="48133617"/>
    <m/>
    <m/>
    <m/>
    <m/>
    <n v="0"/>
    <m/>
    <m/>
    <n v="0"/>
    <m/>
    <m/>
    <m/>
    <m/>
    <n v="45726642"/>
    <n v="48133617"/>
  </r>
  <r>
    <x v="10"/>
    <x v="0"/>
    <s v="Tulsa Community College "/>
    <s v="207935"/>
    <x v="6"/>
    <n v="37717888"/>
    <n v="37659540"/>
    <m/>
    <m/>
    <n v="31345173"/>
    <n v="35166238"/>
    <n v="25862571"/>
    <m/>
    <n v="25862571"/>
    <n v="29112151"/>
    <m/>
    <n v="29112151"/>
    <n v="94925632"/>
    <n v="101937929"/>
    <m/>
    <m/>
    <m/>
    <m/>
    <n v="0"/>
    <m/>
    <m/>
    <n v="0"/>
    <m/>
    <m/>
    <m/>
    <m/>
    <n v="94925632"/>
    <n v="101937929"/>
  </r>
  <r>
    <x v="10"/>
    <x v="0"/>
    <s v="Northern Oklahoma College "/>
    <s v="207281"/>
    <x v="7"/>
    <n v="10696182"/>
    <n v="10521484"/>
    <m/>
    <m/>
    <m/>
    <m/>
    <n v="9728334"/>
    <m/>
    <n v="9728334"/>
    <n v="11180725"/>
    <m/>
    <n v="11180725"/>
    <n v="20424516"/>
    <n v="21702209"/>
    <m/>
    <m/>
    <m/>
    <m/>
    <n v="0"/>
    <m/>
    <m/>
    <n v="0"/>
    <m/>
    <m/>
    <m/>
    <m/>
    <n v="20424516"/>
    <n v="21702209"/>
  </r>
  <r>
    <x v="10"/>
    <x v="0"/>
    <s v="Oklahoma State University-Oklahoma City "/>
    <s v="207397"/>
    <x v="7"/>
    <n v="11573349"/>
    <n v="11684601"/>
    <m/>
    <m/>
    <m/>
    <m/>
    <n v="9373399"/>
    <m/>
    <n v="9373399"/>
    <n v="11005772"/>
    <m/>
    <n v="11005772"/>
    <n v="20946748"/>
    <n v="22690373"/>
    <m/>
    <m/>
    <m/>
    <m/>
    <n v="0"/>
    <m/>
    <m/>
    <n v="0"/>
    <m/>
    <m/>
    <m/>
    <m/>
    <n v="20946748"/>
    <n v="22690373"/>
  </r>
  <r>
    <x v="10"/>
    <x v="0"/>
    <s v="Rose State College "/>
    <s v="207670"/>
    <x v="7"/>
    <n v="22388258"/>
    <n v="22271412"/>
    <m/>
    <m/>
    <n v="1600000"/>
    <n v="1700000"/>
    <n v="9896093"/>
    <m/>
    <n v="9896093"/>
    <n v="13117255"/>
    <m/>
    <n v="13117255"/>
    <n v="33884351"/>
    <n v="37088667"/>
    <m/>
    <m/>
    <m/>
    <m/>
    <n v="0"/>
    <m/>
    <m/>
    <n v="0"/>
    <m/>
    <m/>
    <m/>
    <m/>
    <n v="33884351"/>
    <n v="37088667"/>
  </r>
  <r>
    <x v="10"/>
    <x v="0"/>
    <s v="Carl Albert State College"/>
    <s v="206923"/>
    <x v="8"/>
    <n v="6831573"/>
    <n v="6774874"/>
    <m/>
    <m/>
    <m/>
    <m/>
    <n v="3713972"/>
    <m/>
    <n v="3713972"/>
    <n v="3966972"/>
    <m/>
    <n v="3966972"/>
    <n v="10545545"/>
    <n v="10741846"/>
    <m/>
    <m/>
    <m/>
    <m/>
    <n v="0"/>
    <m/>
    <m/>
    <n v="0"/>
    <m/>
    <m/>
    <m/>
    <m/>
    <n v="10545545"/>
    <n v="10741846"/>
  </r>
  <r>
    <x v="10"/>
    <x v="0"/>
    <s v="Connors State College "/>
    <s v="206996"/>
    <x v="8"/>
    <n v="7429712"/>
    <n v="7251006"/>
    <m/>
    <m/>
    <m/>
    <m/>
    <n v="3132341"/>
    <m/>
    <n v="3132341"/>
    <n v="3356862"/>
    <m/>
    <n v="3356862"/>
    <n v="10562053"/>
    <n v="10607868"/>
    <m/>
    <m/>
    <m/>
    <m/>
    <n v="0"/>
    <m/>
    <m/>
    <n v="0"/>
    <m/>
    <m/>
    <m/>
    <m/>
    <n v="10562053"/>
    <n v="10607868"/>
  </r>
  <r>
    <x v="10"/>
    <x v="0"/>
    <s v="Eastern Oklahoma State College "/>
    <s v="207050"/>
    <x v="8"/>
    <n v="7129512"/>
    <n v="6961325"/>
    <m/>
    <m/>
    <m/>
    <m/>
    <n v="3446477"/>
    <m/>
    <n v="3446477"/>
    <n v="2737249"/>
    <m/>
    <n v="2737249"/>
    <n v="10575989"/>
    <n v="9698574"/>
    <m/>
    <m/>
    <m/>
    <m/>
    <n v="0"/>
    <m/>
    <m/>
    <n v="0"/>
    <m/>
    <m/>
    <m/>
    <m/>
    <n v="10575989"/>
    <n v="9698574"/>
  </r>
  <r>
    <x v="10"/>
    <x v="0"/>
    <s v="Murray State College "/>
    <s v="207236"/>
    <x v="8"/>
    <n v="6261902"/>
    <n v="6083143"/>
    <m/>
    <m/>
    <m/>
    <m/>
    <n v="4102960"/>
    <m/>
    <n v="4102960"/>
    <n v="4502394"/>
    <m/>
    <n v="4502394"/>
    <n v="10364862"/>
    <n v="10585537"/>
    <m/>
    <m/>
    <m/>
    <m/>
    <n v="0"/>
    <m/>
    <m/>
    <n v="0"/>
    <m/>
    <m/>
    <m/>
    <m/>
    <n v="10364862"/>
    <n v="10585537"/>
  </r>
  <r>
    <x v="10"/>
    <x v="0"/>
    <s v="Northeastern Oklahoma A &amp; M College "/>
    <s v="207290"/>
    <x v="8"/>
    <n v="9756530"/>
    <n v="9582358"/>
    <m/>
    <m/>
    <m/>
    <m/>
    <n v="4133000"/>
    <m/>
    <n v="4133000"/>
    <n v="4403000"/>
    <m/>
    <n v="4403000"/>
    <n v="13889530"/>
    <n v="13985358"/>
    <m/>
    <m/>
    <m/>
    <m/>
    <n v="0"/>
    <m/>
    <m/>
    <n v="0"/>
    <m/>
    <m/>
    <m/>
    <m/>
    <n v="13889530"/>
    <n v="13985358"/>
  </r>
  <r>
    <x v="10"/>
    <x v="0"/>
    <s v="Redlands Community College"/>
    <s v="207069"/>
    <x v="8"/>
    <n v="5971414"/>
    <n v="6298543"/>
    <m/>
    <m/>
    <m/>
    <m/>
    <n v="2988912"/>
    <m/>
    <n v="2988912"/>
    <n v="3567915"/>
    <m/>
    <n v="3567915"/>
    <n v="8960326"/>
    <n v="9866458"/>
    <m/>
    <m/>
    <m/>
    <m/>
    <n v="0"/>
    <m/>
    <m/>
    <n v="0"/>
    <m/>
    <m/>
    <m/>
    <m/>
    <n v="8960326"/>
    <n v="9866458"/>
  </r>
  <r>
    <x v="10"/>
    <x v="0"/>
    <s v="Seminole State College "/>
    <s v="207740"/>
    <x v="8"/>
    <n v="6540618"/>
    <n v="6356902"/>
    <m/>
    <m/>
    <m/>
    <m/>
    <n v="3455284"/>
    <m/>
    <n v="3455284"/>
    <n v="3686498"/>
    <m/>
    <n v="3686498"/>
    <n v="9995902"/>
    <n v="10043400"/>
    <m/>
    <m/>
    <m/>
    <m/>
    <n v="0"/>
    <m/>
    <m/>
    <n v="0"/>
    <m/>
    <m/>
    <m/>
    <m/>
    <n v="9995902"/>
    <n v="10043400"/>
  </r>
  <r>
    <x v="10"/>
    <x v="0"/>
    <s v="Western Oklahoma State College "/>
    <n v="208035"/>
    <x v="8"/>
    <n v="5942489"/>
    <n v="5761451"/>
    <m/>
    <m/>
    <m/>
    <m/>
    <n v="3022000"/>
    <m/>
    <n v="3022000"/>
    <n v="3657000"/>
    <m/>
    <n v="3657000"/>
    <n v="8964489"/>
    <n v="9418451"/>
    <m/>
    <m/>
    <m/>
    <m/>
    <n v="0"/>
    <m/>
    <m/>
    <n v="0"/>
    <m/>
    <m/>
    <m/>
    <m/>
    <n v="8964489"/>
    <n v="9418451"/>
  </r>
  <r>
    <x v="10"/>
    <x v="10"/>
    <s v="Statewide Special-Purpos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42"/>
    <s v="Community or public servic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42"/>
    <s v="Kerr Conference Center"/>
    <m/>
    <x v="12"/>
    <m/>
    <m/>
    <n v="100348"/>
    <n v="100348"/>
    <m/>
    <m/>
    <m/>
    <m/>
    <n v="0"/>
    <m/>
    <m/>
    <n v="0"/>
    <n v="100348"/>
    <n v="100348"/>
    <m/>
    <m/>
    <m/>
    <m/>
    <n v="0"/>
    <m/>
    <m/>
    <n v="0"/>
    <m/>
    <m/>
    <m/>
    <m/>
    <n v="100348"/>
    <n v="100348"/>
  </r>
  <r>
    <x v="10"/>
    <x v="13"/>
    <s v="Educational special-purpose funds — all other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13"/>
    <s v="Tulsa Provider Contracts for Restructuring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13"/>
    <s v="Ardmore H.Ed. Program"/>
    <m/>
    <x v="12"/>
    <m/>
    <m/>
    <n v="729022"/>
    <n v="723982"/>
    <m/>
    <m/>
    <m/>
    <m/>
    <n v="0"/>
    <m/>
    <m/>
    <n v="0"/>
    <n v="729022"/>
    <n v="723982"/>
    <m/>
    <m/>
    <m/>
    <m/>
    <n v="0"/>
    <m/>
    <m/>
    <n v="0"/>
    <m/>
    <m/>
    <m/>
    <m/>
    <n v="729022"/>
    <n v="723982"/>
  </r>
  <r>
    <x v="10"/>
    <x v="13"/>
    <s v="Jane Brooks School-USAO"/>
    <m/>
    <x v="12"/>
    <m/>
    <m/>
    <n v="27038"/>
    <n v="27038"/>
    <m/>
    <m/>
    <m/>
    <m/>
    <n v="0"/>
    <m/>
    <m/>
    <n v="0"/>
    <n v="27038"/>
    <n v="27038"/>
    <m/>
    <m/>
    <m/>
    <m/>
    <n v="0"/>
    <m/>
    <m/>
    <n v="0"/>
    <m/>
    <m/>
    <m/>
    <m/>
    <n v="27038"/>
    <n v="27038"/>
  </r>
  <r>
    <x v="10"/>
    <x v="13"/>
    <s v="Fire Science Training"/>
    <m/>
    <x v="12"/>
    <m/>
    <m/>
    <n v="1803211"/>
    <n v="1803211"/>
    <m/>
    <m/>
    <m/>
    <m/>
    <n v="0"/>
    <m/>
    <m/>
    <n v="0"/>
    <n v="1803211"/>
    <n v="1803211"/>
    <m/>
    <m/>
    <m/>
    <m/>
    <n v="0"/>
    <m/>
    <m/>
    <n v="0"/>
    <m/>
    <m/>
    <m/>
    <m/>
    <n v="1803211"/>
    <n v="1803211"/>
  </r>
  <r>
    <x v="10"/>
    <x v="13"/>
    <s v="Civil Rights Compliance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13"/>
    <s v="Economic development initiativ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13"/>
    <s v="Scholar Leadership Program"/>
    <m/>
    <x v="12"/>
    <m/>
    <m/>
    <n v="305882"/>
    <n v="305882"/>
    <m/>
    <m/>
    <m/>
    <m/>
    <n v="0"/>
    <m/>
    <m/>
    <n v="0"/>
    <n v="305882"/>
    <n v="305882"/>
    <m/>
    <m/>
    <m/>
    <m/>
    <n v="0"/>
    <m/>
    <m/>
    <n v="0"/>
    <m/>
    <m/>
    <m/>
    <m/>
    <n v="305882"/>
    <n v="305882"/>
  </r>
  <r>
    <x v="10"/>
    <x v="13"/>
    <s v="Teacher Education Assistance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13"/>
    <s v="Tuition Saving Act Implementation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13"/>
    <s v="Academic Scholar Program"/>
    <m/>
    <x v="12"/>
    <m/>
    <m/>
    <n v="8604500"/>
    <n v="8604500"/>
    <m/>
    <m/>
    <m/>
    <m/>
    <n v="0"/>
    <m/>
    <m/>
    <n v="0"/>
    <n v="8604500"/>
    <n v="8604500"/>
    <m/>
    <m/>
    <m/>
    <m/>
    <n v="0"/>
    <m/>
    <m/>
    <n v="0"/>
    <m/>
    <m/>
    <m/>
    <m/>
    <n v="8604500"/>
    <n v="8604500"/>
  </r>
  <r>
    <x v="10"/>
    <x v="13"/>
    <s v="Minority Teacher Recruitment Center"/>
    <m/>
    <x v="12"/>
    <m/>
    <m/>
    <n v="418372"/>
    <n v="418372"/>
    <m/>
    <m/>
    <m/>
    <m/>
    <n v="0"/>
    <m/>
    <m/>
    <n v="0"/>
    <n v="418372"/>
    <n v="418372"/>
    <m/>
    <m/>
    <m/>
    <m/>
    <n v="0"/>
    <m/>
    <m/>
    <n v="0"/>
    <m/>
    <m/>
    <m/>
    <m/>
    <n v="418372"/>
    <n v="418372"/>
  </r>
  <r>
    <x v="10"/>
    <x v="13"/>
    <s v="OneNet User Fee Charges"/>
    <m/>
    <x v="12"/>
    <m/>
    <m/>
    <n v="4364387"/>
    <n v="4364387"/>
    <m/>
    <m/>
    <m/>
    <m/>
    <n v="0"/>
    <m/>
    <m/>
    <n v="0"/>
    <n v="4364387"/>
    <n v="4364387"/>
    <m/>
    <m/>
    <m/>
    <m/>
    <n v="0"/>
    <m/>
    <m/>
    <n v="0"/>
    <m/>
    <m/>
    <m/>
    <m/>
    <n v="4364387"/>
    <n v="4364387"/>
  </r>
  <r>
    <x v="10"/>
    <x v="13"/>
    <s v="Student Preparation  Program"/>
    <m/>
    <x v="12"/>
    <m/>
    <m/>
    <n v="1174710"/>
    <n v="1174710"/>
    <m/>
    <m/>
    <m/>
    <m/>
    <n v="0"/>
    <m/>
    <m/>
    <n v="0"/>
    <n v="1174710"/>
    <n v="1174710"/>
    <m/>
    <m/>
    <m/>
    <m/>
    <n v="0"/>
    <m/>
    <m/>
    <n v="0"/>
    <m/>
    <m/>
    <m/>
    <m/>
    <n v="1174710"/>
    <n v="1174710"/>
  </r>
  <r>
    <x v="10"/>
    <x v="13"/>
    <s v="Statewide Literacy Program"/>
    <m/>
    <x v="12"/>
    <m/>
    <m/>
    <n v="73229"/>
    <n v="73229"/>
    <m/>
    <m/>
    <m/>
    <m/>
    <n v="0"/>
    <m/>
    <m/>
    <n v="0"/>
    <n v="73229"/>
    <n v="73229"/>
    <m/>
    <m/>
    <m/>
    <m/>
    <n v="0"/>
    <m/>
    <m/>
    <n v="0"/>
    <m/>
    <m/>
    <m/>
    <m/>
    <n v="73229"/>
    <n v="73229"/>
  </r>
  <r>
    <x v="10"/>
    <x v="14"/>
    <s v="Statewide System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15"/>
    <s v="Colleges and universiti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15"/>
    <s v="Ok State Regents for H. Ed."/>
    <m/>
    <x v="12"/>
    <m/>
    <m/>
    <m/>
    <m/>
    <m/>
    <m/>
    <m/>
    <m/>
    <n v="0"/>
    <m/>
    <m/>
    <n v="0"/>
    <n v="0"/>
    <n v="0"/>
    <n v="8814724"/>
    <n v="9513037"/>
    <m/>
    <m/>
    <n v="0"/>
    <m/>
    <m/>
    <n v="0"/>
    <m/>
    <m/>
    <m/>
    <m/>
    <n v="8814724"/>
    <n v="9513037"/>
  </r>
  <r>
    <x v="10"/>
    <x v="16"/>
    <s v="Two-year system(s), if an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17"/>
    <s v="National or regional associations, compacts or consortia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17"/>
    <s v="SREB Du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18"/>
    <s v="Adm. of Statewide Student Aid Progs. (incldng centralized guaranteed student loans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19"/>
    <s v="State Support to Private Colleges Other Than Student Ai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0"/>
    <s v="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1"/>
    <s v="SREB contract program with private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2"/>
    <s v="SREB contract program with public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3"/>
    <s v="Other 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4"/>
    <s v="Statewide Student Financial Aid Programs Administered Off Campu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5"/>
    <s v="Available to public &amp;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5"/>
    <s v="Oklahoma Promise"/>
    <m/>
    <x v="12"/>
    <m/>
    <m/>
    <m/>
    <m/>
    <m/>
    <m/>
    <m/>
    <m/>
    <n v="0"/>
    <m/>
    <m/>
    <n v="0"/>
    <n v="0"/>
    <n v="0"/>
    <n v="48100000"/>
    <n v="54000000"/>
    <m/>
    <m/>
    <n v="0"/>
    <m/>
    <m/>
    <n v="0"/>
    <m/>
    <m/>
    <m/>
    <m/>
    <n v="48100000"/>
    <n v="54000000"/>
  </r>
  <r>
    <x v="10"/>
    <x v="26"/>
    <s v="Need-based"/>
    <m/>
    <x v="12"/>
    <m/>
    <m/>
    <m/>
    <m/>
    <m/>
    <m/>
    <m/>
    <m/>
    <n v="0"/>
    <m/>
    <m/>
    <n v="0"/>
    <n v="0"/>
    <n v="0"/>
    <s v="No detail on sector or basis?"/>
    <m/>
    <m/>
    <m/>
    <n v="0"/>
    <m/>
    <m/>
    <n v="0"/>
    <m/>
    <m/>
    <m/>
    <m/>
    <n v="0"/>
    <n v="0"/>
  </r>
  <r>
    <x v="10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5"/>
    <s v="Chiropractic Education Assistance"/>
    <m/>
    <x v="12"/>
    <m/>
    <m/>
    <m/>
    <m/>
    <m/>
    <m/>
    <m/>
    <m/>
    <n v="0"/>
    <m/>
    <m/>
    <n v="0"/>
    <n v="0"/>
    <n v="0"/>
    <n v="40000"/>
    <n v="40000"/>
    <m/>
    <m/>
    <n v="0"/>
    <m/>
    <m/>
    <n v="0"/>
    <m/>
    <m/>
    <m/>
    <m/>
    <n v="40000"/>
    <n v="40000"/>
  </r>
  <r>
    <x v="10"/>
    <x v="26"/>
    <s v="Need-based"/>
    <m/>
    <x v="12"/>
    <m/>
    <m/>
    <m/>
    <m/>
    <m/>
    <m/>
    <m/>
    <m/>
    <n v="0"/>
    <m/>
    <m/>
    <n v="0"/>
    <n v="0"/>
    <n v="0"/>
    <s v="No detail on sector or basis?"/>
    <m/>
    <m/>
    <m/>
    <n v="0"/>
    <m/>
    <m/>
    <n v="0"/>
    <m/>
    <m/>
    <m/>
    <m/>
    <n v="0"/>
    <n v="0"/>
  </r>
  <r>
    <x v="10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5"/>
    <s v="Prospective Teachers Scholars"/>
    <m/>
    <x v="12"/>
    <m/>
    <m/>
    <m/>
    <m/>
    <m/>
    <m/>
    <m/>
    <m/>
    <n v="0"/>
    <m/>
    <m/>
    <n v="0"/>
    <n v="0"/>
    <n v="0"/>
    <n v="100000"/>
    <n v="100000"/>
    <m/>
    <m/>
    <n v="0"/>
    <m/>
    <m/>
    <n v="0"/>
    <m/>
    <m/>
    <m/>
    <m/>
    <n v="100000"/>
    <n v="100000"/>
  </r>
  <r>
    <x v="10"/>
    <x v="26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7"/>
    <s v="Non need-based"/>
    <m/>
    <x v="12"/>
    <m/>
    <m/>
    <m/>
    <m/>
    <m/>
    <m/>
    <m/>
    <m/>
    <n v="0"/>
    <m/>
    <m/>
    <n v="0"/>
    <n v="0"/>
    <n v="0"/>
    <s v="No detail on sector or basis?"/>
    <m/>
    <m/>
    <m/>
    <n v="0"/>
    <m/>
    <m/>
    <n v="0"/>
    <m/>
    <m/>
    <m/>
    <m/>
    <n v="0"/>
    <n v="0"/>
  </r>
  <r>
    <x v="10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5"/>
    <s v="Regional University Scholarships"/>
    <m/>
    <x v="12"/>
    <m/>
    <m/>
    <m/>
    <m/>
    <m/>
    <m/>
    <m/>
    <m/>
    <n v="0"/>
    <m/>
    <m/>
    <n v="0"/>
    <n v="0"/>
    <n v="0"/>
    <n v="800229"/>
    <n v="800229"/>
    <m/>
    <m/>
    <n v="0"/>
    <m/>
    <m/>
    <n v="0"/>
    <m/>
    <m/>
    <m/>
    <m/>
    <n v="800229"/>
    <n v="800229"/>
  </r>
  <r>
    <x v="10"/>
    <x v="26"/>
    <s v="Need-based"/>
    <m/>
    <x v="12"/>
    <m/>
    <m/>
    <m/>
    <m/>
    <m/>
    <m/>
    <m/>
    <m/>
    <n v="0"/>
    <m/>
    <m/>
    <n v="0"/>
    <n v="0"/>
    <n v="0"/>
    <s v="No detail on sector or basis?"/>
    <m/>
    <m/>
    <m/>
    <n v="0"/>
    <m/>
    <m/>
    <n v="0"/>
    <m/>
    <m/>
    <m/>
    <m/>
    <n v="0"/>
    <n v="0"/>
  </r>
  <r>
    <x v="10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5"/>
    <s v="OTAG"/>
    <m/>
    <x v="12"/>
    <m/>
    <m/>
    <m/>
    <m/>
    <m/>
    <m/>
    <m/>
    <m/>
    <n v="0"/>
    <m/>
    <m/>
    <n v="0"/>
    <n v="0"/>
    <n v="0"/>
    <n v="18927327"/>
    <n v="18927327"/>
    <m/>
    <m/>
    <n v="0"/>
    <m/>
    <m/>
    <n v="0"/>
    <m/>
    <m/>
    <m/>
    <m/>
    <n v="18927327"/>
    <n v="18927327"/>
  </r>
  <r>
    <x v="10"/>
    <x v="26"/>
    <s v="Need-based"/>
    <m/>
    <x v="12"/>
    <m/>
    <m/>
    <m/>
    <m/>
    <m/>
    <m/>
    <m/>
    <m/>
    <n v="0"/>
    <m/>
    <m/>
    <n v="0"/>
    <n v="0"/>
    <n v="0"/>
    <s v="No detail on sector or basis?"/>
    <m/>
    <m/>
    <m/>
    <n v="0"/>
    <m/>
    <m/>
    <n v="0"/>
    <m/>
    <m/>
    <m/>
    <m/>
    <n v="0"/>
    <n v="0"/>
  </r>
  <r>
    <x v="10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34"/>
    <s v="Limited to public college students onl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35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36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37"/>
    <s v="Limited to private college students onl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0"/>
    <x v="37"/>
    <s v="OTEG"/>
    <m/>
    <x v="12"/>
    <m/>
    <m/>
    <m/>
    <m/>
    <m/>
    <m/>
    <m/>
    <m/>
    <n v="0"/>
    <m/>
    <m/>
    <n v="0"/>
    <n v="0"/>
    <n v="0"/>
    <n v="3828751"/>
    <n v="3828751"/>
    <m/>
    <m/>
    <n v="0"/>
    <m/>
    <m/>
    <n v="0"/>
    <m/>
    <m/>
    <m/>
    <m/>
    <n v="3828751"/>
    <n v="3828751"/>
  </r>
  <r>
    <x v="10"/>
    <x v="38"/>
    <s v="Need-based"/>
    <m/>
    <x v="12"/>
    <m/>
    <m/>
    <m/>
    <m/>
    <m/>
    <m/>
    <m/>
    <m/>
    <n v="0"/>
    <m/>
    <m/>
    <n v="0"/>
    <n v="0"/>
    <n v="0"/>
    <s v="No detail on basis?"/>
    <m/>
    <m/>
    <m/>
    <n v="0"/>
    <m/>
    <m/>
    <n v="0"/>
    <m/>
    <m/>
    <m/>
    <m/>
    <n v="0"/>
    <n v="0"/>
  </r>
  <r>
    <x v="10"/>
    <x v="39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0"/>
    <s v="Clemson University"/>
    <n v="217882"/>
    <x v="0"/>
    <n v="98821103"/>
    <n v="75037521"/>
    <m/>
    <m/>
    <m/>
    <m/>
    <n v="211032854"/>
    <n v="13286225"/>
    <n v="224319079"/>
    <n v="226066740"/>
    <n v="16595610"/>
    <n v="242662350"/>
    <n v="309853957"/>
    <n v="301104261"/>
    <m/>
    <m/>
    <m/>
    <m/>
    <n v="0"/>
    <m/>
    <m/>
    <n v="0"/>
    <m/>
    <m/>
    <m/>
    <m/>
    <n v="309853957"/>
    <n v="301104261"/>
  </r>
  <r>
    <x v="11"/>
    <x v="0"/>
    <s v="Fringe Benefits"/>
    <n v="217882"/>
    <x v="0"/>
    <m/>
    <n v="10990840"/>
    <m/>
    <m/>
    <m/>
    <m/>
    <m/>
    <m/>
    <n v="0"/>
    <m/>
    <m/>
    <n v="0"/>
    <n v="0"/>
    <n v="10990840"/>
    <m/>
    <m/>
    <m/>
    <m/>
    <n v="0"/>
    <m/>
    <m/>
    <n v="0"/>
    <m/>
    <m/>
    <m/>
    <m/>
    <n v="0"/>
    <n v="10990840"/>
  </r>
  <r>
    <x v="11"/>
    <x v="0"/>
    <s v="Other Operating Expenses"/>
    <n v="217882"/>
    <x v="0"/>
    <n v="2000000"/>
    <n v="2000000"/>
    <m/>
    <m/>
    <m/>
    <m/>
    <m/>
    <m/>
    <n v="0"/>
    <m/>
    <m/>
    <n v="0"/>
    <n v="2000000"/>
    <n v="2000000"/>
    <m/>
    <m/>
    <m/>
    <m/>
    <n v="0"/>
    <m/>
    <m/>
    <n v="0"/>
    <m/>
    <m/>
    <m/>
    <m/>
    <n v="2000000"/>
    <n v="2000000"/>
  </r>
  <r>
    <x v="11"/>
    <x v="3"/>
    <s v="Community or public service units"/>
    <n v="21788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3"/>
    <s v="Municipal Services"/>
    <n v="217882"/>
    <x v="0"/>
    <m/>
    <m/>
    <n v="931747"/>
    <n v="931747"/>
    <m/>
    <m/>
    <m/>
    <m/>
    <n v="0"/>
    <m/>
    <m/>
    <n v="0"/>
    <n v="931747"/>
    <n v="931747"/>
    <m/>
    <m/>
    <m/>
    <m/>
    <n v="0"/>
    <m/>
    <m/>
    <n v="0"/>
    <m/>
    <m/>
    <m/>
    <m/>
    <n v="931747"/>
    <n v="931747"/>
  </r>
  <r>
    <x v="11"/>
    <x v="5"/>
    <s v="Ag Cooperative Extension Service"/>
    <n v="21788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5"/>
    <s v="Ag Research, Extension Service, and Inspection"/>
    <n v="217882"/>
    <x v="0"/>
    <m/>
    <m/>
    <n v="52127033"/>
    <n v="40677120"/>
    <m/>
    <m/>
    <m/>
    <m/>
    <n v="0"/>
    <m/>
    <m/>
    <n v="0"/>
    <n v="52127033"/>
    <n v="40677120"/>
    <m/>
    <m/>
    <m/>
    <m/>
    <n v="0"/>
    <m/>
    <m/>
    <n v="0"/>
    <m/>
    <m/>
    <m/>
    <m/>
    <n v="52127033"/>
    <n v="40677120"/>
  </r>
  <r>
    <x v="11"/>
    <x v="5"/>
    <s v="Agribusiness, Biotech, Genetics (NR)"/>
    <n v="217882"/>
    <x v="0"/>
    <m/>
    <m/>
    <n v="3600000"/>
    <m/>
    <m/>
    <m/>
    <m/>
    <m/>
    <n v="0"/>
    <m/>
    <m/>
    <n v="0"/>
    <n v="3600000"/>
    <n v="0"/>
    <m/>
    <m/>
    <m/>
    <m/>
    <n v="0"/>
    <m/>
    <m/>
    <n v="0"/>
    <m/>
    <m/>
    <m/>
    <m/>
    <n v="3600000"/>
    <n v="0"/>
  </r>
  <r>
    <x v="11"/>
    <x v="5"/>
    <s v="Sparatanburg Humane Society (NR)"/>
    <n v="217882"/>
    <x v="0"/>
    <m/>
    <m/>
    <n v="100000"/>
    <m/>
    <m/>
    <m/>
    <m/>
    <m/>
    <n v="0"/>
    <m/>
    <m/>
    <n v="0"/>
    <n v="100000"/>
    <n v="0"/>
    <m/>
    <m/>
    <m/>
    <m/>
    <n v="0"/>
    <m/>
    <m/>
    <n v="0"/>
    <m/>
    <m/>
    <m/>
    <m/>
    <n v="100000"/>
    <n v="0"/>
  </r>
  <r>
    <x v="11"/>
    <x v="5"/>
    <s v="Ag Research, Ext. Svc, &amp; Insp. Supplemental for Other Op.Exp. (NR)"/>
    <n v="217882"/>
    <x v="0"/>
    <m/>
    <m/>
    <m/>
    <n v="275000"/>
    <m/>
    <m/>
    <m/>
    <m/>
    <n v="0"/>
    <m/>
    <m/>
    <n v="0"/>
    <n v="0"/>
    <n v="275000"/>
    <m/>
    <m/>
    <m/>
    <m/>
    <n v="0"/>
    <m/>
    <m/>
    <n v="0"/>
    <m/>
    <m/>
    <m/>
    <m/>
    <n v="0"/>
    <n v="275000"/>
  </r>
  <r>
    <x v="11"/>
    <x v="7"/>
    <s v="Research Centers/institutes"/>
    <n v="21788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7"/>
    <s v="Center for Wireless Research"/>
    <n v="217882"/>
    <x v="0"/>
    <m/>
    <m/>
    <n v="500000"/>
    <n v="0"/>
    <m/>
    <m/>
    <m/>
    <m/>
    <n v="0"/>
    <m/>
    <m/>
    <n v="0"/>
    <n v="500000"/>
    <n v="0"/>
    <m/>
    <m/>
    <m/>
    <m/>
    <n v="0"/>
    <m/>
    <m/>
    <n v="0"/>
    <m/>
    <m/>
    <m/>
    <m/>
    <n v="500000"/>
    <n v="0"/>
  </r>
  <r>
    <x v="11"/>
    <x v="7"/>
    <s v="Engineering Research Center"/>
    <n v="217882"/>
    <x v="0"/>
    <m/>
    <m/>
    <n v="791272"/>
    <n v="791272"/>
    <m/>
    <m/>
    <m/>
    <m/>
    <n v="0"/>
    <m/>
    <m/>
    <n v="0"/>
    <n v="791272"/>
    <n v="791272"/>
    <m/>
    <m/>
    <m/>
    <m/>
    <n v="0"/>
    <m/>
    <m/>
    <n v="0"/>
    <m/>
    <m/>
    <m/>
    <m/>
    <n v="791272"/>
    <n v="791272"/>
  </r>
  <r>
    <x v="11"/>
    <x v="7"/>
    <s v="Advanced Engineering Fiber &amp; Film"/>
    <n v="217882"/>
    <x v="0"/>
    <m/>
    <m/>
    <n v="814749"/>
    <n v="0"/>
    <m/>
    <m/>
    <m/>
    <m/>
    <n v="0"/>
    <m/>
    <m/>
    <n v="0"/>
    <n v="814749"/>
    <n v="0"/>
    <m/>
    <m/>
    <m/>
    <m/>
    <n v="0"/>
    <m/>
    <m/>
    <n v="0"/>
    <m/>
    <m/>
    <m/>
    <m/>
    <n v="814749"/>
    <n v="0"/>
  </r>
  <r>
    <x v="11"/>
    <x v="7"/>
    <s v="International Center for Auto Research"/>
    <n v="217882"/>
    <x v="0"/>
    <m/>
    <m/>
    <n v="2000000"/>
    <n v="1000000"/>
    <m/>
    <m/>
    <m/>
    <m/>
    <n v="0"/>
    <m/>
    <m/>
    <n v="0"/>
    <n v="2000000"/>
    <n v="1000000"/>
    <m/>
    <m/>
    <m/>
    <m/>
    <n v="0"/>
    <m/>
    <m/>
    <n v="0"/>
    <m/>
    <m/>
    <m/>
    <m/>
    <n v="2000000"/>
    <n v="1000000"/>
  </r>
  <r>
    <x v="11"/>
    <x v="8"/>
    <s v="Special Line items for education operations"/>
    <n v="21788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Critical Needs Nursing Initiative"/>
    <n v="217882"/>
    <x v="0"/>
    <m/>
    <m/>
    <n v="63470"/>
    <n v="77604"/>
    <m/>
    <m/>
    <m/>
    <m/>
    <n v="0"/>
    <m/>
    <m/>
    <n v="0"/>
    <n v="63470"/>
    <n v="77604"/>
    <m/>
    <m/>
    <m/>
    <m/>
    <n v="0"/>
    <m/>
    <m/>
    <n v="0"/>
    <m/>
    <m/>
    <m/>
    <m/>
    <n v="63470"/>
    <n v="77604"/>
  </r>
  <r>
    <x v="11"/>
    <x v="8"/>
    <s v="Access &amp; Equity"/>
    <n v="217882"/>
    <x v="0"/>
    <m/>
    <m/>
    <n v="69202"/>
    <n v="54689"/>
    <m/>
    <m/>
    <m/>
    <m/>
    <n v="0"/>
    <m/>
    <m/>
    <n v="0"/>
    <n v="69202"/>
    <n v="54689"/>
    <m/>
    <m/>
    <m/>
    <m/>
    <n v="0"/>
    <m/>
    <m/>
    <n v="0"/>
    <m/>
    <m/>
    <m/>
    <m/>
    <n v="69202"/>
    <n v="54689"/>
  </r>
  <r>
    <x v="11"/>
    <x v="8"/>
    <s v="EEDA Implementation"/>
    <n v="217882"/>
    <x v="0"/>
    <m/>
    <m/>
    <n v="30000"/>
    <n v="0"/>
    <m/>
    <m/>
    <m/>
    <m/>
    <n v="0"/>
    <m/>
    <m/>
    <n v="0"/>
    <n v="30000"/>
    <n v="0"/>
    <m/>
    <m/>
    <m/>
    <m/>
    <n v="0"/>
    <m/>
    <m/>
    <n v="0"/>
    <m/>
    <m/>
    <m/>
    <m/>
    <n v="30000"/>
    <n v="0"/>
  </r>
  <r>
    <x v="11"/>
    <x v="8"/>
    <s v="Academic Endowment"/>
    <n v="217882"/>
    <x v="0"/>
    <m/>
    <m/>
    <n v="93585"/>
    <n v="66647"/>
    <m/>
    <m/>
    <m/>
    <m/>
    <n v="0"/>
    <m/>
    <m/>
    <n v="0"/>
    <n v="93585"/>
    <n v="66647"/>
    <m/>
    <m/>
    <m/>
    <m/>
    <n v="0"/>
    <m/>
    <m/>
    <n v="0"/>
    <m/>
    <m/>
    <m/>
    <m/>
    <n v="93585"/>
    <n v="66647"/>
  </r>
  <r>
    <x v="11"/>
    <x v="8"/>
    <s v="Academic Roadmap"/>
    <n v="217882"/>
    <x v="0"/>
    <m/>
    <m/>
    <n v="4800000"/>
    <m/>
    <m/>
    <m/>
    <m/>
    <m/>
    <n v="0"/>
    <m/>
    <m/>
    <n v="0"/>
    <n v="4800000"/>
    <n v="0"/>
    <m/>
    <m/>
    <m/>
    <m/>
    <n v="0"/>
    <m/>
    <m/>
    <n v="0"/>
    <m/>
    <m/>
    <m/>
    <m/>
    <n v="4800000"/>
    <n v="0"/>
  </r>
  <r>
    <x v="11"/>
    <x v="8"/>
    <s v="Comset"/>
    <n v="217882"/>
    <x v="0"/>
    <m/>
    <m/>
    <n v="900000"/>
    <m/>
    <m/>
    <m/>
    <m/>
    <m/>
    <n v="0"/>
    <m/>
    <m/>
    <n v="0"/>
    <n v="900000"/>
    <n v="0"/>
    <m/>
    <m/>
    <m/>
    <m/>
    <n v="0"/>
    <m/>
    <m/>
    <n v="0"/>
    <m/>
    <m/>
    <m/>
    <m/>
    <n v="900000"/>
    <n v="0"/>
  </r>
  <r>
    <x v="11"/>
    <x v="8"/>
    <s v="Call Me Mister"/>
    <n v="217882"/>
    <x v="0"/>
    <m/>
    <m/>
    <n v="1300000"/>
    <m/>
    <m/>
    <m/>
    <m/>
    <m/>
    <n v="0"/>
    <m/>
    <m/>
    <n v="0"/>
    <n v="1300000"/>
    <n v="0"/>
    <m/>
    <m/>
    <m/>
    <m/>
    <n v="0"/>
    <m/>
    <m/>
    <n v="0"/>
    <m/>
    <m/>
    <m/>
    <m/>
    <n v="1300000"/>
    <n v="0"/>
  </r>
  <r>
    <x v="11"/>
    <x v="8"/>
    <s v="LightRai l(NR)"/>
    <n v="217882"/>
    <x v="0"/>
    <m/>
    <m/>
    <n v="1500000"/>
    <n v="700000"/>
    <m/>
    <m/>
    <m/>
    <m/>
    <n v="0"/>
    <m/>
    <m/>
    <n v="0"/>
    <n v="1500000"/>
    <n v="700000"/>
    <m/>
    <m/>
    <m/>
    <m/>
    <n v="0"/>
    <m/>
    <m/>
    <n v="0"/>
    <m/>
    <m/>
    <m/>
    <m/>
    <n v="1500000"/>
    <n v="700000"/>
  </r>
  <r>
    <x v="11"/>
    <x v="8"/>
    <s v="Deferred Maintenance (NR)"/>
    <n v="217882"/>
    <x v="0"/>
    <m/>
    <m/>
    <n v="105000"/>
    <m/>
    <m/>
    <m/>
    <m/>
    <m/>
    <n v="0"/>
    <m/>
    <m/>
    <n v="0"/>
    <n v="105000"/>
    <n v="0"/>
    <m/>
    <m/>
    <m/>
    <m/>
    <n v="0"/>
    <m/>
    <m/>
    <n v="0"/>
    <m/>
    <m/>
    <m/>
    <m/>
    <n v="105000"/>
    <n v="0"/>
  </r>
  <r>
    <x v="11"/>
    <x v="0"/>
    <s v="University of South Carolina-Columbia"/>
    <n v="218663"/>
    <x v="0"/>
    <n v="149206828"/>
    <n v="100190000"/>
    <m/>
    <m/>
    <m/>
    <m/>
    <n v="269370279"/>
    <n v="16150404"/>
    <n v="285520683"/>
    <n v="301986917"/>
    <n v="16584475"/>
    <n v="318571392"/>
    <n v="418577107"/>
    <n v="402176917"/>
    <m/>
    <m/>
    <m/>
    <m/>
    <n v="0"/>
    <m/>
    <m/>
    <n v="0"/>
    <m/>
    <m/>
    <m/>
    <m/>
    <n v="418577107"/>
    <n v="402176917"/>
  </r>
  <r>
    <x v="11"/>
    <x v="0"/>
    <s v="Fringe Benefits"/>
    <n v="218663"/>
    <x v="0"/>
    <m/>
    <n v="22856221"/>
    <m/>
    <m/>
    <m/>
    <m/>
    <m/>
    <m/>
    <n v="0"/>
    <m/>
    <m/>
    <n v="0"/>
    <n v="0"/>
    <n v="22856221"/>
    <m/>
    <m/>
    <m/>
    <m/>
    <n v="0"/>
    <m/>
    <m/>
    <n v="0"/>
    <m/>
    <m/>
    <m/>
    <m/>
    <n v="0"/>
    <n v="22856221"/>
  </r>
  <r>
    <x v="11"/>
    <x v="3"/>
    <s v="Community or public service units"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3"/>
    <s v="USC - Institute of Public Affairs"/>
    <n v="218663"/>
    <x v="0"/>
    <m/>
    <m/>
    <n v="716454"/>
    <n v="0"/>
    <m/>
    <m/>
    <m/>
    <m/>
    <n v="0"/>
    <m/>
    <m/>
    <n v="0"/>
    <n v="716454"/>
    <n v="0"/>
    <m/>
    <m/>
    <m/>
    <m/>
    <n v="0"/>
    <m/>
    <m/>
    <n v="0"/>
    <m/>
    <m/>
    <m/>
    <n v="0"/>
    <n v="716454"/>
    <n v="0"/>
  </r>
  <r>
    <x v="11"/>
    <x v="3"/>
    <s v=" USC Sm.Bus Dvlp Cent"/>
    <n v="218663"/>
    <x v="0"/>
    <m/>
    <m/>
    <n v="936534"/>
    <n v="726377"/>
    <m/>
    <m/>
    <m/>
    <m/>
    <n v="0"/>
    <m/>
    <m/>
    <n v="0"/>
    <n v="936534"/>
    <n v="726377"/>
    <m/>
    <m/>
    <m/>
    <m/>
    <n v="0"/>
    <m/>
    <m/>
    <n v="0"/>
    <m/>
    <m/>
    <m/>
    <m/>
    <n v="936534"/>
    <n v="726377"/>
  </r>
  <r>
    <x v="11"/>
    <x v="3"/>
    <s v="Congaree Initiative"/>
    <n v="218663"/>
    <x v="0"/>
    <m/>
    <m/>
    <n v="500000"/>
    <n v="300000"/>
    <m/>
    <m/>
    <m/>
    <m/>
    <n v="0"/>
    <m/>
    <m/>
    <n v="0"/>
    <n v="500000"/>
    <n v="300000"/>
    <m/>
    <m/>
    <m/>
    <m/>
    <n v="0"/>
    <m/>
    <m/>
    <n v="0"/>
    <m/>
    <m/>
    <m/>
    <m/>
    <n v="500000"/>
    <n v="300000"/>
  </r>
  <r>
    <x v="11"/>
    <x v="3"/>
    <s v="Palmetto Poison Center"/>
    <n v="218663"/>
    <x v="0"/>
    <m/>
    <m/>
    <n v="250000"/>
    <n v="193900"/>
    <m/>
    <m/>
    <m/>
    <m/>
    <n v="0"/>
    <m/>
    <m/>
    <n v="0"/>
    <n v="250000"/>
    <n v="193900"/>
    <m/>
    <m/>
    <m/>
    <m/>
    <n v="0"/>
    <m/>
    <m/>
    <n v="0"/>
    <m/>
    <m/>
    <m/>
    <m/>
    <n v="250000"/>
    <n v="193900"/>
  </r>
  <r>
    <x v="11"/>
    <x v="3"/>
    <s v="City of Columbia Incubator Program"/>
    <n v="218663"/>
    <x v="0"/>
    <m/>
    <m/>
    <n v="200000"/>
    <n v="155120"/>
    <m/>
    <m/>
    <m/>
    <m/>
    <n v="0"/>
    <m/>
    <m/>
    <n v="0"/>
    <n v="200000"/>
    <n v="155120"/>
    <m/>
    <m/>
    <m/>
    <m/>
    <n v="0"/>
    <m/>
    <m/>
    <n v="0"/>
    <m/>
    <m/>
    <m/>
    <m/>
    <n v="200000"/>
    <n v="155120"/>
  </r>
  <r>
    <x v="11"/>
    <x v="7"/>
    <s v="Research centers/institutes"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7"/>
    <s v="USC: Nano - Technology"/>
    <n v="218663"/>
    <x v="0"/>
    <m/>
    <m/>
    <n v="1000000"/>
    <n v="775601"/>
    <m/>
    <m/>
    <m/>
    <m/>
    <n v="0"/>
    <m/>
    <m/>
    <n v="0"/>
    <n v="1000000"/>
    <n v="775601"/>
    <m/>
    <m/>
    <m/>
    <m/>
    <n v="0"/>
    <m/>
    <m/>
    <n v="0"/>
    <m/>
    <m/>
    <m/>
    <m/>
    <n v="1000000"/>
    <n v="775601"/>
  </r>
  <r>
    <x v="11"/>
    <x v="7"/>
    <s v="Hydrogen Research"/>
    <n v="218663"/>
    <x v="0"/>
    <m/>
    <m/>
    <n v="1000000"/>
    <n v="775601"/>
    <m/>
    <m/>
    <m/>
    <m/>
    <n v="0"/>
    <m/>
    <m/>
    <n v="0"/>
    <n v="1000000"/>
    <n v="775601"/>
    <m/>
    <m/>
    <m/>
    <m/>
    <n v="0"/>
    <m/>
    <m/>
    <n v="0"/>
    <m/>
    <m/>
    <m/>
    <m/>
    <n v="1000000"/>
    <n v="775601"/>
  </r>
  <r>
    <x v="11"/>
    <x v="7"/>
    <s v="School of Public Health-Epilepsy"/>
    <n v="218663"/>
    <x v="0"/>
    <m/>
    <m/>
    <n v="75000"/>
    <n v="0"/>
    <m/>
    <m/>
    <m/>
    <m/>
    <n v="0"/>
    <m/>
    <m/>
    <n v="0"/>
    <n v="75000"/>
    <n v="0"/>
    <m/>
    <m/>
    <m/>
    <m/>
    <n v="0"/>
    <m/>
    <m/>
    <n v="0"/>
    <m/>
    <m/>
    <m/>
    <m/>
    <n v="75000"/>
    <n v="0"/>
  </r>
  <r>
    <x v="11"/>
    <x v="8"/>
    <s v="Special Line items for education operations"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Critical Needs Nursing Initiative"/>
    <n v="218663"/>
    <x v="0"/>
    <m/>
    <m/>
    <n v="86742"/>
    <n v="131003"/>
    <m/>
    <m/>
    <m/>
    <m/>
    <n v="0"/>
    <m/>
    <m/>
    <n v="0"/>
    <n v="86742"/>
    <n v="131003"/>
    <m/>
    <m/>
    <m/>
    <m/>
    <n v="0"/>
    <m/>
    <m/>
    <n v="0"/>
    <m/>
    <m/>
    <m/>
    <m/>
    <n v="86742"/>
    <n v="131003"/>
  </r>
  <r>
    <x v="11"/>
    <x v="8"/>
    <s v="Access &amp; Equity"/>
    <n v="218663"/>
    <x v="0"/>
    <m/>
    <m/>
    <n v="87744"/>
    <n v="68575"/>
    <m/>
    <m/>
    <m/>
    <m/>
    <n v="0"/>
    <m/>
    <m/>
    <n v="0"/>
    <n v="87744"/>
    <n v="68575"/>
    <m/>
    <m/>
    <m/>
    <m/>
    <n v="0"/>
    <m/>
    <m/>
    <n v="0"/>
    <m/>
    <m/>
    <m/>
    <m/>
    <n v="87744"/>
    <n v="68575"/>
  </r>
  <r>
    <x v="11"/>
    <x v="8"/>
    <s v="EEDA Implementation"/>
    <n v="218663"/>
    <x v="0"/>
    <m/>
    <m/>
    <n v="30000"/>
    <n v="0"/>
    <m/>
    <m/>
    <m/>
    <m/>
    <n v="0"/>
    <m/>
    <m/>
    <n v="0"/>
    <n v="30000"/>
    <n v="0"/>
    <m/>
    <m/>
    <m/>
    <m/>
    <n v="0"/>
    <m/>
    <m/>
    <n v="0"/>
    <m/>
    <m/>
    <m/>
    <m/>
    <n v="30000"/>
    <n v="0"/>
  </r>
  <r>
    <x v="11"/>
    <x v="8"/>
    <s v="Academic Endowment"/>
    <n v="218663"/>
    <x v="0"/>
    <m/>
    <m/>
    <n v="95369"/>
    <n v="69726"/>
    <m/>
    <m/>
    <m/>
    <m/>
    <n v="0"/>
    <m/>
    <m/>
    <n v="0"/>
    <n v="95369"/>
    <n v="69726"/>
    <m/>
    <m/>
    <m/>
    <m/>
    <n v="0"/>
    <m/>
    <m/>
    <n v="0"/>
    <m/>
    <m/>
    <m/>
    <m/>
    <n v="95369"/>
    <n v="69726"/>
  </r>
  <r>
    <x v="11"/>
    <x v="8"/>
    <s v="National Hydrogen Association"/>
    <n v="218663"/>
    <x v="0"/>
    <m/>
    <m/>
    <n v="100000"/>
    <m/>
    <m/>
    <m/>
    <m/>
    <m/>
    <n v="0"/>
    <m/>
    <m/>
    <n v="0"/>
    <n v="100000"/>
    <n v="0"/>
    <m/>
    <m/>
    <m/>
    <m/>
    <n v="0"/>
    <m/>
    <m/>
    <n v="0"/>
    <m/>
    <m/>
    <m/>
    <m/>
    <n v="100000"/>
    <n v="0"/>
  </r>
  <r>
    <x v="11"/>
    <x v="8"/>
    <s v="Law Library"/>
    <n v="218663"/>
    <x v="0"/>
    <m/>
    <m/>
    <n v="344074"/>
    <n v="344074"/>
    <m/>
    <m/>
    <m/>
    <m/>
    <n v="0"/>
    <m/>
    <m/>
    <n v="0"/>
    <n v="344074"/>
    <n v="344074"/>
    <m/>
    <m/>
    <m/>
    <m/>
    <n v="0"/>
    <m/>
    <m/>
    <n v="0"/>
    <m/>
    <m/>
    <m/>
    <m/>
    <n v="344074"/>
    <n v="344074"/>
  </r>
  <r>
    <x v="11"/>
    <x v="8"/>
    <s v="African-American Professor Program"/>
    <n v="218663"/>
    <x v="0"/>
    <m/>
    <m/>
    <n v="178805"/>
    <n v="178805"/>
    <m/>
    <m/>
    <m/>
    <m/>
    <n v="0"/>
    <m/>
    <m/>
    <n v="0"/>
    <n v="178805"/>
    <n v="178805"/>
    <m/>
    <m/>
    <m/>
    <m/>
    <n v="0"/>
    <m/>
    <m/>
    <n v="0"/>
    <m/>
    <m/>
    <m/>
    <m/>
    <n v="178805"/>
    <n v="178805"/>
  </r>
  <r>
    <x v="11"/>
    <x v="8"/>
    <s v="Faculty Excellence Initiative"/>
    <n v="218663"/>
    <x v="0"/>
    <m/>
    <m/>
    <n v="4800000"/>
    <m/>
    <m/>
    <m/>
    <m/>
    <m/>
    <n v="0"/>
    <m/>
    <m/>
    <n v="0"/>
    <n v="4800000"/>
    <n v="0"/>
    <m/>
    <m/>
    <m/>
    <m/>
    <n v="0"/>
    <m/>
    <m/>
    <n v="0"/>
    <m/>
    <m/>
    <m/>
    <m/>
    <n v="4800000"/>
    <n v="0"/>
  </r>
  <r>
    <x v="11"/>
    <x v="8"/>
    <s v="One Carolina"/>
    <n v="218663"/>
    <x v="0"/>
    <m/>
    <m/>
    <n v="1500000"/>
    <n v="0"/>
    <m/>
    <m/>
    <m/>
    <m/>
    <n v="0"/>
    <m/>
    <m/>
    <n v="0"/>
    <n v="1500000"/>
    <n v="0"/>
    <m/>
    <m/>
    <m/>
    <m/>
    <n v="0"/>
    <m/>
    <m/>
    <n v="0"/>
    <m/>
    <m/>
    <m/>
    <m/>
    <n v="1500000"/>
    <n v="0"/>
  </r>
  <r>
    <x v="11"/>
    <x v="8"/>
    <s v="One Carolina (NR)"/>
    <n v="218663"/>
    <x v="0"/>
    <m/>
    <m/>
    <n v="1500000"/>
    <m/>
    <m/>
    <m/>
    <m/>
    <m/>
    <n v="0"/>
    <m/>
    <m/>
    <n v="0"/>
    <n v="1500000"/>
    <n v="0"/>
    <m/>
    <m/>
    <m/>
    <m/>
    <n v="0"/>
    <m/>
    <m/>
    <n v="0"/>
    <m/>
    <m/>
    <m/>
    <m/>
    <n v="1500000"/>
    <n v="0"/>
  </r>
  <r>
    <x v="11"/>
    <x v="8"/>
    <s v="LightRai l(NR)"/>
    <n v="218663"/>
    <x v="0"/>
    <m/>
    <m/>
    <n v="1500000"/>
    <n v="700000"/>
    <m/>
    <m/>
    <m/>
    <m/>
    <n v="0"/>
    <m/>
    <m/>
    <n v="0"/>
    <n v="1500000"/>
    <n v="700000"/>
    <m/>
    <m/>
    <m/>
    <m/>
    <n v="0"/>
    <m/>
    <m/>
    <n v="0"/>
    <m/>
    <m/>
    <m/>
    <m/>
    <n v="1500000"/>
    <n v="700000"/>
  </r>
  <r>
    <x v="11"/>
    <x v="8"/>
    <s v="SC Inst. Of Archaeology &amp; Anthropology Equip."/>
    <n v="218663"/>
    <x v="0"/>
    <m/>
    <m/>
    <n v="54375"/>
    <m/>
    <m/>
    <m/>
    <m/>
    <m/>
    <n v="0"/>
    <m/>
    <m/>
    <n v="0"/>
    <n v="54375"/>
    <n v="0"/>
    <m/>
    <m/>
    <m/>
    <m/>
    <n v="0"/>
    <m/>
    <m/>
    <n v="0"/>
    <m/>
    <m/>
    <m/>
    <m/>
    <n v="54375"/>
    <n v="0"/>
  </r>
  <r>
    <x v="11"/>
    <x v="8"/>
    <s v="SC Inst. Of Archaeology &amp; Anthropology Bldg. Renovation"/>
    <n v="218663"/>
    <x v="0"/>
    <m/>
    <m/>
    <n v="300000"/>
    <m/>
    <m/>
    <m/>
    <m/>
    <m/>
    <n v="0"/>
    <m/>
    <m/>
    <n v="0"/>
    <n v="300000"/>
    <n v="0"/>
    <m/>
    <m/>
    <m/>
    <m/>
    <n v="0"/>
    <m/>
    <m/>
    <n v="0"/>
    <m/>
    <m/>
    <m/>
    <m/>
    <n v="300000"/>
    <n v="0"/>
  </r>
  <r>
    <x v="11"/>
    <x v="8"/>
    <s v="Gibbs Green Renovation"/>
    <n v="218663"/>
    <x v="0"/>
    <m/>
    <m/>
    <n v="105000"/>
    <m/>
    <m/>
    <m/>
    <m/>
    <m/>
    <n v="0"/>
    <m/>
    <m/>
    <n v="0"/>
    <n v="105000"/>
    <n v="0"/>
    <m/>
    <m/>
    <m/>
    <m/>
    <n v="0"/>
    <m/>
    <m/>
    <n v="0"/>
    <m/>
    <m/>
    <m/>
    <m/>
    <n v="105000"/>
    <n v="0"/>
  </r>
  <r>
    <x v="11"/>
    <x v="1"/>
    <s v="Health professions education"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1"/>
    <s v="Medical School"/>
    <n v="218663"/>
    <x v="0"/>
    <m/>
    <m/>
    <m/>
    <m/>
    <m/>
    <m/>
    <m/>
    <m/>
    <n v="0"/>
    <m/>
    <m/>
    <n v="0"/>
    <n v="0"/>
    <n v="0"/>
    <m/>
    <m/>
    <m/>
    <m/>
    <n v="0"/>
    <m/>
    <m/>
    <n v="0"/>
    <n v="22980442"/>
    <n v="13562432"/>
    <n v="9094869"/>
    <n v="9094869"/>
    <n v="32075311"/>
    <n v="22657301"/>
  </r>
  <r>
    <x v="11"/>
    <x v="1"/>
    <s v="Allied Health Programs"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0"/>
    <s v="Winthrop University "/>
    <n v="218964"/>
    <x v="2"/>
    <n v="22616684"/>
    <n v="14839457"/>
    <m/>
    <m/>
    <m/>
    <m/>
    <n v="48579349"/>
    <n v="6532473"/>
    <n v="55111822"/>
    <n v="51360824"/>
    <n v="6822373"/>
    <n v="58183197"/>
    <n v="71196033"/>
    <n v="66200281"/>
    <m/>
    <m/>
    <m/>
    <m/>
    <n v="0"/>
    <m/>
    <m/>
    <n v="0"/>
    <m/>
    <m/>
    <m/>
    <m/>
    <n v="71196033"/>
    <n v="66200281"/>
  </r>
  <r>
    <x v="11"/>
    <x v="0"/>
    <s v="E &amp; G Funds"/>
    <n v="218964"/>
    <x v="2"/>
    <n v="863900"/>
    <m/>
    <m/>
    <m/>
    <m/>
    <m/>
    <m/>
    <m/>
    <n v="0"/>
    <m/>
    <m/>
    <n v="0"/>
    <n v="863900"/>
    <n v="0"/>
    <m/>
    <m/>
    <m/>
    <m/>
    <n v="0"/>
    <m/>
    <m/>
    <n v="0"/>
    <m/>
    <m/>
    <m/>
    <m/>
    <n v="863900"/>
    <n v="0"/>
  </r>
  <r>
    <x v="11"/>
    <x v="0"/>
    <s v="Fringe Benefits"/>
    <n v="218964"/>
    <x v="2"/>
    <m/>
    <n v="2999462"/>
    <m/>
    <m/>
    <m/>
    <m/>
    <m/>
    <m/>
    <n v="0"/>
    <m/>
    <m/>
    <n v="0"/>
    <n v="0"/>
    <n v="2999462"/>
    <m/>
    <m/>
    <m/>
    <m/>
    <n v="0"/>
    <m/>
    <m/>
    <n v="0"/>
    <m/>
    <m/>
    <m/>
    <m/>
    <n v="0"/>
    <n v="2999462"/>
  </r>
  <r>
    <x v="11"/>
    <x v="8"/>
    <s v="Special Line items for education operations"/>
    <n v="218964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Access &amp; Equity"/>
    <n v="218964"/>
    <x v="2"/>
    <m/>
    <m/>
    <n v="17641"/>
    <n v="13912"/>
    <m/>
    <m/>
    <m/>
    <m/>
    <n v="0"/>
    <m/>
    <m/>
    <n v="0"/>
    <n v="17641"/>
    <n v="13912"/>
    <m/>
    <m/>
    <m/>
    <m/>
    <n v="0"/>
    <m/>
    <m/>
    <n v="0"/>
    <m/>
    <m/>
    <m/>
    <m/>
    <n v="17641"/>
    <n v="13912"/>
  </r>
  <r>
    <x v="11"/>
    <x v="8"/>
    <s v="EEDA Implementation"/>
    <n v="218964"/>
    <x v="2"/>
    <m/>
    <m/>
    <n v="30000"/>
    <m/>
    <m/>
    <m/>
    <m/>
    <m/>
    <n v="0"/>
    <m/>
    <m/>
    <n v="0"/>
    <n v="30000"/>
    <n v="0"/>
    <m/>
    <m/>
    <m/>
    <m/>
    <n v="0"/>
    <m/>
    <m/>
    <n v="0"/>
    <m/>
    <m/>
    <m/>
    <m/>
    <n v="30000"/>
    <n v="0"/>
  </r>
  <r>
    <x v="11"/>
    <x v="8"/>
    <s v="Academic Endowment"/>
    <n v="218964"/>
    <x v="2"/>
    <m/>
    <m/>
    <n v="37161"/>
    <n v="23506"/>
    <m/>
    <m/>
    <m/>
    <m/>
    <n v="0"/>
    <m/>
    <m/>
    <n v="0"/>
    <n v="37161"/>
    <n v="23506"/>
    <m/>
    <m/>
    <m/>
    <m/>
    <n v="0"/>
    <m/>
    <m/>
    <n v="0"/>
    <m/>
    <m/>
    <m/>
    <m/>
    <n v="37161"/>
    <n v="23506"/>
  </r>
  <r>
    <x v="11"/>
    <x v="8"/>
    <s v="Lottery Technology (NR)"/>
    <n v="218964"/>
    <x v="2"/>
    <m/>
    <m/>
    <n v="715701"/>
    <n v="700526"/>
    <m/>
    <m/>
    <m/>
    <m/>
    <n v="0"/>
    <m/>
    <m/>
    <n v="0"/>
    <n v="715701"/>
    <n v="700526"/>
    <m/>
    <m/>
    <m/>
    <m/>
    <n v="0"/>
    <m/>
    <m/>
    <n v="0"/>
    <m/>
    <m/>
    <m/>
    <m/>
    <n v="715701"/>
    <n v="700526"/>
  </r>
  <r>
    <x v="11"/>
    <x v="8"/>
    <s v="Lake Wylie SBDC"/>
    <n v="218964"/>
    <x v="2"/>
    <m/>
    <m/>
    <n v="115000"/>
    <m/>
    <m/>
    <m/>
    <m/>
    <m/>
    <n v="0"/>
    <m/>
    <m/>
    <n v="0"/>
    <n v="115000"/>
    <n v="0"/>
    <m/>
    <m/>
    <m/>
    <m/>
    <n v="0"/>
    <m/>
    <m/>
    <n v="0"/>
    <m/>
    <m/>
    <m/>
    <m/>
    <n v="115000"/>
    <n v="0"/>
  </r>
  <r>
    <x v="11"/>
    <x v="8"/>
    <s v="Deferred Maintenance/Property Acquisition"/>
    <n v="218964"/>
    <x v="2"/>
    <m/>
    <m/>
    <n v="1200000"/>
    <m/>
    <m/>
    <m/>
    <m/>
    <m/>
    <n v="0"/>
    <m/>
    <m/>
    <n v="0"/>
    <n v="1200000"/>
    <n v="0"/>
    <m/>
    <m/>
    <m/>
    <m/>
    <n v="0"/>
    <m/>
    <m/>
    <n v="0"/>
    <m/>
    <m/>
    <m/>
    <m/>
    <n v="1200000"/>
    <n v="0"/>
  </r>
  <r>
    <x v="11"/>
    <x v="0"/>
    <s v="College of Charleston"/>
    <n v="217819"/>
    <x v="2"/>
    <n v="29369759"/>
    <n v="22050728"/>
    <m/>
    <m/>
    <m/>
    <m/>
    <n v="96414145"/>
    <n v="3586998"/>
    <n v="100001143"/>
    <n v="104947380"/>
    <n v="5113470"/>
    <n v="110060850"/>
    <n v="125783904"/>
    <n v="126998108"/>
    <m/>
    <m/>
    <m/>
    <m/>
    <n v="0"/>
    <m/>
    <m/>
    <n v="0"/>
    <m/>
    <m/>
    <m/>
    <m/>
    <n v="125783904"/>
    <n v="126998108"/>
  </r>
  <r>
    <x v="11"/>
    <x v="0"/>
    <s v="E &amp; G Funds"/>
    <n v="217819"/>
    <x v="2"/>
    <n v="1033014"/>
    <m/>
    <m/>
    <m/>
    <m/>
    <m/>
    <m/>
    <m/>
    <n v="0"/>
    <m/>
    <m/>
    <n v="0"/>
    <n v="1033014"/>
    <n v="0"/>
    <m/>
    <m/>
    <m/>
    <m/>
    <n v="0"/>
    <m/>
    <m/>
    <n v="0"/>
    <m/>
    <m/>
    <m/>
    <m/>
    <n v="1033014"/>
    <n v="0"/>
  </r>
  <r>
    <x v="11"/>
    <x v="0"/>
    <s v="Fringe Benefits"/>
    <n v="217819"/>
    <x v="2"/>
    <m/>
    <n v="4003809"/>
    <m/>
    <m/>
    <m/>
    <m/>
    <m/>
    <m/>
    <n v="0"/>
    <m/>
    <m/>
    <n v="0"/>
    <n v="0"/>
    <n v="4003809"/>
    <m/>
    <m/>
    <m/>
    <m/>
    <n v="0"/>
    <m/>
    <m/>
    <n v="0"/>
    <m/>
    <m/>
    <m/>
    <m/>
    <n v="0"/>
    <n v="4003809"/>
  </r>
  <r>
    <x v="11"/>
    <x v="3"/>
    <s v="Community or public service units"/>
    <n v="217819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3"/>
    <s v="Business Economic Partnership"/>
    <n v="217819"/>
    <x v="2"/>
    <m/>
    <m/>
    <n v="1204314"/>
    <n v="0"/>
    <m/>
    <m/>
    <m/>
    <m/>
    <n v="0"/>
    <m/>
    <m/>
    <n v="0"/>
    <n v="1204314"/>
    <n v="0"/>
    <m/>
    <m/>
    <m/>
    <m/>
    <n v="0"/>
    <m/>
    <m/>
    <n v="0"/>
    <m/>
    <m/>
    <m/>
    <m/>
    <n v="1204314"/>
    <n v="0"/>
  </r>
  <r>
    <x v="11"/>
    <x v="7"/>
    <s v="Research centers/institutes"/>
    <n v="217819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7"/>
    <s v="Avery Research Center"/>
    <n v="217819"/>
    <x v="2"/>
    <m/>
    <m/>
    <n v="300000"/>
    <n v="0"/>
    <m/>
    <m/>
    <m/>
    <m/>
    <n v="0"/>
    <m/>
    <m/>
    <n v="0"/>
    <n v="300000"/>
    <n v="0"/>
    <m/>
    <m/>
    <m/>
    <m/>
    <n v="0"/>
    <m/>
    <m/>
    <n v="0"/>
    <m/>
    <m/>
    <m/>
    <m/>
    <n v="300000"/>
    <n v="0"/>
  </r>
  <r>
    <x v="11"/>
    <x v="7"/>
    <s v="Global Trade &amp; Resource Center"/>
    <n v="217819"/>
    <x v="2"/>
    <m/>
    <m/>
    <n v="350000"/>
    <n v="0"/>
    <m/>
    <m/>
    <m/>
    <m/>
    <n v="0"/>
    <m/>
    <m/>
    <n v="0"/>
    <n v="350000"/>
    <n v="0"/>
    <m/>
    <m/>
    <m/>
    <m/>
    <n v="0"/>
    <m/>
    <m/>
    <n v="0"/>
    <m/>
    <m/>
    <m/>
    <m/>
    <n v="350000"/>
    <n v="0"/>
  </r>
  <r>
    <x v="11"/>
    <x v="8"/>
    <s v="Special Line items for education operations"/>
    <n v="217819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Access &amp; Equity"/>
    <n v="217819"/>
    <x v="2"/>
    <m/>
    <m/>
    <n v="25564"/>
    <n v="20061"/>
    <m/>
    <m/>
    <m/>
    <m/>
    <n v="0"/>
    <m/>
    <m/>
    <n v="0"/>
    <n v="25564"/>
    <n v="20061"/>
    <m/>
    <m/>
    <m/>
    <m/>
    <n v="0"/>
    <m/>
    <m/>
    <n v="0"/>
    <m/>
    <m/>
    <m/>
    <m/>
    <n v="25564"/>
    <n v="20061"/>
  </r>
  <r>
    <x v="11"/>
    <x v="8"/>
    <s v="EEDA Implementation"/>
    <n v="217819"/>
    <x v="2"/>
    <m/>
    <m/>
    <n v="30000"/>
    <m/>
    <m/>
    <m/>
    <m/>
    <m/>
    <n v="0"/>
    <m/>
    <m/>
    <n v="0"/>
    <n v="30000"/>
    <n v="0"/>
    <m/>
    <m/>
    <m/>
    <m/>
    <n v="0"/>
    <m/>
    <m/>
    <n v="0"/>
    <m/>
    <m/>
    <m/>
    <m/>
    <n v="30000"/>
    <n v="0"/>
  </r>
  <r>
    <x v="11"/>
    <x v="8"/>
    <s v="Academic Endowment"/>
    <n v="217819"/>
    <x v="2"/>
    <m/>
    <m/>
    <n v="33855"/>
    <n v="22932"/>
    <m/>
    <m/>
    <m/>
    <m/>
    <n v="0"/>
    <m/>
    <m/>
    <n v="0"/>
    <n v="33855"/>
    <n v="22932"/>
    <m/>
    <m/>
    <m/>
    <m/>
    <n v="0"/>
    <m/>
    <m/>
    <n v="0"/>
    <m/>
    <m/>
    <m/>
    <m/>
    <n v="33855"/>
    <n v="22932"/>
  </r>
  <r>
    <x v="11"/>
    <x v="8"/>
    <s v="Marine Genomics"/>
    <n v="217819"/>
    <x v="2"/>
    <m/>
    <m/>
    <n v="603000"/>
    <n v="0"/>
    <m/>
    <m/>
    <m/>
    <m/>
    <n v="0"/>
    <m/>
    <m/>
    <n v="0"/>
    <n v="603000"/>
    <n v="0"/>
    <m/>
    <m/>
    <m/>
    <m/>
    <n v="0"/>
    <m/>
    <m/>
    <n v="0"/>
    <m/>
    <m/>
    <m/>
    <m/>
    <n v="603000"/>
    <n v="0"/>
  </r>
  <r>
    <x v="11"/>
    <x v="8"/>
    <s v="Hospitality, Mgt. &amp; Tourism Program"/>
    <n v="217819"/>
    <x v="2"/>
    <m/>
    <m/>
    <n v="545000"/>
    <n v="0"/>
    <m/>
    <m/>
    <m/>
    <m/>
    <n v="0"/>
    <m/>
    <m/>
    <n v="0"/>
    <n v="545000"/>
    <n v="0"/>
    <m/>
    <m/>
    <m/>
    <m/>
    <n v="0"/>
    <m/>
    <m/>
    <n v="0"/>
    <m/>
    <m/>
    <m/>
    <m/>
    <n v="545000"/>
    <n v="0"/>
  </r>
  <r>
    <x v="11"/>
    <x v="8"/>
    <s v="Education-Effective Teaching &amp; Learning"/>
    <n v="217819"/>
    <x v="2"/>
    <m/>
    <m/>
    <n v="901800"/>
    <n v="0"/>
    <m/>
    <m/>
    <m/>
    <m/>
    <n v="0"/>
    <m/>
    <m/>
    <n v="0"/>
    <n v="901800"/>
    <n v="0"/>
    <m/>
    <m/>
    <m/>
    <m/>
    <n v="0"/>
    <m/>
    <m/>
    <n v="0"/>
    <m/>
    <m/>
    <m/>
    <m/>
    <n v="901800"/>
    <n v="0"/>
  </r>
  <r>
    <x v="11"/>
    <x v="8"/>
    <s v="Gov. School Gifted &amp; Talented"/>
    <n v="217819"/>
    <x v="2"/>
    <m/>
    <m/>
    <n v="288017"/>
    <n v="0"/>
    <m/>
    <m/>
    <m/>
    <m/>
    <n v="0"/>
    <m/>
    <m/>
    <n v="0"/>
    <n v="288017"/>
    <n v="0"/>
    <m/>
    <m/>
    <m/>
    <m/>
    <n v="0"/>
    <m/>
    <m/>
    <n v="0"/>
    <m/>
    <m/>
    <m/>
    <m/>
    <n v="288017"/>
    <n v="0"/>
  </r>
  <r>
    <x v="11"/>
    <x v="8"/>
    <s v="Lottery Technology (NR)"/>
    <n v="217819"/>
    <x v="2"/>
    <m/>
    <m/>
    <n v="1122190"/>
    <n v="1122244"/>
    <m/>
    <m/>
    <m/>
    <m/>
    <n v="0"/>
    <m/>
    <m/>
    <n v="0"/>
    <n v="1122190"/>
    <n v="1122244"/>
    <m/>
    <m/>
    <m/>
    <m/>
    <n v="0"/>
    <m/>
    <m/>
    <n v="0"/>
    <m/>
    <m/>
    <m/>
    <m/>
    <n v="1122190"/>
    <n v="1122244"/>
  </r>
  <r>
    <x v="11"/>
    <x v="8"/>
    <s v="Real Estate Program"/>
    <n v="217819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School of Business:  Office of Tourism Analysis"/>
    <n v="217819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Grice Marine Biology Laboratory"/>
    <n v="217819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Randolph Hall"/>
    <n v="217819"/>
    <x v="2"/>
    <m/>
    <m/>
    <n v="3700000"/>
    <m/>
    <m/>
    <m/>
    <m/>
    <m/>
    <n v="0"/>
    <m/>
    <m/>
    <n v="0"/>
    <n v="3700000"/>
    <n v="0"/>
    <m/>
    <m/>
    <m/>
    <m/>
    <n v="0"/>
    <m/>
    <m/>
    <n v="0"/>
    <m/>
    <m/>
    <m/>
    <m/>
    <n v="3700000"/>
    <n v="0"/>
  </r>
  <r>
    <x v="11"/>
    <x v="0"/>
    <s v="The Citadel, the Military College of South Carolina "/>
    <n v="217864"/>
    <x v="3"/>
    <n v="15862608"/>
    <n v="10345521"/>
    <m/>
    <m/>
    <m/>
    <m/>
    <n v="28039428"/>
    <n v="585525"/>
    <n v="28624953"/>
    <n v="31139673"/>
    <n v="648659"/>
    <n v="31788332"/>
    <n v="43902036"/>
    <n v="41485194"/>
    <m/>
    <m/>
    <m/>
    <m/>
    <n v="0"/>
    <m/>
    <m/>
    <n v="0"/>
    <m/>
    <m/>
    <m/>
    <m/>
    <n v="43902036"/>
    <n v="41485194"/>
  </r>
  <r>
    <x v="11"/>
    <x v="0"/>
    <s v="E &amp; G Funds"/>
    <n v="217864"/>
    <x v="3"/>
    <n v="425132"/>
    <m/>
    <m/>
    <m/>
    <m/>
    <m/>
    <m/>
    <m/>
    <n v="0"/>
    <m/>
    <m/>
    <n v="0"/>
    <n v="425132"/>
    <n v="0"/>
    <m/>
    <m/>
    <m/>
    <m/>
    <n v="0"/>
    <m/>
    <m/>
    <n v="0"/>
    <m/>
    <m/>
    <m/>
    <m/>
    <n v="425132"/>
    <n v="0"/>
  </r>
  <r>
    <x v="11"/>
    <x v="0"/>
    <s v="Fringe Benefits"/>
    <s v="217864"/>
    <x v="3"/>
    <m/>
    <n v="2001627"/>
    <m/>
    <m/>
    <m/>
    <m/>
    <m/>
    <m/>
    <n v="0"/>
    <m/>
    <m/>
    <n v="0"/>
    <n v="0"/>
    <n v="2001627"/>
    <m/>
    <m/>
    <m/>
    <m/>
    <n v="0"/>
    <m/>
    <m/>
    <n v="0"/>
    <m/>
    <m/>
    <m/>
    <m/>
    <n v="0"/>
    <n v="2001627"/>
  </r>
  <r>
    <x v="11"/>
    <x v="8"/>
    <s v="Special Line items for education operations"/>
    <s v="217864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Access &amp; Equity"/>
    <s v="217864"/>
    <x v="3"/>
    <m/>
    <m/>
    <n v="9605"/>
    <n v="7510"/>
    <m/>
    <m/>
    <m/>
    <m/>
    <n v="0"/>
    <m/>
    <m/>
    <n v="0"/>
    <n v="9605"/>
    <n v="7510"/>
    <m/>
    <m/>
    <m/>
    <m/>
    <n v="0"/>
    <m/>
    <m/>
    <n v="0"/>
    <m/>
    <m/>
    <m/>
    <m/>
    <n v="9605"/>
    <n v="7510"/>
  </r>
  <r>
    <x v="11"/>
    <x v="8"/>
    <s v="EEDA Implementation"/>
    <s v="217864"/>
    <x v="3"/>
    <m/>
    <m/>
    <n v="30000"/>
    <n v="19129"/>
    <m/>
    <m/>
    <m/>
    <m/>
    <n v="0"/>
    <m/>
    <m/>
    <n v="0"/>
    <n v="30000"/>
    <n v="19129"/>
    <m/>
    <m/>
    <m/>
    <m/>
    <n v="0"/>
    <m/>
    <m/>
    <n v="0"/>
    <m/>
    <m/>
    <m/>
    <m/>
    <n v="30000"/>
    <n v="19129"/>
  </r>
  <r>
    <x v="11"/>
    <x v="8"/>
    <s v="Academic Endowment"/>
    <s v="217864"/>
    <x v="3"/>
    <m/>
    <m/>
    <n v="22829"/>
    <n v="0"/>
    <m/>
    <m/>
    <m/>
    <m/>
    <n v="0"/>
    <m/>
    <m/>
    <n v="0"/>
    <n v="22829"/>
    <n v="0"/>
    <m/>
    <m/>
    <m/>
    <m/>
    <n v="0"/>
    <m/>
    <m/>
    <n v="0"/>
    <m/>
    <m/>
    <m/>
    <m/>
    <n v="22829"/>
    <n v="0"/>
  </r>
  <r>
    <x v="11"/>
    <x v="8"/>
    <s v="Lottery Technology (NR)"/>
    <s v="217864"/>
    <x v="3"/>
    <m/>
    <m/>
    <n v="495555"/>
    <n v="510434"/>
    <m/>
    <m/>
    <m/>
    <m/>
    <n v="0"/>
    <m/>
    <m/>
    <n v="0"/>
    <n v="495555"/>
    <n v="510434"/>
    <m/>
    <m/>
    <m/>
    <m/>
    <n v="0"/>
    <m/>
    <m/>
    <n v="0"/>
    <m/>
    <m/>
    <m/>
    <m/>
    <n v="495555"/>
    <n v="510434"/>
  </r>
  <r>
    <x v="11"/>
    <x v="0"/>
    <s v="Francis Marion University "/>
    <n v="218061"/>
    <x v="4"/>
    <n v="14462067"/>
    <n v="12140451"/>
    <m/>
    <m/>
    <m/>
    <m/>
    <n v="22936857"/>
    <n v="219788"/>
    <n v="23156645"/>
    <n v="24520264"/>
    <n v="438531"/>
    <n v="24958795"/>
    <n v="37398924"/>
    <n v="36660715"/>
    <m/>
    <m/>
    <m/>
    <m/>
    <n v="0"/>
    <m/>
    <m/>
    <n v="0"/>
    <m/>
    <m/>
    <m/>
    <m/>
    <n v="37398924"/>
    <n v="36660715"/>
  </r>
  <r>
    <x v="11"/>
    <x v="0"/>
    <s v="E &amp; G Funds"/>
    <n v="218061"/>
    <x v="4"/>
    <n v="487362"/>
    <m/>
    <m/>
    <m/>
    <m/>
    <m/>
    <m/>
    <m/>
    <n v="0"/>
    <m/>
    <m/>
    <n v="0"/>
    <n v="487362"/>
    <n v="0"/>
    <m/>
    <m/>
    <m/>
    <m/>
    <n v="0"/>
    <m/>
    <m/>
    <n v="0"/>
    <m/>
    <m/>
    <m/>
    <m/>
    <n v="487362"/>
    <n v="0"/>
  </r>
  <r>
    <x v="11"/>
    <x v="0"/>
    <s v="Fringe Benefits"/>
    <n v="218061"/>
    <x v="4"/>
    <m/>
    <n v="2539982"/>
    <m/>
    <m/>
    <m/>
    <m/>
    <m/>
    <m/>
    <n v="0"/>
    <m/>
    <m/>
    <n v="0"/>
    <n v="0"/>
    <n v="2539982"/>
    <m/>
    <m/>
    <m/>
    <m/>
    <n v="0"/>
    <m/>
    <m/>
    <n v="0"/>
    <m/>
    <m/>
    <m/>
    <m/>
    <n v="0"/>
    <n v="2539982"/>
  </r>
  <r>
    <x v="11"/>
    <x v="3"/>
    <s v="Community or public service units"/>
    <n v="218061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3"/>
    <s v="OMEGA  PROJECT (Francis Marion)"/>
    <n v="218061"/>
    <x v="4"/>
    <m/>
    <m/>
    <n v="75000"/>
    <n v="0"/>
    <m/>
    <m/>
    <m/>
    <m/>
    <n v="0"/>
    <m/>
    <m/>
    <n v="0"/>
    <n v="75000"/>
    <n v="0"/>
    <m/>
    <m/>
    <m/>
    <m/>
    <n v="0"/>
    <m/>
    <m/>
    <n v="0"/>
    <m/>
    <m/>
    <m/>
    <m/>
    <n v="75000"/>
    <n v="0"/>
  </r>
  <r>
    <x v="11"/>
    <x v="3"/>
    <s v="Small &amp; Minority Business Assistance"/>
    <n v="218061"/>
    <x v="4"/>
    <m/>
    <m/>
    <n v="500000"/>
    <n v="0"/>
    <m/>
    <m/>
    <m/>
    <m/>
    <n v="0"/>
    <m/>
    <m/>
    <n v="0"/>
    <n v="500000"/>
    <n v="0"/>
    <m/>
    <m/>
    <m/>
    <m/>
    <n v="0"/>
    <m/>
    <m/>
    <n v="0"/>
    <m/>
    <m/>
    <m/>
    <m/>
    <n v="500000"/>
    <n v="0"/>
  </r>
  <r>
    <x v="11"/>
    <x v="3"/>
    <s v="Rural Assistance Initiative"/>
    <n v="218061"/>
    <x v="4"/>
    <m/>
    <m/>
    <n v="600000"/>
    <n v="0"/>
    <m/>
    <m/>
    <m/>
    <m/>
    <n v="0"/>
    <m/>
    <m/>
    <n v="0"/>
    <n v="600000"/>
    <n v="0"/>
    <m/>
    <m/>
    <m/>
    <m/>
    <n v="0"/>
    <m/>
    <m/>
    <n v="0"/>
    <m/>
    <m/>
    <m/>
    <m/>
    <n v="600000"/>
    <n v="0"/>
  </r>
  <r>
    <x v="11"/>
    <x v="3"/>
    <s v="Center for the Performing Arts (NR)"/>
    <n v="218061"/>
    <x v="4"/>
    <m/>
    <m/>
    <n v="4000000"/>
    <m/>
    <m/>
    <m/>
    <m/>
    <m/>
    <n v="0"/>
    <m/>
    <m/>
    <n v="0"/>
    <n v="4000000"/>
    <n v="0"/>
    <m/>
    <m/>
    <m/>
    <m/>
    <n v="0"/>
    <m/>
    <m/>
    <n v="0"/>
    <m/>
    <m/>
    <m/>
    <m/>
    <n v="4000000"/>
    <n v="0"/>
  </r>
  <r>
    <x v="11"/>
    <x v="7"/>
    <s v="Research centers/institutes"/>
    <n v="218061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7"/>
    <s v="I-95 Corridor Study (NR)"/>
    <n v="218061"/>
    <x v="4"/>
    <m/>
    <m/>
    <n v="250000"/>
    <m/>
    <m/>
    <m/>
    <m/>
    <m/>
    <n v="0"/>
    <m/>
    <m/>
    <n v="0"/>
    <n v="250000"/>
    <n v="0"/>
    <m/>
    <m/>
    <m/>
    <m/>
    <n v="0"/>
    <m/>
    <m/>
    <n v="0"/>
    <m/>
    <m/>
    <m/>
    <m/>
    <n v="250000"/>
    <n v="0"/>
  </r>
  <r>
    <x v="11"/>
    <x v="8"/>
    <s v="Special Line items for education operations"/>
    <n v="218061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Access &amp; Equity"/>
    <n v="218061"/>
    <x v="4"/>
    <m/>
    <m/>
    <n v="12571"/>
    <n v="9582"/>
    <m/>
    <m/>
    <m/>
    <m/>
    <n v="0"/>
    <m/>
    <m/>
    <n v="0"/>
    <n v="12571"/>
    <n v="9582"/>
    <m/>
    <m/>
    <m/>
    <m/>
    <n v="0"/>
    <m/>
    <m/>
    <n v="0"/>
    <m/>
    <m/>
    <m/>
    <m/>
    <n v="12571"/>
    <n v="9582"/>
  </r>
  <r>
    <x v="11"/>
    <x v="8"/>
    <s v="EEDA Implementation"/>
    <n v="218061"/>
    <x v="4"/>
    <m/>
    <m/>
    <n v="30000"/>
    <n v="8191"/>
    <m/>
    <m/>
    <m/>
    <m/>
    <n v="0"/>
    <m/>
    <m/>
    <n v="0"/>
    <n v="30000"/>
    <n v="8191"/>
    <m/>
    <m/>
    <m/>
    <m/>
    <n v="0"/>
    <m/>
    <m/>
    <n v="0"/>
    <m/>
    <m/>
    <m/>
    <m/>
    <n v="30000"/>
    <n v="8191"/>
  </r>
  <r>
    <x v="11"/>
    <x v="8"/>
    <s v="Academic Endowment"/>
    <n v="218061"/>
    <x v="4"/>
    <m/>
    <m/>
    <n v="11270"/>
    <n v="5183"/>
    <m/>
    <m/>
    <m/>
    <m/>
    <n v="0"/>
    <m/>
    <m/>
    <n v="0"/>
    <n v="11270"/>
    <n v="5183"/>
    <m/>
    <m/>
    <m/>
    <m/>
    <n v="0"/>
    <m/>
    <m/>
    <n v="0"/>
    <m/>
    <m/>
    <m/>
    <m/>
    <n v="11270"/>
    <n v="5183"/>
  </r>
  <r>
    <x v="11"/>
    <x v="8"/>
    <s v="Critical Needs Nursing Initiative"/>
    <n v="218061"/>
    <x v="4"/>
    <m/>
    <m/>
    <n v="22038"/>
    <m/>
    <m/>
    <m/>
    <m/>
    <m/>
    <n v="0"/>
    <m/>
    <m/>
    <n v="0"/>
    <n v="22038"/>
    <n v="0"/>
    <m/>
    <m/>
    <m/>
    <m/>
    <n v="0"/>
    <m/>
    <m/>
    <n v="0"/>
    <m/>
    <m/>
    <m/>
    <m/>
    <n v="22038"/>
    <n v="0"/>
  </r>
  <r>
    <x v="11"/>
    <x v="8"/>
    <s v="Nursing Program"/>
    <n v="218061"/>
    <x v="4"/>
    <m/>
    <m/>
    <n v="1238031"/>
    <n v="1238031"/>
    <m/>
    <m/>
    <m/>
    <m/>
    <n v="0"/>
    <m/>
    <m/>
    <n v="0"/>
    <n v="1238031"/>
    <n v="1238031"/>
    <m/>
    <m/>
    <m/>
    <m/>
    <n v="0"/>
    <m/>
    <m/>
    <n v="0"/>
    <m/>
    <m/>
    <m/>
    <m/>
    <n v="1238031"/>
    <n v="1238031"/>
  </r>
  <r>
    <x v="11"/>
    <x v="8"/>
    <s v="Teacher Education Initiative"/>
    <n v="218061"/>
    <x v="4"/>
    <m/>
    <m/>
    <n v="500000"/>
    <n v="0"/>
    <m/>
    <m/>
    <m/>
    <m/>
    <n v="0"/>
    <m/>
    <m/>
    <n v="0"/>
    <n v="500000"/>
    <n v="0"/>
    <m/>
    <m/>
    <m/>
    <m/>
    <n v="0"/>
    <m/>
    <m/>
    <n v="0"/>
    <m/>
    <m/>
    <m/>
    <m/>
    <n v="500000"/>
    <n v="0"/>
  </r>
  <r>
    <x v="11"/>
    <x v="8"/>
    <s v="Early Childhood Training Program"/>
    <n v="218061"/>
    <x v="4"/>
    <m/>
    <m/>
    <n v="585000"/>
    <n v="0"/>
    <m/>
    <m/>
    <m/>
    <m/>
    <n v="0"/>
    <m/>
    <m/>
    <n v="0"/>
    <n v="585000"/>
    <n v="0"/>
    <m/>
    <m/>
    <m/>
    <m/>
    <n v="0"/>
    <m/>
    <m/>
    <n v="0"/>
    <m/>
    <m/>
    <m/>
    <m/>
    <n v="585000"/>
    <n v="0"/>
  </r>
  <r>
    <x v="11"/>
    <x v="8"/>
    <s v="Women &amp; Minorities in Science &amp; Math"/>
    <n v="218061"/>
    <x v="4"/>
    <m/>
    <m/>
    <n v="100000"/>
    <n v="0"/>
    <m/>
    <m/>
    <m/>
    <m/>
    <n v="0"/>
    <m/>
    <m/>
    <n v="0"/>
    <n v="100000"/>
    <n v="0"/>
    <m/>
    <m/>
    <m/>
    <m/>
    <n v="0"/>
    <m/>
    <m/>
    <n v="0"/>
    <m/>
    <m/>
    <m/>
    <m/>
    <n v="100000"/>
    <n v="0"/>
  </r>
  <r>
    <x v="11"/>
    <x v="8"/>
    <s v="Accreditation &amp; Program Enhancement"/>
    <n v="218061"/>
    <x v="4"/>
    <m/>
    <m/>
    <n v="850000"/>
    <n v="336973"/>
    <m/>
    <m/>
    <m/>
    <m/>
    <n v="0"/>
    <m/>
    <m/>
    <n v="0"/>
    <n v="850000"/>
    <n v="336973"/>
    <m/>
    <m/>
    <m/>
    <m/>
    <n v="0"/>
    <m/>
    <m/>
    <n v="0"/>
    <m/>
    <m/>
    <m/>
    <m/>
    <n v="850000"/>
    <n v="336973"/>
  </r>
  <r>
    <x v="11"/>
    <x v="8"/>
    <s v="Lottery Technology (NR)"/>
    <n v="218061"/>
    <x v="4"/>
    <m/>
    <m/>
    <n v="523895"/>
    <n v="516014"/>
    <m/>
    <m/>
    <m/>
    <m/>
    <n v="0"/>
    <m/>
    <m/>
    <n v="0"/>
    <n v="523895"/>
    <n v="516014"/>
    <m/>
    <m/>
    <m/>
    <m/>
    <n v="0"/>
    <m/>
    <m/>
    <n v="0"/>
    <m/>
    <m/>
    <m/>
    <m/>
    <n v="523895"/>
    <n v="516014"/>
  </r>
  <r>
    <x v="11"/>
    <x v="0"/>
    <s v="Lander University"/>
    <n v="218229"/>
    <x v="4"/>
    <n v="10553822"/>
    <n v="6556383"/>
    <m/>
    <m/>
    <m/>
    <m/>
    <n v="18896718"/>
    <n v="0"/>
    <n v="18896718"/>
    <n v="19273262"/>
    <n v="0"/>
    <n v="19273262"/>
    <n v="29450540"/>
    <n v="25829645"/>
    <m/>
    <m/>
    <m/>
    <m/>
    <n v="0"/>
    <m/>
    <m/>
    <n v="0"/>
    <m/>
    <m/>
    <m/>
    <m/>
    <n v="29450540"/>
    <n v="25829645"/>
  </r>
  <r>
    <x v="11"/>
    <x v="0"/>
    <s v="E &amp; G Funds"/>
    <n v="218229"/>
    <x v="4"/>
    <n v="384115"/>
    <m/>
    <m/>
    <m/>
    <m/>
    <m/>
    <m/>
    <m/>
    <n v="0"/>
    <m/>
    <m/>
    <n v="0"/>
    <n v="384115"/>
    <n v="0"/>
    <m/>
    <m/>
    <m/>
    <m/>
    <n v="0"/>
    <m/>
    <m/>
    <n v="0"/>
    <m/>
    <m/>
    <m/>
    <m/>
    <n v="384115"/>
    <n v="0"/>
  </r>
  <r>
    <x v="11"/>
    <x v="0"/>
    <s v="Fringe Benefits"/>
    <n v="218229"/>
    <x v="4"/>
    <m/>
    <n v="1753705"/>
    <m/>
    <m/>
    <m/>
    <m/>
    <m/>
    <m/>
    <n v="0"/>
    <m/>
    <m/>
    <n v="0"/>
    <n v="0"/>
    <n v="1753705"/>
    <m/>
    <m/>
    <m/>
    <m/>
    <n v="0"/>
    <m/>
    <m/>
    <n v="0"/>
    <m/>
    <m/>
    <m/>
    <m/>
    <n v="0"/>
    <n v="1753705"/>
  </r>
  <r>
    <x v="11"/>
    <x v="8"/>
    <s v="Special Line items for education operations"/>
    <n v="218229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Access &amp; Equity"/>
    <n v="218229"/>
    <x v="4"/>
    <m/>
    <m/>
    <n v="8739"/>
    <n v="6507"/>
    <m/>
    <m/>
    <m/>
    <m/>
    <n v="0"/>
    <m/>
    <m/>
    <n v="0"/>
    <n v="8739"/>
    <n v="6507"/>
    <m/>
    <m/>
    <m/>
    <m/>
    <n v="0"/>
    <m/>
    <m/>
    <n v="0"/>
    <m/>
    <m/>
    <m/>
    <m/>
    <n v="8739"/>
    <n v="6507"/>
  </r>
  <r>
    <x v="11"/>
    <x v="8"/>
    <s v="EEDA Implementation"/>
    <n v="218229"/>
    <x v="4"/>
    <m/>
    <m/>
    <n v="30000"/>
    <m/>
    <m/>
    <m/>
    <m/>
    <m/>
    <n v="0"/>
    <m/>
    <m/>
    <n v="0"/>
    <n v="30000"/>
    <n v="0"/>
    <m/>
    <m/>
    <m/>
    <m/>
    <n v="0"/>
    <m/>
    <m/>
    <n v="0"/>
    <m/>
    <m/>
    <m/>
    <m/>
    <n v="30000"/>
    <n v="0"/>
  </r>
  <r>
    <x v="11"/>
    <x v="8"/>
    <s v="Academic Endowment"/>
    <n v="218229"/>
    <x v="4"/>
    <m/>
    <m/>
    <n v="13350"/>
    <n v="8204"/>
    <m/>
    <m/>
    <m/>
    <m/>
    <n v="0"/>
    <m/>
    <m/>
    <n v="0"/>
    <n v="13350"/>
    <n v="8204"/>
    <m/>
    <m/>
    <m/>
    <m/>
    <n v="0"/>
    <m/>
    <m/>
    <n v="0"/>
    <m/>
    <m/>
    <m/>
    <m/>
    <n v="13350"/>
    <n v="8204"/>
  </r>
  <r>
    <x v="11"/>
    <x v="8"/>
    <s v="Critical Needs Nursing Initiative"/>
    <n v="218229"/>
    <x v="4"/>
    <m/>
    <m/>
    <n v="23801"/>
    <n v="17972"/>
    <m/>
    <m/>
    <m/>
    <m/>
    <n v="0"/>
    <m/>
    <m/>
    <n v="0"/>
    <n v="23801"/>
    <n v="17972"/>
    <m/>
    <m/>
    <m/>
    <m/>
    <n v="0"/>
    <m/>
    <m/>
    <n v="0"/>
    <m/>
    <m/>
    <m/>
    <m/>
    <n v="23801"/>
    <n v="17972"/>
  </r>
  <r>
    <x v="11"/>
    <x v="8"/>
    <s v="Lottery Technology (NR)"/>
    <n v="218229"/>
    <x v="4"/>
    <m/>
    <m/>
    <n v="436652"/>
    <n v="419784"/>
    <m/>
    <m/>
    <m/>
    <m/>
    <n v="0"/>
    <m/>
    <m/>
    <n v="0"/>
    <n v="436652"/>
    <n v="419784"/>
    <m/>
    <m/>
    <m/>
    <m/>
    <n v="0"/>
    <m/>
    <m/>
    <n v="0"/>
    <m/>
    <m/>
    <m/>
    <m/>
    <n v="436652"/>
    <n v="419784"/>
  </r>
  <r>
    <x v="11"/>
    <x v="8"/>
    <s v="Renovation Needs"/>
    <n v="218229"/>
    <x v="4"/>
    <m/>
    <m/>
    <n v="425000"/>
    <m/>
    <m/>
    <m/>
    <m/>
    <m/>
    <n v="0"/>
    <m/>
    <m/>
    <n v="0"/>
    <n v="425000"/>
    <n v="0"/>
    <m/>
    <m/>
    <m/>
    <m/>
    <n v="0"/>
    <m/>
    <m/>
    <n v="0"/>
    <m/>
    <m/>
    <m/>
    <m/>
    <n v="425000"/>
    <n v="0"/>
  </r>
  <r>
    <x v="11"/>
    <x v="8"/>
    <s v="Greenwood-Lander Performing Arts Outreach Program"/>
    <n v="218229"/>
    <x v="4"/>
    <m/>
    <m/>
    <n v="20000"/>
    <m/>
    <m/>
    <m/>
    <m/>
    <m/>
    <n v="0"/>
    <m/>
    <m/>
    <n v="0"/>
    <n v="20000"/>
    <n v="0"/>
    <m/>
    <m/>
    <m/>
    <m/>
    <n v="0"/>
    <m/>
    <m/>
    <n v="0"/>
    <m/>
    <m/>
    <m/>
    <m/>
    <n v="20000"/>
    <n v="0"/>
  </r>
  <r>
    <x v="11"/>
    <x v="0"/>
    <s v="South Carolina State University "/>
    <n v="218733"/>
    <x v="4"/>
    <n v="21907364"/>
    <n v="13112870"/>
    <m/>
    <m/>
    <m/>
    <m/>
    <n v="34003743"/>
    <n v="2445521"/>
    <n v="36449264"/>
    <n v="37580260"/>
    <n v="2976046"/>
    <n v="40556306"/>
    <n v="55911107"/>
    <n v="50693130"/>
    <m/>
    <m/>
    <m/>
    <m/>
    <n v="0"/>
    <m/>
    <m/>
    <n v="0"/>
    <m/>
    <m/>
    <m/>
    <m/>
    <n v="55911107"/>
    <n v="50693130"/>
  </r>
  <r>
    <x v="11"/>
    <x v="0"/>
    <s v="E &amp; G Funds"/>
    <n v="218733"/>
    <x v="4"/>
    <n v="672864"/>
    <m/>
    <m/>
    <m/>
    <m/>
    <m/>
    <m/>
    <m/>
    <n v="0"/>
    <m/>
    <m/>
    <n v="0"/>
    <n v="672864"/>
    <n v="0"/>
    <m/>
    <m/>
    <m/>
    <m/>
    <n v="0"/>
    <m/>
    <m/>
    <n v="0"/>
    <m/>
    <m/>
    <m/>
    <m/>
    <n v="672864"/>
    <n v="0"/>
  </r>
  <r>
    <x v="11"/>
    <x v="0"/>
    <s v="Fringe Benefits"/>
    <n v="218733"/>
    <x v="4"/>
    <m/>
    <n v="3630874"/>
    <m/>
    <m/>
    <m/>
    <m/>
    <m/>
    <m/>
    <n v="0"/>
    <m/>
    <m/>
    <n v="0"/>
    <n v="0"/>
    <n v="3630874"/>
    <m/>
    <m/>
    <m/>
    <m/>
    <n v="0"/>
    <m/>
    <m/>
    <n v="0"/>
    <m/>
    <m/>
    <m/>
    <m/>
    <n v="0"/>
    <n v="3630874"/>
  </r>
  <r>
    <x v="11"/>
    <x v="3"/>
    <s v="Community or public service units"/>
    <n v="218733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3"/>
    <s v="Obesity Awareness &amp; Prevention"/>
    <n v="218733"/>
    <x v="4"/>
    <m/>
    <m/>
    <n v="400000"/>
    <n v="0"/>
    <m/>
    <m/>
    <m/>
    <m/>
    <n v="0"/>
    <m/>
    <m/>
    <n v="0"/>
    <n v="400000"/>
    <n v="0"/>
    <m/>
    <m/>
    <m/>
    <m/>
    <n v="0"/>
    <m/>
    <m/>
    <n v="0"/>
    <m/>
    <m/>
    <m/>
    <m/>
    <n v="400000"/>
    <n v="0"/>
  </r>
  <r>
    <x v="11"/>
    <x v="5"/>
    <s v="Public Service Activities"/>
    <n v="218733"/>
    <x v="4"/>
    <m/>
    <m/>
    <n v="3903938"/>
    <n v="3025764"/>
    <m/>
    <m/>
    <m/>
    <m/>
    <n v="0"/>
    <m/>
    <m/>
    <n v="0"/>
    <n v="3903938"/>
    <n v="3025764"/>
    <m/>
    <m/>
    <m/>
    <m/>
    <n v="0"/>
    <m/>
    <m/>
    <n v="0"/>
    <m/>
    <m/>
    <m/>
    <m/>
    <n v="3903938"/>
    <n v="3025764"/>
  </r>
  <r>
    <x v="11"/>
    <x v="7"/>
    <s v="Research centers/institutes"/>
    <n v="218733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7"/>
    <s v="S.C.  State Univ. Transportation Center"/>
    <n v="218733"/>
    <x v="4"/>
    <m/>
    <m/>
    <n v="870977"/>
    <n v="818268"/>
    <m/>
    <m/>
    <m/>
    <m/>
    <n v="0"/>
    <m/>
    <m/>
    <n v="0"/>
    <n v="870977"/>
    <n v="818268"/>
    <m/>
    <m/>
    <m/>
    <m/>
    <n v="0"/>
    <m/>
    <m/>
    <n v="0"/>
    <m/>
    <m/>
    <m/>
    <m/>
    <n v="870977"/>
    <n v="818268"/>
  </r>
  <r>
    <x v="11"/>
    <x v="8"/>
    <s v="Special Line items for education operations"/>
    <n v="218733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Access &amp; Equity"/>
    <n v="218733"/>
    <x v="4"/>
    <m/>
    <m/>
    <n v="112371"/>
    <n v="89606"/>
    <m/>
    <m/>
    <m/>
    <m/>
    <n v="0"/>
    <m/>
    <m/>
    <n v="0"/>
    <n v="112371"/>
    <n v="89606"/>
    <m/>
    <m/>
    <m/>
    <m/>
    <n v="0"/>
    <m/>
    <m/>
    <n v="0"/>
    <m/>
    <m/>
    <m/>
    <m/>
    <n v="112371"/>
    <n v="89606"/>
  </r>
  <r>
    <x v="11"/>
    <x v="8"/>
    <s v="EEDA Implementation"/>
    <n v="218733"/>
    <x v="4"/>
    <m/>
    <m/>
    <n v="30000"/>
    <n v="0"/>
    <m/>
    <m/>
    <m/>
    <m/>
    <n v="0"/>
    <m/>
    <m/>
    <n v="0"/>
    <n v="30000"/>
    <n v="0"/>
    <m/>
    <m/>
    <m/>
    <m/>
    <n v="0"/>
    <m/>
    <m/>
    <n v="0"/>
    <m/>
    <m/>
    <m/>
    <m/>
    <n v="30000"/>
    <n v="0"/>
  </r>
  <r>
    <x v="11"/>
    <x v="8"/>
    <s v="Academic Endowment"/>
    <n v="218733"/>
    <x v="4"/>
    <m/>
    <m/>
    <n v="3929"/>
    <n v="3284"/>
    <m/>
    <m/>
    <m/>
    <m/>
    <n v="0"/>
    <m/>
    <m/>
    <n v="0"/>
    <n v="3929"/>
    <n v="3284"/>
    <m/>
    <m/>
    <m/>
    <m/>
    <n v="0"/>
    <m/>
    <m/>
    <n v="0"/>
    <m/>
    <m/>
    <m/>
    <m/>
    <n v="3929"/>
    <n v="3284"/>
  </r>
  <r>
    <x v="11"/>
    <x v="8"/>
    <s v="Critical Needs Nursing Initiative"/>
    <n v="218733"/>
    <x v="4"/>
    <m/>
    <m/>
    <n v="22038"/>
    <n v="2502"/>
    <m/>
    <m/>
    <m/>
    <m/>
    <n v="0"/>
    <m/>
    <m/>
    <n v="0"/>
    <n v="22038"/>
    <n v="2502"/>
    <m/>
    <m/>
    <m/>
    <m/>
    <n v="0"/>
    <m/>
    <m/>
    <n v="0"/>
    <m/>
    <m/>
    <m/>
    <m/>
    <n v="22038"/>
    <n v="2502"/>
  </r>
  <r>
    <x v="11"/>
    <x v="8"/>
    <s v="Teacher Training &amp; Development"/>
    <n v="218733"/>
    <x v="4"/>
    <m/>
    <m/>
    <n v="535534"/>
    <n v="503125"/>
    <m/>
    <m/>
    <m/>
    <m/>
    <n v="0"/>
    <m/>
    <m/>
    <n v="0"/>
    <n v="535534"/>
    <n v="503125"/>
    <m/>
    <m/>
    <m/>
    <m/>
    <n v="0"/>
    <m/>
    <m/>
    <n v="0"/>
    <m/>
    <m/>
    <m/>
    <m/>
    <n v="535534"/>
    <n v="503125"/>
  </r>
  <r>
    <x v="11"/>
    <x v="8"/>
    <s v="S.C. State Univ. Business School "/>
    <n v="218733"/>
    <x v="4"/>
    <m/>
    <m/>
    <n v="410635"/>
    <n v="312505"/>
    <m/>
    <m/>
    <m/>
    <m/>
    <n v="0"/>
    <m/>
    <m/>
    <n v="0"/>
    <n v="410635"/>
    <n v="312505"/>
    <m/>
    <m/>
    <m/>
    <m/>
    <n v="0"/>
    <m/>
    <m/>
    <n v="0"/>
    <m/>
    <m/>
    <m/>
    <m/>
    <n v="410635"/>
    <n v="312505"/>
  </r>
  <r>
    <x v="11"/>
    <x v="8"/>
    <s v="Transportation Center Match"/>
    <n v="218733"/>
    <x v="4"/>
    <m/>
    <m/>
    <n v="410635"/>
    <n v="312505"/>
    <m/>
    <m/>
    <m/>
    <m/>
    <n v="0"/>
    <m/>
    <m/>
    <n v="0"/>
    <n v="410635"/>
    <n v="312505"/>
    <m/>
    <m/>
    <m/>
    <m/>
    <n v="0"/>
    <m/>
    <m/>
    <n v="0"/>
    <m/>
    <m/>
    <m/>
    <m/>
    <n v="410635"/>
    <n v="312505"/>
  </r>
  <r>
    <x v="11"/>
    <x v="8"/>
    <s v="South Carolina Alliance for Minority Participation (SCAMP)"/>
    <n v="218733"/>
    <x v="4"/>
    <m/>
    <m/>
    <n v="320327"/>
    <n v="248278"/>
    <m/>
    <m/>
    <m/>
    <m/>
    <n v="0"/>
    <m/>
    <m/>
    <n v="0"/>
    <n v="320327"/>
    <n v="248278"/>
    <m/>
    <m/>
    <m/>
    <m/>
    <n v="0"/>
    <m/>
    <m/>
    <n v="0"/>
    <m/>
    <m/>
    <m/>
    <m/>
    <n v="320327"/>
    <n v="248278"/>
  </r>
  <r>
    <x v="11"/>
    <x v="8"/>
    <s v="South Carolina Alliance for Minority Participation (SCAMP) (NR)"/>
    <n v="218733"/>
    <x v="4"/>
    <m/>
    <m/>
    <n v="200000"/>
    <m/>
    <m/>
    <m/>
    <m/>
    <m/>
    <n v="0"/>
    <m/>
    <m/>
    <n v="0"/>
    <n v="200000"/>
    <n v="0"/>
    <m/>
    <m/>
    <m/>
    <m/>
    <n v="0"/>
    <m/>
    <m/>
    <n v="0"/>
    <m/>
    <m/>
    <m/>
    <m/>
    <n v="200000"/>
    <n v="0"/>
  </r>
  <r>
    <x v="11"/>
    <x v="8"/>
    <s v="African American Loan Program"/>
    <n v="218733"/>
    <x v="4"/>
    <m/>
    <m/>
    <n v="149485"/>
    <n v="129974"/>
    <m/>
    <m/>
    <m/>
    <m/>
    <n v="0"/>
    <m/>
    <m/>
    <n v="0"/>
    <n v="149485"/>
    <n v="129974"/>
    <m/>
    <m/>
    <m/>
    <m/>
    <n v="0"/>
    <m/>
    <m/>
    <n v="0"/>
    <m/>
    <m/>
    <m/>
    <m/>
    <n v="149485"/>
    <n v="129974"/>
  </r>
  <r>
    <x v="11"/>
    <x v="8"/>
    <s v="Operating Funds (Lottery) (NR)"/>
    <n v="218733"/>
    <x v="4"/>
    <m/>
    <m/>
    <m/>
    <n v="2500000"/>
    <m/>
    <m/>
    <m/>
    <m/>
    <n v="0"/>
    <m/>
    <m/>
    <n v="0"/>
    <n v="0"/>
    <n v="2500000"/>
    <m/>
    <m/>
    <m/>
    <m/>
    <n v="0"/>
    <m/>
    <m/>
    <n v="0"/>
    <m/>
    <m/>
    <m/>
    <m/>
    <n v="0"/>
    <n v="2500000"/>
  </r>
  <r>
    <x v="11"/>
    <x v="8"/>
    <s v="Higher Education Excellence Enhancement Program (Lottery)(NR)"/>
    <n v="218733"/>
    <x v="4"/>
    <m/>
    <m/>
    <m/>
    <n v="587500"/>
    <m/>
    <m/>
    <m/>
    <m/>
    <n v="0"/>
    <m/>
    <m/>
    <n v="0"/>
    <n v="0"/>
    <n v="587500"/>
    <m/>
    <m/>
    <m/>
    <m/>
    <n v="0"/>
    <m/>
    <m/>
    <n v="0"/>
    <m/>
    <m/>
    <m/>
    <m/>
    <n v="0"/>
    <n v="587500"/>
  </r>
  <r>
    <x v="11"/>
    <x v="8"/>
    <s v="Lottery Technology (NR)"/>
    <n v="218733"/>
    <x v="4"/>
    <m/>
    <m/>
    <n v="594560"/>
    <n v="626364"/>
    <m/>
    <m/>
    <m/>
    <m/>
    <n v="0"/>
    <m/>
    <m/>
    <n v="0"/>
    <n v="594560"/>
    <n v="626364"/>
    <m/>
    <m/>
    <m/>
    <m/>
    <n v="0"/>
    <m/>
    <m/>
    <n v="0"/>
    <m/>
    <m/>
    <m/>
    <m/>
    <n v="594560"/>
    <n v="626364"/>
  </r>
  <r>
    <x v="11"/>
    <x v="8"/>
    <s v="Deferred Maintenance (NR)"/>
    <n v="218733"/>
    <x v="4"/>
    <m/>
    <m/>
    <n v="1500000"/>
    <m/>
    <m/>
    <m/>
    <m/>
    <m/>
    <n v="0"/>
    <m/>
    <m/>
    <n v="0"/>
    <n v="1500000"/>
    <n v="0"/>
    <m/>
    <m/>
    <m/>
    <m/>
    <n v="0"/>
    <m/>
    <m/>
    <n v="0"/>
    <m/>
    <m/>
    <m/>
    <m/>
    <n v="1500000"/>
    <n v="0"/>
  </r>
  <r>
    <x v="11"/>
    <x v="8"/>
    <s v="I-95 Corridor Study (NR)"/>
    <n v="218733"/>
    <x v="4"/>
    <m/>
    <m/>
    <n v="250000"/>
    <m/>
    <m/>
    <m/>
    <m/>
    <m/>
    <n v="0"/>
    <m/>
    <m/>
    <n v="0"/>
    <n v="250000"/>
    <n v="0"/>
    <m/>
    <m/>
    <m/>
    <m/>
    <n v="0"/>
    <m/>
    <m/>
    <n v="0"/>
    <m/>
    <m/>
    <m/>
    <m/>
    <n v="250000"/>
    <n v="0"/>
  </r>
  <r>
    <x v="11"/>
    <x v="8"/>
    <s v="SC State Bridge Program (NR)"/>
    <n v="218733"/>
    <x v="4"/>
    <m/>
    <m/>
    <n v="250000"/>
    <n v="250000"/>
    <m/>
    <m/>
    <m/>
    <m/>
    <n v="0"/>
    <m/>
    <m/>
    <n v="0"/>
    <n v="250000"/>
    <n v="250000"/>
    <m/>
    <m/>
    <m/>
    <m/>
    <n v="0"/>
    <m/>
    <m/>
    <n v="0"/>
    <m/>
    <m/>
    <m/>
    <m/>
    <n v="250000"/>
    <n v="250000"/>
  </r>
  <r>
    <x v="11"/>
    <x v="8"/>
    <s v="Higher Education Excellence Enhancement Program (Lottery)(NR)"/>
    <n v="218733"/>
    <x v="4"/>
    <m/>
    <m/>
    <n v="587500"/>
    <n v="587500"/>
    <m/>
    <m/>
    <m/>
    <m/>
    <n v="0"/>
    <m/>
    <m/>
    <n v="0"/>
    <n v="587500"/>
    <n v="587500"/>
    <m/>
    <m/>
    <m/>
    <m/>
    <n v="0"/>
    <m/>
    <m/>
    <n v="0"/>
    <m/>
    <m/>
    <m/>
    <m/>
    <n v="587500"/>
    <n v="587500"/>
  </r>
  <r>
    <x v="11"/>
    <x v="8"/>
    <s v="SC State enhancement"/>
    <n v="218733"/>
    <x v="4"/>
    <m/>
    <m/>
    <n v="2500000"/>
    <n v="2500000"/>
    <m/>
    <m/>
    <m/>
    <m/>
    <n v="0"/>
    <m/>
    <m/>
    <n v="0"/>
    <n v="2500000"/>
    <n v="2500000"/>
    <m/>
    <m/>
    <m/>
    <m/>
    <n v="0"/>
    <m/>
    <m/>
    <n v="0"/>
    <m/>
    <m/>
    <m/>
    <m/>
    <n v="2500000"/>
    <n v="2500000"/>
  </r>
  <r>
    <x v="11"/>
    <x v="0"/>
    <s v="Coastal Carolina University"/>
    <n v="218724"/>
    <x v="4"/>
    <n v="12616764"/>
    <n v="10544261"/>
    <m/>
    <m/>
    <m/>
    <n v="233670"/>
    <n v="70466607"/>
    <n v="2020067"/>
    <n v="72486674"/>
    <n v="72209586"/>
    <n v="6392583"/>
    <n v="78602169"/>
    <n v="83083371"/>
    <n v="82987517"/>
    <m/>
    <m/>
    <m/>
    <m/>
    <n v="0"/>
    <m/>
    <m/>
    <n v="0"/>
    <m/>
    <m/>
    <m/>
    <m/>
    <n v="83083371"/>
    <n v="82987517"/>
  </r>
  <r>
    <x v="11"/>
    <x v="0"/>
    <s v="Other Operating"/>
    <n v="218724"/>
    <x v="4"/>
    <n v="3500000"/>
    <n v="3500000"/>
    <m/>
    <m/>
    <m/>
    <m/>
    <m/>
    <m/>
    <n v="0"/>
    <m/>
    <m/>
    <n v="0"/>
    <n v="3500000"/>
    <n v="3500000"/>
    <m/>
    <m/>
    <m/>
    <m/>
    <n v="0"/>
    <m/>
    <m/>
    <n v="0"/>
    <m/>
    <m/>
    <m/>
    <m/>
    <n v="3500000"/>
    <n v="3500000"/>
  </r>
  <r>
    <x v="11"/>
    <x v="0"/>
    <s v="E &amp; G Funds"/>
    <s v="218724"/>
    <x v="4"/>
    <n v="691551"/>
    <m/>
    <m/>
    <m/>
    <m/>
    <m/>
    <m/>
    <m/>
    <n v="0"/>
    <m/>
    <m/>
    <n v="0"/>
    <n v="691551"/>
    <n v="0"/>
    <m/>
    <m/>
    <m/>
    <m/>
    <n v="0"/>
    <m/>
    <m/>
    <n v="0"/>
    <m/>
    <m/>
    <m/>
    <m/>
    <n v="691551"/>
    <n v="0"/>
  </r>
  <r>
    <x v="11"/>
    <x v="0"/>
    <s v="Fringe Benefits"/>
    <s v="218724"/>
    <x v="4"/>
    <m/>
    <n v="2130980"/>
    <m/>
    <m/>
    <m/>
    <m/>
    <m/>
    <m/>
    <n v="0"/>
    <m/>
    <m/>
    <n v="0"/>
    <n v="0"/>
    <n v="2130980"/>
    <m/>
    <m/>
    <m/>
    <m/>
    <n v="0"/>
    <m/>
    <m/>
    <n v="0"/>
    <m/>
    <m/>
    <m/>
    <m/>
    <n v="0"/>
    <n v="2130980"/>
  </r>
  <r>
    <x v="11"/>
    <x v="8"/>
    <s v="Special Line items for education operations"/>
    <s v="218724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Access &amp; Equity"/>
    <n v="218724"/>
    <x v="4"/>
    <m/>
    <m/>
    <n v="17234"/>
    <n v="13207"/>
    <m/>
    <m/>
    <m/>
    <m/>
    <n v="0"/>
    <m/>
    <m/>
    <n v="0"/>
    <n v="17234"/>
    <n v="13207"/>
    <m/>
    <m/>
    <m/>
    <m/>
    <n v="0"/>
    <m/>
    <m/>
    <n v="0"/>
    <m/>
    <m/>
    <m/>
    <m/>
    <n v="17234"/>
    <n v="13207"/>
  </r>
  <r>
    <x v="11"/>
    <x v="8"/>
    <s v="EEDA Implementation"/>
    <n v="218724"/>
    <x v="4"/>
    <m/>
    <m/>
    <n v="30000"/>
    <n v="0"/>
    <m/>
    <m/>
    <m/>
    <m/>
    <n v="0"/>
    <m/>
    <m/>
    <n v="0"/>
    <n v="30000"/>
    <n v="0"/>
    <m/>
    <m/>
    <m/>
    <m/>
    <n v="0"/>
    <m/>
    <m/>
    <n v="0"/>
    <m/>
    <m/>
    <m/>
    <m/>
    <n v="30000"/>
    <n v="0"/>
  </r>
  <r>
    <x v="11"/>
    <x v="8"/>
    <s v="Academic Endowment"/>
    <n v="218724"/>
    <x v="4"/>
    <m/>
    <m/>
    <n v="6167"/>
    <n v="8511"/>
    <m/>
    <m/>
    <m/>
    <m/>
    <n v="0"/>
    <m/>
    <m/>
    <n v="0"/>
    <n v="6167"/>
    <n v="8511"/>
    <m/>
    <m/>
    <m/>
    <m/>
    <n v="0"/>
    <m/>
    <m/>
    <n v="0"/>
    <m/>
    <m/>
    <m/>
    <m/>
    <n v="6167"/>
    <n v="8511"/>
  </r>
  <r>
    <x v="11"/>
    <x v="8"/>
    <s v="Lottery Technology (NR)"/>
    <s v="218724"/>
    <x v="4"/>
    <m/>
    <m/>
    <n v="857495"/>
    <n v="845062"/>
    <m/>
    <m/>
    <m/>
    <m/>
    <n v="0"/>
    <m/>
    <m/>
    <n v="0"/>
    <n v="857495"/>
    <n v="845062"/>
    <m/>
    <m/>
    <m/>
    <m/>
    <n v="0"/>
    <m/>
    <m/>
    <n v="0"/>
    <m/>
    <m/>
    <m/>
    <m/>
    <n v="857495"/>
    <n v="845062"/>
  </r>
  <r>
    <x v="11"/>
    <x v="0"/>
    <s v="University of South Carolina-Aiken"/>
    <n v="218645"/>
    <x v="5"/>
    <n v="10768973"/>
    <n v="7100000"/>
    <m/>
    <m/>
    <m/>
    <m/>
    <n v="19384197"/>
    <n v="1158099"/>
    <n v="20542296"/>
    <n v="20407283"/>
    <n v="1157405"/>
    <n v="21564688"/>
    <n v="30153170"/>
    <n v="27507283"/>
    <m/>
    <m/>
    <m/>
    <m/>
    <n v="0"/>
    <m/>
    <m/>
    <n v="0"/>
    <m/>
    <m/>
    <m/>
    <m/>
    <n v="30153170"/>
    <n v="27507283"/>
  </r>
  <r>
    <x v="11"/>
    <x v="0"/>
    <s v="E &amp; G Funds"/>
    <n v="218645"/>
    <x v="5"/>
    <n v="427107"/>
    <m/>
    <m/>
    <m/>
    <m/>
    <m/>
    <m/>
    <m/>
    <n v="0"/>
    <m/>
    <m/>
    <n v="0"/>
    <n v="427107"/>
    <n v="0"/>
    <m/>
    <m/>
    <m/>
    <m/>
    <n v="0"/>
    <m/>
    <m/>
    <n v="0"/>
    <m/>
    <m/>
    <m/>
    <m/>
    <n v="427107"/>
    <n v="0"/>
  </r>
  <r>
    <x v="11"/>
    <x v="0"/>
    <s v="Fringe Benefits"/>
    <n v="218645"/>
    <x v="5"/>
    <m/>
    <n v="1413797"/>
    <m/>
    <m/>
    <m/>
    <m/>
    <m/>
    <m/>
    <n v="0"/>
    <m/>
    <m/>
    <n v="0"/>
    <n v="0"/>
    <n v="1413797"/>
    <m/>
    <m/>
    <m/>
    <m/>
    <n v="0"/>
    <m/>
    <m/>
    <n v="0"/>
    <m/>
    <m/>
    <m/>
    <m/>
    <n v="0"/>
    <n v="1413797"/>
  </r>
  <r>
    <x v="11"/>
    <x v="8"/>
    <s v="Special Line items for education operations"/>
    <n v="218645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Access &amp; Equity"/>
    <n v="218645"/>
    <x v="5"/>
    <m/>
    <m/>
    <n v="9724"/>
    <n v="7468"/>
    <m/>
    <m/>
    <m/>
    <m/>
    <n v="0"/>
    <m/>
    <m/>
    <n v="0"/>
    <n v="9724"/>
    <n v="7468"/>
    <m/>
    <m/>
    <m/>
    <m/>
    <n v="0"/>
    <m/>
    <m/>
    <n v="0"/>
    <m/>
    <m/>
    <m/>
    <m/>
    <n v="9724"/>
    <n v="7468"/>
  </r>
  <r>
    <x v="11"/>
    <x v="8"/>
    <s v="EEDA Implementation"/>
    <n v="218645"/>
    <x v="5"/>
    <m/>
    <m/>
    <n v="30000"/>
    <m/>
    <m/>
    <m/>
    <m/>
    <m/>
    <n v="0"/>
    <m/>
    <m/>
    <n v="0"/>
    <n v="30000"/>
    <n v="0"/>
    <m/>
    <m/>
    <m/>
    <m/>
    <n v="0"/>
    <m/>
    <m/>
    <n v="0"/>
    <m/>
    <m/>
    <m/>
    <m/>
    <n v="30000"/>
    <n v="0"/>
  </r>
  <r>
    <x v="11"/>
    <x v="8"/>
    <s v="Academic Endowment"/>
    <n v="218645"/>
    <x v="5"/>
    <m/>
    <m/>
    <n v="12371"/>
    <n v="8303"/>
    <m/>
    <m/>
    <m/>
    <m/>
    <n v="0"/>
    <m/>
    <m/>
    <n v="0"/>
    <n v="12371"/>
    <n v="8303"/>
    <m/>
    <m/>
    <m/>
    <m/>
    <n v="0"/>
    <m/>
    <m/>
    <n v="0"/>
    <m/>
    <m/>
    <m/>
    <m/>
    <n v="12371"/>
    <n v="8303"/>
  </r>
  <r>
    <x v="11"/>
    <x v="8"/>
    <s v="Critical Needs Nursing Initiative"/>
    <n v="218645"/>
    <x v="5"/>
    <m/>
    <m/>
    <n v="39669"/>
    <n v="11893"/>
    <m/>
    <m/>
    <m/>
    <m/>
    <n v="0"/>
    <m/>
    <m/>
    <n v="0"/>
    <n v="39669"/>
    <n v="11893"/>
    <m/>
    <m/>
    <m/>
    <m/>
    <n v="0"/>
    <m/>
    <m/>
    <n v="0"/>
    <m/>
    <m/>
    <m/>
    <m/>
    <n v="39669"/>
    <n v="11893"/>
  </r>
  <r>
    <x v="11"/>
    <x v="8"/>
    <s v="Lottery Technology (NR)"/>
    <n v="218645"/>
    <x v="5"/>
    <m/>
    <m/>
    <n v="468974"/>
    <n v="458550"/>
    <m/>
    <m/>
    <m/>
    <m/>
    <n v="0"/>
    <m/>
    <m/>
    <n v="0"/>
    <n v="468974"/>
    <n v="458550"/>
    <m/>
    <m/>
    <m/>
    <m/>
    <n v="0"/>
    <m/>
    <m/>
    <n v="0"/>
    <m/>
    <m/>
    <m/>
    <m/>
    <n v="468974"/>
    <n v="458550"/>
  </r>
  <r>
    <x v="11"/>
    <x v="0"/>
    <s v="University of South Carolina-Upstate"/>
    <n v="218742"/>
    <x v="5"/>
    <n v="12042186"/>
    <n v="9275000"/>
    <m/>
    <m/>
    <m/>
    <m/>
    <n v="32442829"/>
    <n v="2337597"/>
    <n v="34780426"/>
    <n v="36568673"/>
    <n v="2438754"/>
    <n v="39007427"/>
    <n v="44485015"/>
    <n v="45843673"/>
    <m/>
    <m/>
    <m/>
    <m/>
    <n v="0"/>
    <m/>
    <m/>
    <n v="0"/>
    <m/>
    <m/>
    <m/>
    <m/>
    <n v="44485015"/>
    <n v="45843673"/>
  </r>
  <r>
    <x v="11"/>
    <x v="0"/>
    <s v="E &amp; G Funds"/>
    <n v="218742"/>
    <x v="5"/>
    <n v="582300"/>
    <n v="0"/>
    <m/>
    <m/>
    <m/>
    <m/>
    <m/>
    <m/>
    <n v="0"/>
    <m/>
    <m/>
    <n v="0"/>
    <n v="582300"/>
    <n v="0"/>
    <m/>
    <m/>
    <m/>
    <m/>
    <n v="0"/>
    <m/>
    <m/>
    <n v="0"/>
    <m/>
    <m/>
    <m/>
    <m/>
    <n v="582300"/>
    <n v="0"/>
  </r>
  <r>
    <x v="11"/>
    <x v="0"/>
    <s v="Other Operating Funds"/>
    <n v="218742"/>
    <x v="5"/>
    <n v="1000000"/>
    <n v="0"/>
    <m/>
    <m/>
    <m/>
    <m/>
    <m/>
    <m/>
    <n v="0"/>
    <m/>
    <m/>
    <n v="0"/>
    <n v="1000000"/>
    <n v="0"/>
    <m/>
    <m/>
    <m/>
    <m/>
    <n v="0"/>
    <m/>
    <m/>
    <n v="0"/>
    <m/>
    <m/>
    <m/>
    <m/>
    <n v="1000000"/>
    <n v="0"/>
  </r>
  <r>
    <x v="11"/>
    <x v="0"/>
    <s v="Fringe Benefits"/>
    <n v="218742"/>
    <x v="5"/>
    <m/>
    <n v="1812479"/>
    <m/>
    <m/>
    <m/>
    <m/>
    <m/>
    <m/>
    <n v="0"/>
    <m/>
    <m/>
    <n v="0"/>
    <n v="0"/>
    <n v="1812479"/>
    <m/>
    <m/>
    <m/>
    <m/>
    <n v="0"/>
    <m/>
    <m/>
    <n v="0"/>
    <m/>
    <m/>
    <m/>
    <m/>
    <n v="0"/>
    <n v="1812479"/>
  </r>
  <r>
    <x v="11"/>
    <x v="8"/>
    <s v="Special Line items for education operations"/>
    <n v="218742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Access &amp; Equity"/>
    <n v="218742"/>
    <x v="5"/>
    <m/>
    <m/>
    <n v="11699"/>
    <n v="9523"/>
    <m/>
    <m/>
    <m/>
    <m/>
    <n v="0"/>
    <m/>
    <m/>
    <n v="0"/>
    <n v="11699"/>
    <n v="9523"/>
    <m/>
    <m/>
    <m/>
    <m/>
    <n v="0"/>
    <m/>
    <m/>
    <n v="0"/>
    <m/>
    <m/>
    <m/>
    <m/>
    <n v="11699"/>
    <n v="9523"/>
  </r>
  <r>
    <x v="11"/>
    <x v="8"/>
    <s v="EEDA Implementation"/>
    <n v="218742"/>
    <x v="5"/>
    <m/>
    <m/>
    <n v="30000"/>
    <m/>
    <m/>
    <m/>
    <m/>
    <m/>
    <n v="0"/>
    <m/>
    <m/>
    <n v="0"/>
    <n v="30000"/>
    <n v="0"/>
    <m/>
    <m/>
    <m/>
    <m/>
    <n v="0"/>
    <m/>
    <m/>
    <n v="0"/>
    <m/>
    <m/>
    <m/>
    <m/>
    <n v="30000"/>
    <n v="0"/>
  </r>
  <r>
    <x v="11"/>
    <x v="8"/>
    <s v="Academic Endowment"/>
    <n v="218742"/>
    <x v="5"/>
    <m/>
    <m/>
    <n v="0"/>
    <n v="185"/>
    <m/>
    <m/>
    <m/>
    <m/>
    <n v="0"/>
    <m/>
    <m/>
    <n v="0"/>
    <n v="0"/>
    <n v="185"/>
    <m/>
    <m/>
    <m/>
    <m/>
    <n v="0"/>
    <m/>
    <m/>
    <n v="0"/>
    <m/>
    <m/>
    <m/>
    <m/>
    <n v="0"/>
    <n v="185"/>
  </r>
  <r>
    <x v="11"/>
    <x v="8"/>
    <s v="Critical Needs Nursing Initiative"/>
    <n v="218742"/>
    <x v="5"/>
    <m/>
    <m/>
    <n v="101374"/>
    <n v="33745"/>
    <m/>
    <m/>
    <m/>
    <m/>
    <n v="0"/>
    <m/>
    <m/>
    <n v="0"/>
    <n v="101374"/>
    <n v="33745"/>
    <m/>
    <m/>
    <m/>
    <m/>
    <n v="0"/>
    <m/>
    <m/>
    <n v="0"/>
    <m/>
    <m/>
    <m/>
    <m/>
    <n v="101374"/>
    <n v="33745"/>
  </r>
  <r>
    <x v="11"/>
    <x v="8"/>
    <s v="Teaching Excellence Initiative"/>
    <n v="218742"/>
    <x v="5"/>
    <m/>
    <m/>
    <n v="933679"/>
    <n v="0"/>
    <m/>
    <m/>
    <m/>
    <m/>
    <n v="0"/>
    <m/>
    <m/>
    <n v="0"/>
    <n v="933679"/>
    <n v="0"/>
    <m/>
    <m/>
    <m/>
    <m/>
    <n v="0"/>
    <m/>
    <m/>
    <n v="0"/>
    <m/>
    <m/>
    <m/>
    <m/>
    <n v="933679"/>
    <n v="0"/>
  </r>
  <r>
    <x v="11"/>
    <x v="8"/>
    <s v="Lottery Technology (NR)"/>
    <n v="218742"/>
    <x v="5"/>
    <m/>
    <m/>
    <n v="603266"/>
    <n v="614568"/>
    <m/>
    <m/>
    <m/>
    <m/>
    <n v="0"/>
    <m/>
    <m/>
    <n v="0"/>
    <n v="603266"/>
    <n v="614568"/>
    <m/>
    <m/>
    <m/>
    <m/>
    <n v="0"/>
    <m/>
    <m/>
    <n v="0"/>
    <m/>
    <m/>
    <m/>
    <m/>
    <n v="603266"/>
    <n v="614568"/>
  </r>
  <r>
    <x v="11"/>
    <x v="0"/>
    <s v="University of South Carolina-Beaufort"/>
    <n v="218654"/>
    <x v="13"/>
    <n v="2069054"/>
    <n v="1675000"/>
    <m/>
    <m/>
    <m/>
    <m/>
    <n v="6967769"/>
    <n v="85571"/>
    <n v="7053340"/>
    <n v="8368902"/>
    <n v="98705"/>
    <n v="8467607"/>
    <n v="9036823"/>
    <n v="10043902"/>
    <m/>
    <m/>
    <m/>
    <m/>
    <n v="0"/>
    <m/>
    <m/>
    <n v="0"/>
    <m/>
    <m/>
    <m/>
    <m/>
    <n v="9036823"/>
    <n v="10043902"/>
  </r>
  <r>
    <x v="11"/>
    <x v="0"/>
    <s v="E &amp; G Funds"/>
    <n v="218654"/>
    <x v="13"/>
    <n v="126034"/>
    <m/>
    <m/>
    <m/>
    <m/>
    <m/>
    <m/>
    <m/>
    <n v="0"/>
    <m/>
    <m/>
    <n v="0"/>
    <n v="126034"/>
    <n v="0"/>
    <m/>
    <m/>
    <m/>
    <m/>
    <n v="0"/>
    <m/>
    <m/>
    <n v="0"/>
    <m/>
    <m/>
    <m/>
    <m/>
    <n v="126034"/>
    <n v="0"/>
  </r>
  <r>
    <x v="11"/>
    <x v="0"/>
    <s v="Other Operating Expenses"/>
    <n v="218654"/>
    <x v="13"/>
    <n v="500000"/>
    <n v="0"/>
    <m/>
    <m/>
    <m/>
    <m/>
    <m/>
    <m/>
    <n v="0"/>
    <m/>
    <m/>
    <n v="0"/>
    <n v="500000"/>
    <n v="0"/>
    <m/>
    <m/>
    <m/>
    <m/>
    <n v="0"/>
    <m/>
    <m/>
    <n v="0"/>
    <m/>
    <m/>
    <m/>
    <m/>
    <n v="500000"/>
    <n v="0"/>
  </r>
  <r>
    <x v="11"/>
    <x v="0"/>
    <s v="Fringe Benefits"/>
    <n v="218654"/>
    <x v="13"/>
    <m/>
    <n v="337013"/>
    <m/>
    <m/>
    <m/>
    <m/>
    <m/>
    <m/>
    <n v="0"/>
    <m/>
    <m/>
    <n v="0"/>
    <n v="0"/>
    <n v="337013"/>
    <m/>
    <m/>
    <m/>
    <m/>
    <n v="0"/>
    <m/>
    <m/>
    <n v="0"/>
    <m/>
    <m/>
    <m/>
    <m/>
    <n v="0"/>
    <n v="337013"/>
  </r>
  <r>
    <x v="11"/>
    <x v="3"/>
    <s v="Community or public service units"/>
    <n v="218654"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3"/>
    <s v="Penn Center"/>
    <n v="218654"/>
    <x v="13"/>
    <m/>
    <m/>
    <n v="180240"/>
    <n v="0"/>
    <m/>
    <m/>
    <m/>
    <m/>
    <n v="0"/>
    <m/>
    <m/>
    <n v="0"/>
    <n v="180240"/>
    <n v="0"/>
    <m/>
    <m/>
    <m/>
    <m/>
    <n v="0"/>
    <m/>
    <m/>
    <n v="0"/>
    <m/>
    <m/>
    <m/>
    <m/>
    <n v="180240"/>
    <n v="0"/>
  </r>
  <r>
    <x v="11"/>
    <x v="8"/>
    <s v="Special Line items for education operations"/>
    <n v="218654"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Access &amp; Equity"/>
    <n v="218654"/>
    <x v="13"/>
    <m/>
    <m/>
    <n v="6516"/>
    <n v="5218"/>
    <m/>
    <m/>
    <m/>
    <m/>
    <n v="0"/>
    <m/>
    <m/>
    <n v="0"/>
    <n v="6516"/>
    <n v="5218"/>
    <m/>
    <m/>
    <m/>
    <m/>
    <n v="0"/>
    <m/>
    <m/>
    <n v="0"/>
    <m/>
    <m/>
    <m/>
    <m/>
    <n v="6516"/>
    <n v="5218"/>
  </r>
  <r>
    <x v="11"/>
    <x v="8"/>
    <s v="EEDA Implementation"/>
    <n v="218654"/>
    <x v="13"/>
    <m/>
    <m/>
    <n v="30000"/>
    <m/>
    <m/>
    <m/>
    <m/>
    <m/>
    <n v="0"/>
    <m/>
    <m/>
    <n v="0"/>
    <n v="30000"/>
    <n v="0"/>
    <m/>
    <m/>
    <m/>
    <m/>
    <n v="0"/>
    <m/>
    <m/>
    <n v="0"/>
    <m/>
    <m/>
    <m/>
    <m/>
    <n v="30000"/>
    <n v="0"/>
  </r>
  <r>
    <x v="11"/>
    <x v="8"/>
    <s v="Academic Endowment"/>
    <n v="218654"/>
    <x v="13"/>
    <m/>
    <m/>
    <n v="887"/>
    <n v="1935"/>
    <m/>
    <m/>
    <m/>
    <m/>
    <n v="0"/>
    <m/>
    <m/>
    <n v="0"/>
    <n v="887"/>
    <n v="1935"/>
    <m/>
    <m/>
    <m/>
    <m/>
    <n v="0"/>
    <m/>
    <m/>
    <n v="0"/>
    <m/>
    <m/>
    <m/>
    <m/>
    <n v="887"/>
    <n v="1935"/>
  </r>
  <r>
    <x v="11"/>
    <x v="8"/>
    <s v="Lottery Technology (NR)"/>
    <n v="218654"/>
    <x v="13"/>
    <m/>
    <m/>
    <n v="306712"/>
    <n v="311454"/>
    <m/>
    <m/>
    <m/>
    <m/>
    <n v="0"/>
    <m/>
    <m/>
    <n v="0"/>
    <n v="306712"/>
    <n v="311454"/>
    <m/>
    <m/>
    <m/>
    <m/>
    <n v="0"/>
    <m/>
    <m/>
    <n v="0"/>
    <m/>
    <m/>
    <m/>
    <m/>
    <n v="306712"/>
    <n v="311454"/>
  </r>
  <r>
    <x v="11"/>
    <x v="0"/>
    <s v="Greenville Technical College "/>
    <n v="218113"/>
    <x v="6"/>
    <n v="24334750"/>
    <n v="18487801"/>
    <s v=" "/>
    <m/>
    <n v="9123346"/>
    <n v="9233396"/>
    <n v="57132991"/>
    <n v="1102997"/>
    <n v="58235988"/>
    <n v="61121213"/>
    <n v="2228024"/>
    <n v="63349237"/>
    <n v="90591087"/>
    <n v="88842410"/>
    <m/>
    <m/>
    <m/>
    <m/>
    <n v="0"/>
    <m/>
    <m/>
    <n v="0"/>
    <m/>
    <m/>
    <m/>
    <m/>
    <n v="90591087"/>
    <n v="88842410"/>
  </r>
  <r>
    <x v="11"/>
    <x v="8"/>
    <s v="Special Line items for education operations"/>
    <n v="21811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Missing &amp; Exploited Children   "/>
    <n v="218113"/>
    <x v="6"/>
    <m/>
    <m/>
    <n v="94050"/>
    <n v="74873"/>
    <m/>
    <m/>
    <m/>
    <m/>
    <n v="0"/>
    <m/>
    <m/>
    <n v="0"/>
    <n v="94050"/>
    <n v="74873"/>
    <m/>
    <m/>
    <m/>
    <m/>
    <n v="0"/>
    <m/>
    <m/>
    <n v="0"/>
    <m/>
    <m/>
    <m/>
    <m/>
    <n v="94050"/>
    <n v="74873"/>
  </r>
  <r>
    <x v="11"/>
    <x v="8"/>
    <s v="Pathways to Prosperity"/>
    <n v="218113"/>
    <x v="6"/>
    <m/>
    <m/>
    <n v="62500"/>
    <n v="49755"/>
    <m/>
    <m/>
    <m/>
    <m/>
    <n v="0"/>
    <m/>
    <m/>
    <n v="0"/>
    <n v="62500"/>
    <n v="49755"/>
    <m/>
    <m/>
    <m/>
    <m/>
    <n v="0"/>
    <m/>
    <m/>
    <n v="0"/>
    <m/>
    <m/>
    <m/>
    <m/>
    <n v="62500"/>
    <n v="49755"/>
  </r>
  <r>
    <x v="11"/>
    <x v="8"/>
    <s v="Access &amp; Equity"/>
    <n v="218113"/>
    <x v="6"/>
    <m/>
    <m/>
    <n v="4287"/>
    <n v="21217"/>
    <m/>
    <m/>
    <m/>
    <m/>
    <n v="0"/>
    <m/>
    <m/>
    <n v="0"/>
    <n v="4287"/>
    <n v="21217"/>
    <m/>
    <m/>
    <m/>
    <m/>
    <n v="0"/>
    <m/>
    <m/>
    <n v="0"/>
    <m/>
    <m/>
    <m/>
    <m/>
    <n v="4287"/>
    <n v="21217"/>
  </r>
  <r>
    <x v="11"/>
    <x v="8"/>
    <s v="Academic Endowment"/>
    <n v="218113"/>
    <x v="6"/>
    <m/>
    <m/>
    <n v="5838"/>
    <n v="3917"/>
    <m/>
    <m/>
    <m/>
    <m/>
    <n v="0"/>
    <m/>
    <m/>
    <n v="0"/>
    <n v="5838"/>
    <n v="3917"/>
    <m/>
    <m/>
    <m/>
    <m/>
    <n v="0"/>
    <m/>
    <m/>
    <n v="0"/>
    <m/>
    <m/>
    <m/>
    <m/>
    <n v="5838"/>
    <n v="3917"/>
  </r>
  <r>
    <x v="11"/>
    <x v="8"/>
    <s v="Critical Needs Nursing Initiative"/>
    <n v="218113"/>
    <x v="6"/>
    <m/>
    <m/>
    <n v="116239"/>
    <n v="70441"/>
    <m/>
    <m/>
    <m/>
    <m/>
    <n v="0"/>
    <m/>
    <m/>
    <n v="0"/>
    <n v="116239"/>
    <n v="70441"/>
    <m/>
    <m/>
    <m/>
    <m/>
    <n v="0"/>
    <m/>
    <m/>
    <n v="0"/>
    <m/>
    <m/>
    <m/>
    <m/>
    <n v="116239"/>
    <n v="70441"/>
  </r>
  <r>
    <x v="11"/>
    <x v="8"/>
    <s v="Allied Health Programs (NR)"/>
    <n v="218113"/>
    <x v="6"/>
    <m/>
    <m/>
    <n v="1098649"/>
    <n v="442308"/>
    <m/>
    <m/>
    <m/>
    <m/>
    <n v="0"/>
    <m/>
    <m/>
    <n v="0"/>
    <n v="1098649"/>
    <n v="442308"/>
    <m/>
    <m/>
    <m/>
    <m/>
    <n v="0"/>
    <m/>
    <m/>
    <n v="0"/>
    <m/>
    <m/>
    <m/>
    <m/>
    <n v="1098649"/>
    <n v="442308"/>
  </r>
  <r>
    <x v="11"/>
    <x v="8"/>
    <s v="Northwest Campus Heritage Hall (NR)"/>
    <n v="218113"/>
    <x v="6"/>
    <m/>
    <m/>
    <n v="400000"/>
    <m/>
    <m/>
    <m/>
    <m/>
    <m/>
    <n v="0"/>
    <m/>
    <m/>
    <n v="0"/>
    <n v="400000"/>
    <n v="0"/>
    <m/>
    <m/>
    <m/>
    <m/>
    <n v="0"/>
    <m/>
    <m/>
    <n v="0"/>
    <m/>
    <m/>
    <m/>
    <m/>
    <n v="400000"/>
    <n v="0"/>
  </r>
  <r>
    <x v="11"/>
    <x v="8"/>
    <s v="Lottery Technology (NR)"/>
    <n v="218113"/>
    <x v="6"/>
    <m/>
    <m/>
    <n v="733908"/>
    <n v="740075"/>
    <m/>
    <m/>
    <m/>
    <m/>
    <n v="0"/>
    <m/>
    <m/>
    <n v="0"/>
    <n v="733908"/>
    <n v="740075"/>
    <m/>
    <m/>
    <m/>
    <m/>
    <n v="0"/>
    <m/>
    <m/>
    <n v="0"/>
    <m/>
    <m/>
    <m/>
    <m/>
    <n v="733908"/>
    <n v="740075"/>
  </r>
  <r>
    <x v="11"/>
    <x v="0"/>
    <s v="Midlands Technical College "/>
    <n v="218353"/>
    <x v="6"/>
    <n v="20355141"/>
    <n v="15282206"/>
    <m/>
    <m/>
    <n v="7198337"/>
    <n v="7550862"/>
    <n v="34647424"/>
    <n v="1800000"/>
    <n v="36447424"/>
    <n v="35933916"/>
    <n v="1800000"/>
    <n v="37733916"/>
    <n v="62200902"/>
    <n v="58766984"/>
    <m/>
    <m/>
    <m/>
    <m/>
    <n v="0"/>
    <m/>
    <m/>
    <n v="0"/>
    <m/>
    <m/>
    <m/>
    <m/>
    <n v="62200902"/>
    <n v="58766984"/>
  </r>
  <r>
    <x v="11"/>
    <x v="8"/>
    <s v="Special Line items for education operations"/>
    <n v="21835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Nursing Program"/>
    <n v="218353"/>
    <x v="6"/>
    <n v="613590"/>
    <n v="478697"/>
    <m/>
    <m/>
    <m/>
    <m/>
    <m/>
    <m/>
    <n v="0"/>
    <m/>
    <m/>
    <n v="0"/>
    <n v="613590"/>
    <n v="478697"/>
    <m/>
    <m/>
    <m/>
    <m/>
    <n v="0"/>
    <m/>
    <m/>
    <n v="0"/>
    <m/>
    <m/>
    <m/>
    <m/>
    <n v="613590"/>
    <n v="478697"/>
  </r>
  <r>
    <x v="11"/>
    <x v="8"/>
    <s v="Pathways to Prosperity"/>
    <n v="218353"/>
    <x v="6"/>
    <m/>
    <m/>
    <n v="62500"/>
    <n v="48760"/>
    <m/>
    <m/>
    <m/>
    <m/>
    <n v="0"/>
    <m/>
    <m/>
    <n v="0"/>
    <n v="62500"/>
    <n v="48760"/>
    <m/>
    <m/>
    <m/>
    <m/>
    <n v="0"/>
    <m/>
    <m/>
    <n v="0"/>
    <m/>
    <m/>
    <m/>
    <m/>
    <n v="62500"/>
    <n v="48760"/>
  </r>
  <r>
    <x v="11"/>
    <x v="8"/>
    <s v="Access &amp; Equity"/>
    <n v="218353"/>
    <x v="6"/>
    <m/>
    <m/>
    <n v="4287"/>
    <n v="16739"/>
    <m/>
    <m/>
    <m/>
    <m/>
    <n v="0"/>
    <m/>
    <m/>
    <n v="0"/>
    <n v="4287"/>
    <n v="16739"/>
    <m/>
    <m/>
    <m/>
    <m/>
    <n v="0"/>
    <m/>
    <m/>
    <n v="0"/>
    <m/>
    <m/>
    <m/>
    <m/>
    <n v="4287"/>
    <n v="16739"/>
  </r>
  <r>
    <x v="11"/>
    <x v="8"/>
    <s v="Academic Endowment"/>
    <n v="218353"/>
    <x v="6"/>
    <m/>
    <m/>
    <n v="795"/>
    <n v="347"/>
    <m/>
    <m/>
    <m/>
    <m/>
    <n v="0"/>
    <m/>
    <m/>
    <n v="0"/>
    <n v="795"/>
    <n v="347"/>
    <m/>
    <m/>
    <m/>
    <m/>
    <n v="0"/>
    <m/>
    <m/>
    <n v="0"/>
    <m/>
    <m/>
    <m/>
    <m/>
    <n v="795"/>
    <n v="347"/>
  </r>
  <r>
    <x v="11"/>
    <x v="8"/>
    <s v="Critical Needs Nursing Initiative"/>
    <n v="218353"/>
    <x v="6"/>
    <m/>
    <m/>
    <n v="77493"/>
    <n v="67038"/>
    <m/>
    <m/>
    <m/>
    <m/>
    <n v="0"/>
    <m/>
    <m/>
    <n v="0"/>
    <n v="77493"/>
    <n v="67038"/>
    <m/>
    <m/>
    <m/>
    <m/>
    <n v="0"/>
    <m/>
    <m/>
    <n v="0"/>
    <m/>
    <m/>
    <m/>
    <m/>
    <n v="77493"/>
    <n v="67038"/>
  </r>
  <r>
    <x v="11"/>
    <x v="8"/>
    <s v="Allied Health Programs (NR)"/>
    <n v="218353"/>
    <x v="6"/>
    <m/>
    <m/>
    <n v="970090"/>
    <n v="387290"/>
    <m/>
    <m/>
    <m/>
    <m/>
    <n v="0"/>
    <m/>
    <m/>
    <n v="0"/>
    <n v="970090"/>
    <n v="387290"/>
    <m/>
    <m/>
    <m/>
    <m/>
    <n v="0"/>
    <m/>
    <m/>
    <n v="0"/>
    <m/>
    <m/>
    <m/>
    <m/>
    <n v="970090"/>
    <n v="387290"/>
  </r>
  <r>
    <x v="11"/>
    <x v="8"/>
    <s v="Center of Excellence for Technology (NR)"/>
    <n v="218353"/>
    <x v="6"/>
    <m/>
    <m/>
    <n v="1000000"/>
    <m/>
    <m/>
    <m/>
    <m/>
    <m/>
    <n v="0"/>
    <m/>
    <m/>
    <n v="0"/>
    <n v="1000000"/>
    <n v="0"/>
    <m/>
    <m/>
    <m/>
    <m/>
    <n v="0"/>
    <m/>
    <m/>
    <n v="0"/>
    <m/>
    <m/>
    <m/>
    <m/>
    <n v="1000000"/>
    <n v="0"/>
  </r>
  <r>
    <x v="11"/>
    <x v="8"/>
    <s v="Lottery Technology (NR)"/>
    <n v="218353"/>
    <x v="6"/>
    <m/>
    <m/>
    <n v="613892"/>
    <n v="611755"/>
    <m/>
    <m/>
    <m/>
    <m/>
    <n v="0"/>
    <m/>
    <m/>
    <n v="0"/>
    <n v="613892"/>
    <n v="611755"/>
    <m/>
    <m/>
    <m/>
    <m/>
    <n v="0"/>
    <m/>
    <m/>
    <n v="0"/>
    <m/>
    <m/>
    <m/>
    <m/>
    <n v="613892"/>
    <n v="611755"/>
  </r>
  <r>
    <x v="11"/>
    <x v="0"/>
    <s v="Trident Technical College "/>
    <n v="218894"/>
    <x v="6"/>
    <n v="21555780"/>
    <n v="16031159"/>
    <m/>
    <m/>
    <n v="8408442"/>
    <n v="8705553"/>
    <n v="31372993"/>
    <n v="4280780"/>
    <n v="35653773"/>
    <n v="33998287"/>
    <n v="4583265"/>
    <n v="38581552"/>
    <n v="61337215"/>
    <n v="58734999"/>
    <m/>
    <m/>
    <m/>
    <m/>
    <n v="0"/>
    <m/>
    <m/>
    <n v="0"/>
    <m/>
    <m/>
    <m/>
    <m/>
    <n v="61337215"/>
    <n v="58734999"/>
  </r>
  <r>
    <x v="11"/>
    <x v="8"/>
    <s v="Special Line items for education operations"/>
    <n v="21889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Culinary Arts"/>
    <n v="218894"/>
    <x v="6"/>
    <n v="775000"/>
    <n v="604623"/>
    <m/>
    <m/>
    <m/>
    <m/>
    <m/>
    <m/>
    <n v="0"/>
    <m/>
    <m/>
    <n v="0"/>
    <n v="775000"/>
    <n v="604623"/>
    <m/>
    <m/>
    <m/>
    <m/>
    <n v="0"/>
    <m/>
    <m/>
    <n v="0"/>
    <m/>
    <m/>
    <m/>
    <m/>
    <n v="775000"/>
    <n v="604623"/>
  </r>
  <r>
    <x v="11"/>
    <x v="8"/>
    <s v="Pathways to Prosperity"/>
    <n v="218894"/>
    <x v="6"/>
    <m/>
    <m/>
    <n v="62500"/>
    <n v="48760"/>
    <m/>
    <m/>
    <m/>
    <m/>
    <n v="0"/>
    <m/>
    <m/>
    <n v="0"/>
    <n v="62500"/>
    <n v="48760"/>
    <m/>
    <m/>
    <m/>
    <m/>
    <n v="0"/>
    <m/>
    <m/>
    <n v="0"/>
    <m/>
    <m/>
    <m/>
    <m/>
    <n v="62500"/>
    <n v="48760"/>
  </r>
  <r>
    <x v="11"/>
    <x v="8"/>
    <s v="Access &amp; Equity"/>
    <n v="218894"/>
    <x v="6"/>
    <m/>
    <m/>
    <n v="4287"/>
    <n v="18446"/>
    <m/>
    <m/>
    <m/>
    <m/>
    <n v="0"/>
    <m/>
    <m/>
    <n v="0"/>
    <n v="4287"/>
    <n v="18446"/>
    <m/>
    <m/>
    <m/>
    <m/>
    <n v="0"/>
    <m/>
    <m/>
    <n v="0"/>
    <m/>
    <m/>
    <m/>
    <m/>
    <n v="4287"/>
    <n v="18446"/>
  </r>
  <r>
    <x v="11"/>
    <x v="8"/>
    <s v="Academic Endowment"/>
    <n v="218894"/>
    <x v="6"/>
    <m/>
    <m/>
    <n v="1298"/>
    <n v="1140"/>
    <m/>
    <m/>
    <m/>
    <m/>
    <n v="0"/>
    <m/>
    <m/>
    <n v="0"/>
    <n v="1298"/>
    <n v="1140"/>
    <m/>
    <m/>
    <m/>
    <m/>
    <n v="0"/>
    <m/>
    <m/>
    <n v="0"/>
    <m/>
    <m/>
    <m/>
    <m/>
    <n v="1298"/>
    <n v="1140"/>
  </r>
  <r>
    <x v="11"/>
    <x v="8"/>
    <s v="Critical Needs Nursing Initiative"/>
    <n v="218894"/>
    <x v="6"/>
    <m/>
    <m/>
    <n v="61994"/>
    <n v="48578"/>
    <m/>
    <m/>
    <m/>
    <m/>
    <n v="0"/>
    <m/>
    <m/>
    <n v="0"/>
    <n v="61994"/>
    <n v="48578"/>
    <m/>
    <m/>
    <m/>
    <m/>
    <n v="0"/>
    <m/>
    <m/>
    <n v="0"/>
    <m/>
    <m/>
    <m/>
    <m/>
    <n v="61994"/>
    <n v="48578"/>
  </r>
  <r>
    <x v="11"/>
    <x v="8"/>
    <s v="Allied Health Programs (NR)"/>
    <n v="218894"/>
    <x v="6"/>
    <m/>
    <m/>
    <n v="1009353"/>
    <n v="400144"/>
    <m/>
    <m/>
    <m/>
    <m/>
    <n v="0"/>
    <m/>
    <m/>
    <n v="0"/>
    <n v="1009353"/>
    <n v="400144"/>
    <m/>
    <m/>
    <m/>
    <m/>
    <n v="0"/>
    <m/>
    <m/>
    <n v="0"/>
    <m/>
    <m/>
    <m/>
    <m/>
    <n v="1009353"/>
    <n v="400144"/>
  </r>
  <r>
    <x v="11"/>
    <x v="8"/>
    <s v="Lottery Technology (NR)"/>
    <n v="218894"/>
    <x v="6"/>
    <m/>
    <m/>
    <n v="650545"/>
    <n v="641735"/>
    <m/>
    <m/>
    <m/>
    <m/>
    <n v="0"/>
    <m/>
    <m/>
    <n v="0"/>
    <n v="650545"/>
    <n v="641735"/>
    <m/>
    <m/>
    <m/>
    <m/>
    <n v="0"/>
    <m/>
    <m/>
    <n v="0"/>
    <m/>
    <m/>
    <m/>
    <m/>
    <n v="650545"/>
    <n v="641735"/>
  </r>
  <r>
    <x v="11"/>
    <x v="0"/>
    <s v="Aiken Technical College "/>
    <n v="217615"/>
    <x v="7"/>
    <n v="5668465"/>
    <n v="4269948"/>
    <m/>
    <m/>
    <n v="1506285"/>
    <n v="1627300"/>
    <n v="8547404"/>
    <n v="365043"/>
    <n v="8912447"/>
    <n v="9110257"/>
    <n v="396007"/>
    <n v="9506264"/>
    <n v="15722154"/>
    <n v="15007505"/>
    <m/>
    <m/>
    <m/>
    <m/>
    <n v="0"/>
    <m/>
    <m/>
    <n v="0"/>
    <m/>
    <m/>
    <m/>
    <m/>
    <n v="15722154"/>
    <n v="15007505"/>
  </r>
  <r>
    <x v="11"/>
    <x v="8"/>
    <s v="Special Line items for education operations"/>
    <n v="21761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Pathways to Prosperity"/>
    <n v="217615"/>
    <x v="7"/>
    <m/>
    <m/>
    <n v="62500"/>
    <n v="48760"/>
    <m/>
    <m/>
    <m/>
    <m/>
    <n v="0"/>
    <m/>
    <m/>
    <n v="0"/>
    <n v="62500"/>
    <n v="48760"/>
    <m/>
    <m/>
    <m/>
    <m/>
    <n v="0"/>
    <m/>
    <m/>
    <n v="0"/>
    <m/>
    <m/>
    <m/>
    <m/>
    <n v="62500"/>
    <n v="48760"/>
  </r>
  <r>
    <x v="11"/>
    <x v="8"/>
    <s v="Access &amp; Equity"/>
    <n v="217615"/>
    <x v="7"/>
    <m/>
    <m/>
    <n v="4287"/>
    <n v="6549"/>
    <m/>
    <m/>
    <m/>
    <m/>
    <n v="0"/>
    <m/>
    <m/>
    <n v="0"/>
    <n v="4287"/>
    <n v="6549"/>
    <m/>
    <m/>
    <m/>
    <m/>
    <n v="0"/>
    <m/>
    <m/>
    <n v="0"/>
    <m/>
    <m/>
    <m/>
    <m/>
    <n v="4287"/>
    <n v="6549"/>
  </r>
  <r>
    <x v="11"/>
    <x v="8"/>
    <s v="Academic Endowment"/>
    <n v="217615"/>
    <x v="7"/>
    <m/>
    <m/>
    <n v="5075"/>
    <n v="2978"/>
    <m/>
    <m/>
    <m/>
    <m/>
    <n v="0"/>
    <m/>
    <m/>
    <n v="0"/>
    <n v="5075"/>
    <n v="2978"/>
    <m/>
    <m/>
    <m/>
    <m/>
    <n v="0"/>
    <m/>
    <m/>
    <n v="0"/>
    <m/>
    <m/>
    <m/>
    <m/>
    <n v="5075"/>
    <n v="2978"/>
  </r>
  <r>
    <x v="11"/>
    <x v="8"/>
    <s v="Critical Needs Nursing Initiative"/>
    <n v="217615"/>
    <x v="7"/>
    <m/>
    <m/>
    <s v=" "/>
    <n v="12412"/>
    <m/>
    <m/>
    <m/>
    <m/>
    <n v="0"/>
    <m/>
    <m/>
    <n v="0"/>
    <n v="0"/>
    <n v="12412"/>
    <m/>
    <m/>
    <m/>
    <m/>
    <n v="0"/>
    <m/>
    <m/>
    <n v="0"/>
    <m/>
    <m/>
    <m/>
    <m/>
    <n v="0"/>
    <n v="12412"/>
  </r>
  <r>
    <x v="11"/>
    <x v="8"/>
    <s v="Allied Health Programs (NR)"/>
    <n v="217615"/>
    <x v="7"/>
    <m/>
    <m/>
    <n v="495325"/>
    <n v="198285"/>
    <m/>
    <m/>
    <m/>
    <m/>
    <n v="0"/>
    <m/>
    <m/>
    <n v="0"/>
    <n v="495325"/>
    <n v="198285"/>
    <m/>
    <m/>
    <m/>
    <m/>
    <n v="0"/>
    <m/>
    <m/>
    <n v="0"/>
    <m/>
    <m/>
    <m/>
    <m/>
    <n v="495325"/>
    <n v="198285"/>
  </r>
  <r>
    <x v="11"/>
    <x v="8"/>
    <s v="Lottery Technology (NR)"/>
    <n v="217615"/>
    <x v="7"/>
    <m/>
    <m/>
    <n v="170676"/>
    <n v="170929"/>
    <m/>
    <m/>
    <m/>
    <m/>
    <n v="0"/>
    <m/>
    <m/>
    <n v="0"/>
    <n v="170676"/>
    <n v="170929"/>
    <m/>
    <m/>
    <m/>
    <m/>
    <n v="0"/>
    <m/>
    <m/>
    <n v="0"/>
    <m/>
    <m/>
    <m/>
    <m/>
    <n v="170676"/>
    <n v="170929"/>
  </r>
  <r>
    <x v="11"/>
    <x v="0"/>
    <s v="Central Carolina Technical College "/>
    <n v="218858"/>
    <x v="7"/>
    <n v="6375608"/>
    <n v="4747881"/>
    <m/>
    <m/>
    <n v="1995337"/>
    <n v="2072494"/>
    <n v="8320578"/>
    <n v="223180"/>
    <n v="8543758"/>
    <n v="9185362"/>
    <n v="253034"/>
    <n v="9438396"/>
    <n v="16691523"/>
    <n v="16005737"/>
    <m/>
    <m/>
    <m/>
    <m/>
    <n v="0"/>
    <m/>
    <m/>
    <n v="0"/>
    <m/>
    <m/>
    <m/>
    <m/>
    <n v="16691523"/>
    <n v="16005737"/>
  </r>
  <r>
    <x v="11"/>
    <x v="8"/>
    <s v="Special Line items for education operations"/>
    <n v="21885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Pathways to Prosperity"/>
    <n v="218858"/>
    <x v="7"/>
    <m/>
    <m/>
    <n v="62500"/>
    <n v="48760"/>
    <m/>
    <m/>
    <m/>
    <m/>
    <n v="0"/>
    <m/>
    <m/>
    <n v="0"/>
    <n v="62500"/>
    <n v="48760"/>
    <m/>
    <m/>
    <m/>
    <m/>
    <n v="0"/>
    <m/>
    <m/>
    <n v="0"/>
    <m/>
    <m/>
    <m/>
    <m/>
    <n v="62500"/>
    <n v="48760"/>
  </r>
  <r>
    <x v="11"/>
    <x v="8"/>
    <s v="Access &amp; Equity"/>
    <n v="218858"/>
    <x v="7"/>
    <m/>
    <m/>
    <n v="4287"/>
    <n v="7488"/>
    <m/>
    <m/>
    <m/>
    <m/>
    <n v="0"/>
    <m/>
    <m/>
    <n v="0"/>
    <n v="4287"/>
    <n v="7488"/>
    <m/>
    <m/>
    <m/>
    <m/>
    <n v="0"/>
    <m/>
    <m/>
    <n v="0"/>
    <m/>
    <m/>
    <m/>
    <m/>
    <n v="4287"/>
    <n v="7488"/>
  </r>
  <r>
    <x v="11"/>
    <x v="8"/>
    <s v="Academic Endowment"/>
    <n v="218858"/>
    <x v="7"/>
    <m/>
    <m/>
    <n v="117"/>
    <n v="72"/>
    <m/>
    <m/>
    <m/>
    <m/>
    <n v="0"/>
    <m/>
    <m/>
    <n v="0"/>
    <n v="117"/>
    <n v="72"/>
    <m/>
    <m/>
    <m/>
    <m/>
    <n v="0"/>
    <m/>
    <m/>
    <n v="0"/>
    <m/>
    <m/>
    <m/>
    <m/>
    <n v="117"/>
    <n v="72"/>
  </r>
  <r>
    <x v="11"/>
    <x v="8"/>
    <s v="Critical Needs Nursing Initiative"/>
    <n v="218858"/>
    <x v="7"/>
    <m/>
    <m/>
    <m/>
    <n v="24254"/>
    <m/>
    <m/>
    <m/>
    <m/>
    <n v="0"/>
    <m/>
    <m/>
    <n v="0"/>
    <n v="0"/>
    <n v="24254"/>
    <m/>
    <m/>
    <m/>
    <m/>
    <n v="0"/>
    <m/>
    <m/>
    <n v="0"/>
    <m/>
    <m/>
    <m/>
    <m/>
    <n v="0"/>
    <n v="24254"/>
  </r>
  <r>
    <x v="11"/>
    <x v="8"/>
    <s v="Allied Health Programs (NR)"/>
    <n v="218858"/>
    <x v="7"/>
    <m/>
    <m/>
    <n v="518809"/>
    <n v="206488"/>
    <m/>
    <m/>
    <m/>
    <m/>
    <n v="0"/>
    <m/>
    <m/>
    <n v="0"/>
    <n v="518809"/>
    <n v="206488"/>
    <m/>
    <m/>
    <m/>
    <m/>
    <n v="0"/>
    <m/>
    <m/>
    <n v="0"/>
    <m/>
    <m/>
    <m/>
    <m/>
    <n v="518809"/>
    <n v="206488"/>
  </r>
  <r>
    <x v="11"/>
    <x v="8"/>
    <s v="Lottery Technology (NR)"/>
    <n v="218858"/>
    <x v="7"/>
    <m/>
    <m/>
    <n v="192599"/>
    <n v="190060"/>
    <m/>
    <m/>
    <m/>
    <m/>
    <n v="0"/>
    <m/>
    <m/>
    <n v="0"/>
    <n v="192599"/>
    <n v="190060"/>
    <m/>
    <m/>
    <m/>
    <m/>
    <n v="0"/>
    <m/>
    <m/>
    <n v="0"/>
    <m/>
    <m/>
    <m/>
    <m/>
    <n v="192599"/>
    <n v="190060"/>
  </r>
  <r>
    <x v="11"/>
    <x v="8"/>
    <s v="Nursing Program (NR)"/>
    <n v="218858"/>
    <x v="7"/>
    <m/>
    <m/>
    <n v="2000000"/>
    <m/>
    <m/>
    <m/>
    <m/>
    <m/>
    <n v="0"/>
    <m/>
    <m/>
    <n v="0"/>
    <n v="2000000"/>
    <n v="0"/>
    <m/>
    <m/>
    <m/>
    <m/>
    <n v="0"/>
    <m/>
    <m/>
    <n v="0"/>
    <m/>
    <m/>
    <m/>
    <m/>
    <n v="2000000"/>
    <n v="0"/>
  </r>
  <r>
    <x v="11"/>
    <x v="0"/>
    <s v="Florence-Darlington Technical College "/>
    <n v="218025"/>
    <x v="7"/>
    <n v="9564414"/>
    <n v="7050862"/>
    <m/>
    <m/>
    <n v="3375127"/>
    <n v="4575219"/>
    <n v="11066913"/>
    <n v="1963582"/>
    <n v="13030495"/>
    <n v="11577221"/>
    <n v="2015226"/>
    <n v="13592447"/>
    <n v="24006454"/>
    <n v="23203302"/>
    <m/>
    <m/>
    <m/>
    <m/>
    <n v="0"/>
    <m/>
    <m/>
    <n v="0"/>
    <m/>
    <m/>
    <m/>
    <m/>
    <n v="24006454"/>
    <n v="23203302"/>
  </r>
  <r>
    <x v="11"/>
    <x v="8"/>
    <s v="Special Line items for education operations"/>
    <n v="21802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Entrepreneurial Operations Equipment"/>
    <n v="218025"/>
    <x v="7"/>
    <m/>
    <m/>
    <n v="500000"/>
    <n v="390079"/>
    <m/>
    <m/>
    <m/>
    <m/>
    <n v="0"/>
    <m/>
    <m/>
    <n v="0"/>
    <n v="500000"/>
    <n v="390079"/>
    <m/>
    <m/>
    <m/>
    <m/>
    <n v="0"/>
    <m/>
    <m/>
    <n v="0"/>
    <m/>
    <m/>
    <m/>
    <m/>
    <n v="500000"/>
    <n v="390079"/>
  </r>
  <r>
    <x v="11"/>
    <x v="8"/>
    <s v="SIMT"/>
    <n v="218025"/>
    <x v="7"/>
    <m/>
    <m/>
    <n v="1500000"/>
    <n v="1170238"/>
    <m/>
    <m/>
    <m/>
    <m/>
    <n v="0"/>
    <m/>
    <m/>
    <n v="0"/>
    <n v="1500000"/>
    <n v="1170238"/>
    <m/>
    <m/>
    <m/>
    <m/>
    <n v="0"/>
    <m/>
    <m/>
    <n v="0"/>
    <m/>
    <m/>
    <m/>
    <m/>
    <n v="1500000"/>
    <n v="1170238"/>
  </r>
  <r>
    <x v="11"/>
    <x v="8"/>
    <s v="Pathways to Prosperity"/>
    <n v="218025"/>
    <x v="7"/>
    <m/>
    <m/>
    <n v="62500"/>
    <n v="48760"/>
    <m/>
    <m/>
    <m/>
    <m/>
    <n v="0"/>
    <m/>
    <m/>
    <n v="0"/>
    <n v="62500"/>
    <n v="48760"/>
    <m/>
    <m/>
    <m/>
    <m/>
    <n v="0"/>
    <m/>
    <m/>
    <n v="0"/>
    <m/>
    <m/>
    <m/>
    <m/>
    <n v="62500"/>
    <n v="48760"/>
  </r>
  <r>
    <x v="11"/>
    <x v="8"/>
    <s v="Access &amp; Equity"/>
    <n v="218025"/>
    <x v="7"/>
    <m/>
    <m/>
    <n v="4287"/>
    <n v="8327"/>
    <m/>
    <m/>
    <m/>
    <m/>
    <n v="0"/>
    <m/>
    <m/>
    <n v="0"/>
    <n v="4287"/>
    <n v="8327"/>
    <m/>
    <m/>
    <m/>
    <m/>
    <n v="0"/>
    <m/>
    <m/>
    <n v="0"/>
    <m/>
    <m/>
    <m/>
    <m/>
    <n v="4287"/>
    <n v="8327"/>
  </r>
  <r>
    <x v="11"/>
    <x v="8"/>
    <s v="Academic Endowment"/>
    <n v="218025"/>
    <x v="7"/>
    <m/>
    <m/>
    <n v="0"/>
    <n v="1"/>
    <m/>
    <m/>
    <m/>
    <m/>
    <n v="0"/>
    <m/>
    <m/>
    <n v="0"/>
    <n v="0"/>
    <n v="1"/>
    <m/>
    <m/>
    <m/>
    <m/>
    <n v="0"/>
    <m/>
    <m/>
    <n v="0"/>
    <m/>
    <m/>
    <m/>
    <m/>
    <n v="0"/>
    <n v="1"/>
  </r>
  <r>
    <x v="11"/>
    <x v="8"/>
    <s v="Critical Needs Nursing Initiative"/>
    <n v="218025"/>
    <x v="7"/>
    <m/>
    <m/>
    <m/>
    <n v="28873"/>
    <m/>
    <m/>
    <m/>
    <m/>
    <n v="0"/>
    <m/>
    <m/>
    <n v="0"/>
    <n v="0"/>
    <n v="28873"/>
    <m/>
    <m/>
    <m/>
    <m/>
    <n v="0"/>
    <m/>
    <m/>
    <n v="0"/>
    <m/>
    <m/>
    <m/>
    <m/>
    <n v="0"/>
    <n v="28873"/>
  </r>
  <r>
    <x v="11"/>
    <x v="8"/>
    <s v="Allied Health Programs (NR)"/>
    <n v="218025"/>
    <x v="7"/>
    <m/>
    <m/>
    <n v="621662"/>
    <n v="246014"/>
    <m/>
    <m/>
    <m/>
    <m/>
    <n v="0"/>
    <m/>
    <m/>
    <n v="0"/>
    <n v="621662"/>
    <n v="246014"/>
    <m/>
    <m/>
    <m/>
    <m/>
    <n v="0"/>
    <m/>
    <m/>
    <n v="0"/>
    <m/>
    <m/>
    <m/>
    <m/>
    <n v="621662"/>
    <n v="246014"/>
  </r>
  <r>
    <x v="11"/>
    <x v="8"/>
    <s v="Lottery Technology (NR)"/>
    <n v="218025"/>
    <x v="7"/>
    <m/>
    <m/>
    <n v="288618"/>
    <n v="282250"/>
    <m/>
    <m/>
    <m/>
    <m/>
    <n v="0"/>
    <m/>
    <m/>
    <n v="0"/>
    <n v="288618"/>
    <n v="282250"/>
    <m/>
    <m/>
    <m/>
    <m/>
    <n v="0"/>
    <m/>
    <m/>
    <n v="0"/>
    <m/>
    <m/>
    <m/>
    <m/>
    <n v="288618"/>
    <n v="282250"/>
  </r>
  <r>
    <x v="11"/>
    <x v="0"/>
    <s v="Horry-Georgetown Technical College "/>
    <n v="218140"/>
    <x v="7"/>
    <n v="10722887"/>
    <n v="8090339"/>
    <m/>
    <m/>
    <n v="3265000"/>
    <n v="3615000"/>
    <n v="15562245"/>
    <n v="211708"/>
    <n v="15773953"/>
    <n v="17483031"/>
    <n v="203722"/>
    <n v="17686753"/>
    <n v="29550132"/>
    <n v="29188370"/>
    <m/>
    <m/>
    <m/>
    <m/>
    <n v="0"/>
    <m/>
    <m/>
    <n v="0"/>
    <m/>
    <m/>
    <m/>
    <m/>
    <n v="29550132"/>
    <n v="29188370"/>
  </r>
  <r>
    <x v="11"/>
    <x v="8"/>
    <s v="Special Line items for education operations"/>
    <n v="21814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Pathways to Prosperity"/>
    <n v="218140"/>
    <x v="7"/>
    <m/>
    <m/>
    <n v="62500"/>
    <n v="48760"/>
    <m/>
    <m/>
    <m/>
    <m/>
    <n v="0"/>
    <m/>
    <m/>
    <n v="0"/>
    <n v="62500"/>
    <n v="48760"/>
    <m/>
    <m/>
    <m/>
    <m/>
    <n v="0"/>
    <m/>
    <m/>
    <n v="0"/>
    <m/>
    <m/>
    <m/>
    <m/>
    <n v="62500"/>
    <n v="48760"/>
  </r>
  <r>
    <x v="11"/>
    <x v="8"/>
    <s v="Access &amp; Equity"/>
    <n v="218140"/>
    <x v="7"/>
    <m/>
    <m/>
    <n v="4287"/>
    <n v="10625"/>
    <m/>
    <m/>
    <m/>
    <m/>
    <n v="0"/>
    <m/>
    <m/>
    <n v="0"/>
    <n v="4287"/>
    <n v="10625"/>
    <m/>
    <m/>
    <m/>
    <m/>
    <n v="0"/>
    <m/>
    <m/>
    <n v="0"/>
    <m/>
    <m/>
    <m/>
    <m/>
    <n v="4287"/>
    <n v="10625"/>
  </r>
  <r>
    <x v="11"/>
    <x v="8"/>
    <s v="Academic Endowment"/>
    <n v="218140"/>
    <x v="7"/>
    <m/>
    <m/>
    <n v="113"/>
    <n v="358"/>
    <m/>
    <m/>
    <m/>
    <m/>
    <n v="0"/>
    <m/>
    <m/>
    <n v="0"/>
    <n v="113"/>
    <n v="358"/>
    <m/>
    <m/>
    <m/>
    <m/>
    <n v="0"/>
    <m/>
    <m/>
    <n v="0"/>
    <m/>
    <m/>
    <m/>
    <m/>
    <n v="113"/>
    <n v="358"/>
  </r>
  <r>
    <x v="11"/>
    <x v="8"/>
    <s v="Critical Needs Nursing Initiative"/>
    <n v="218140"/>
    <x v="7"/>
    <m/>
    <m/>
    <m/>
    <n v="22958"/>
    <m/>
    <m/>
    <m/>
    <m/>
    <n v="0"/>
    <m/>
    <m/>
    <n v="0"/>
    <n v="0"/>
    <n v="22958"/>
    <m/>
    <m/>
    <m/>
    <m/>
    <n v="0"/>
    <m/>
    <m/>
    <n v="0"/>
    <m/>
    <m/>
    <m/>
    <m/>
    <n v="0"/>
    <n v="22958"/>
  </r>
  <r>
    <x v="11"/>
    <x v="8"/>
    <s v="Allied Health Programs (NR)"/>
    <n v="218140"/>
    <x v="7"/>
    <m/>
    <m/>
    <n v="659143"/>
    <n v="263855"/>
    <m/>
    <m/>
    <m/>
    <m/>
    <n v="0"/>
    <m/>
    <m/>
    <n v="0"/>
    <n v="659143"/>
    <n v="263855"/>
    <m/>
    <m/>
    <m/>
    <m/>
    <n v="0"/>
    <m/>
    <m/>
    <n v="0"/>
    <m/>
    <m/>
    <m/>
    <m/>
    <n v="659143"/>
    <n v="263855"/>
  </r>
  <r>
    <x v="11"/>
    <x v="8"/>
    <s v="Lottery Technology (NR)"/>
    <n v="218140"/>
    <x v="7"/>
    <m/>
    <m/>
    <n v="323608"/>
    <n v="323860"/>
    <m/>
    <m/>
    <m/>
    <m/>
    <n v="0"/>
    <m/>
    <m/>
    <n v="0"/>
    <n v="323608"/>
    <n v="323860"/>
    <m/>
    <m/>
    <m/>
    <m/>
    <n v="0"/>
    <m/>
    <m/>
    <n v="0"/>
    <m/>
    <m/>
    <m/>
    <m/>
    <n v="323608"/>
    <n v="323860"/>
  </r>
  <r>
    <x v="11"/>
    <x v="0"/>
    <s v="Orangeburg-Calhoun Technical College "/>
    <n v="218487"/>
    <x v="7"/>
    <n v="6098811"/>
    <n v="4506504"/>
    <m/>
    <m/>
    <n v="1841700"/>
    <n v="1910027"/>
    <n v="7526752"/>
    <n v="0"/>
    <n v="7526752"/>
    <n v="7509131"/>
    <n v="0"/>
    <n v="7509131"/>
    <n v="15467263"/>
    <n v="13925662"/>
    <m/>
    <m/>
    <m/>
    <m/>
    <n v="0"/>
    <m/>
    <m/>
    <n v="0"/>
    <m/>
    <m/>
    <m/>
    <m/>
    <n v="15467263"/>
    <n v="13925662"/>
  </r>
  <r>
    <x v="11"/>
    <x v="8"/>
    <s v="Special Line items for education operations"/>
    <n v="21848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Pathways to Prosperity"/>
    <n v="218487"/>
    <x v="7"/>
    <m/>
    <m/>
    <n v="62500"/>
    <n v="48760"/>
    <m/>
    <m/>
    <m/>
    <m/>
    <n v="0"/>
    <m/>
    <m/>
    <n v="0"/>
    <n v="62500"/>
    <n v="48760"/>
    <m/>
    <m/>
    <m/>
    <m/>
    <n v="0"/>
    <m/>
    <m/>
    <n v="0"/>
    <m/>
    <m/>
    <m/>
    <m/>
    <n v="62500"/>
    <n v="48760"/>
  </r>
  <r>
    <x v="11"/>
    <x v="8"/>
    <s v="Access &amp; Equity"/>
    <n v="218487"/>
    <x v="7"/>
    <m/>
    <m/>
    <n v="4287"/>
    <n v="6387"/>
    <m/>
    <m/>
    <m/>
    <m/>
    <n v="0"/>
    <m/>
    <m/>
    <n v="0"/>
    <n v="4287"/>
    <n v="6387"/>
    <m/>
    <m/>
    <m/>
    <m/>
    <n v="0"/>
    <m/>
    <m/>
    <n v="0"/>
    <m/>
    <m/>
    <m/>
    <m/>
    <n v="4287"/>
    <n v="6387"/>
  </r>
  <r>
    <x v="11"/>
    <x v="8"/>
    <s v="Academic Endowment"/>
    <n v="218487"/>
    <x v="7"/>
    <m/>
    <m/>
    <n v="276"/>
    <n v="166"/>
    <m/>
    <m/>
    <m/>
    <m/>
    <n v="0"/>
    <m/>
    <m/>
    <n v="0"/>
    <n v="276"/>
    <n v="166"/>
    <m/>
    <m/>
    <m/>
    <m/>
    <n v="0"/>
    <m/>
    <m/>
    <n v="0"/>
    <m/>
    <m/>
    <m/>
    <m/>
    <n v="276"/>
    <n v="166"/>
  </r>
  <r>
    <x v="11"/>
    <x v="8"/>
    <s v="Critical Needs Nursing Initiative"/>
    <n v="218487"/>
    <x v="7"/>
    <m/>
    <m/>
    <n v="28414"/>
    <n v="22806"/>
    <m/>
    <m/>
    <m/>
    <m/>
    <n v="0"/>
    <m/>
    <m/>
    <n v="0"/>
    <n v="28414"/>
    <n v="22806"/>
    <m/>
    <m/>
    <m/>
    <m/>
    <n v="0"/>
    <m/>
    <m/>
    <n v="0"/>
    <m/>
    <m/>
    <m/>
    <m/>
    <n v="28414"/>
    <n v="22806"/>
  </r>
  <r>
    <x v="11"/>
    <x v="8"/>
    <s v="Allied Health Programs (NR)"/>
    <n v="218487"/>
    <x v="7"/>
    <m/>
    <m/>
    <n v="509660"/>
    <n v="202345"/>
    <m/>
    <m/>
    <m/>
    <m/>
    <n v="0"/>
    <m/>
    <m/>
    <n v="0"/>
    <n v="509660"/>
    <n v="202345"/>
    <m/>
    <m/>
    <m/>
    <m/>
    <n v="0"/>
    <m/>
    <m/>
    <n v="0"/>
    <m/>
    <m/>
    <m/>
    <m/>
    <n v="509660"/>
    <n v="202345"/>
  </r>
  <r>
    <x v="11"/>
    <x v="8"/>
    <s v="Trucking Program (NR)"/>
    <n v="218487"/>
    <x v="7"/>
    <m/>
    <m/>
    <n v="200000"/>
    <m/>
    <m/>
    <m/>
    <m/>
    <m/>
    <n v="0"/>
    <m/>
    <m/>
    <n v="0"/>
    <n v="200000"/>
    <n v="0"/>
    <m/>
    <m/>
    <m/>
    <m/>
    <n v="0"/>
    <m/>
    <m/>
    <n v="0"/>
    <m/>
    <m/>
    <m/>
    <m/>
    <n v="200000"/>
    <n v="0"/>
  </r>
  <r>
    <x v="11"/>
    <x v="8"/>
    <s v="Lottery Technology (NR)"/>
    <n v="218487"/>
    <x v="7"/>
    <m/>
    <m/>
    <n v="184058"/>
    <n v="180398"/>
    <m/>
    <m/>
    <m/>
    <m/>
    <n v="0"/>
    <m/>
    <m/>
    <n v="0"/>
    <n v="184058"/>
    <n v="180398"/>
    <m/>
    <m/>
    <m/>
    <m/>
    <n v="0"/>
    <m/>
    <m/>
    <n v="0"/>
    <m/>
    <m/>
    <m/>
    <m/>
    <n v="184058"/>
    <n v="180398"/>
  </r>
  <r>
    <x v="11"/>
    <x v="0"/>
    <s v="Piedmont Technical College "/>
    <n v="218520"/>
    <x v="7"/>
    <n v="10039758"/>
    <n v="7674707"/>
    <m/>
    <m/>
    <n v="1955993"/>
    <n v="2115234"/>
    <n v="13920285"/>
    <n v="0"/>
    <n v="13920285"/>
    <n v="15262751"/>
    <n v="0"/>
    <n v="15262751"/>
    <n v="25916036"/>
    <n v="25052692"/>
    <m/>
    <m/>
    <m/>
    <m/>
    <n v="0"/>
    <m/>
    <m/>
    <n v="0"/>
    <m/>
    <m/>
    <m/>
    <m/>
    <n v="25916036"/>
    <n v="25052692"/>
  </r>
  <r>
    <x v="11"/>
    <x v="8"/>
    <s v="Special Line items for education operations"/>
    <n v="21852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Pathways to Prosperity"/>
    <n v="218520"/>
    <x v="7"/>
    <m/>
    <m/>
    <n v="62500"/>
    <n v="48760"/>
    <m/>
    <m/>
    <m/>
    <m/>
    <n v="0"/>
    <m/>
    <m/>
    <n v="0"/>
    <n v="62500"/>
    <n v="48760"/>
    <m/>
    <m/>
    <m/>
    <m/>
    <n v="0"/>
    <m/>
    <m/>
    <n v="0"/>
    <m/>
    <m/>
    <m/>
    <m/>
    <n v="62500"/>
    <n v="48760"/>
  </r>
  <r>
    <x v="11"/>
    <x v="8"/>
    <s v="Access &amp; Equity"/>
    <n v="218520"/>
    <x v="7"/>
    <m/>
    <m/>
    <n v="4287"/>
    <n v="9478"/>
    <m/>
    <m/>
    <m/>
    <m/>
    <n v="0"/>
    <m/>
    <m/>
    <n v="0"/>
    <n v="4287"/>
    <n v="9478"/>
    <m/>
    <m/>
    <m/>
    <m/>
    <n v="0"/>
    <m/>
    <m/>
    <n v="0"/>
    <m/>
    <m/>
    <m/>
    <m/>
    <n v="4287"/>
    <n v="9478"/>
  </r>
  <r>
    <x v="11"/>
    <x v="8"/>
    <s v="Academic Endowment"/>
    <n v="218520"/>
    <x v="7"/>
    <m/>
    <m/>
    <n v="713"/>
    <n v="445"/>
    <m/>
    <m/>
    <m/>
    <m/>
    <n v="0"/>
    <m/>
    <m/>
    <n v="0"/>
    <n v="713"/>
    <n v="445"/>
    <m/>
    <m/>
    <m/>
    <m/>
    <n v="0"/>
    <m/>
    <m/>
    <n v="0"/>
    <m/>
    <m/>
    <m/>
    <m/>
    <n v="713"/>
    <n v="445"/>
  </r>
  <r>
    <x v="11"/>
    <x v="8"/>
    <s v="Critical Needs Nursing Initiative"/>
    <n v="218520"/>
    <x v="7"/>
    <m/>
    <m/>
    <n v="23248"/>
    <n v="51048"/>
    <m/>
    <m/>
    <m/>
    <m/>
    <n v="0"/>
    <m/>
    <m/>
    <n v="0"/>
    <n v="23248"/>
    <n v="51048"/>
    <m/>
    <m/>
    <m/>
    <m/>
    <n v="0"/>
    <m/>
    <m/>
    <n v="0"/>
    <m/>
    <m/>
    <m/>
    <m/>
    <n v="23248"/>
    <n v="51048"/>
  </r>
  <r>
    <x v="11"/>
    <x v="8"/>
    <s v="Allied Health Programs (NR)"/>
    <n v="218520"/>
    <x v="7"/>
    <m/>
    <m/>
    <n v="639056"/>
    <n v="256722"/>
    <m/>
    <m/>
    <m/>
    <m/>
    <n v="0"/>
    <m/>
    <m/>
    <n v="0"/>
    <n v="639056"/>
    <n v="256722"/>
    <m/>
    <m/>
    <m/>
    <m/>
    <n v="0"/>
    <m/>
    <m/>
    <n v="0"/>
    <m/>
    <m/>
    <m/>
    <m/>
    <n v="639056"/>
    <n v="256722"/>
  </r>
  <r>
    <x v="11"/>
    <x v="8"/>
    <s v="Pottery Program (NR)"/>
    <n v="218520"/>
    <x v="7"/>
    <m/>
    <m/>
    <n v="150000"/>
    <m/>
    <m/>
    <m/>
    <m/>
    <m/>
    <n v="0"/>
    <m/>
    <m/>
    <n v="0"/>
    <n v="150000"/>
    <n v="0"/>
    <m/>
    <m/>
    <m/>
    <m/>
    <n v="0"/>
    <m/>
    <m/>
    <n v="0"/>
    <m/>
    <m/>
    <m/>
    <m/>
    <n v="150000"/>
    <n v="0"/>
  </r>
  <r>
    <x v="11"/>
    <x v="8"/>
    <s v="Lottery Technology (NR)"/>
    <n v="218520"/>
    <x v="7"/>
    <m/>
    <m/>
    <n v="304856"/>
    <n v="307223"/>
    <m/>
    <m/>
    <m/>
    <m/>
    <n v="0"/>
    <m/>
    <m/>
    <n v="0"/>
    <n v="304856"/>
    <n v="307223"/>
    <m/>
    <m/>
    <m/>
    <m/>
    <n v="0"/>
    <m/>
    <m/>
    <n v="0"/>
    <m/>
    <m/>
    <m/>
    <m/>
    <n v="304856"/>
    <n v="307223"/>
  </r>
  <r>
    <x v="11"/>
    <x v="0"/>
    <s v="Spartanburg Community College "/>
    <n v="218830"/>
    <x v="7"/>
    <n v="9627359"/>
    <n v="7301402"/>
    <m/>
    <m/>
    <n v="3906703"/>
    <n v="3920249"/>
    <n v="14728395"/>
    <n v="1583622"/>
    <n v="16312017"/>
    <n v="16878449"/>
    <n v="1740087"/>
    <n v="18618536"/>
    <n v="28262457"/>
    <n v="28100100"/>
    <m/>
    <m/>
    <m/>
    <m/>
    <n v="0"/>
    <m/>
    <m/>
    <n v="0"/>
    <m/>
    <m/>
    <m/>
    <m/>
    <n v="28262457"/>
    <n v="28100100"/>
  </r>
  <r>
    <x v="11"/>
    <x v="8"/>
    <s v="Special Line items for education operations"/>
    <n v="21883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Spartanburg-Cherokee Expansion"/>
    <n v="218830"/>
    <x v="7"/>
    <n v="1500000"/>
    <n v="1170238"/>
    <m/>
    <m/>
    <m/>
    <m/>
    <m/>
    <m/>
    <n v="0"/>
    <m/>
    <m/>
    <n v="0"/>
    <n v="1500000"/>
    <n v="1170238"/>
    <m/>
    <m/>
    <m/>
    <m/>
    <n v="0"/>
    <m/>
    <m/>
    <n v="0"/>
    <m/>
    <m/>
    <m/>
    <m/>
    <n v="1500000"/>
    <n v="1170238"/>
  </r>
  <r>
    <x v="11"/>
    <x v="8"/>
    <s v="Pathways to Prosperity"/>
    <n v="218830"/>
    <x v="7"/>
    <m/>
    <m/>
    <n v="62500"/>
    <n v="48760"/>
    <m/>
    <m/>
    <m/>
    <m/>
    <n v="0"/>
    <m/>
    <m/>
    <n v="0"/>
    <n v="62500"/>
    <n v="48760"/>
    <m/>
    <m/>
    <m/>
    <m/>
    <n v="0"/>
    <m/>
    <m/>
    <n v="0"/>
    <m/>
    <m/>
    <m/>
    <m/>
    <n v="62500"/>
    <n v="48760"/>
  </r>
  <r>
    <x v="11"/>
    <x v="8"/>
    <s v="Access &amp; Equity"/>
    <n v="218830"/>
    <x v="7"/>
    <m/>
    <m/>
    <n v="4287"/>
    <n v="8954"/>
    <m/>
    <m/>
    <m/>
    <m/>
    <n v="0"/>
    <m/>
    <m/>
    <n v="0"/>
    <n v="4287"/>
    <n v="8954"/>
    <m/>
    <m/>
    <m/>
    <m/>
    <n v="0"/>
    <m/>
    <m/>
    <n v="0"/>
    <m/>
    <m/>
    <m/>
    <m/>
    <n v="4287"/>
    <n v="8954"/>
  </r>
  <r>
    <x v="11"/>
    <x v="8"/>
    <s v="Academic Endowment"/>
    <n v="218830"/>
    <x v="7"/>
    <m/>
    <m/>
    <n v="1545"/>
    <n v="928"/>
    <m/>
    <m/>
    <m/>
    <m/>
    <n v="0"/>
    <m/>
    <m/>
    <n v="0"/>
    <n v="1545"/>
    <n v="928"/>
    <m/>
    <m/>
    <m/>
    <m/>
    <n v="0"/>
    <m/>
    <m/>
    <n v="0"/>
    <m/>
    <m/>
    <m/>
    <m/>
    <n v="1545"/>
    <n v="928"/>
  </r>
  <r>
    <x v="11"/>
    <x v="8"/>
    <s v="Critical Needs Nursing Initiative"/>
    <n v="218830"/>
    <x v="7"/>
    <m/>
    <m/>
    <n v="23248"/>
    <m/>
    <m/>
    <m/>
    <m/>
    <m/>
    <n v="0"/>
    <m/>
    <m/>
    <n v="0"/>
    <n v="23248"/>
    <n v="0"/>
    <m/>
    <m/>
    <m/>
    <m/>
    <n v="0"/>
    <m/>
    <m/>
    <n v="0"/>
    <m/>
    <m/>
    <m/>
    <m/>
    <n v="23248"/>
    <n v="0"/>
  </r>
  <r>
    <x v="11"/>
    <x v="8"/>
    <s v="Allied Health Programs (NR)"/>
    <n v="218830"/>
    <x v="7"/>
    <m/>
    <m/>
    <n v="623912"/>
    <n v="250315"/>
    <m/>
    <m/>
    <m/>
    <m/>
    <n v="0"/>
    <m/>
    <m/>
    <n v="0"/>
    <n v="623912"/>
    <n v="250315"/>
    <m/>
    <m/>
    <m/>
    <m/>
    <n v="0"/>
    <m/>
    <m/>
    <n v="0"/>
    <m/>
    <m/>
    <m/>
    <m/>
    <n v="623912"/>
    <n v="250315"/>
  </r>
  <r>
    <x v="11"/>
    <x v="8"/>
    <s v="Lottery Technology (NR)"/>
    <n v="218830"/>
    <x v="7"/>
    <m/>
    <m/>
    <n v="290717"/>
    <n v="292279"/>
    <m/>
    <m/>
    <m/>
    <m/>
    <n v="0"/>
    <m/>
    <m/>
    <n v="0"/>
    <n v="290717"/>
    <n v="292279"/>
    <m/>
    <m/>
    <m/>
    <m/>
    <n v="0"/>
    <m/>
    <m/>
    <n v="0"/>
    <m/>
    <m/>
    <m/>
    <m/>
    <n v="290717"/>
    <n v="292279"/>
  </r>
  <r>
    <x v="11"/>
    <x v="0"/>
    <s v="Tri-County Technical College "/>
    <n v="218885"/>
    <x v="7"/>
    <n v="9865985"/>
    <n v="7557719"/>
    <m/>
    <m/>
    <n v="3188682"/>
    <n v="3370371"/>
    <n v="13190284"/>
    <n v="1078179"/>
    <n v="14268463"/>
    <n v="15205952"/>
    <n v="1342556"/>
    <n v="16548508"/>
    <n v="26244951"/>
    <n v="26134042"/>
    <m/>
    <m/>
    <m/>
    <m/>
    <n v="0"/>
    <m/>
    <m/>
    <n v="0"/>
    <m/>
    <m/>
    <m/>
    <m/>
    <n v="26244951"/>
    <n v="26134042"/>
  </r>
  <r>
    <x v="11"/>
    <x v="8"/>
    <s v="Special Line items for education operations"/>
    <n v="21888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Pathways to Prosperity"/>
    <n v="218885"/>
    <x v="7"/>
    <m/>
    <m/>
    <n v="62500"/>
    <n v="48760"/>
    <m/>
    <m/>
    <m/>
    <m/>
    <n v="0"/>
    <m/>
    <m/>
    <n v="0"/>
    <n v="62500"/>
    <n v="48760"/>
    <m/>
    <m/>
    <m/>
    <m/>
    <n v="0"/>
    <m/>
    <m/>
    <n v="0"/>
    <m/>
    <m/>
    <m/>
    <m/>
    <n v="62500"/>
    <n v="48760"/>
  </r>
  <r>
    <x v="11"/>
    <x v="8"/>
    <s v="Access &amp; Equity"/>
    <n v="218885"/>
    <x v="7"/>
    <m/>
    <m/>
    <n v="4287"/>
    <n v="9906"/>
    <m/>
    <m/>
    <m/>
    <m/>
    <n v="0"/>
    <m/>
    <m/>
    <n v="0"/>
    <n v="4287"/>
    <n v="9906"/>
    <m/>
    <m/>
    <m/>
    <m/>
    <n v="0"/>
    <m/>
    <m/>
    <n v="0"/>
    <m/>
    <m/>
    <m/>
    <m/>
    <n v="4287"/>
    <n v="9906"/>
  </r>
  <r>
    <x v="11"/>
    <x v="8"/>
    <s v="Academic Endowment"/>
    <n v="218885"/>
    <x v="7"/>
    <m/>
    <m/>
    <n v="8269"/>
    <n v="5629"/>
    <m/>
    <m/>
    <m/>
    <m/>
    <n v="0"/>
    <m/>
    <m/>
    <n v="0"/>
    <n v="8269"/>
    <n v="5629"/>
    <m/>
    <m/>
    <m/>
    <m/>
    <n v="0"/>
    <m/>
    <m/>
    <n v="0"/>
    <m/>
    <m/>
    <m/>
    <m/>
    <n v="8269"/>
    <n v="5629"/>
  </r>
  <r>
    <x v="11"/>
    <x v="8"/>
    <s v="Critical Needs Nursing Initiative"/>
    <n v="218885"/>
    <x v="7"/>
    <m/>
    <m/>
    <n v="33580"/>
    <n v="38590"/>
    <m/>
    <m/>
    <m/>
    <m/>
    <n v="0"/>
    <m/>
    <m/>
    <n v="0"/>
    <n v="33580"/>
    <n v="38590"/>
    <m/>
    <m/>
    <m/>
    <m/>
    <n v="0"/>
    <m/>
    <m/>
    <n v="0"/>
    <m/>
    <m/>
    <m/>
    <m/>
    <n v="33580"/>
    <n v="38590"/>
  </r>
  <r>
    <x v="11"/>
    <x v="8"/>
    <s v="Allied Health Programs (NR)"/>
    <n v="218885"/>
    <x v="7"/>
    <m/>
    <m/>
    <n v="632714"/>
    <n v="254714"/>
    <m/>
    <m/>
    <m/>
    <m/>
    <n v="0"/>
    <m/>
    <m/>
    <n v="0"/>
    <n v="632714"/>
    <n v="254714"/>
    <m/>
    <m/>
    <m/>
    <m/>
    <n v="0"/>
    <m/>
    <m/>
    <n v="0"/>
    <m/>
    <m/>
    <m/>
    <m/>
    <n v="632714"/>
    <n v="254714"/>
  </r>
  <r>
    <x v="11"/>
    <x v="8"/>
    <s v="Lottery Technology (NR)"/>
    <n v="218885"/>
    <x v="7"/>
    <m/>
    <m/>
    <n v="298935"/>
    <n v="302540"/>
    <m/>
    <m/>
    <m/>
    <m/>
    <n v="0"/>
    <m/>
    <m/>
    <n v="0"/>
    <n v="298935"/>
    <n v="302540"/>
    <m/>
    <m/>
    <m/>
    <m/>
    <n v="0"/>
    <m/>
    <m/>
    <n v="0"/>
    <m/>
    <m/>
    <m/>
    <m/>
    <n v="298935"/>
    <n v="302540"/>
  </r>
  <r>
    <x v="11"/>
    <x v="0"/>
    <s v="York Technical College "/>
    <n v="218991"/>
    <x v="7"/>
    <n v="8664475"/>
    <n v="6677333"/>
    <m/>
    <m/>
    <n v="3149423"/>
    <n v="3608123"/>
    <n v="14351435"/>
    <n v="0"/>
    <n v="14351435"/>
    <n v="16862562"/>
    <n v="0"/>
    <n v="16862562"/>
    <n v="26165333"/>
    <n v="27148018"/>
    <m/>
    <m/>
    <m/>
    <m/>
    <n v="0"/>
    <m/>
    <m/>
    <n v="0"/>
    <m/>
    <m/>
    <m/>
    <m/>
    <n v="26165333"/>
    <n v="27148018"/>
  </r>
  <r>
    <x v="11"/>
    <x v="8"/>
    <s v="Special Line items for education operations"/>
    <n v="218991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Pathways to Prosperity"/>
    <n v="218991"/>
    <x v="7"/>
    <m/>
    <m/>
    <n v="62500"/>
    <n v="48760"/>
    <m/>
    <m/>
    <m/>
    <m/>
    <n v="0"/>
    <m/>
    <m/>
    <n v="0"/>
    <n v="62500"/>
    <n v="48760"/>
    <m/>
    <m/>
    <m/>
    <m/>
    <n v="0"/>
    <m/>
    <m/>
    <n v="0"/>
    <m/>
    <m/>
    <m/>
    <m/>
    <n v="62500"/>
    <n v="48760"/>
  </r>
  <r>
    <x v="11"/>
    <x v="8"/>
    <s v="Access &amp; Equity"/>
    <n v="218991"/>
    <x v="7"/>
    <m/>
    <m/>
    <n v="4287"/>
    <n v="9293"/>
    <m/>
    <m/>
    <m/>
    <m/>
    <n v="0"/>
    <m/>
    <m/>
    <n v="0"/>
    <n v="4287"/>
    <n v="9293"/>
    <m/>
    <m/>
    <m/>
    <m/>
    <n v="0"/>
    <m/>
    <m/>
    <n v="0"/>
    <m/>
    <m/>
    <m/>
    <m/>
    <n v="4287"/>
    <n v="9293"/>
  </r>
  <r>
    <x v="11"/>
    <x v="8"/>
    <s v="Academic Endowment"/>
    <n v="218991"/>
    <x v="7"/>
    <m/>
    <m/>
    <n v="52"/>
    <n v="1337"/>
    <m/>
    <m/>
    <m/>
    <m/>
    <n v="0"/>
    <m/>
    <m/>
    <n v="0"/>
    <n v="52"/>
    <n v="1337"/>
    <m/>
    <m/>
    <m/>
    <m/>
    <n v="0"/>
    <m/>
    <m/>
    <n v="0"/>
    <m/>
    <m/>
    <m/>
    <m/>
    <n v="52"/>
    <n v="1337"/>
  </r>
  <r>
    <x v="11"/>
    <x v="8"/>
    <s v="Critical Needs Nursing Initiative"/>
    <n v="218991"/>
    <x v="7"/>
    <m/>
    <m/>
    <n v="30997"/>
    <n v="9728"/>
    <m/>
    <m/>
    <m/>
    <m/>
    <n v="0"/>
    <m/>
    <m/>
    <n v="0"/>
    <n v="30997"/>
    <n v="9728"/>
    <m/>
    <m/>
    <m/>
    <m/>
    <n v="0"/>
    <m/>
    <m/>
    <n v="0"/>
    <m/>
    <m/>
    <m/>
    <m/>
    <n v="30997"/>
    <n v="9728"/>
  </r>
  <r>
    <x v="11"/>
    <x v="8"/>
    <s v="Allied Health Programs (NR)"/>
    <n v="218991"/>
    <x v="7"/>
    <m/>
    <m/>
    <n v="590614"/>
    <n v="239604"/>
    <m/>
    <m/>
    <m/>
    <m/>
    <n v="0"/>
    <m/>
    <m/>
    <n v="0"/>
    <n v="590614"/>
    <n v="239604"/>
    <m/>
    <m/>
    <m/>
    <m/>
    <n v="0"/>
    <m/>
    <m/>
    <n v="0"/>
    <m/>
    <m/>
    <m/>
    <m/>
    <n v="590614"/>
    <n v="239604"/>
  </r>
  <r>
    <x v="11"/>
    <x v="8"/>
    <s v="Chester Technology (NR)"/>
    <n v="218991"/>
    <x v="7"/>
    <m/>
    <m/>
    <n v="500000"/>
    <m/>
    <m/>
    <m/>
    <m/>
    <m/>
    <n v="0"/>
    <m/>
    <m/>
    <n v="0"/>
    <n v="500000"/>
    <n v="0"/>
    <m/>
    <m/>
    <m/>
    <m/>
    <n v="0"/>
    <m/>
    <m/>
    <n v="0"/>
    <m/>
    <m/>
    <m/>
    <m/>
    <n v="500000"/>
    <n v="0"/>
  </r>
  <r>
    <x v="11"/>
    <x v="8"/>
    <s v="Lottery Technology (NR)"/>
    <n v="218991"/>
    <x v="7"/>
    <m/>
    <m/>
    <n v="259635"/>
    <n v="267296"/>
    <m/>
    <m/>
    <m/>
    <m/>
    <n v="0"/>
    <m/>
    <m/>
    <n v="0"/>
    <n v="259635"/>
    <n v="267296"/>
    <m/>
    <m/>
    <m/>
    <m/>
    <n v="0"/>
    <m/>
    <m/>
    <n v="0"/>
    <m/>
    <m/>
    <m/>
    <m/>
    <n v="259635"/>
    <n v="267296"/>
  </r>
  <r>
    <x v="11"/>
    <x v="0"/>
    <s v="Denmark Technical College "/>
    <n v="217989"/>
    <x v="8"/>
    <n v="4220922"/>
    <n v="3146789"/>
    <m/>
    <m/>
    <n v="7000"/>
    <n v="8000"/>
    <n v="2051273"/>
    <n v="0"/>
    <n v="2051273"/>
    <n v="2124963"/>
    <n v="0"/>
    <n v="2124963"/>
    <n v="6279195"/>
    <n v="5279752"/>
    <m/>
    <m/>
    <m/>
    <m/>
    <n v="0"/>
    <m/>
    <m/>
    <n v="0"/>
    <m/>
    <m/>
    <m/>
    <m/>
    <n v="6279195"/>
    <n v="5279752"/>
  </r>
  <r>
    <x v="11"/>
    <x v="8"/>
    <s v="Special Line items for education operations"/>
    <n v="217989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Pathways to Prosperity"/>
    <n v="217989"/>
    <x v="8"/>
    <m/>
    <m/>
    <n v="62500"/>
    <n v="48760"/>
    <m/>
    <m/>
    <m/>
    <m/>
    <n v="0"/>
    <m/>
    <m/>
    <n v="0"/>
    <n v="62500"/>
    <n v="48760"/>
    <m/>
    <m/>
    <m/>
    <m/>
    <n v="0"/>
    <m/>
    <m/>
    <n v="0"/>
    <m/>
    <m/>
    <m/>
    <m/>
    <n v="62500"/>
    <n v="48760"/>
  </r>
  <r>
    <x v="11"/>
    <x v="8"/>
    <s v="Access &amp; Equity"/>
    <n v="217989"/>
    <x v="8"/>
    <m/>
    <m/>
    <n v="26309"/>
    <n v="22806"/>
    <m/>
    <m/>
    <m/>
    <m/>
    <n v="0"/>
    <m/>
    <m/>
    <n v="0"/>
    <n v="26309"/>
    <n v="22806"/>
    <m/>
    <m/>
    <m/>
    <m/>
    <n v="0"/>
    <m/>
    <m/>
    <n v="0"/>
    <m/>
    <m/>
    <m/>
    <m/>
    <n v="26309"/>
    <n v="22806"/>
  </r>
  <r>
    <x v="11"/>
    <x v="8"/>
    <s v="Allied Health Programs (NR)"/>
    <n v="217989"/>
    <x v="8"/>
    <m/>
    <m/>
    <n v="419525"/>
    <n v="167378"/>
    <m/>
    <m/>
    <m/>
    <m/>
    <n v="0"/>
    <m/>
    <m/>
    <n v="0"/>
    <n v="419525"/>
    <n v="167378"/>
    <m/>
    <m/>
    <m/>
    <m/>
    <n v="0"/>
    <m/>
    <m/>
    <n v="0"/>
    <m/>
    <m/>
    <m/>
    <m/>
    <n v="419525"/>
    <n v="167378"/>
  </r>
  <r>
    <x v="11"/>
    <x v="8"/>
    <s v="Lottery Technology (NR)"/>
    <n v="217989"/>
    <x v="8"/>
    <m/>
    <m/>
    <n v="110787"/>
    <n v="110787"/>
    <m/>
    <m/>
    <m/>
    <m/>
    <n v="0"/>
    <m/>
    <m/>
    <n v="0"/>
    <n v="110787"/>
    <n v="110787"/>
    <m/>
    <m/>
    <m/>
    <m/>
    <n v="0"/>
    <m/>
    <m/>
    <n v="0"/>
    <m/>
    <m/>
    <m/>
    <m/>
    <n v="110787"/>
    <n v="110787"/>
  </r>
  <r>
    <x v="11"/>
    <x v="0"/>
    <s v="Northeastern Technical College"/>
    <n v="217837"/>
    <x v="8"/>
    <n v="2837994"/>
    <n v="2082112"/>
    <m/>
    <m/>
    <n v="713478"/>
    <n v="678940"/>
    <n v="2841770"/>
    <n v="0"/>
    <n v="2841770"/>
    <n v="2959254"/>
    <n v="0"/>
    <n v="2959254"/>
    <n v="6393242"/>
    <n v="5720306"/>
    <m/>
    <m/>
    <m/>
    <m/>
    <n v="0"/>
    <m/>
    <m/>
    <n v="0"/>
    <m/>
    <m/>
    <m/>
    <m/>
    <n v="6393242"/>
    <n v="5720306"/>
  </r>
  <r>
    <x v="11"/>
    <x v="8"/>
    <s v="Special Line items for education operations"/>
    <n v="21783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Pathways to Prosperity"/>
    <n v="217837"/>
    <x v="8"/>
    <m/>
    <m/>
    <n v="62500"/>
    <n v="48760"/>
    <m/>
    <m/>
    <m/>
    <m/>
    <n v="0"/>
    <m/>
    <m/>
    <n v="0"/>
    <n v="62500"/>
    <n v="48760"/>
    <m/>
    <m/>
    <m/>
    <m/>
    <n v="0"/>
    <m/>
    <m/>
    <n v="0"/>
    <m/>
    <m/>
    <m/>
    <m/>
    <n v="62500"/>
    <n v="48760"/>
  </r>
  <r>
    <x v="11"/>
    <x v="8"/>
    <s v="Access &amp; Equity"/>
    <n v="217837"/>
    <x v="8"/>
    <m/>
    <m/>
    <n v="4287"/>
    <n v="4613"/>
    <m/>
    <m/>
    <m/>
    <m/>
    <n v="0"/>
    <m/>
    <m/>
    <n v="0"/>
    <n v="4287"/>
    <n v="4613"/>
    <m/>
    <m/>
    <m/>
    <m/>
    <n v="0"/>
    <m/>
    <m/>
    <n v="0"/>
    <m/>
    <m/>
    <m/>
    <m/>
    <n v="4287"/>
    <n v="4613"/>
  </r>
  <r>
    <x v="11"/>
    <x v="8"/>
    <s v="Academic Endowment"/>
    <n v="217837"/>
    <x v="8"/>
    <m/>
    <m/>
    <n v="69"/>
    <n v="48"/>
    <m/>
    <m/>
    <m/>
    <m/>
    <n v="0"/>
    <m/>
    <m/>
    <n v="0"/>
    <n v="69"/>
    <n v="48"/>
    <m/>
    <m/>
    <m/>
    <m/>
    <n v="0"/>
    <m/>
    <m/>
    <n v="0"/>
    <m/>
    <m/>
    <m/>
    <m/>
    <n v="69"/>
    <n v="48"/>
  </r>
  <r>
    <x v="11"/>
    <x v="8"/>
    <s v="Allied Health Programs (NR)"/>
    <n v="217837"/>
    <x v="8"/>
    <m/>
    <m/>
    <n v="403824"/>
    <n v="160735"/>
    <m/>
    <m/>
    <m/>
    <m/>
    <n v="0"/>
    <m/>
    <m/>
    <n v="0"/>
    <n v="403824"/>
    <n v="160735"/>
    <m/>
    <m/>
    <m/>
    <m/>
    <n v="0"/>
    <m/>
    <m/>
    <n v="0"/>
    <m/>
    <m/>
    <m/>
    <m/>
    <n v="403824"/>
    <n v="160735"/>
  </r>
  <r>
    <x v="11"/>
    <x v="8"/>
    <s v="Lottery Technology (NR)"/>
    <n v="217837"/>
    <x v="8"/>
    <m/>
    <n v="3786346"/>
    <n v="110787"/>
    <n v="110787"/>
    <m/>
    <m/>
    <m/>
    <m/>
    <n v="0"/>
    <m/>
    <m/>
    <n v="0"/>
    <n v="110787"/>
    <n v="3897133"/>
    <m/>
    <m/>
    <m/>
    <m/>
    <n v="0"/>
    <m/>
    <m/>
    <n v="0"/>
    <m/>
    <m/>
    <m/>
    <m/>
    <n v="110787"/>
    <n v="3897133"/>
  </r>
  <r>
    <x v="11"/>
    <x v="0"/>
    <s v="Technical College of the Lowcountry"/>
    <n v="217712"/>
    <x v="8"/>
    <n v="4731978"/>
    <n v="3786346"/>
    <m/>
    <m/>
    <n v="2444233"/>
    <n v="2541483"/>
    <n v="5692435"/>
    <n v="55176"/>
    <n v="5747611"/>
    <n v="5722232"/>
    <n v="100396"/>
    <n v="5822628"/>
    <n v="12868646"/>
    <n v="12050061"/>
    <m/>
    <m/>
    <m/>
    <m/>
    <n v="0"/>
    <m/>
    <m/>
    <n v="0"/>
    <m/>
    <m/>
    <m/>
    <m/>
    <n v="12868646"/>
    <n v="12050061"/>
  </r>
  <r>
    <x v="11"/>
    <x v="8"/>
    <s v="Special Line items for education operations"/>
    <n v="21771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Pathways to Prosperity"/>
    <n v="217712"/>
    <x v="8"/>
    <m/>
    <m/>
    <n v="62500"/>
    <n v="48760"/>
    <m/>
    <m/>
    <m/>
    <m/>
    <n v="0"/>
    <m/>
    <m/>
    <n v="0"/>
    <n v="62500"/>
    <n v="48760"/>
    <m/>
    <m/>
    <m/>
    <m/>
    <n v="0"/>
    <m/>
    <m/>
    <n v="0"/>
    <m/>
    <m/>
    <m/>
    <m/>
    <n v="62500"/>
    <n v="48760"/>
  </r>
  <r>
    <x v="11"/>
    <x v="8"/>
    <s v="Access &amp; Equity"/>
    <n v="217712"/>
    <x v="8"/>
    <m/>
    <m/>
    <n v="4287"/>
    <n v="5756"/>
    <m/>
    <m/>
    <m/>
    <m/>
    <n v="0"/>
    <m/>
    <m/>
    <n v="0"/>
    <n v="4287"/>
    <n v="5756"/>
    <m/>
    <m/>
    <m/>
    <m/>
    <n v="0"/>
    <m/>
    <m/>
    <n v="0"/>
    <m/>
    <m/>
    <m/>
    <m/>
    <n v="4287"/>
    <n v="5756"/>
  </r>
  <r>
    <x v="11"/>
    <x v="8"/>
    <s v="Academic Endowment"/>
    <n v="217712"/>
    <x v="8"/>
    <m/>
    <m/>
    <n v="1242"/>
    <n v="694"/>
    <m/>
    <m/>
    <m/>
    <m/>
    <n v="0"/>
    <m/>
    <m/>
    <n v="0"/>
    <n v="1242"/>
    <n v="694"/>
    <m/>
    <m/>
    <m/>
    <m/>
    <n v="0"/>
    <m/>
    <m/>
    <n v="0"/>
    <m/>
    <m/>
    <m/>
    <m/>
    <n v="1242"/>
    <n v="694"/>
  </r>
  <r>
    <x v="11"/>
    <x v="8"/>
    <s v="Critical Needs Nursing Initiative"/>
    <n v="217712"/>
    <x v="8"/>
    <m/>
    <m/>
    <n v="20665"/>
    <n v="19472"/>
    <m/>
    <m/>
    <m/>
    <m/>
    <n v="0"/>
    <m/>
    <m/>
    <n v="0"/>
    <n v="20665"/>
    <n v="19472"/>
    <m/>
    <m/>
    <m/>
    <m/>
    <n v="0"/>
    <m/>
    <m/>
    <n v="0"/>
    <m/>
    <m/>
    <m/>
    <m/>
    <n v="20665"/>
    <n v="19472"/>
  </r>
  <r>
    <x v="11"/>
    <x v="8"/>
    <s v="Allied Health Programs (NR)"/>
    <n v="217712"/>
    <x v="8"/>
    <m/>
    <m/>
    <n v="440418"/>
    <n v="176906"/>
    <m/>
    <m/>
    <m/>
    <m/>
    <n v="0"/>
    <m/>
    <m/>
    <n v="0"/>
    <n v="440418"/>
    <n v="176906"/>
    <m/>
    <m/>
    <m/>
    <m/>
    <n v="0"/>
    <m/>
    <m/>
    <n v="0"/>
    <m/>
    <m/>
    <m/>
    <m/>
    <n v="440418"/>
    <n v="176906"/>
  </r>
  <r>
    <x v="11"/>
    <x v="8"/>
    <s v="Nursing Program (NR)"/>
    <n v="217712"/>
    <x v="8"/>
    <m/>
    <m/>
    <n v="250000"/>
    <m/>
    <m/>
    <m/>
    <m/>
    <m/>
    <n v="0"/>
    <m/>
    <m/>
    <n v="0"/>
    <n v="250000"/>
    <n v="0"/>
    <m/>
    <m/>
    <m/>
    <m/>
    <n v="0"/>
    <m/>
    <m/>
    <n v="0"/>
    <m/>
    <m/>
    <m/>
    <m/>
    <n v="250000"/>
    <n v="0"/>
  </r>
  <r>
    <x v="11"/>
    <x v="8"/>
    <s v="Lottery Technology (NR)"/>
    <n v="217712"/>
    <x v="8"/>
    <m/>
    <m/>
    <n v="119417"/>
    <n v="121064"/>
    <m/>
    <m/>
    <m/>
    <m/>
    <n v="0"/>
    <m/>
    <m/>
    <n v="0"/>
    <n v="119417"/>
    <n v="121064"/>
    <m/>
    <m/>
    <m/>
    <m/>
    <n v="0"/>
    <m/>
    <m/>
    <n v="0"/>
    <m/>
    <m/>
    <m/>
    <m/>
    <n v="119417"/>
    <n v="121064"/>
  </r>
  <r>
    <x v="11"/>
    <x v="0"/>
    <s v="University of South Carolina-Lancaster"/>
    <n v="218672"/>
    <x v="8"/>
    <n v="2643788"/>
    <n v="1765000"/>
    <m/>
    <m/>
    <m/>
    <m/>
    <n v="3937316"/>
    <n v="36963"/>
    <n v="3974279"/>
    <n v="4835393"/>
    <n v="42042"/>
    <n v="4877435"/>
    <n v="6581104"/>
    <n v="6600393"/>
    <m/>
    <m/>
    <m/>
    <m/>
    <n v="0"/>
    <m/>
    <m/>
    <n v="0"/>
    <m/>
    <m/>
    <m/>
    <m/>
    <n v="6581104"/>
    <n v="6600393"/>
  </r>
  <r>
    <x v="11"/>
    <x v="0"/>
    <s v="E &amp; G Funds"/>
    <n v="218672"/>
    <x v="8"/>
    <n v="127105"/>
    <m/>
    <m/>
    <m/>
    <m/>
    <m/>
    <m/>
    <m/>
    <n v="0"/>
    <m/>
    <m/>
    <n v="0"/>
    <n v="127105"/>
    <n v="0"/>
    <m/>
    <m/>
    <m/>
    <m/>
    <n v="0"/>
    <m/>
    <m/>
    <n v="0"/>
    <m/>
    <m/>
    <m/>
    <m/>
    <n v="127105"/>
    <n v="0"/>
  </r>
  <r>
    <x v="11"/>
    <x v="0"/>
    <s v="Fringe Benefits"/>
    <n v="218672"/>
    <x v="8"/>
    <m/>
    <n v="354544"/>
    <m/>
    <m/>
    <m/>
    <m/>
    <m/>
    <m/>
    <n v="0"/>
    <m/>
    <m/>
    <n v="0"/>
    <n v="0"/>
    <n v="354544"/>
    <m/>
    <m/>
    <m/>
    <m/>
    <n v="0"/>
    <m/>
    <m/>
    <n v="0"/>
    <m/>
    <m/>
    <m/>
    <m/>
    <n v="0"/>
    <n v="354544"/>
  </r>
  <r>
    <x v="11"/>
    <x v="8"/>
    <s v="Special Line items for education operations"/>
    <n v="21867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Supplmental (NR)"/>
    <n v="218672"/>
    <x v="8"/>
    <m/>
    <n v="100000"/>
    <m/>
    <m/>
    <m/>
    <m/>
    <m/>
    <m/>
    <n v="0"/>
    <m/>
    <m/>
    <n v="0"/>
    <n v="0"/>
    <n v="100000"/>
    <m/>
    <m/>
    <m/>
    <m/>
    <n v="0"/>
    <m/>
    <m/>
    <n v="0"/>
    <m/>
    <m/>
    <m/>
    <m/>
    <n v="0"/>
    <n v="100000"/>
  </r>
  <r>
    <x v="11"/>
    <x v="8"/>
    <s v="Access &amp; Equity"/>
    <n v="218672"/>
    <x v="8"/>
    <m/>
    <m/>
    <n v="6209"/>
    <n v="5269"/>
    <m/>
    <m/>
    <m/>
    <m/>
    <n v="0"/>
    <m/>
    <m/>
    <n v="0"/>
    <n v="6209"/>
    <n v="5269"/>
    <m/>
    <m/>
    <m/>
    <m/>
    <n v="0"/>
    <m/>
    <m/>
    <n v="0"/>
    <m/>
    <m/>
    <m/>
    <m/>
    <n v="6209"/>
    <n v="5269"/>
  </r>
  <r>
    <x v="11"/>
    <x v="8"/>
    <s v="Academic Endowment"/>
    <n v="218672"/>
    <x v="8"/>
    <m/>
    <m/>
    <n v="7473"/>
    <n v="6425"/>
    <m/>
    <m/>
    <m/>
    <m/>
    <n v="0"/>
    <m/>
    <m/>
    <n v="0"/>
    <n v="7473"/>
    <n v="6425"/>
    <m/>
    <m/>
    <m/>
    <m/>
    <n v="0"/>
    <m/>
    <m/>
    <n v="0"/>
    <m/>
    <m/>
    <m/>
    <m/>
    <n v="7473"/>
    <n v="6425"/>
  </r>
  <r>
    <x v="11"/>
    <x v="8"/>
    <s v="Critical Needs Nursing Initiative"/>
    <n v="218672"/>
    <x v="8"/>
    <m/>
    <m/>
    <m/>
    <n v="3143"/>
    <m/>
    <m/>
    <m/>
    <m/>
    <n v="0"/>
    <m/>
    <m/>
    <n v="0"/>
    <n v="0"/>
    <n v="3143"/>
    <m/>
    <m/>
    <m/>
    <m/>
    <n v="0"/>
    <m/>
    <m/>
    <n v="0"/>
    <m/>
    <m/>
    <m/>
    <m/>
    <n v="0"/>
    <n v="3143"/>
  </r>
  <r>
    <x v="11"/>
    <x v="8"/>
    <s v="Lottery Technology (NR)"/>
    <n v="218672"/>
    <x v="8"/>
    <m/>
    <m/>
    <n v="125000"/>
    <n v="125000"/>
    <m/>
    <m/>
    <m/>
    <m/>
    <n v="0"/>
    <m/>
    <m/>
    <n v="0"/>
    <n v="125000"/>
    <n v="125000"/>
    <m/>
    <m/>
    <m/>
    <m/>
    <n v="0"/>
    <m/>
    <m/>
    <n v="0"/>
    <m/>
    <m/>
    <m/>
    <m/>
    <n v="125000"/>
    <n v="125000"/>
  </r>
  <r>
    <x v="11"/>
    <x v="8"/>
    <s v="Repairs &amp; Renovations"/>
    <n v="218672"/>
    <x v="8"/>
    <m/>
    <m/>
    <n v="800000"/>
    <m/>
    <m/>
    <m/>
    <m/>
    <m/>
    <n v="0"/>
    <m/>
    <m/>
    <n v="0"/>
    <n v="800000"/>
    <n v="0"/>
    <m/>
    <m/>
    <m/>
    <m/>
    <n v="0"/>
    <m/>
    <m/>
    <n v="0"/>
    <m/>
    <m/>
    <m/>
    <m/>
    <n v="800000"/>
    <n v="0"/>
  </r>
  <r>
    <x v="11"/>
    <x v="0"/>
    <s v="University of South Carolina-Salkehatchie"/>
    <n v="218681"/>
    <x v="8"/>
    <n v="2190477"/>
    <n v="1520460"/>
    <m/>
    <m/>
    <m/>
    <m/>
    <n v="2675720"/>
    <n v="19308"/>
    <n v="2695028"/>
    <n v="3412159"/>
    <n v="23217"/>
    <n v="3435376"/>
    <n v="4866197"/>
    <n v="4932619"/>
    <m/>
    <m/>
    <m/>
    <m/>
    <n v="0"/>
    <m/>
    <m/>
    <n v="0"/>
    <m/>
    <m/>
    <m/>
    <m/>
    <n v="4866197"/>
    <n v="4932619"/>
  </r>
  <r>
    <x v="11"/>
    <x v="0"/>
    <s v="E &amp; G Funds"/>
    <n v="218681"/>
    <x v="8"/>
    <n v="84575"/>
    <m/>
    <m/>
    <m/>
    <m/>
    <m/>
    <m/>
    <m/>
    <n v="0"/>
    <m/>
    <m/>
    <n v="0"/>
    <n v="84575"/>
    <n v="0"/>
    <m/>
    <m/>
    <m/>
    <m/>
    <n v="0"/>
    <m/>
    <m/>
    <n v="0"/>
    <m/>
    <m/>
    <m/>
    <m/>
    <n v="84575"/>
    <n v="0"/>
  </r>
  <r>
    <x v="11"/>
    <x v="0"/>
    <s v="Fringe Benefits"/>
    <n v="218681"/>
    <x v="8"/>
    <m/>
    <n v="288592"/>
    <m/>
    <m/>
    <m/>
    <m/>
    <m/>
    <m/>
    <n v="0"/>
    <m/>
    <m/>
    <n v="0"/>
    <n v="0"/>
    <n v="288592"/>
    <m/>
    <m/>
    <m/>
    <m/>
    <n v="0"/>
    <m/>
    <m/>
    <n v="0"/>
    <m/>
    <m/>
    <m/>
    <m/>
    <n v="0"/>
    <n v="288592"/>
  </r>
  <r>
    <x v="11"/>
    <x v="3"/>
    <s v="Community or public service units"/>
    <n v="218681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3"/>
    <s v="  Salkehatchie Leadership Center"/>
    <n v="218681"/>
    <x v="8"/>
    <m/>
    <m/>
    <n v="100460"/>
    <n v="100460"/>
    <m/>
    <m/>
    <m/>
    <m/>
    <n v="0"/>
    <m/>
    <m/>
    <n v="0"/>
    <n v="100460"/>
    <n v="100460"/>
    <m/>
    <m/>
    <m/>
    <m/>
    <n v="0"/>
    <m/>
    <m/>
    <n v="0"/>
    <m/>
    <m/>
    <m/>
    <m/>
    <n v="100460"/>
    <n v="100460"/>
  </r>
  <r>
    <x v="11"/>
    <x v="8"/>
    <s v="Special Line items for education operations"/>
    <n v="218681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Access &amp; Equity"/>
    <n v="218681"/>
    <x v="8"/>
    <m/>
    <m/>
    <n v="5707"/>
    <n v="4530"/>
    <m/>
    <m/>
    <m/>
    <m/>
    <n v="0"/>
    <m/>
    <m/>
    <n v="0"/>
    <n v="5707"/>
    <n v="4530"/>
    <m/>
    <m/>
    <m/>
    <m/>
    <n v="0"/>
    <m/>
    <m/>
    <n v="0"/>
    <m/>
    <m/>
    <m/>
    <m/>
    <n v="5707"/>
    <n v="4530"/>
  </r>
  <r>
    <x v="11"/>
    <x v="8"/>
    <s v="Academic Endowment"/>
    <n v="218681"/>
    <x v="8"/>
    <m/>
    <m/>
    <n v="772"/>
    <n v="488"/>
    <m/>
    <m/>
    <m/>
    <m/>
    <n v="0"/>
    <m/>
    <m/>
    <n v="0"/>
    <n v="772"/>
    <n v="488"/>
    <m/>
    <m/>
    <m/>
    <m/>
    <n v="0"/>
    <m/>
    <m/>
    <n v="0"/>
    <m/>
    <m/>
    <m/>
    <m/>
    <n v="772"/>
    <n v="488"/>
  </r>
  <r>
    <x v="11"/>
    <x v="8"/>
    <s v="Lottery Technology (NR)"/>
    <n v="218681"/>
    <x v="8"/>
    <m/>
    <m/>
    <n v="125000"/>
    <n v="125000"/>
    <m/>
    <m/>
    <m/>
    <m/>
    <n v="0"/>
    <m/>
    <m/>
    <n v="0"/>
    <n v="125000"/>
    <n v="125000"/>
    <m/>
    <m/>
    <m/>
    <m/>
    <n v="0"/>
    <m/>
    <m/>
    <n v="0"/>
    <m/>
    <m/>
    <m/>
    <m/>
    <n v="125000"/>
    <n v="125000"/>
  </r>
  <r>
    <x v="11"/>
    <x v="0"/>
    <s v="University of South Carolina-Sumter"/>
    <n v="218690"/>
    <x v="8"/>
    <n v="4279629"/>
    <n v="2800000"/>
    <m/>
    <m/>
    <m/>
    <m/>
    <n v="3710655"/>
    <n v="70480"/>
    <n v="3781135"/>
    <n v="4479392"/>
    <n v="75879"/>
    <n v="4555271"/>
    <n v="7990284"/>
    <n v="7279392"/>
    <m/>
    <m/>
    <m/>
    <m/>
    <n v="0"/>
    <m/>
    <m/>
    <n v="0"/>
    <m/>
    <m/>
    <m/>
    <m/>
    <n v="7990284"/>
    <n v="7279392"/>
  </r>
  <r>
    <x v="11"/>
    <x v="0"/>
    <s v="E &amp; G Funds"/>
    <n v="218690"/>
    <x v="8"/>
    <n v="129061"/>
    <m/>
    <m/>
    <m/>
    <m/>
    <m/>
    <m/>
    <m/>
    <n v="0"/>
    <m/>
    <m/>
    <n v="0"/>
    <n v="129061"/>
    <n v="0"/>
    <m/>
    <m/>
    <m/>
    <m/>
    <n v="0"/>
    <m/>
    <m/>
    <n v="0"/>
    <m/>
    <m/>
    <m/>
    <m/>
    <n v="129061"/>
    <n v="0"/>
  </r>
  <r>
    <x v="11"/>
    <x v="0"/>
    <s v="Fringe Benefits"/>
    <n v="218690"/>
    <x v="8"/>
    <m/>
    <n v="558011"/>
    <m/>
    <m/>
    <m/>
    <m/>
    <m/>
    <m/>
    <n v="0"/>
    <m/>
    <m/>
    <n v="0"/>
    <n v="0"/>
    <n v="558011"/>
    <m/>
    <m/>
    <m/>
    <m/>
    <n v="0"/>
    <m/>
    <m/>
    <n v="0"/>
    <m/>
    <m/>
    <m/>
    <m/>
    <n v="0"/>
    <n v="558011"/>
  </r>
  <r>
    <x v="11"/>
    <x v="8"/>
    <s v="Special Line items for education operations"/>
    <n v="218690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Access &amp; Equity"/>
    <n v="218690"/>
    <x v="8"/>
    <m/>
    <m/>
    <n v="6037"/>
    <n v="4860"/>
    <m/>
    <m/>
    <m/>
    <m/>
    <n v="0"/>
    <m/>
    <m/>
    <n v="0"/>
    <n v="6037"/>
    <n v="4860"/>
    <m/>
    <m/>
    <m/>
    <m/>
    <n v="0"/>
    <m/>
    <m/>
    <n v="0"/>
    <m/>
    <m/>
    <m/>
    <m/>
    <n v="6037"/>
    <n v="4860"/>
  </r>
  <r>
    <x v="11"/>
    <x v="8"/>
    <s v="Academic Endowment"/>
    <n v="218690"/>
    <x v="8"/>
    <m/>
    <m/>
    <n v="1668"/>
    <n v="1126"/>
    <m/>
    <m/>
    <m/>
    <m/>
    <n v="0"/>
    <m/>
    <m/>
    <n v="0"/>
    <n v="1668"/>
    <n v="1126"/>
    <m/>
    <m/>
    <m/>
    <m/>
    <n v="0"/>
    <m/>
    <m/>
    <n v="0"/>
    <m/>
    <m/>
    <m/>
    <m/>
    <n v="1668"/>
    <n v="1126"/>
  </r>
  <r>
    <x v="11"/>
    <x v="8"/>
    <s v="Lottery Technology (NR)"/>
    <n v="218690"/>
    <x v="8"/>
    <m/>
    <m/>
    <n v="125000"/>
    <n v="125000"/>
    <m/>
    <m/>
    <m/>
    <m/>
    <n v="0"/>
    <m/>
    <m/>
    <n v="0"/>
    <n v="125000"/>
    <n v="125000"/>
    <m/>
    <m/>
    <m/>
    <m/>
    <n v="0"/>
    <m/>
    <m/>
    <n v="0"/>
    <m/>
    <m/>
    <m/>
    <m/>
    <n v="125000"/>
    <n v="125000"/>
  </r>
  <r>
    <x v="11"/>
    <x v="0"/>
    <s v="University of South Carolina-Union"/>
    <n v="218706"/>
    <x v="8"/>
    <n v="1029829"/>
    <n v="690000"/>
    <m/>
    <m/>
    <m/>
    <m/>
    <n v="1191636"/>
    <n v="16742"/>
    <n v="1208378"/>
    <n v="1303823"/>
    <n v="16721"/>
    <n v="1320544"/>
    <n v="2221465"/>
    <n v="1993823"/>
    <m/>
    <m/>
    <m/>
    <m/>
    <n v="0"/>
    <m/>
    <m/>
    <n v="0"/>
    <m/>
    <m/>
    <m/>
    <m/>
    <n v="2221465"/>
    <n v="1993823"/>
  </r>
  <r>
    <x v="11"/>
    <x v="0"/>
    <s v="E &amp; G Funds"/>
    <n v="218706"/>
    <x v="8"/>
    <n v="40859"/>
    <m/>
    <m/>
    <m/>
    <m/>
    <m/>
    <m/>
    <m/>
    <n v="0"/>
    <m/>
    <m/>
    <n v="0"/>
    <n v="40859"/>
    <n v="0"/>
    <m/>
    <m/>
    <m/>
    <m/>
    <n v="0"/>
    <m/>
    <m/>
    <n v="0"/>
    <m/>
    <m/>
    <m/>
    <m/>
    <n v="40859"/>
    <n v="0"/>
  </r>
  <r>
    <x v="11"/>
    <x v="0"/>
    <s v="Fringe Benefits"/>
    <n v="218706"/>
    <x v="8"/>
    <m/>
    <n v="128301"/>
    <m/>
    <m/>
    <m/>
    <m/>
    <m/>
    <m/>
    <n v="0"/>
    <m/>
    <m/>
    <n v="0"/>
    <n v="0"/>
    <n v="128301"/>
    <m/>
    <m/>
    <m/>
    <m/>
    <n v="0"/>
    <m/>
    <m/>
    <n v="0"/>
    <m/>
    <m/>
    <m/>
    <m/>
    <n v="0"/>
    <n v="128301"/>
  </r>
  <r>
    <x v="11"/>
    <x v="8"/>
    <s v="Special Line items for education operations"/>
    <n v="218706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Access &amp; Equity"/>
    <n v="218706"/>
    <x v="8"/>
    <m/>
    <m/>
    <n v="4871"/>
    <n v="3893"/>
    <m/>
    <m/>
    <m/>
    <m/>
    <n v="0"/>
    <m/>
    <m/>
    <n v="0"/>
    <n v="4871"/>
    <n v="3893"/>
    <m/>
    <m/>
    <m/>
    <m/>
    <n v="0"/>
    <m/>
    <m/>
    <n v="0"/>
    <m/>
    <m/>
    <m/>
    <m/>
    <n v="4871"/>
    <n v="3893"/>
  </r>
  <r>
    <x v="11"/>
    <x v="8"/>
    <s v="Academic Endowment"/>
    <n v="218706"/>
    <x v="8"/>
    <m/>
    <m/>
    <n v="637"/>
    <n v="396"/>
    <m/>
    <m/>
    <m/>
    <m/>
    <n v="0"/>
    <m/>
    <m/>
    <n v="0"/>
    <n v="637"/>
    <n v="396"/>
    <m/>
    <m/>
    <m/>
    <m/>
    <n v="0"/>
    <m/>
    <m/>
    <n v="0"/>
    <m/>
    <m/>
    <m/>
    <m/>
    <n v="637"/>
    <n v="396"/>
  </r>
  <r>
    <x v="11"/>
    <x v="8"/>
    <s v="Lottery Technology (NR)"/>
    <n v="218706"/>
    <x v="8"/>
    <m/>
    <m/>
    <n v="125000"/>
    <n v="125000"/>
    <m/>
    <m/>
    <m/>
    <m/>
    <n v="0"/>
    <m/>
    <m/>
    <n v="0"/>
    <n v="125000"/>
    <n v="125000"/>
    <m/>
    <m/>
    <m/>
    <m/>
    <n v="0"/>
    <m/>
    <m/>
    <n v="0"/>
    <m/>
    <m/>
    <m/>
    <m/>
    <n v="125000"/>
    <n v="125000"/>
  </r>
  <r>
    <x v="11"/>
    <x v="0"/>
    <s v="Willamsburg Technical College "/>
    <n v="218955"/>
    <x v="8"/>
    <n v="1695602"/>
    <n v="1317945"/>
    <m/>
    <m/>
    <n v="464056"/>
    <n v="430263"/>
    <n v="1792905"/>
    <m/>
    <n v="1792905"/>
    <n v="1731046"/>
    <n v="0"/>
    <n v="1731046"/>
    <n v="3952563"/>
    <n v="3479254"/>
    <m/>
    <m/>
    <m/>
    <m/>
    <n v="0"/>
    <m/>
    <m/>
    <n v="0"/>
    <m/>
    <m/>
    <m/>
    <m/>
    <n v="3952563"/>
    <n v="3479254"/>
  </r>
  <r>
    <x v="11"/>
    <x v="8"/>
    <s v="Special Line items for education operations"/>
    <n v="218955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8"/>
    <s v="Pathways to Prosperity"/>
    <n v="218955"/>
    <x v="8"/>
    <m/>
    <m/>
    <n v="62500"/>
    <n v="48760"/>
    <m/>
    <m/>
    <m/>
    <m/>
    <n v="0"/>
    <m/>
    <m/>
    <n v="0"/>
    <n v="62500"/>
    <n v="48760"/>
    <m/>
    <m/>
    <m/>
    <m/>
    <n v="0"/>
    <m/>
    <m/>
    <n v="0"/>
    <m/>
    <m/>
    <m/>
    <m/>
    <n v="62500"/>
    <n v="48760"/>
  </r>
  <r>
    <x v="11"/>
    <x v="8"/>
    <s v="Access &amp; Equity"/>
    <n v="218955"/>
    <x v="8"/>
    <m/>
    <m/>
    <n v="4287"/>
    <n v="4146"/>
    <m/>
    <m/>
    <m/>
    <m/>
    <n v="0"/>
    <m/>
    <m/>
    <n v="0"/>
    <n v="4287"/>
    <n v="4146"/>
    <m/>
    <m/>
    <m/>
    <m/>
    <n v="0"/>
    <m/>
    <m/>
    <n v="0"/>
    <m/>
    <m/>
    <m/>
    <m/>
    <n v="4287"/>
    <n v="4146"/>
  </r>
  <r>
    <x v="11"/>
    <x v="8"/>
    <s v="Academic Endowment"/>
    <n v="218955"/>
    <x v="8"/>
    <m/>
    <m/>
    <n v="160"/>
    <n v="102"/>
    <m/>
    <m/>
    <m/>
    <m/>
    <n v="0"/>
    <m/>
    <m/>
    <n v="0"/>
    <n v="160"/>
    <n v="102"/>
    <m/>
    <m/>
    <m/>
    <m/>
    <n v="0"/>
    <m/>
    <m/>
    <n v="0"/>
    <m/>
    <m/>
    <m/>
    <m/>
    <n v="160"/>
    <n v="102"/>
  </r>
  <r>
    <x v="11"/>
    <x v="8"/>
    <s v="Trades Program"/>
    <n v="218955"/>
    <x v="8"/>
    <m/>
    <m/>
    <n v="300000"/>
    <m/>
    <m/>
    <m/>
    <m/>
    <m/>
    <n v="0"/>
    <m/>
    <m/>
    <n v="0"/>
    <n v="300000"/>
    <n v="0"/>
    <m/>
    <m/>
    <m/>
    <m/>
    <n v="0"/>
    <m/>
    <m/>
    <n v="0"/>
    <m/>
    <m/>
    <m/>
    <m/>
    <n v="300000"/>
    <n v="0"/>
  </r>
  <r>
    <x v="11"/>
    <x v="8"/>
    <s v="Allied Health Programs (NR)"/>
    <n v="218955"/>
    <x v="8"/>
    <m/>
    <m/>
    <n v="367246"/>
    <n v="146897"/>
    <m/>
    <m/>
    <m/>
    <m/>
    <n v="0"/>
    <m/>
    <m/>
    <n v="0"/>
    <n v="367246"/>
    <n v="146897"/>
    <m/>
    <m/>
    <m/>
    <m/>
    <n v="0"/>
    <m/>
    <m/>
    <n v="0"/>
    <m/>
    <m/>
    <m/>
    <m/>
    <n v="367246"/>
    <n v="146897"/>
  </r>
  <r>
    <x v="11"/>
    <x v="8"/>
    <s v="Lottery Technology (NR)"/>
    <n v="218955"/>
    <x v="8"/>
    <m/>
    <m/>
    <n v="110787"/>
    <n v="110787"/>
    <m/>
    <m/>
    <m/>
    <m/>
    <n v="0"/>
    <m/>
    <m/>
    <n v="0"/>
    <n v="110787"/>
    <n v="110787"/>
    <m/>
    <m/>
    <m/>
    <m/>
    <n v="0"/>
    <m/>
    <m/>
    <n v="0"/>
    <m/>
    <m/>
    <m/>
    <m/>
    <n v="110787"/>
    <n v="110787"/>
  </r>
  <r>
    <x v="11"/>
    <x v="41"/>
    <s v="Medical University of South Carolina"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91946279"/>
    <n v="58301115"/>
    <n v="48952409"/>
    <n v="51976921"/>
    <n v="140898688"/>
    <n v="110278036"/>
  </r>
  <r>
    <x v="11"/>
    <x v="41"/>
    <s v="Fringe Benefits"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4461104"/>
    <n v="14732583"/>
    <m/>
    <m/>
    <n v="4461104"/>
    <n v="14732583"/>
  </r>
  <r>
    <x v="11"/>
    <x v="41"/>
    <s v="Access &amp; Equity"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38310"/>
    <n v="30336"/>
    <m/>
    <m/>
    <n v="38310"/>
    <n v="30336"/>
  </r>
  <r>
    <x v="11"/>
    <x v="41"/>
    <s v="Academic Endowment"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77943"/>
    <n v="59792"/>
    <m/>
    <m/>
    <n v="77943"/>
    <n v="59792"/>
  </r>
  <r>
    <x v="11"/>
    <x v="41"/>
    <s v="Area Health Education Consortium (AHEC)"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16509835"/>
    <n v="13297203"/>
    <m/>
    <m/>
    <n v="16509835"/>
    <n v="13297203"/>
  </r>
  <r>
    <x v="11"/>
    <x v="41"/>
    <s v="AHEC-Rural Dentists Initiative (NR)"/>
    <n v="218335"/>
    <x v="11"/>
    <m/>
    <m/>
    <m/>
    <m/>
    <m/>
    <m/>
    <m/>
    <m/>
    <n v="0"/>
    <m/>
    <m/>
    <n v="0"/>
    <n v="0"/>
    <n v="0"/>
    <m/>
    <m/>
    <m/>
    <m/>
    <n v="0"/>
    <m/>
    <m/>
    <n v="0"/>
    <m/>
    <n v="250000"/>
    <m/>
    <m/>
    <n v="0"/>
    <n v="250000"/>
  </r>
  <r>
    <x v="11"/>
    <x v="41"/>
    <s v="Critical Needs Nursing Initiative"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109309"/>
    <n v="93197"/>
    <m/>
    <m/>
    <n v="109309"/>
    <n v="93197"/>
  </r>
  <r>
    <x v="11"/>
    <x v="41"/>
    <s v="Hypertension Initiative"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512741"/>
    <n v="512741"/>
    <m/>
    <m/>
    <n v="512741"/>
    <n v="512741"/>
  </r>
  <r>
    <x v="11"/>
    <x v="41"/>
    <s v="Diabetic Center (MUSC)"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289088"/>
    <n v="289088"/>
    <m/>
    <m/>
    <n v="289088"/>
    <n v="289088"/>
  </r>
  <r>
    <x v="11"/>
    <x v="41"/>
    <s v="Rural Dentist Incentive(MUSC)"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250000"/>
    <n v="16263"/>
    <m/>
    <m/>
    <n v="250000"/>
    <n v="16263"/>
  </r>
  <r>
    <x v="11"/>
    <x v="41"/>
    <s v="Hollings Cancer Center (Supp)"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500000"/>
    <n v="600000"/>
    <m/>
    <m/>
    <n v="500000"/>
    <n v="600000"/>
  </r>
  <r>
    <x v="11"/>
    <x v="41"/>
    <s v="LightRail(NR)"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1500000"/>
    <n v="700000"/>
    <m/>
    <m/>
    <n v="1500000"/>
    <n v="700000"/>
  </r>
  <r>
    <x v="11"/>
    <x v="41"/>
    <s v="Reid House-Health Ed. &amp; Disease Prevention Initiative (NR)"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250000"/>
    <m/>
    <m/>
    <m/>
    <n v="250000"/>
    <n v="0"/>
  </r>
  <r>
    <x v="11"/>
    <x v="41"/>
    <s v="Charleston Breast Center Equipment (NR)"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450000"/>
    <m/>
    <m/>
    <m/>
    <n v="450000"/>
    <n v="0"/>
  </r>
  <r>
    <x v="11"/>
    <x v="13"/>
    <s v="Educational special purpose funds — all other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13"/>
    <s v="University Center of Greenville"/>
    <m/>
    <x v="12"/>
    <m/>
    <m/>
    <n v="907504"/>
    <n v="700099"/>
    <m/>
    <m/>
    <m/>
    <m/>
    <n v="0"/>
    <m/>
    <m/>
    <n v="0"/>
    <n v="907504"/>
    <n v="700099"/>
    <m/>
    <m/>
    <m/>
    <m/>
    <n v="0"/>
    <m/>
    <m/>
    <n v="0"/>
    <m/>
    <m/>
    <m/>
    <m/>
    <n v="907504"/>
    <n v="700099"/>
  </r>
  <r>
    <x v="11"/>
    <x v="13"/>
    <s v="Greenville Tech-Univ Center"/>
    <m/>
    <x v="12"/>
    <m/>
    <m/>
    <n v="1123000"/>
    <n v="1112229"/>
    <m/>
    <m/>
    <m/>
    <m/>
    <n v="0"/>
    <m/>
    <m/>
    <n v="0"/>
    <n v="1123000"/>
    <n v="1112229"/>
    <m/>
    <m/>
    <m/>
    <m/>
    <n v="0"/>
    <m/>
    <m/>
    <n v="0"/>
    <m/>
    <m/>
    <m/>
    <m/>
    <n v="1123000"/>
    <n v="1112229"/>
  </r>
  <r>
    <x v="11"/>
    <x v="13"/>
    <s v="  Greenville H. Ed. Center"/>
    <m/>
    <x v="12"/>
    <m/>
    <m/>
    <n v="180287"/>
    <n v="90041"/>
    <m/>
    <m/>
    <m/>
    <m/>
    <n v="0"/>
    <m/>
    <m/>
    <n v="0"/>
    <n v="180287"/>
    <n v="90041"/>
    <m/>
    <m/>
    <m/>
    <m/>
    <n v="0"/>
    <m/>
    <m/>
    <n v="0"/>
    <m/>
    <m/>
    <m/>
    <m/>
    <n v="180287"/>
    <n v="90041"/>
  </r>
  <r>
    <x v="11"/>
    <x v="13"/>
    <s v="Greenville Center Operating Cost"/>
    <m/>
    <x v="12"/>
    <m/>
    <m/>
    <n v="427101"/>
    <n v="384016"/>
    <m/>
    <m/>
    <m/>
    <m/>
    <n v="0"/>
    <m/>
    <m/>
    <n v="0"/>
    <n v="427101"/>
    <n v="384016"/>
    <m/>
    <m/>
    <m/>
    <m/>
    <n v="0"/>
    <m/>
    <m/>
    <n v="0"/>
    <m/>
    <m/>
    <m/>
    <m/>
    <n v="427101"/>
    <n v="384016"/>
  </r>
  <r>
    <x v="11"/>
    <x v="13"/>
    <s v="Greenville Center Operating Cost Supplemental (NR)"/>
    <m/>
    <x v="12"/>
    <m/>
    <m/>
    <n v="1112229"/>
    <m/>
    <m/>
    <m/>
    <m/>
    <m/>
    <n v="0"/>
    <m/>
    <m/>
    <n v="0"/>
    <n v="1112229"/>
    <n v="0"/>
    <m/>
    <m/>
    <m/>
    <m/>
    <n v="0"/>
    <m/>
    <m/>
    <n v="0"/>
    <m/>
    <m/>
    <m/>
    <m/>
    <n v="1112229"/>
    <n v="0"/>
  </r>
  <r>
    <x v="11"/>
    <x v="13"/>
    <s v="Lowcountry Graduate Center"/>
    <m/>
    <x v="12"/>
    <m/>
    <m/>
    <n v="1410000"/>
    <n v="1075322"/>
    <m/>
    <m/>
    <m/>
    <m/>
    <n v="0"/>
    <m/>
    <m/>
    <n v="0"/>
    <n v="1410000"/>
    <n v="1075322"/>
    <m/>
    <m/>
    <m/>
    <m/>
    <n v="0"/>
    <m/>
    <m/>
    <n v="0"/>
    <m/>
    <m/>
    <m/>
    <m/>
    <n v="1410000"/>
    <n v="1075322"/>
  </r>
  <r>
    <x v="11"/>
    <x v="13"/>
    <s v="Think Tec/Fastrac Entrepreneurial "/>
    <m/>
    <x v="12"/>
    <m/>
    <m/>
    <n v="250000"/>
    <n v="175643"/>
    <m/>
    <m/>
    <m/>
    <m/>
    <n v="0"/>
    <m/>
    <m/>
    <n v="0"/>
    <n v="250000"/>
    <n v="175643"/>
    <m/>
    <m/>
    <m/>
    <m/>
    <n v="0"/>
    <m/>
    <m/>
    <n v="0"/>
    <m/>
    <m/>
    <m/>
    <m/>
    <n v="250000"/>
    <n v="175643"/>
  </r>
  <r>
    <x v="11"/>
    <x v="13"/>
    <s v=" National Foundation of Teaching Entrepreneurship (NFTE)"/>
    <m/>
    <x v="12"/>
    <m/>
    <m/>
    <n v="250000"/>
    <n v="204869"/>
    <m/>
    <m/>
    <m/>
    <m/>
    <n v="0"/>
    <m/>
    <m/>
    <n v="0"/>
    <n v="250000"/>
    <n v="204869"/>
    <m/>
    <m/>
    <m/>
    <m/>
    <n v="0"/>
    <m/>
    <m/>
    <n v="0"/>
    <m/>
    <m/>
    <m/>
    <m/>
    <n v="250000"/>
    <n v="204869"/>
  </r>
  <r>
    <x v="11"/>
    <x v="13"/>
    <s v="South Carolina Manufacturing Extension Program (SCMEP)"/>
    <m/>
    <x v="12"/>
    <m/>
    <m/>
    <n v="1227921"/>
    <n v="934483"/>
    <m/>
    <m/>
    <m/>
    <m/>
    <n v="0"/>
    <m/>
    <m/>
    <n v="0"/>
    <n v="1227921"/>
    <n v="934483"/>
    <m/>
    <m/>
    <m/>
    <m/>
    <n v="0"/>
    <m/>
    <m/>
    <n v="0"/>
    <m/>
    <m/>
    <m/>
    <m/>
    <n v="1227921"/>
    <n v="934483"/>
  </r>
  <r>
    <x v="11"/>
    <x v="13"/>
    <s v="South Carolina Manufacturing Extension Program (SCMEP) Supp.(NR)"/>
    <m/>
    <x v="12"/>
    <m/>
    <m/>
    <n v="1200000"/>
    <m/>
    <m/>
    <m/>
    <m/>
    <m/>
    <n v="0"/>
    <m/>
    <m/>
    <n v="0"/>
    <n v="1200000"/>
    <n v="0"/>
    <m/>
    <m/>
    <m/>
    <m/>
    <n v="0"/>
    <m/>
    <m/>
    <n v="0"/>
    <m/>
    <m/>
    <m/>
    <m/>
    <n v="1200000"/>
    <n v="0"/>
  </r>
  <r>
    <x v="11"/>
    <x v="13"/>
    <s v="Statewide Electronic Library Supplemental (NR)"/>
    <m/>
    <x v="12"/>
    <m/>
    <m/>
    <n v="2000000"/>
    <n v="176812"/>
    <m/>
    <m/>
    <m/>
    <m/>
    <n v="0"/>
    <m/>
    <m/>
    <n v="0"/>
    <n v="2000000"/>
    <n v="176812"/>
    <m/>
    <m/>
    <m/>
    <m/>
    <n v="0"/>
    <m/>
    <m/>
    <n v="0"/>
    <m/>
    <m/>
    <m/>
    <m/>
    <n v="2000000"/>
    <n v="176812"/>
  </r>
  <r>
    <x v="11"/>
    <x v="13"/>
    <s v="South Carolina Manufacturing Extension Program (SCMEP)"/>
    <m/>
    <x v="12"/>
    <m/>
    <m/>
    <n v="1227921"/>
    <n v="934483"/>
    <m/>
    <m/>
    <m/>
    <m/>
    <n v="0"/>
    <m/>
    <m/>
    <n v="0"/>
    <n v="1227921"/>
    <n v="934483"/>
    <m/>
    <m/>
    <m/>
    <m/>
    <n v="0"/>
    <m/>
    <m/>
    <n v="0"/>
    <m/>
    <m/>
    <m/>
    <m/>
    <n v="1227921"/>
    <n v="934483"/>
  </r>
  <r>
    <x v="11"/>
    <x v="13"/>
    <s v="Professor of the Year Award"/>
    <m/>
    <x v="12"/>
    <m/>
    <m/>
    <n v="14850"/>
    <n v="0"/>
    <m/>
    <m/>
    <m/>
    <m/>
    <n v="0"/>
    <m/>
    <m/>
    <n v="0"/>
    <n v="14850"/>
    <n v="0"/>
    <m/>
    <m/>
    <m/>
    <m/>
    <n v="0"/>
    <m/>
    <m/>
    <n v="0"/>
    <m/>
    <m/>
    <m/>
    <m/>
    <n v="14850"/>
    <n v="0"/>
  </r>
  <r>
    <x v="11"/>
    <x v="13"/>
    <s v="Statewide Electronic Library"/>
    <m/>
    <x v="12"/>
    <m/>
    <m/>
    <n v="0"/>
    <n v="176812"/>
    <m/>
    <m/>
    <m/>
    <m/>
    <n v="0"/>
    <m/>
    <m/>
    <n v="0"/>
    <n v="0"/>
    <n v="176812"/>
    <m/>
    <m/>
    <m/>
    <m/>
    <n v="0"/>
    <m/>
    <m/>
    <n v="0"/>
    <m/>
    <m/>
    <m/>
    <m/>
    <n v="0"/>
    <n v="176812"/>
  </r>
  <r>
    <x v="11"/>
    <x v="13"/>
    <s v="Youth Leadership Program"/>
    <m/>
    <x v="12"/>
    <m/>
    <m/>
    <n v="50000"/>
    <n v="20083"/>
    <m/>
    <m/>
    <m/>
    <m/>
    <n v="0"/>
    <m/>
    <m/>
    <n v="0"/>
    <n v="50000"/>
    <n v="20083"/>
    <m/>
    <m/>
    <m/>
    <m/>
    <n v="0"/>
    <m/>
    <m/>
    <n v="0"/>
    <m/>
    <m/>
    <m/>
    <m/>
    <n v="50000"/>
    <n v="20083"/>
  </r>
  <r>
    <x v="11"/>
    <x v="13"/>
    <s v="Experimental Program for the Stimulation of Competitive Research (EPSCOR) Constortium"/>
    <m/>
    <x v="12"/>
    <m/>
    <m/>
    <n v="2017536"/>
    <n v="1536287"/>
    <m/>
    <m/>
    <m/>
    <m/>
    <n v="0"/>
    <m/>
    <m/>
    <n v="0"/>
    <n v="2017536"/>
    <n v="1536287"/>
    <m/>
    <m/>
    <m/>
    <m/>
    <n v="0"/>
    <m/>
    <m/>
    <n v="0"/>
    <m/>
    <m/>
    <m/>
    <m/>
    <n v="2017536"/>
    <n v="1536287"/>
  </r>
  <r>
    <x v="11"/>
    <x v="13"/>
    <s v="Charleston Transition Connection"/>
    <m/>
    <x v="12"/>
    <m/>
    <m/>
    <n v="300000"/>
    <n v="245844"/>
    <m/>
    <m/>
    <m/>
    <m/>
    <n v="0"/>
    <m/>
    <m/>
    <n v="0"/>
    <n v="300000"/>
    <n v="245844"/>
    <m/>
    <m/>
    <m/>
    <m/>
    <n v="0"/>
    <m/>
    <m/>
    <n v="0"/>
    <m/>
    <m/>
    <m/>
    <m/>
    <n v="300000"/>
    <n v="245844"/>
  </r>
  <r>
    <x v="11"/>
    <x v="13"/>
    <s v="Centers of Excellence - Endowed Chairs (NR)"/>
    <m/>
    <x v="12"/>
    <m/>
    <m/>
    <n v="30000000"/>
    <m/>
    <m/>
    <m/>
    <m/>
    <m/>
    <n v="0"/>
    <m/>
    <m/>
    <n v="0"/>
    <n v="30000000"/>
    <n v="0"/>
    <m/>
    <m/>
    <m/>
    <m/>
    <n v="0"/>
    <m/>
    <m/>
    <n v="0"/>
    <m/>
    <m/>
    <m/>
    <m/>
    <n v="30000000"/>
    <n v="0"/>
  </r>
  <r>
    <x v="11"/>
    <x v="14"/>
    <s v="Statewide System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15"/>
    <s v="Colleges and universiti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15"/>
    <s v="SC Commission on H.Ed."/>
    <m/>
    <x v="12"/>
    <m/>
    <m/>
    <m/>
    <m/>
    <m/>
    <m/>
    <m/>
    <m/>
    <n v="0"/>
    <m/>
    <m/>
    <n v="0"/>
    <n v="0"/>
    <n v="0"/>
    <n v="2959776"/>
    <n v="2220550"/>
    <m/>
    <m/>
    <n v="0"/>
    <m/>
    <m/>
    <n v="0"/>
    <m/>
    <m/>
    <m/>
    <m/>
    <n v="2959776"/>
    <n v="2220550"/>
  </r>
  <r>
    <x v="11"/>
    <x v="15"/>
    <s v="  Desegregation (Access &amp; Equity)"/>
    <m/>
    <x v="12"/>
    <m/>
    <m/>
    <m/>
    <m/>
    <m/>
    <m/>
    <m/>
    <m/>
    <n v="0"/>
    <m/>
    <m/>
    <n v="0"/>
    <n v="0"/>
    <n v="0"/>
    <n v="32812"/>
    <n v="13645"/>
    <m/>
    <m/>
    <n v="0"/>
    <m/>
    <m/>
    <n v="0"/>
    <m/>
    <m/>
    <m/>
    <m/>
    <n v="32812"/>
    <n v="13645"/>
  </r>
  <r>
    <x v="11"/>
    <x v="15"/>
    <s v="GEAR-UP"/>
    <m/>
    <x v="12"/>
    <m/>
    <m/>
    <m/>
    <m/>
    <m/>
    <m/>
    <m/>
    <m/>
    <n v="0"/>
    <m/>
    <m/>
    <n v="0"/>
    <n v="0"/>
    <n v="0"/>
    <n v="600000"/>
    <n v="469860"/>
    <m/>
    <m/>
    <n v="0"/>
    <m/>
    <m/>
    <n v="0"/>
    <m/>
    <m/>
    <m/>
    <m/>
    <n v="600000"/>
    <n v="469860"/>
  </r>
  <r>
    <x v="11"/>
    <x v="15"/>
    <s v="GEAR-UP Supplemental (NR)"/>
    <m/>
    <x v="12"/>
    <m/>
    <m/>
    <m/>
    <m/>
    <m/>
    <m/>
    <m/>
    <m/>
    <n v="0"/>
    <m/>
    <m/>
    <n v="0"/>
    <n v="0"/>
    <n v="0"/>
    <n v="75000"/>
    <m/>
    <m/>
    <m/>
    <n v="0"/>
    <m/>
    <m/>
    <n v="0"/>
    <m/>
    <m/>
    <m/>
    <m/>
    <n v="75000"/>
    <n v="0"/>
  </r>
  <r>
    <x v="11"/>
    <x v="15"/>
    <s v="Education &amp; Economic Development Act"/>
    <m/>
    <x v="12"/>
    <m/>
    <m/>
    <m/>
    <m/>
    <m/>
    <m/>
    <m/>
    <m/>
    <n v="0"/>
    <m/>
    <m/>
    <n v="0"/>
    <n v="0"/>
    <n v="0"/>
    <n v="1323000"/>
    <n v="1415382"/>
    <m/>
    <m/>
    <n v="0"/>
    <m/>
    <m/>
    <n v="0"/>
    <m/>
    <m/>
    <m/>
    <m/>
    <n v="1323000"/>
    <n v="1415382"/>
  </r>
  <r>
    <x v="11"/>
    <x v="15"/>
    <s v="African American Loan Program"/>
    <m/>
    <x v="12"/>
    <m/>
    <m/>
    <m/>
    <m/>
    <m/>
    <m/>
    <m/>
    <m/>
    <n v="0"/>
    <m/>
    <m/>
    <n v="0"/>
    <n v="0"/>
    <n v="0"/>
    <n v="53389"/>
    <n v="30791"/>
    <m/>
    <m/>
    <n v="0"/>
    <m/>
    <m/>
    <n v="0"/>
    <m/>
    <m/>
    <m/>
    <m/>
    <n v="53389"/>
    <n v="30791"/>
  </r>
  <r>
    <x v="11"/>
    <x v="15"/>
    <s v="Enhance Technology - Supplemental (NR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15"/>
    <s v="Higher Education Study Committee - Supplemental (NR)"/>
    <m/>
    <x v="12"/>
    <m/>
    <m/>
    <n v="130000"/>
    <m/>
    <m/>
    <m/>
    <m/>
    <m/>
    <n v="0"/>
    <m/>
    <m/>
    <n v="0"/>
    <n v="130000"/>
    <n v="0"/>
    <m/>
    <m/>
    <m/>
    <m/>
    <n v="0"/>
    <m/>
    <m/>
    <n v="0"/>
    <m/>
    <m/>
    <m/>
    <m/>
    <n v="130000"/>
    <n v="0"/>
  </r>
  <r>
    <x v="11"/>
    <x v="15"/>
    <s v="SC Community Enterprise Center - Supplemental (NR)"/>
    <m/>
    <x v="12"/>
    <m/>
    <m/>
    <n v="150000"/>
    <m/>
    <m/>
    <m/>
    <m/>
    <m/>
    <n v="0"/>
    <m/>
    <m/>
    <n v="0"/>
    <n v="150000"/>
    <n v="0"/>
    <m/>
    <m/>
    <m/>
    <m/>
    <n v="0"/>
    <m/>
    <m/>
    <n v="0"/>
    <m/>
    <m/>
    <m/>
    <m/>
    <n v="150000"/>
    <n v="0"/>
  </r>
  <r>
    <x v="11"/>
    <x v="16"/>
    <s v="Two-year system(s), if any"/>
    <m/>
    <x v="12"/>
    <m/>
    <m/>
    <n v="200000"/>
    <m/>
    <m/>
    <m/>
    <m/>
    <m/>
    <n v="0"/>
    <m/>
    <m/>
    <n v="0"/>
    <n v="200000"/>
    <n v="0"/>
    <m/>
    <m/>
    <m/>
    <m/>
    <n v="0"/>
    <m/>
    <m/>
    <n v="0"/>
    <m/>
    <m/>
    <m/>
    <m/>
    <n v="200000"/>
    <n v="0"/>
  </r>
  <r>
    <x v="11"/>
    <x v="16"/>
    <s v="SC Tech College System"/>
    <m/>
    <x v="12"/>
    <m/>
    <m/>
    <m/>
    <m/>
    <m/>
    <m/>
    <m/>
    <m/>
    <n v="0"/>
    <m/>
    <m/>
    <n v="0"/>
    <n v="0"/>
    <n v="0"/>
    <n v="7473160"/>
    <n v="6357482"/>
    <m/>
    <m/>
    <n v="0"/>
    <m/>
    <m/>
    <n v="0"/>
    <m/>
    <m/>
    <m/>
    <m/>
    <n v="7473160"/>
    <n v="6357482"/>
  </r>
  <r>
    <x v="11"/>
    <x v="16"/>
    <s v="Innovative Tech Training (SBTCE)"/>
    <m/>
    <x v="12"/>
    <m/>
    <m/>
    <m/>
    <m/>
    <m/>
    <m/>
    <m/>
    <m/>
    <n v="0"/>
    <m/>
    <m/>
    <n v="0"/>
    <n v="0"/>
    <n v="0"/>
    <n v="475571"/>
    <n v="0"/>
    <m/>
    <m/>
    <n v="0"/>
    <m/>
    <m/>
    <n v="0"/>
    <m/>
    <m/>
    <m/>
    <m/>
    <n v="475571"/>
    <n v="0"/>
  </r>
  <r>
    <x v="11"/>
    <x v="16"/>
    <s v="SBTCE Special Schools (Economic Development)"/>
    <m/>
    <x v="12"/>
    <m/>
    <m/>
    <m/>
    <m/>
    <m/>
    <m/>
    <m/>
    <m/>
    <n v="0"/>
    <m/>
    <m/>
    <n v="0"/>
    <n v="0"/>
    <n v="0"/>
    <n v="5294514"/>
    <n v="3711316"/>
    <m/>
    <m/>
    <n v="0"/>
    <m/>
    <m/>
    <n v="0"/>
    <m/>
    <m/>
    <m/>
    <m/>
    <n v="5294514"/>
    <n v="3711316"/>
  </r>
  <r>
    <x v="11"/>
    <x v="16"/>
    <s v="SBTCE CATT (NR)"/>
    <m/>
    <x v="12"/>
    <m/>
    <m/>
    <m/>
    <m/>
    <m/>
    <m/>
    <m/>
    <m/>
    <n v="0"/>
    <m/>
    <m/>
    <n v="0"/>
    <n v="0"/>
    <n v="0"/>
    <n v="1200000"/>
    <n v="3000000"/>
    <m/>
    <m/>
    <n v="0"/>
    <m/>
    <m/>
    <n v="0"/>
    <m/>
    <m/>
    <m/>
    <m/>
    <n v="1200000"/>
    <n v="3000000"/>
  </r>
  <r>
    <x v="11"/>
    <x v="16"/>
    <s v="SBTCE Lottery Technology - Technology Initiative (NR)"/>
    <m/>
    <x v="12"/>
    <m/>
    <m/>
    <m/>
    <m/>
    <m/>
    <m/>
    <m/>
    <m/>
    <n v="0"/>
    <m/>
    <m/>
    <n v="0"/>
    <n v="0"/>
    <n v="0"/>
    <n v="611175"/>
    <n v="611175"/>
    <m/>
    <m/>
    <n v="0"/>
    <m/>
    <m/>
    <n v="0"/>
    <m/>
    <m/>
    <m/>
    <m/>
    <n v="611175"/>
    <n v="611175"/>
  </r>
  <r>
    <x v="11"/>
    <x v="17"/>
    <s v="National or regional associations, compacts or consortia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17"/>
    <s v="SREB"/>
    <m/>
    <x v="12"/>
    <m/>
    <m/>
    <m/>
    <m/>
    <m/>
    <m/>
    <m/>
    <m/>
    <n v="0"/>
    <m/>
    <m/>
    <n v="0"/>
    <n v="0"/>
    <n v="0"/>
    <n v="200257"/>
    <n v="204235"/>
    <m/>
    <m/>
    <n v="0"/>
    <m/>
    <m/>
    <n v="0"/>
    <m/>
    <m/>
    <m/>
    <m/>
    <n v="200257"/>
    <n v="204235"/>
  </r>
  <r>
    <x v="11"/>
    <x v="18"/>
    <s v="Adm. of Statewide Student Aid Progs. (incldng centralized guaranteed student loans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19"/>
    <s v="State Support to Private Colleges Other Than Student Ai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19"/>
    <s v="Higher Education Excellence Enhancement Program (Lottery)"/>
    <m/>
    <x v="12"/>
    <m/>
    <m/>
    <m/>
    <m/>
    <m/>
    <m/>
    <m/>
    <m/>
    <n v="0"/>
    <m/>
    <m/>
    <n v="0"/>
    <n v="0"/>
    <n v="0"/>
    <n v="4112500"/>
    <n v="4112500"/>
    <m/>
    <m/>
    <n v="0"/>
    <m/>
    <m/>
    <n v="0"/>
    <m/>
    <m/>
    <m/>
    <m/>
    <n v="4112500"/>
    <n v="4112500"/>
  </r>
  <r>
    <x v="11"/>
    <x v="20"/>
    <s v="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21"/>
    <s v="SREB contract program with private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21"/>
    <s v="Tuskegee University (Veterinary Medicine)"/>
    <m/>
    <x v="12"/>
    <m/>
    <m/>
    <m/>
    <m/>
    <m/>
    <m/>
    <m/>
    <m/>
    <n v="0"/>
    <m/>
    <m/>
    <n v="0"/>
    <n v="0"/>
    <n v="0"/>
    <n v="329997"/>
    <n v="283814"/>
    <m/>
    <m/>
    <n v="0"/>
    <m/>
    <m/>
    <n v="0"/>
    <m/>
    <m/>
    <m/>
    <m/>
    <n v="329997"/>
    <n v="283814"/>
  </r>
  <r>
    <x v="11"/>
    <x v="21"/>
    <s v="Southern College of Optometry"/>
    <m/>
    <x v="12"/>
    <m/>
    <m/>
    <m/>
    <m/>
    <m/>
    <m/>
    <m/>
    <m/>
    <n v="0"/>
    <m/>
    <m/>
    <n v="0"/>
    <n v="0"/>
    <n v="0"/>
    <n v="128659"/>
    <n v="153213"/>
    <m/>
    <m/>
    <n v="0"/>
    <m/>
    <m/>
    <n v="0"/>
    <m/>
    <m/>
    <m/>
    <m/>
    <n v="128659"/>
    <n v="153213"/>
  </r>
  <r>
    <x v="11"/>
    <x v="22"/>
    <s v="SREB contract program with public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22"/>
    <s v="North Carolina School of the Arts (moved to Other Contract because is a high school and not a college)"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n v="0"/>
    <n v="0"/>
  </r>
  <r>
    <x v="11"/>
    <x v="22"/>
    <s v="University of Alabama at Birmingham (Optometry)"/>
    <m/>
    <x v="12"/>
    <m/>
    <m/>
    <m/>
    <m/>
    <m/>
    <m/>
    <m/>
    <m/>
    <n v="0"/>
    <m/>
    <m/>
    <n v="0"/>
    <n v="0"/>
    <n v="0"/>
    <n v="77196"/>
    <n v="89374"/>
    <m/>
    <m/>
    <n v="0"/>
    <m/>
    <m/>
    <n v="0"/>
    <m/>
    <m/>
    <m/>
    <m/>
    <n v="77196"/>
    <n v="89374"/>
  </r>
  <r>
    <x v="11"/>
    <x v="22"/>
    <s v="University of Georgia (Veterinary Medicine)"/>
    <m/>
    <x v="12"/>
    <m/>
    <m/>
    <m/>
    <m/>
    <m/>
    <m/>
    <m/>
    <m/>
    <n v="0"/>
    <m/>
    <m/>
    <n v="0"/>
    <n v="0"/>
    <n v="0"/>
    <n v="1473986"/>
    <n v="1419069"/>
    <m/>
    <m/>
    <n v="0"/>
    <m/>
    <m/>
    <n v="0"/>
    <m/>
    <m/>
    <m/>
    <m/>
    <n v="1473986"/>
    <n v="1419069"/>
  </r>
  <r>
    <x v="11"/>
    <x v="22"/>
    <s v="Mississippi State University (Veterinary Medicine)"/>
    <m/>
    <x v="12"/>
    <m/>
    <m/>
    <m/>
    <m/>
    <m/>
    <m/>
    <m/>
    <m/>
    <n v="0"/>
    <m/>
    <m/>
    <n v="0"/>
    <n v="0"/>
    <n v="0"/>
    <n v="373996"/>
    <n v="436637"/>
    <m/>
    <m/>
    <n v="0"/>
    <m/>
    <m/>
    <n v="0"/>
    <m/>
    <m/>
    <m/>
    <m/>
    <n v="373996"/>
    <n v="436637"/>
  </r>
  <r>
    <x v="11"/>
    <x v="22"/>
    <s v="Oklahoma State University (Veterinary Medicine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23"/>
    <s v="Other 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23"/>
    <s v="Doctoral Scholars Program"/>
    <m/>
    <x v="12"/>
    <m/>
    <m/>
    <m/>
    <m/>
    <m/>
    <m/>
    <m/>
    <m/>
    <n v="0"/>
    <m/>
    <m/>
    <n v="0"/>
    <n v="0"/>
    <n v="0"/>
    <n v="294640"/>
    <n v="292391"/>
    <m/>
    <m/>
    <n v="0"/>
    <m/>
    <m/>
    <n v="0"/>
    <m/>
    <m/>
    <m/>
    <m/>
    <n v="294640"/>
    <n v="292391"/>
  </r>
  <r>
    <x v="11"/>
    <x v="23"/>
    <s v="North Carolina School of the Arts"/>
    <m/>
    <x v="12"/>
    <m/>
    <m/>
    <m/>
    <m/>
    <m/>
    <m/>
    <m/>
    <m/>
    <n v="0"/>
    <m/>
    <m/>
    <n v="0"/>
    <n v="0"/>
    <n v="0"/>
    <n v="10274"/>
    <n v="8142"/>
    <m/>
    <m/>
    <n v="0"/>
    <m/>
    <m/>
    <n v="0"/>
    <m/>
    <m/>
    <m/>
    <m/>
    <n v="10274"/>
    <n v="8142"/>
  </r>
  <r>
    <x v="11"/>
    <x v="24"/>
    <s v="Statewide Student Financial Aid Programs Administered Off Campu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25"/>
    <s v="Available to public &amp;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25"/>
    <s v="Life Scholarship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28"/>
    <s v="Amount to public sector students"/>
    <m/>
    <x v="12"/>
    <m/>
    <m/>
    <m/>
    <m/>
    <m/>
    <m/>
    <m/>
    <m/>
    <n v="0"/>
    <m/>
    <m/>
    <n v="0"/>
    <n v="0"/>
    <n v="0"/>
    <n v="0"/>
    <m/>
    <m/>
    <m/>
    <n v="0"/>
    <m/>
    <m/>
    <n v="0"/>
    <m/>
    <m/>
    <m/>
    <m/>
    <n v="0"/>
    <n v="0"/>
  </r>
  <r>
    <x v="11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30"/>
    <s v="Non need-based"/>
    <m/>
    <x v="12"/>
    <m/>
    <m/>
    <m/>
    <m/>
    <m/>
    <m/>
    <m/>
    <m/>
    <n v="0"/>
    <m/>
    <m/>
    <n v="0"/>
    <n v="0"/>
    <n v="0"/>
    <n v="121150108"/>
    <n v="128330948"/>
    <m/>
    <m/>
    <n v="0"/>
    <m/>
    <m/>
    <n v="0"/>
    <m/>
    <m/>
    <m/>
    <m/>
    <n v="121150108"/>
    <n v="128330948"/>
  </r>
  <r>
    <x v="11"/>
    <x v="31"/>
    <s v="Amount to private sector students"/>
    <m/>
    <x v="12"/>
    <m/>
    <m/>
    <m/>
    <m/>
    <m/>
    <m/>
    <m/>
    <m/>
    <n v="0"/>
    <m/>
    <m/>
    <n v="0"/>
    <n v="0"/>
    <n v="0"/>
    <n v="0"/>
    <m/>
    <m/>
    <m/>
    <n v="0"/>
    <m/>
    <m/>
    <n v="0"/>
    <m/>
    <m/>
    <m/>
    <m/>
    <n v="0"/>
    <n v="0"/>
  </r>
  <r>
    <x v="11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33"/>
    <s v="Non need-based"/>
    <m/>
    <x v="12"/>
    <m/>
    <m/>
    <m/>
    <m/>
    <m/>
    <m/>
    <m/>
    <m/>
    <n v="0"/>
    <m/>
    <m/>
    <n v="0"/>
    <n v="0"/>
    <n v="0"/>
    <n v="26577434"/>
    <n v="27958041"/>
    <m/>
    <m/>
    <n v="0"/>
    <m/>
    <m/>
    <n v="0"/>
    <m/>
    <m/>
    <m/>
    <m/>
    <n v="26577434"/>
    <n v="27958041"/>
  </r>
  <r>
    <x v="11"/>
    <x v="25"/>
    <s v="Lottery Tuition Assistance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28"/>
    <s v="Amount to public sector students"/>
    <m/>
    <x v="12"/>
    <m/>
    <m/>
    <m/>
    <m/>
    <m/>
    <m/>
    <m/>
    <m/>
    <n v="0"/>
    <m/>
    <m/>
    <n v="0"/>
    <n v="0"/>
    <n v="0"/>
    <n v="0"/>
    <m/>
    <m/>
    <m/>
    <n v="0"/>
    <m/>
    <m/>
    <n v="0"/>
    <m/>
    <m/>
    <m/>
    <m/>
    <n v="0"/>
    <n v="0"/>
  </r>
  <r>
    <x v="11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30"/>
    <s v="Non need-based"/>
    <m/>
    <x v="12"/>
    <m/>
    <m/>
    <m/>
    <m/>
    <m/>
    <m/>
    <m/>
    <m/>
    <n v="0"/>
    <m/>
    <m/>
    <n v="0"/>
    <n v="0"/>
    <n v="0"/>
    <n v="46256165"/>
    <n v="46453437"/>
    <m/>
    <m/>
    <n v="0"/>
    <m/>
    <m/>
    <n v="0"/>
    <m/>
    <m/>
    <m/>
    <m/>
    <n v="46256165"/>
    <n v="46453437"/>
  </r>
  <r>
    <x v="11"/>
    <x v="31"/>
    <s v="Amount to private sector students"/>
    <m/>
    <x v="12"/>
    <m/>
    <m/>
    <m/>
    <m/>
    <m/>
    <m/>
    <m/>
    <m/>
    <n v="0"/>
    <m/>
    <m/>
    <n v="0"/>
    <n v="0"/>
    <n v="0"/>
    <n v="0"/>
    <m/>
    <m/>
    <m/>
    <n v="0"/>
    <m/>
    <m/>
    <n v="0"/>
    <m/>
    <m/>
    <m/>
    <m/>
    <n v="0"/>
    <n v="0"/>
  </r>
  <r>
    <x v="11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33"/>
    <s v="Non need-based"/>
    <m/>
    <x v="12"/>
    <m/>
    <m/>
    <m/>
    <m/>
    <m/>
    <m/>
    <m/>
    <m/>
    <n v="0"/>
    <m/>
    <m/>
    <n v="0"/>
    <n v="0"/>
    <n v="0"/>
    <n v="743835"/>
    <n v="546563"/>
    <m/>
    <m/>
    <n v="0"/>
    <m/>
    <m/>
    <n v="0"/>
    <m/>
    <m/>
    <m/>
    <m/>
    <n v="743835"/>
    <n v="546563"/>
  </r>
  <r>
    <x v="11"/>
    <x v="25"/>
    <s v="  Palmetto Fellows Scholarship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28"/>
    <s v="Amount to public sector students"/>
    <m/>
    <x v="12"/>
    <m/>
    <m/>
    <m/>
    <m/>
    <m/>
    <m/>
    <m/>
    <m/>
    <n v="0"/>
    <m/>
    <m/>
    <n v="0"/>
    <n v="0"/>
    <n v="0"/>
    <n v="0"/>
    <m/>
    <m/>
    <m/>
    <n v="0"/>
    <m/>
    <m/>
    <n v="0"/>
    <m/>
    <m/>
    <m/>
    <m/>
    <n v="0"/>
    <n v="0"/>
  </r>
  <r>
    <x v="11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30"/>
    <s v="Non need-based"/>
    <m/>
    <x v="12"/>
    <m/>
    <m/>
    <m/>
    <m/>
    <m/>
    <m/>
    <m/>
    <m/>
    <n v="0"/>
    <m/>
    <m/>
    <n v="0"/>
    <n v="0"/>
    <n v="0"/>
    <n v="31810908"/>
    <n v="32303764"/>
    <m/>
    <m/>
    <n v="0"/>
    <m/>
    <m/>
    <n v="0"/>
    <m/>
    <m/>
    <m/>
    <m/>
    <n v="31810908"/>
    <n v="32303764"/>
  </r>
  <r>
    <x v="11"/>
    <x v="31"/>
    <s v="Amount to private sector students"/>
    <m/>
    <x v="12"/>
    <m/>
    <m/>
    <m/>
    <m/>
    <m/>
    <m/>
    <m/>
    <m/>
    <n v="0"/>
    <m/>
    <m/>
    <n v="0"/>
    <n v="0"/>
    <n v="0"/>
    <n v="0"/>
    <m/>
    <m/>
    <m/>
    <n v="0"/>
    <m/>
    <m/>
    <n v="0"/>
    <m/>
    <m/>
    <m/>
    <m/>
    <n v="0"/>
    <n v="0"/>
  </r>
  <r>
    <x v="11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33"/>
    <s v="Non need-based"/>
    <m/>
    <x v="12"/>
    <m/>
    <m/>
    <m/>
    <m/>
    <m/>
    <m/>
    <m/>
    <m/>
    <n v="0"/>
    <m/>
    <m/>
    <n v="0"/>
    <n v="0"/>
    <n v="0"/>
    <n v="9104582"/>
    <n v="9973476"/>
    <m/>
    <m/>
    <n v="0"/>
    <m/>
    <m/>
    <n v="0"/>
    <m/>
    <m/>
    <m/>
    <m/>
    <n v="9104582"/>
    <n v="9973476"/>
  </r>
  <r>
    <x v="11"/>
    <x v="25"/>
    <s v="SC HOPE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28"/>
    <s v="Amount to public sector students"/>
    <m/>
    <x v="12"/>
    <m/>
    <m/>
    <m/>
    <m/>
    <m/>
    <m/>
    <m/>
    <m/>
    <n v="0"/>
    <m/>
    <m/>
    <n v="0"/>
    <n v="0"/>
    <n v="0"/>
    <n v="0"/>
    <m/>
    <m/>
    <m/>
    <n v="0"/>
    <m/>
    <m/>
    <n v="0"/>
    <m/>
    <m/>
    <m/>
    <m/>
    <n v="0"/>
    <n v="0"/>
  </r>
  <r>
    <x v="11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30"/>
    <s v="Non need-based"/>
    <m/>
    <x v="12"/>
    <m/>
    <m/>
    <m/>
    <m/>
    <m/>
    <m/>
    <m/>
    <m/>
    <n v="0"/>
    <m/>
    <m/>
    <n v="0"/>
    <n v="0"/>
    <n v="0"/>
    <n v="5380736"/>
    <n v="5591280"/>
    <m/>
    <m/>
    <n v="0"/>
    <m/>
    <m/>
    <n v="0"/>
    <m/>
    <m/>
    <m/>
    <m/>
    <n v="5380736"/>
    <n v="5591280"/>
  </r>
  <r>
    <x v="11"/>
    <x v="31"/>
    <s v="Amount to private sector students"/>
    <m/>
    <x v="12"/>
    <m/>
    <m/>
    <m/>
    <m/>
    <m/>
    <m/>
    <m/>
    <m/>
    <n v="0"/>
    <m/>
    <m/>
    <n v="0"/>
    <n v="0"/>
    <n v="0"/>
    <n v="0"/>
    <m/>
    <m/>
    <m/>
    <n v="0"/>
    <m/>
    <m/>
    <n v="0"/>
    <m/>
    <m/>
    <m/>
    <m/>
    <n v="0"/>
    <n v="0"/>
  </r>
  <r>
    <x v="11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33"/>
    <s v="Non need-based"/>
    <m/>
    <x v="12"/>
    <m/>
    <m/>
    <m/>
    <m/>
    <m/>
    <m/>
    <m/>
    <m/>
    <n v="0"/>
    <m/>
    <m/>
    <n v="0"/>
    <n v="0"/>
    <n v="0"/>
    <n v="2386870"/>
    <n v="2484830"/>
    <m/>
    <m/>
    <n v="0"/>
    <m/>
    <m/>
    <n v="0"/>
    <m/>
    <m/>
    <m/>
    <m/>
    <n v="2386870"/>
    <n v="2484830"/>
  </r>
  <r>
    <x v="11"/>
    <x v="25"/>
    <s v="SC Need-Based Gra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29"/>
    <s v="Need-based"/>
    <m/>
    <x v="12"/>
    <m/>
    <m/>
    <m/>
    <m/>
    <m/>
    <m/>
    <m/>
    <m/>
    <n v="0"/>
    <m/>
    <m/>
    <n v="0"/>
    <n v="0"/>
    <n v="0"/>
    <n v="21793965"/>
    <n v="18554748"/>
    <m/>
    <m/>
    <n v="0"/>
    <m/>
    <m/>
    <n v="0"/>
    <m/>
    <m/>
    <m/>
    <m/>
    <n v="21793965"/>
    <n v="18554748"/>
  </r>
  <r>
    <x v="11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32"/>
    <s v="Need-based"/>
    <m/>
    <x v="12"/>
    <m/>
    <m/>
    <m/>
    <m/>
    <m/>
    <m/>
    <m/>
    <m/>
    <n v="0"/>
    <m/>
    <m/>
    <n v="0"/>
    <n v="0"/>
    <n v="0"/>
    <n v="5315872"/>
    <n v="5076818"/>
    <m/>
    <m/>
    <n v="0"/>
    <m/>
    <m/>
    <n v="0"/>
    <m/>
    <m/>
    <m/>
    <m/>
    <n v="5315872"/>
    <n v="5076818"/>
  </r>
  <r>
    <x v="11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25"/>
    <s v="National Guard College Assistance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26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27"/>
    <s v="Non need-based"/>
    <m/>
    <x v="12"/>
    <m/>
    <m/>
    <m/>
    <m/>
    <m/>
    <m/>
    <m/>
    <m/>
    <n v="0"/>
    <m/>
    <m/>
    <n v="0"/>
    <n v="0"/>
    <n v="0"/>
    <n v="1300000"/>
    <n v="1700000"/>
    <m/>
    <m/>
    <n v="0"/>
    <m/>
    <m/>
    <n v="0"/>
    <m/>
    <m/>
    <m/>
    <m/>
    <n v="1300000"/>
    <n v="1700000"/>
  </r>
  <r>
    <x v="11"/>
    <x v="25"/>
    <s v="National Guard Tuition Repayment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25"/>
    <s v="National Guard Tuition Repayment  Prog. Lottery"/>
    <m/>
    <x v="12"/>
    <m/>
    <m/>
    <m/>
    <m/>
    <m/>
    <m/>
    <m/>
    <m/>
    <n v="0"/>
    <m/>
    <m/>
    <n v="0"/>
    <n v="0"/>
    <n v="0"/>
    <n v="129187"/>
    <n v="109138"/>
    <m/>
    <m/>
    <n v="0"/>
    <m/>
    <m/>
    <n v="0"/>
    <m/>
    <m/>
    <m/>
    <m/>
    <n v="129187"/>
    <n v="109138"/>
  </r>
  <r>
    <x v="11"/>
    <x v="25"/>
    <s v="National Guard Tuition Repayment  Prog. Lottery (NR)"/>
    <m/>
    <x v="12"/>
    <m/>
    <m/>
    <m/>
    <m/>
    <m/>
    <m/>
    <m/>
    <m/>
    <n v="0"/>
    <m/>
    <m/>
    <n v="0"/>
    <n v="0"/>
    <n v="0"/>
    <n v="1700000"/>
    <m/>
    <m/>
    <m/>
    <n v="0"/>
    <m/>
    <m/>
    <n v="0"/>
    <m/>
    <m/>
    <m/>
    <m/>
    <n v="1700000"/>
    <n v="0"/>
  </r>
  <r>
    <x v="11"/>
    <x v="34"/>
    <s v="Limited to public college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37"/>
    <s v="Limited to private college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1"/>
    <x v="37"/>
    <s v="S.C. Tuition Grants"/>
    <m/>
    <x v="12"/>
    <m/>
    <m/>
    <m/>
    <m/>
    <m/>
    <m/>
    <m/>
    <m/>
    <n v="0"/>
    <m/>
    <m/>
    <n v="0"/>
    <n v="0"/>
    <n v="0"/>
    <n v="0"/>
    <m/>
    <m/>
    <m/>
    <n v="0"/>
    <m/>
    <m/>
    <n v="0"/>
    <m/>
    <m/>
    <m/>
    <m/>
    <n v="0"/>
    <n v="0"/>
  </r>
  <r>
    <x v="11"/>
    <x v="38"/>
    <s v="Need-based"/>
    <m/>
    <x v="12"/>
    <m/>
    <m/>
    <m/>
    <m/>
    <m/>
    <m/>
    <m/>
    <m/>
    <n v="0"/>
    <m/>
    <m/>
    <n v="0"/>
    <n v="0"/>
    <n v="0"/>
    <n v="29955053"/>
    <n v="29844497"/>
    <m/>
    <m/>
    <n v="0"/>
    <m/>
    <m/>
    <n v="0"/>
    <m/>
    <m/>
    <m/>
    <m/>
    <n v="29955053"/>
    <n v="29844497"/>
  </r>
  <r>
    <x v="11"/>
    <x v="39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0"/>
    <s v="University of Tennessee, Knoxville"/>
    <n v="221759"/>
    <x v="0"/>
    <n v="202406600"/>
    <n v="178669100"/>
    <m/>
    <m/>
    <m/>
    <m/>
    <n v="176406500"/>
    <n v="2750357"/>
    <n v="179156857"/>
    <n v="187709000"/>
    <n v="2778630"/>
    <n v="190487630"/>
    <n v="378813100"/>
    <n v="366378100"/>
    <m/>
    <m/>
    <m/>
    <m/>
    <n v="0"/>
    <m/>
    <m/>
    <n v="0"/>
    <m/>
    <m/>
    <m/>
    <m/>
    <n v="378813100"/>
    <n v="366378100"/>
  </r>
  <r>
    <x v="12"/>
    <x v="3"/>
    <s v="Community/Public Service Units"/>
    <n v="22175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3"/>
    <s v="Municipal Technology Advisory Service"/>
    <n v="221759"/>
    <x v="0"/>
    <m/>
    <m/>
    <n v="2743100"/>
    <n v="2601900"/>
    <m/>
    <m/>
    <m/>
    <m/>
    <n v="0"/>
    <m/>
    <m/>
    <n v="0"/>
    <n v="2743100"/>
    <n v="2601900"/>
    <m/>
    <m/>
    <m/>
    <m/>
    <n v="0"/>
    <m/>
    <m/>
    <n v="0"/>
    <m/>
    <m/>
    <m/>
    <m/>
    <n v="2743100"/>
    <n v="2601900"/>
  </r>
  <r>
    <x v="12"/>
    <x v="3"/>
    <s v="County Technology Advisory Service"/>
    <n v="221759"/>
    <x v="0"/>
    <m/>
    <m/>
    <n v="1605900"/>
    <n v="1519600"/>
    <m/>
    <m/>
    <m/>
    <m/>
    <n v="0"/>
    <m/>
    <m/>
    <n v="0"/>
    <n v="1605900"/>
    <n v="1519600"/>
    <m/>
    <m/>
    <m/>
    <m/>
    <n v="0"/>
    <m/>
    <m/>
    <n v="0"/>
    <m/>
    <m/>
    <m/>
    <m/>
    <n v="1605900"/>
    <n v="1519600"/>
  </r>
  <r>
    <x v="12"/>
    <x v="3"/>
    <s v="Institute for Public Service"/>
    <n v="221759"/>
    <x v="0"/>
    <m/>
    <m/>
    <n v="4980000"/>
    <n v="4806500"/>
    <m/>
    <m/>
    <m/>
    <m/>
    <n v="0"/>
    <m/>
    <m/>
    <n v="0"/>
    <n v="4980000"/>
    <n v="4806500"/>
    <m/>
    <m/>
    <m/>
    <m/>
    <n v="0"/>
    <m/>
    <m/>
    <n v="0"/>
    <m/>
    <m/>
    <m/>
    <m/>
    <n v="4980000"/>
    <n v="4806500"/>
  </r>
  <r>
    <x v="12"/>
    <x v="5"/>
    <s v="Agricultural cooperative extension"/>
    <n v="221759"/>
    <x v="0"/>
    <m/>
    <m/>
    <n v="30095000"/>
    <n v="28694300"/>
    <m/>
    <m/>
    <m/>
    <m/>
    <n v="0"/>
    <m/>
    <m/>
    <n v="0"/>
    <n v="30095000"/>
    <n v="28694300"/>
    <m/>
    <m/>
    <m/>
    <m/>
    <n v="0"/>
    <m/>
    <m/>
    <n v="0"/>
    <m/>
    <m/>
    <m/>
    <m/>
    <n v="30095000"/>
    <n v="28694300"/>
  </r>
  <r>
    <x v="12"/>
    <x v="6"/>
    <s v="Agricultural experiment stations"/>
    <n v="221759"/>
    <x v="0"/>
    <m/>
    <m/>
    <n v="25183200"/>
    <n v="23841500"/>
    <m/>
    <m/>
    <m/>
    <m/>
    <n v="0"/>
    <m/>
    <m/>
    <n v="0"/>
    <n v="25183200"/>
    <n v="23841500"/>
    <m/>
    <m/>
    <m/>
    <m/>
    <n v="0"/>
    <m/>
    <m/>
    <n v="0"/>
    <m/>
    <m/>
    <m/>
    <m/>
    <n v="25183200"/>
    <n v="23841500"/>
  </r>
  <r>
    <x v="12"/>
    <x v="0"/>
    <s v="University of Memphis"/>
    <n v="220862"/>
    <x v="1"/>
    <n v="127736800"/>
    <n v="113093400"/>
    <m/>
    <m/>
    <m/>
    <m/>
    <n v="102021731"/>
    <n v="4095136"/>
    <n v="106116867"/>
    <n v="109324948"/>
    <n v="3975136"/>
    <n v="113300084"/>
    <n v="229758531"/>
    <n v="222418348"/>
    <m/>
    <m/>
    <m/>
    <m/>
    <n v="0"/>
    <m/>
    <m/>
    <n v="0"/>
    <m/>
    <m/>
    <m/>
    <m/>
    <n v="229758531"/>
    <n v="222418348"/>
  </r>
  <r>
    <x v="12"/>
    <x v="0"/>
    <s v="East Tennessee State University "/>
    <n v="220075"/>
    <x v="2"/>
    <n v="64168100"/>
    <n v="57792100"/>
    <m/>
    <m/>
    <m/>
    <m/>
    <n v="60832000"/>
    <n v="2123000"/>
    <n v="62955000"/>
    <n v="68232000"/>
    <n v="2498000"/>
    <n v="70730000"/>
    <n v="125000100"/>
    <n v="126024100"/>
    <m/>
    <m/>
    <m/>
    <m/>
    <n v="0"/>
    <m/>
    <m/>
    <n v="0"/>
    <m/>
    <m/>
    <m/>
    <m/>
    <n v="125000100"/>
    <n v="126024100"/>
  </r>
  <r>
    <x v="12"/>
    <x v="1"/>
    <s v="Medical School"/>
    <n v="220075"/>
    <x v="2"/>
    <m/>
    <m/>
    <m/>
    <m/>
    <m/>
    <m/>
    <m/>
    <m/>
    <n v="0"/>
    <m/>
    <m/>
    <n v="0"/>
    <n v="0"/>
    <n v="0"/>
    <m/>
    <m/>
    <m/>
    <m/>
    <n v="0"/>
    <m/>
    <m/>
    <n v="0"/>
    <n v="29028900"/>
    <n v="27619200"/>
    <n v="5520500"/>
    <n v="6082000"/>
    <n v="34549400"/>
    <n v="33701200"/>
  </r>
  <r>
    <x v="12"/>
    <x v="0"/>
    <s v="Middle Tennessee State University "/>
    <n v="220978"/>
    <x v="2"/>
    <n v="102015300"/>
    <n v="91965400"/>
    <m/>
    <m/>
    <m/>
    <m/>
    <n v="107241720"/>
    <n v="5800000"/>
    <n v="113041720"/>
    <n v="115588113"/>
    <n v="8825000"/>
    <n v="124413113"/>
    <n v="209257020"/>
    <n v="207553513"/>
    <m/>
    <m/>
    <m/>
    <m/>
    <n v="0"/>
    <m/>
    <m/>
    <n v="0"/>
    <m/>
    <m/>
    <m/>
    <m/>
    <n v="209257020"/>
    <n v="207553513"/>
  </r>
  <r>
    <x v="12"/>
    <x v="0"/>
    <s v="Tennessee State University "/>
    <n v="221838"/>
    <x v="2"/>
    <n v="43585900"/>
    <n v="38448300"/>
    <m/>
    <m/>
    <m/>
    <m/>
    <n v="59567400"/>
    <n v="1122900"/>
    <n v="60690300"/>
    <n v="53419100"/>
    <n v="1306500"/>
    <n v="54725600"/>
    <n v="103153300"/>
    <n v="91867400"/>
    <m/>
    <m/>
    <m/>
    <m/>
    <n v="0"/>
    <m/>
    <m/>
    <n v="0"/>
    <m/>
    <m/>
    <m/>
    <m/>
    <n v="103153300"/>
    <n v="91867400"/>
  </r>
  <r>
    <x v="12"/>
    <x v="5"/>
    <s v="Agricultural experiment stations"/>
    <n v="221838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5"/>
    <s v="McMinnville Center Station"/>
    <n v="221838"/>
    <x v="2"/>
    <m/>
    <m/>
    <n v="531200"/>
    <n v="503100"/>
    <m/>
    <m/>
    <m/>
    <m/>
    <n v="0"/>
    <m/>
    <m/>
    <n v="0"/>
    <n v="531200"/>
    <n v="503100"/>
    <m/>
    <m/>
    <m/>
    <m/>
    <n v="0"/>
    <m/>
    <m/>
    <n v="0"/>
    <m/>
    <m/>
    <m/>
    <m/>
    <n v="531200"/>
    <n v="503100"/>
  </r>
  <r>
    <x v="12"/>
    <x v="0"/>
    <s v="University of Tennessee at Chattanooga"/>
    <n v="221740"/>
    <x v="2"/>
    <n v="47447000"/>
    <n v="42102800"/>
    <m/>
    <m/>
    <m/>
    <m/>
    <n v="42033515"/>
    <n v="2500000"/>
    <n v="44533515"/>
    <n v="45816144"/>
    <n v="2500000"/>
    <n v="48316144"/>
    <n v="89480515"/>
    <n v="87918944"/>
    <m/>
    <m/>
    <m/>
    <m/>
    <n v="0"/>
    <m/>
    <m/>
    <n v="0"/>
    <m/>
    <m/>
    <m/>
    <m/>
    <n v="89480515"/>
    <n v="87918944"/>
  </r>
  <r>
    <x v="12"/>
    <x v="0"/>
    <s v="Austin Peay State University "/>
    <n v="219602"/>
    <x v="3"/>
    <n v="37279100"/>
    <n v="32935800"/>
    <m/>
    <m/>
    <m/>
    <m/>
    <n v="37858300"/>
    <n v="1630000"/>
    <n v="39488300"/>
    <n v="41586000"/>
    <n v="1630000"/>
    <n v="43216000"/>
    <n v="75137400"/>
    <n v="74521800"/>
    <m/>
    <m/>
    <m/>
    <m/>
    <n v="0"/>
    <m/>
    <m/>
    <n v="0"/>
    <m/>
    <m/>
    <m/>
    <m/>
    <n v="75137400"/>
    <n v="74521800"/>
  </r>
  <r>
    <x v="12"/>
    <x v="0"/>
    <s v="Tennessee Technological University "/>
    <n v="221847"/>
    <x v="3"/>
    <n v="53439400"/>
    <n v="45198900"/>
    <m/>
    <m/>
    <m/>
    <m/>
    <n v="44364400"/>
    <n v="519000"/>
    <n v="44883400"/>
    <n v="49566800"/>
    <n v="536900"/>
    <n v="50103700"/>
    <n v="97803800"/>
    <n v="94765700"/>
    <m/>
    <m/>
    <m/>
    <m/>
    <n v="0"/>
    <m/>
    <m/>
    <n v="0"/>
    <m/>
    <m/>
    <m/>
    <m/>
    <n v="97803800"/>
    <n v="94765700"/>
  </r>
  <r>
    <x v="12"/>
    <x v="0"/>
    <s v="University of Tennessee at Martin"/>
    <n v="221768"/>
    <x v="4"/>
    <n v="33868100"/>
    <n v="30386700"/>
    <m/>
    <m/>
    <m/>
    <m/>
    <n v="31574563"/>
    <n v="1040000"/>
    <n v="32614563"/>
    <n v="34358563"/>
    <n v="1070000"/>
    <n v="35428563"/>
    <n v="65442663"/>
    <n v="64745263"/>
    <m/>
    <m/>
    <m/>
    <m/>
    <n v="0"/>
    <m/>
    <m/>
    <n v="0"/>
    <m/>
    <m/>
    <m/>
    <m/>
    <n v="65442663"/>
    <n v="64745263"/>
  </r>
  <r>
    <x v="12"/>
    <x v="0"/>
    <s v="Chattanooga State Technical Community College "/>
    <n v="219824"/>
    <x v="6"/>
    <n v="25114500"/>
    <n v="23667300"/>
    <m/>
    <m/>
    <m/>
    <m/>
    <n v="18450000"/>
    <m/>
    <n v="18450000"/>
    <n v="19795000"/>
    <m/>
    <n v="19795000"/>
    <n v="43564500"/>
    <n v="43462300"/>
    <m/>
    <m/>
    <m/>
    <m/>
    <n v="0"/>
    <m/>
    <m/>
    <n v="0"/>
    <m/>
    <m/>
    <m/>
    <m/>
    <n v="43564500"/>
    <n v="43462300"/>
  </r>
  <r>
    <x v="12"/>
    <x v="0"/>
    <s v="Pellissippi State Technical Community College"/>
    <n v="221643"/>
    <x v="6"/>
    <n v="22076300"/>
    <n v="20741200"/>
    <m/>
    <m/>
    <m/>
    <m/>
    <n v="19225000"/>
    <n v="260000"/>
    <n v="19485000"/>
    <n v="21300000"/>
    <n v="260000"/>
    <n v="21560000"/>
    <n v="41301300"/>
    <n v="42041200"/>
    <m/>
    <m/>
    <m/>
    <m/>
    <n v="0"/>
    <m/>
    <m/>
    <n v="0"/>
    <m/>
    <m/>
    <m/>
    <m/>
    <n v="41301300"/>
    <n v="42041200"/>
  </r>
  <r>
    <x v="12"/>
    <x v="0"/>
    <s v="Southwest Tennessee Community College"/>
    <n v="221485"/>
    <x v="6"/>
    <n v="40275100"/>
    <n v="37845200"/>
    <m/>
    <m/>
    <m/>
    <m/>
    <n v="27285800"/>
    <m/>
    <n v="27285800"/>
    <n v="27638640"/>
    <m/>
    <n v="27638640"/>
    <n v="67560900"/>
    <n v="65483840"/>
    <m/>
    <m/>
    <m/>
    <m/>
    <n v="0"/>
    <m/>
    <m/>
    <n v="0"/>
    <m/>
    <m/>
    <m/>
    <m/>
    <n v="67560900"/>
    <n v="65483840"/>
  </r>
  <r>
    <x v="12"/>
    <x v="0"/>
    <s v="Cleveland State Community College "/>
    <n v="219879"/>
    <x v="7"/>
    <n v="10948100"/>
    <n v="10271300"/>
    <m/>
    <m/>
    <m/>
    <m/>
    <n v="6265800"/>
    <m/>
    <n v="6265800"/>
    <n v="7075600"/>
    <m/>
    <n v="7075600"/>
    <n v="17213900"/>
    <n v="17346900"/>
    <m/>
    <m/>
    <m/>
    <m/>
    <n v="0"/>
    <m/>
    <m/>
    <n v="0"/>
    <m/>
    <m/>
    <m/>
    <m/>
    <n v="17213900"/>
    <n v="17346900"/>
  </r>
  <r>
    <x v="12"/>
    <x v="0"/>
    <s v="Columbia State Community College "/>
    <n v="219888"/>
    <x v="7"/>
    <n v="14142400"/>
    <n v="13246700"/>
    <m/>
    <m/>
    <m/>
    <m/>
    <n v="9320400"/>
    <m/>
    <n v="9320400"/>
    <n v="9956000"/>
    <m/>
    <n v="9956000"/>
    <n v="23462800"/>
    <n v="23202700"/>
    <m/>
    <m/>
    <m/>
    <m/>
    <n v="0"/>
    <m/>
    <m/>
    <n v="0"/>
    <m/>
    <m/>
    <m/>
    <m/>
    <n v="23462800"/>
    <n v="23202700"/>
  </r>
  <r>
    <x v="12"/>
    <x v="0"/>
    <s v="Jackson State Community College "/>
    <n v="220400"/>
    <x v="7"/>
    <n v="13277200"/>
    <n v="12393900"/>
    <m/>
    <m/>
    <m/>
    <m/>
    <n v="9858200"/>
    <m/>
    <n v="9858200"/>
    <n v="10434300"/>
    <m/>
    <n v="10434300"/>
    <n v="23135400"/>
    <n v="22828200"/>
    <m/>
    <m/>
    <m/>
    <m/>
    <n v="0"/>
    <m/>
    <m/>
    <n v="0"/>
    <m/>
    <m/>
    <m/>
    <m/>
    <n v="23135400"/>
    <n v="22828200"/>
  </r>
  <r>
    <x v="12"/>
    <x v="0"/>
    <s v="Motlow State Community College "/>
    <n v="221096"/>
    <x v="7"/>
    <n v="11035500"/>
    <n v="10302500"/>
    <m/>
    <m/>
    <m/>
    <m/>
    <n v="8320160"/>
    <m/>
    <n v="8320160"/>
    <n v="9476000"/>
    <m/>
    <n v="9476000"/>
    <n v="19355660"/>
    <n v="19778500"/>
    <m/>
    <m/>
    <m/>
    <m/>
    <n v="0"/>
    <m/>
    <m/>
    <n v="0"/>
    <m/>
    <m/>
    <m/>
    <m/>
    <n v="19355660"/>
    <n v="19778500"/>
  </r>
  <r>
    <x v="12"/>
    <x v="0"/>
    <s v="Nashville State Technical Institute"/>
    <n v="221184"/>
    <x v="7"/>
    <n v="16435300"/>
    <n v="15375500"/>
    <m/>
    <m/>
    <m/>
    <m/>
    <n v="14146300"/>
    <m/>
    <n v="14146300"/>
    <n v="16933000"/>
    <m/>
    <n v="16933000"/>
    <n v="30581600"/>
    <n v="32308500"/>
    <m/>
    <m/>
    <m/>
    <m/>
    <n v="0"/>
    <m/>
    <m/>
    <n v="0"/>
    <m/>
    <m/>
    <m/>
    <m/>
    <n v="30581600"/>
    <n v="32308500"/>
  </r>
  <r>
    <x v="12"/>
    <x v="0"/>
    <s v="Northeast State Technical Community College"/>
    <n v="221908"/>
    <x v="7"/>
    <n v="13277200"/>
    <n v="12442600"/>
    <m/>
    <m/>
    <m/>
    <m/>
    <n v="10516500"/>
    <m/>
    <n v="10516500"/>
    <n v="11651400"/>
    <m/>
    <n v="11651400"/>
    <n v="23793700"/>
    <n v="24094000"/>
    <m/>
    <m/>
    <m/>
    <m/>
    <n v="0"/>
    <m/>
    <m/>
    <n v="0"/>
    <m/>
    <m/>
    <m/>
    <m/>
    <n v="23793700"/>
    <n v="24094000"/>
  </r>
  <r>
    <x v="12"/>
    <x v="0"/>
    <s v="Roane State Community College "/>
    <n v="221397"/>
    <x v="7"/>
    <n v="19201700"/>
    <n v="18044100"/>
    <m/>
    <m/>
    <m/>
    <m/>
    <n v="12062622"/>
    <m/>
    <n v="12062622"/>
    <n v="12612422"/>
    <m/>
    <n v="12612422"/>
    <n v="31264322"/>
    <n v="30656522"/>
    <m/>
    <m/>
    <m/>
    <m/>
    <n v="0"/>
    <m/>
    <m/>
    <n v="0"/>
    <m/>
    <m/>
    <m/>
    <m/>
    <n v="31264322"/>
    <n v="30656522"/>
  </r>
  <r>
    <x v="12"/>
    <x v="0"/>
    <s v="Volunteer State Community College "/>
    <n v="222053"/>
    <x v="7"/>
    <n v="19311700"/>
    <n v="18134900"/>
    <m/>
    <m/>
    <m/>
    <m/>
    <n v="13964578"/>
    <m/>
    <n v="13964578"/>
    <n v="15116343"/>
    <m/>
    <n v="15116343"/>
    <n v="33276278"/>
    <n v="33251243"/>
    <m/>
    <m/>
    <m/>
    <m/>
    <n v="0"/>
    <m/>
    <m/>
    <n v="0"/>
    <m/>
    <m/>
    <m/>
    <m/>
    <n v="33276278"/>
    <n v="33251243"/>
  </r>
  <r>
    <x v="12"/>
    <x v="0"/>
    <s v="Walters State Community College "/>
    <n v="222062"/>
    <x v="7"/>
    <n v="19498100"/>
    <n v="18347900"/>
    <m/>
    <m/>
    <m/>
    <m/>
    <n v="12171000"/>
    <m/>
    <n v="12171000"/>
    <n v="14233800"/>
    <m/>
    <n v="14233800"/>
    <n v="31669100"/>
    <n v="32581700"/>
    <m/>
    <m/>
    <m/>
    <m/>
    <n v="0"/>
    <m/>
    <m/>
    <n v="0"/>
    <m/>
    <m/>
    <m/>
    <m/>
    <n v="31669100"/>
    <n v="32581700"/>
  </r>
  <r>
    <x v="12"/>
    <x v="0"/>
    <s v="Dyersburg State Community College "/>
    <n v="220057"/>
    <x v="8"/>
    <n v="7702800"/>
    <n v="7190000"/>
    <m/>
    <m/>
    <m/>
    <m/>
    <n v="5160600"/>
    <m/>
    <n v="5160600"/>
    <n v="5644700"/>
    <m/>
    <n v="5644700"/>
    <n v="12863400"/>
    <n v="12834700"/>
    <m/>
    <m/>
    <m/>
    <m/>
    <n v="0"/>
    <m/>
    <m/>
    <n v="0"/>
    <m/>
    <m/>
    <m/>
    <m/>
    <n v="12863400"/>
    <n v="12834700"/>
  </r>
  <r>
    <x v="12"/>
    <x v="0"/>
    <s v="Tennessee Technology Center at Athens"/>
    <n v="219596"/>
    <x v="10"/>
    <n v="1372100"/>
    <n v="1302100"/>
    <m/>
    <m/>
    <m/>
    <m/>
    <n v="376600"/>
    <m/>
    <n v="376600"/>
    <n v="419200.90250954352"/>
    <m/>
    <n v="419200.90250954352"/>
    <n v="1748700"/>
    <n v="1721300.9025095436"/>
    <m/>
    <m/>
    <m/>
    <m/>
    <n v="0"/>
    <m/>
    <m/>
    <n v="0"/>
    <m/>
    <m/>
    <m/>
    <m/>
    <n v="1748700"/>
    <n v="1721300.9025095436"/>
  </r>
  <r>
    <x v="12"/>
    <x v="0"/>
    <s v="Tennessee Technology Center at Chattanooga"/>
    <s v="219824B"/>
    <x v="10"/>
    <n v="3154000"/>
    <n v="2993100"/>
    <m/>
    <m/>
    <m/>
    <m/>
    <n v="1320000"/>
    <m/>
    <n v="1320000"/>
    <n v="1469318.0863319102"/>
    <m/>
    <n v="1469318.0863319102"/>
    <n v="4474000"/>
    <n v="4462418.0863319105"/>
    <m/>
    <m/>
    <m/>
    <m/>
    <n v="0"/>
    <m/>
    <m/>
    <n v="0"/>
    <m/>
    <m/>
    <m/>
    <m/>
    <n v="4474000"/>
    <n v="4462418.0863319105"/>
  </r>
  <r>
    <x v="12"/>
    <x v="0"/>
    <s v="Tennessee Technology Center at Covington"/>
    <n v="219921"/>
    <x v="10"/>
    <n v="1150600"/>
    <n v="1091900"/>
    <m/>
    <m/>
    <m/>
    <m/>
    <n v="230000"/>
    <m/>
    <n v="230000"/>
    <n v="256017.54534571164"/>
    <m/>
    <n v="256017.54534571164"/>
    <n v="1380600"/>
    <n v="1347917.5453457115"/>
    <m/>
    <m/>
    <m/>
    <m/>
    <n v="0"/>
    <m/>
    <m/>
    <n v="0"/>
    <m/>
    <m/>
    <m/>
    <m/>
    <n v="1380600"/>
    <n v="1347917.5453457115"/>
  </r>
  <r>
    <x v="12"/>
    <x v="0"/>
    <s v="Tennessee Technology Center at Crossville"/>
    <n v="221591"/>
    <x v="10"/>
    <n v="2301600"/>
    <n v="2184200"/>
    <m/>
    <m/>
    <m/>
    <m/>
    <n v="590000"/>
    <m/>
    <n v="590000"/>
    <n v="656740.65979986906"/>
    <m/>
    <n v="656740.65979986906"/>
    <n v="2891600"/>
    <n v="2840940.6597998692"/>
    <m/>
    <m/>
    <m/>
    <m/>
    <n v="0"/>
    <m/>
    <m/>
    <n v="0"/>
    <m/>
    <m/>
    <m/>
    <m/>
    <n v="2891600"/>
    <n v="2840940.6597998692"/>
  </r>
  <r>
    <x v="12"/>
    <x v="0"/>
    <s v="Tennessee Technology Center at Crump"/>
    <n v="221430"/>
    <x v="10"/>
    <n v="1584300"/>
    <n v="1503500"/>
    <m/>
    <m/>
    <m/>
    <m/>
    <n v="384500"/>
    <m/>
    <n v="384500"/>
    <n v="427994.54863228748"/>
    <m/>
    <n v="427994.54863228748"/>
    <n v="1968800"/>
    <n v="1931494.5486322874"/>
    <m/>
    <m/>
    <m/>
    <m/>
    <n v="0"/>
    <m/>
    <m/>
    <n v="0"/>
    <m/>
    <m/>
    <m/>
    <m/>
    <n v="1968800"/>
    <n v="1931494.5486322874"/>
  </r>
  <r>
    <x v="12"/>
    <x v="0"/>
    <s v="Tennessee Technology Center at Dickson"/>
    <n v="219994"/>
    <x v="10"/>
    <n v="2345200"/>
    <n v="2225600"/>
    <m/>
    <m/>
    <m/>
    <m/>
    <n v="742000"/>
    <m/>
    <n v="742000"/>
    <n v="825934.86368051323"/>
    <m/>
    <n v="825934.86368051323"/>
    <n v="3087200"/>
    <n v="3051534.8636805131"/>
    <m/>
    <m/>
    <m/>
    <m/>
    <n v="0"/>
    <m/>
    <m/>
    <n v="0"/>
    <m/>
    <m/>
    <m/>
    <m/>
    <n v="3087200"/>
    <n v="3051534.8636805131"/>
  </r>
  <r>
    <x v="12"/>
    <x v="0"/>
    <s v="Tennessee Technology Center at Elizabethton"/>
    <n v="220127"/>
    <x v="10"/>
    <n v="1517200"/>
    <n v="1439800"/>
    <m/>
    <m/>
    <m/>
    <m/>
    <n v="791900"/>
    <m/>
    <n v="791900"/>
    <n v="881479.53982290882"/>
    <m/>
    <n v="881479.53982290882"/>
    <n v="2309100"/>
    <n v="2321279.539822909"/>
    <m/>
    <m/>
    <m/>
    <m/>
    <n v="0"/>
    <m/>
    <m/>
    <n v="0"/>
    <m/>
    <m/>
    <m/>
    <m/>
    <n v="2309100"/>
    <n v="2321279.539822909"/>
  </r>
  <r>
    <x v="12"/>
    <x v="0"/>
    <s v="Tennessee Technology Center at Harriman"/>
    <n v="220251"/>
    <x v="10"/>
    <n v="1416000"/>
    <n v="1343800"/>
    <m/>
    <m/>
    <m/>
    <m/>
    <n v="365700"/>
    <m/>
    <n v="365700"/>
    <n v="407067.89709968149"/>
    <m/>
    <n v="407067.89709968149"/>
    <n v="1781700"/>
    <n v="1750867.8970996814"/>
    <m/>
    <m/>
    <m/>
    <m/>
    <n v="0"/>
    <m/>
    <m/>
    <n v="0"/>
    <m/>
    <m/>
    <m/>
    <m/>
    <n v="1781700"/>
    <n v="1750867.8970996814"/>
  </r>
  <r>
    <x v="12"/>
    <x v="0"/>
    <s v="Tennessee Technology Center at Hartsville"/>
    <n v="220279"/>
    <x v="10"/>
    <n v="1126400"/>
    <n v="1069000"/>
    <m/>
    <m/>
    <m/>
    <m/>
    <n v="374500"/>
    <m/>
    <n v="374500"/>
    <n v="416863.35100856092"/>
    <m/>
    <n v="416863.35100856092"/>
    <n v="1500900"/>
    <n v="1485863.351008561"/>
    <m/>
    <m/>
    <m/>
    <m/>
    <n v="0"/>
    <m/>
    <m/>
    <n v="0"/>
    <m/>
    <m/>
    <m/>
    <m/>
    <n v="1500900"/>
    <n v="1485863.351008561"/>
  </r>
  <r>
    <x v="12"/>
    <x v="0"/>
    <s v="Tennessee Technology Center at Hohenwald"/>
    <n v="220321"/>
    <x v="10"/>
    <n v="1540800"/>
    <n v="1462200"/>
    <m/>
    <m/>
    <m/>
    <m/>
    <n v="722000"/>
    <m/>
    <n v="722000"/>
    <n v="803672.4684330601"/>
    <m/>
    <n v="803672.4684330601"/>
    <n v="2262800"/>
    <n v="2265872.4684330602"/>
    <m/>
    <m/>
    <m/>
    <m/>
    <n v="0"/>
    <m/>
    <m/>
    <n v="0"/>
    <m/>
    <m/>
    <m/>
    <m/>
    <n v="2262800"/>
    <n v="2265872.4684330602"/>
  </r>
  <r>
    <x v="12"/>
    <x v="0"/>
    <s v="Tennessee Technology Center at Jacksboro"/>
    <n v="220394"/>
    <x v="10"/>
    <n v="1321400"/>
    <n v="1254000"/>
    <m/>
    <m/>
    <m/>
    <m/>
    <n v="260000"/>
    <m/>
    <n v="260000"/>
    <n v="289411.13821689144"/>
    <m/>
    <n v="289411.13821689144"/>
    <n v="1581400"/>
    <n v="1543411.1382168913"/>
    <m/>
    <m/>
    <m/>
    <m/>
    <n v="0"/>
    <m/>
    <m/>
    <n v="0"/>
    <m/>
    <m/>
    <m/>
    <m/>
    <n v="1581400"/>
    <n v="1543411.1382168913"/>
  </r>
  <r>
    <x v="12"/>
    <x v="0"/>
    <s v="Tennessee Technology Center at Jackson"/>
    <n v="221616"/>
    <x v="10"/>
    <n v="3044700"/>
    <n v="2889400"/>
    <m/>
    <m/>
    <m/>
    <m/>
    <n v="853000"/>
    <m/>
    <n v="853000"/>
    <n v="949491.15730387834"/>
    <m/>
    <n v="949491.15730387834"/>
    <n v="3897700"/>
    <n v="3838891.1573038781"/>
    <m/>
    <m/>
    <m/>
    <m/>
    <n v="0"/>
    <m/>
    <m/>
    <n v="0"/>
    <m/>
    <m/>
    <m/>
    <m/>
    <n v="3897700"/>
    <n v="3838891.1573038781"/>
  </r>
  <r>
    <x v="12"/>
    <x v="0"/>
    <s v="Tennessee Technology Center at Knoxville"/>
    <n v="221625"/>
    <x v="10"/>
    <n v="3188000"/>
    <n v="3025400"/>
    <m/>
    <m/>
    <m/>
    <m/>
    <n v="1005000"/>
    <m/>
    <n v="1005000"/>
    <n v="1118685.3611845227"/>
    <m/>
    <n v="1118685.3611845227"/>
    <n v="4193000"/>
    <n v="4144085.3611845225"/>
    <m/>
    <m/>
    <m/>
    <m/>
    <n v="0"/>
    <m/>
    <m/>
    <n v="0"/>
    <m/>
    <m/>
    <m/>
    <m/>
    <n v="4193000"/>
    <n v="4144085.3611845225"/>
  </r>
  <r>
    <x v="12"/>
    <x v="0"/>
    <s v="Tennessee Technology Center at Livingston"/>
    <n v="220640"/>
    <x v="10"/>
    <n v="2121000"/>
    <n v="2012800"/>
    <m/>
    <m/>
    <m/>
    <m/>
    <n v="701000"/>
    <m/>
    <n v="701000"/>
    <n v="780296.95342323417"/>
    <m/>
    <n v="780296.95342323417"/>
    <n v="2822000"/>
    <n v="2793096.9534232342"/>
    <m/>
    <m/>
    <m/>
    <m/>
    <n v="0"/>
    <m/>
    <m/>
    <n v="0"/>
    <m/>
    <m/>
    <m/>
    <m/>
    <n v="2822000"/>
    <n v="2793096.9534232342"/>
  </r>
  <r>
    <x v="12"/>
    <x v="0"/>
    <s v="Tennessee Technology Center at McKenzie"/>
    <n v="220756"/>
    <x v="10"/>
    <n v="1270600"/>
    <n v="1205800"/>
    <m/>
    <m/>
    <m/>
    <m/>
    <n v="404200"/>
    <m/>
    <n v="404200"/>
    <n v="449923.00795102888"/>
    <m/>
    <n v="449923.00795102888"/>
    <n v="1674800"/>
    <n v="1655723.0079510289"/>
    <m/>
    <m/>
    <m/>
    <m/>
    <n v="0"/>
    <m/>
    <m/>
    <n v="0"/>
    <m/>
    <m/>
    <m/>
    <m/>
    <n v="1674800"/>
    <n v="1655723.0079510289"/>
  </r>
  <r>
    <x v="12"/>
    <x v="0"/>
    <s v="Tennessee Technology Center at McMinnville"/>
    <n v="221607"/>
    <x v="10"/>
    <n v="1392600"/>
    <n v="1321600"/>
    <m/>
    <m/>
    <m/>
    <m/>
    <n v="443500"/>
    <m/>
    <n v="443500"/>
    <n v="493668.6146122744"/>
    <m/>
    <n v="493668.6146122744"/>
    <n v="1836100"/>
    <n v="1815268.6146122743"/>
    <m/>
    <m/>
    <m/>
    <m/>
    <n v="0"/>
    <m/>
    <m/>
    <n v="0"/>
    <m/>
    <m/>
    <m/>
    <m/>
    <n v="1836100"/>
    <n v="1815268.6146122743"/>
  </r>
  <r>
    <x v="12"/>
    <x v="0"/>
    <s v="Tennessee Technology Center at Memphis"/>
    <n v="220853"/>
    <x v="10"/>
    <n v="4215700"/>
    <n v="4000700"/>
    <m/>
    <m/>
    <m/>
    <m/>
    <n v="1579600"/>
    <m/>
    <n v="1579600"/>
    <n v="1758283.9766438527"/>
    <m/>
    <n v="1758283.9766438527"/>
    <n v="5795300"/>
    <n v="5758983.9766438529"/>
    <m/>
    <m/>
    <m/>
    <m/>
    <n v="0"/>
    <m/>
    <m/>
    <n v="0"/>
    <m/>
    <m/>
    <m/>
    <m/>
    <n v="5795300"/>
    <n v="5758983.9766438529"/>
  </r>
  <r>
    <x v="12"/>
    <x v="0"/>
    <s v="Tennessee Technology Center at Morristown"/>
    <n v="221050"/>
    <x v="10"/>
    <n v="3893300"/>
    <n v="3694700"/>
    <m/>
    <m/>
    <m/>
    <m/>
    <n v="1050000"/>
    <m/>
    <n v="1050000"/>
    <n v="1168775.7504912922"/>
    <m/>
    <n v="1168775.7504912922"/>
    <n v="4943300"/>
    <n v="4863475.7504912922"/>
    <m/>
    <m/>
    <m/>
    <m/>
    <n v="0"/>
    <m/>
    <m/>
    <n v="0"/>
    <m/>
    <m/>
    <m/>
    <m/>
    <n v="4943300"/>
    <n v="4863475.7504912922"/>
  </r>
  <r>
    <x v="12"/>
    <x v="0"/>
    <s v="Tennessee Technology Center at Murfreesboro"/>
    <n v="221102"/>
    <x v="10"/>
    <n v="1724200"/>
    <n v="1636300"/>
    <m/>
    <m/>
    <m/>
    <m/>
    <n v="640600"/>
    <m/>
    <n v="640600"/>
    <n v="713064.51977592555"/>
    <m/>
    <n v="713064.51977592555"/>
    <n v="2364800"/>
    <n v="2349364.5197759257"/>
    <m/>
    <m/>
    <m/>
    <m/>
    <n v="0"/>
    <m/>
    <m/>
    <n v="0"/>
    <m/>
    <m/>
    <m/>
    <m/>
    <n v="2364800"/>
    <n v="2349364.5197759257"/>
  </r>
  <r>
    <x v="12"/>
    <x v="0"/>
    <s v="Tennessee Technology Center at Nashville"/>
    <n v="248925"/>
    <x v="10"/>
    <n v="3649800"/>
    <n v="3463700"/>
    <m/>
    <m/>
    <m/>
    <m/>
    <n v="1383000"/>
    <m/>
    <n v="1383000"/>
    <n v="1539444.6313613879"/>
    <m/>
    <n v="1539444.6313613879"/>
    <n v="5032800"/>
    <n v="5003144.6313613877"/>
    <m/>
    <m/>
    <m/>
    <m/>
    <n v="0"/>
    <m/>
    <m/>
    <n v="0"/>
    <m/>
    <m/>
    <m/>
    <m/>
    <n v="5032800"/>
    <n v="5003144.6313613877"/>
  </r>
  <r>
    <x v="12"/>
    <x v="0"/>
    <s v="Tennessee Technology Center at Newbern"/>
    <n v="221236"/>
    <x v="10"/>
    <n v="1382600"/>
    <n v="1312100"/>
    <m/>
    <m/>
    <m/>
    <m/>
    <n v="366500"/>
    <m/>
    <n v="366500"/>
    <n v="407958.39290957962"/>
    <m/>
    <n v="407958.39290957962"/>
    <n v="1749100"/>
    <n v="1720058.3929095797"/>
    <m/>
    <m/>
    <m/>
    <m/>
    <n v="0"/>
    <m/>
    <m/>
    <n v="0"/>
    <m/>
    <m/>
    <m/>
    <m/>
    <n v="1749100"/>
    <n v="1720058.3929095797"/>
  </r>
  <r>
    <x v="12"/>
    <x v="0"/>
    <s v="Tennessee Technology Center at Oneida"/>
    <n v="221582"/>
    <x v="10"/>
    <n v="1321500"/>
    <n v="1254100"/>
    <m/>
    <m/>
    <m/>
    <m/>
    <n v="427300"/>
    <m/>
    <n v="427300"/>
    <n v="475636.0744618373"/>
    <m/>
    <n v="475636.0744618373"/>
    <n v="1748800"/>
    <n v="1729736.0744618373"/>
    <m/>
    <m/>
    <m/>
    <m/>
    <n v="0"/>
    <m/>
    <m/>
    <n v="0"/>
    <m/>
    <m/>
    <m/>
    <m/>
    <n v="1748800"/>
    <n v="1729736.0744618373"/>
  </r>
  <r>
    <x v="12"/>
    <x v="0"/>
    <s v="Tennessee Technology Center at Paris"/>
    <n v="221281"/>
    <x v="10"/>
    <n v="1769000"/>
    <n v="1678800"/>
    <m/>
    <m/>
    <m/>
    <m/>
    <n v="697900"/>
    <m/>
    <n v="697900"/>
    <n v="776846.28215987899"/>
    <m/>
    <n v="776846.28215987899"/>
    <n v="2466900"/>
    <n v="2455646.2821598789"/>
    <m/>
    <m/>
    <m/>
    <m/>
    <n v="0"/>
    <m/>
    <m/>
    <n v="0"/>
    <m/>
    <m/>
    <m/>
    <m/>
    <n v="2466900"/>
    <n v="2455646.2821598789"/>
  </r>
  <r>
    <x v="12"/>
    <x v="0"/>
    <s v="Tennessee Technology Center at Pulaski"/>
    <n v="221333"/>
    <x v="10"/>
    <n v="1403500"/>
    <n v="1331900"/>
    <m/>
    <m/>
    <m/>
    <m/>
    <n v="463000"/>
    <m/>
    <n v="463000"/>
    <n v="515374.44997854123"/>
    <m/>
    <n v="515374.44997854123"/>
    <n v="1866500"/>
    <n v="1847274.4499785411"/>
    <m/>
    <m/>
    <m/>
    <m/>
    <n v="0"/>
    <m/>
    <m/>
    <n v="0"/>
    <m/>
    <m/>
    <m/>
    <m/>
    <n v="1866500"/>
    <n v="1847274.4499785411"/>
  </r>
  <r>
    <x v="12"/>
    <x v="0"/>
    <s v="Tennessee Technology Center at Ripley"/>
    <n v="221388"/>
    <x v="10"/>
    <n v="1125600"/>
    <n v="1068200"/>
    <m/>
    <m/>
    <m/>
    <m/>
    <n v="234900"/>
    <m/>
    <n v="234900"/>
    <n v="261471.8321813377"/>
    <m/>
    <n v="261471.8321813377"/>
    <n v="1360500"/>
    <n v="1329671.8321813378"/>
    <m/>
    <m/>
    <m/>
    <m/>
    <n v="0"/>
    <m/>
    <m/>
    <n v="0"/>
    <m/>
    <m/>
    <m/>
    <m/>
    <n v="1360500"/>
    <n v="1329671.8321813378"/>
  </r>
  <r>
    <x v="12"/>
    <x v="0"/>
    <s v="Tennessee Technology Center at Shelbyville"/>
    <n v="221494"/>
    <x v="10"/>
    <n v="1981500"/>
    <n v="1880400"/>
    <m/>
    <m/>
    <m/>
    <m/>
    <n v="998000"/>
    <m/>
    <n v="998000"/>
    <n v="1110893.5228479139"/>
    <m/>
    <n v="1110893.5228479139"/>
    <n v="2979500"/>
    <n v="2991293.5228479141"/>
    <m/>
    <m/>
    <m/>
    <m/>
    <n v="0"/>
    <m/>
    <m/>
    <n v="0"/>
    <m/>
    <m/>
    <m/>
    <m/>
    <n v="2979500"/>
    <n v="2991293.5228479141"/>
  </r>
  <r>
    <x v="12"/>
    <x v="0"/>
    <s v="Tennessee Technology Center at Whiteville"/>
    <n v="221634"/>
    <x v="10"/>
    <n v="1293800"/>
    <n v="1227800"/>
    <m/>
    <m/>
    <m/>
    <m/>
    <n v="303700"/>
    <m/>
    <n v="303700"/>
    <n v="338054.47183257662"/>
    <m/>
    <n v="338054.47183257662"/>
    <n v="1597500"/>
    <n v="1565854.4718325767"/>
    <m/>
    <m/>
    <m/>
    <m/>
    <n v="0"/>
    <m/>
    <m/>
    <n v="0"/>
    <m/>
    <m/>
    <m/>
    <m/>
    <n v="1597500"/>
    <n v="1565854.4718325767"/>
  </r>
  <r>
    <x v="12"/>
    <x v="41"/>
    <s v="University of Tennessee Health Science Center"/>
    <n v="221704"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41"/>
    <s v="Health professions education"/>
    <n v="221704"/>
    <x v="11"/>
    <m/>
    <m/>
    <m/>
    <m/>
    <m/>
    <m/>
    <m/>
    <m/>
    <n v="0"/>
    <m/>
    <m/>
    <n v="0"/>
    <n v="0"/>
    <n v="0"/>
    <m/>
    <m/>
    <m/>
    <n v="126700"/>
    <n v="126700"/>
    <m/>
    <n v="205000"/>
    <n v="205000"/>
    <n v="83812000"/>
    <n v="68934900"/>
    <n v="24793900"/>
    <n v="28453300"/>
    <n v="108605900"/>
    <n v="97388200"/>
  </r>
  <r>
    <x v="12"/>
    <x v="41"/>
    <s v="Medical School"/>
    <n v="221704"/>
    <x v="11"/>
    <m/>
    <m/>
    <m/>
    <m/>
    <m/>
    <m/>
    <m/>
    <m/>
    <n v="0"/>
    <m/>
    <m/>
    <n v="0"/>
    <n v="0"/>
    <n v="0"/>
    <m/>
    <m/>
    <m/>
    <m/>
    <n v="0"/>
    <m/>
    <m/>
    <n v="0"/>
    <n v="49340900"/>
    <n v="46573700"/>
    <n v="12442100"/>
    <n v="13142700"/>
    <n v="61783000"/>
    <n v="59716400"/>
  </r>
  <r>
    <x v="12"/>
    <x v="41"/>
    <s v="Veterinary School"/>
    <n v="221704"/>
    <x v="11"/>
    <m/>
    <m/>
    <m/>
    <m/>
    <m/>
    <m/>
    <m/>
    <m/>
    <n v="0"/>
    <m/>
    <m/>
    <n v="0"/>
    <n v="0"/>
    <n v="0"/>
    <m/>
    <m/>
    <m/>
    <m/>
    <n v="0"/>
    <m/>
    <m/>
    <n v="0"/>
    <n v="17194200"/>
    <n v="15799600"/>
    <n v="6021844"/>
    <n v="7361742"/>
    <n v="23216044"/>
    <n v="23161342"/>
  </r>
  <r>
    <x v="12"/>
    <x v="9"/>
    <s v="University of Tennessee Space Institute"/>
    <n v="221704"/>
    <x v="11"/>
    <m/>
    <m/>
    <m/>
    <m/>
    <m/>
    <m/>
    <m/>
    <m/>
    <n v="0"/>
    <m/>
    <m/>
    <n v="0"/>
    <n v="0"/>
    <n v="0"/>
    <n v="9274500"/>
    <n v="7821000"/>
    <n v="1500218"/>
    <m/>
    <n v="1500218"/>
    <n v="1711900"/>
    <m/>
    <n v="1711900"/>
    <m/>
    <m/>
    <m/>
    <m/>
    <n v="10774718"/>
    <n v="9532900"/>
  </r>
  <r>
    <x v="12"/>
    <x v="13"/>
    <s v="Educational special purpose funds — all other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13"/>
    <s v="Foreign Language Institute"/>
    <m/>
    <x v="12"/>
    <m/>
    <m/>
    <n v="395600"/>
    <n v="369000"/>
    <m/>
    <m/>
    <m/>
    <m/>
    <n v="0"/>
    <m/>
    <m/>
    <n v="0"/>
    <n v="395600"/>
    <n v="369000"/>
    <m/>
    <m/>
    <m/>
    <m/>
    <n v="0"/>
    <m/>
    <m/>
    <n v="0"/>
    <m/>
    <m/>
    <m/>
    <m/>
    <n v="395600"/>
    <n v="369000"/>
  </r>
  <r>
    <x v="12"/>
    <x v="14"/>
    <s v="Statewide System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15"/>
    <s v="Colleges and universiti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15"/>
    <s v="TN H.Ed. Commission"/>
    <m/>
    <x v="12"/>
    <m/>
    <m/>
    <m/>
    <m/>
    <m/>
    <m/>
    <m/>
    <m/>
    <n v="0"/>
    <m/>
    <m/>
    <n v="0"/>
    <n v="0"/>
    <n v="0"/>
    <n v="2381500"/>
    <n v="2007300"/>
    <m/>
    <m/>
    <n v="0"/>
    <m/>
    <m/>
    <n v="0"/>
    <m/>
    <m/>
    <m/>
    <m/>
    <n v="2381500"/>
    <n v="2007300"/>
  </r>
  <r>
    <x v="12"/>
    <x v="15"/>
    <s v="Univ TN System Adm &amp; TN Board of Regents"/>
    <m/>
    <x v="12"/>
    <m/>
    <m/>
    <m/>
    <m/>
    <m/>
    <m/>
    <m/>
    <m/>
    <n v="0"/>
    <m/>
    <m/>
    <n v="0"/>
    <n v="0"/>
    <n v="0"/>
    <n v="9436200"/>
    <n v="8916700"/>
    <m/>
    <m/>
    <n v="0"/>
    <m/>
    <m/>
    <n v="0"/>
    <m/>
    <m/>
    <m/>
    <m/>
    <n v="9436200"/>
    <n v="8916700"/>
  </r>
  <r>
    <x v="12"/>
    <x v="17"/>
    <s v="National or regional associations, compacts or consortia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17"/>
    <s v="SREB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18"/>
    <s v="Adm. of Statewide Student Aid Progs. (incldng centralized guaranteed student loans)"/>
    <m/>
    <x v="12"/>
    <m/>
    <m/>
    <m/>
    <m/>
    <m/>
    <m/>
    <m/>
    <m/>
    <n v="0"/>
    <m/>
    <m/>
    <n v="0"/>
    <n v="0"/>
    <n v="0"/>
    <n v="1537400"/>
    <n v="1359400"/>
    <m/>
    <m/>
    <n v="0"/>
    <m/>
    <m/>
    <n v="0"/>
    <m/>
    <m/>
    <m/>
    <m/>
    <n v="1537400"/>
    <n v="1359400"/>
  </r>
  <r>
    <x v="12"/>
    <x v="19"/>
    <s v="State Support to Private Colleges Other Than Student Ai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20"/>
    <s v="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21"/>
    <s v="SREB contract program with private colleges"/>
    <m/>
    <x v="12"/>
    <m/>
    <m/>
    <m/>
    <m/>
    <m/>
    <m/>
    <m/>
    <m/>
    <n v="0"/>
    <m/>
    <m/>
    <n v="0"/>
    <n v="0"/>
    <n v="0"/>
    <n v="2542700"/>
    <n v="2490700"/>
    <m/>
    <m/>
    <n v="0"/>
    <m/>
    <m/>
    <n v="0"/>
    <m/>
    <m/>
    <m/>
    <m/>
    <n v="2542700"/>
    <n v="2490700"/>
  </r>
  <r>
    <x v="12"/>
    <x v="21"/>
    <s v="Meharry Medical College (Dentistry, Medicine, Special Aid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21"/>
    <s v="Southern College of Optometr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22"/>
    <s v="SREB contract program with public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23"/>
    <s v="Other 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24"/>
    <s v="Statewide Student Financial Aid Programs Administered Off Campu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25"/>
    <s v="Available to public &amp;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25"/>
    <s v="Academic Scholarship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29"/>
    <s v="Need-based"/>
    <m/>
    <x v="12"/>
    <m/>
    <m/>
    <m/>
    <m/>
    <m/>
    <m/>
    <m/>
    <m/>
    <n v="0"/>
    <m/>
    <m/>
    <n v="0"/>
    <n v="0"/>
    <n v="0"/>
    <n v="87522700"/>
    <n v="98067700"/>
    <m/>
    <m/>
    <n v="0"/>
    <m/>
    <m/>
    <n v="0"/>
    <m/>
    <m/>
    <m/>
    <m/>
    <n v="87522700"/>
    <n v="98067700"/>
  </r>
  <r>
    <x v="12"/>
    <x v="30"/>
    <s v="Non need-based"/>
    <m/>
    <x v="12"/>
    <m/>
    <m/>
    <m/>
    <m/>
    <m/>
    <m/>
    <m/>
    <m/>
    <n v="0"/>
    <m/>
    <m/>
    <n v="0"/>
    <n v="0"/>
    <n v="0"/>
    <n v="135310300"/>
    <n v="176737500"/>
    <m/>
    <m/>
    <n v="0"/>
    <m/>
    <m/>
    <n v="0"/>
    <m/>
    <m/>
    <m/>
    <m/>
    <n v="135310300"/>
    <n v="176737500"/>
  </r>
  <r>
    <x v="12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32"/>
    <s v="Need-based"/>
    <m/>
    <x v="12"/>
    <m/>
    <m/>
    <m/>
    <m/>
    <m/>
    <m/>
    <m/>
    <m/>
    <n v="0"/>
    <m/>
    <m/>
    <n v="0"/>
    <n v="0"/>
    <n v="0"/>
    <n v="36962500"/>
    <n v="39591500"/>
    <m/>
    <m/>
    <n v="0"/>
    <m/>
    <m/>
    <n v="0"/>
    <m/>
    <m/>
    <m/>
    <m/>
    <n v="36962500"/>
    <n v="39591500"/>
  </r>
  <r>
    <x v="12"/>
    <x v="33"/>
    <s v="Non need-based"/>
    <m/>
    <x v="12"/>
    <m/>
    <m/>
    <m/>
    <m/>
    <m/>
    <m/>
    <m/>
    <m/>
    <n v="0"/>
    <m/>
    <m/>
    <n v="0"/>
    <n v="0"/>
    <n v="0"/>
    <n v="31170600"/>
    <n v="38103600"/>
    <m/>
    <m/>
    <n v="0"/>
    <m/>
    <m/>
    <n v="0"/>
    <m/>
    <m/>
    <m/>
    <m/>
    <n v="31170600"/>
    <n v="38103600"/>
  </r>
  <r>
    <x v="12"/>
    <x v="34"/>
    <s v="Limited to public college students only"/>
    <m/>
    <x v="12"/>
    <m/>
    <m/>
    <m/>
    <m/>
    <m/>
    <m/>
    <m/>
    <m/>
    <n v="0"/>
    <m/>
    <m/>
    <n v="0"/>
    <n v="0"/>
    <n v="0"/>
    <s v="No program(s) of this type?"/>
    <m/>
    <m/>
    <m/>
    <n v="0"/>
    <m/>
    <m/>
    <n v="0"/>
    <m/>
    <m/>
    <m/>
    <m/>
    <n v="0"/>
    <n v="0"/>
  </r>
  <r>
    <x v="12"/>
    <x v="35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36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37"/>
    <s v="Limited to private college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38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2"/>
    <x v="39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0"/>
    <s v="Texas A&amp;M University "/>
    <n v="228723"/>
    <x v="0"/>
    <n v="361883723"/>
    <n v="368697866"/>
    <m/>
    <m/>
    <m/>
    <m/>
    <n v="312945877"/>
    <m/>
    <n v="312945877"/>
    <n v="369951075"/>
    <m/>
    <n v="369951075"/>
    <n v="674829600"/>
    <n v="738648941"/>
    <m/>
    <m/>
    <m/>
    <m/>
    <n v="0"/>
    <m/>
    <m/>
    <n v="0"/>
    <m/>
    <m/>
    <m/>
    <m/>
    <n v="674829600"/>
    <n v="738648941"/>
  </r>
  <r>
    <x v="13"/>
    <x v="1"/>
    <s v="Health professions education"/>
    <n v="22872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1"/>
    <s v="Veterinary Medicine School"/>
    <n v="228723"/>
    <x v="0"/>
    <m/>
    <m/>
    <m/>
    <m/>
    <m/>
    <m/>
    <m/>
    <m/>
    <n v="0"/>
    <m/>
    <m/>
    <n v="0"/>
    <n v="0"/>
    <n v="0"/>
    <m/>
    <m/>
    <m/>
    <m/>
    <n v="0"/>
    <m/>
    <m/>
    <n v="0"/>
    <n v="26800942"/>
    <n v="26800942"/>
    <n v="7018485"/>
    <n v="7320246"/>
    <n v="33819427"/>
    <n v="34121188"/>
  </r>
  <r>
    <x v="13"/>
    <x v="5"/>
    <s v="Agricultural cooperative extension"/>
    <n v="228723"/>
    <x v="0"/>
    <m/>
    <m/>
    <n v="64099700"/>
    <n v="62125785"/>
    <m/>
    <m/>
    <m/>
    <m/>
    <n v="0"/>
    <m/>
    <m/>
    <n v="0"/>
    <n v="64099700"/>
    <n v="62125785"/>
    <m/>
    <m/>
    <m/>
    <m/>
    <n v="0"/>
    <m/>
    <m/>
    <n v="0"/>
    <m/>
    <m/>
    <m/>
    <m/>
    <n v="64099700"/>
    <n v="62125785"/>
  </r>
  <r>
    <x v="13"/>
    <x v="6"/>
    <s v="Agricultural experiment stations"/>
    <n v="228723"/>
    <x v="0"/>
    <m/>
    <m/>
    <n v="69672238"/>
    <n v="69909436"/>
    <m/>
    <m/>
    <m/>
    <m/>
    <n v="0"/>
    <m/>
    <m/>
    <n v="0"/>
    <n v="69672238"/>
    <n v="69909436"/>
    <m/>
    <m/>
    <m/>
    <m/>
    <n v="0"/>
    <m/>
    <m/>
    <n v="0"/>
    <m/>
    <m/>
    <m/>
    <m/>
    <n v="69672238"/>
    <n v="69909436"/>
  </r>
  <r>
    <x v="13"/>
    <x v="43"/>
    <s v="Engineering experiment stations"/>
    <n v="228723"/>
    <x v="0"/>
    <m/>
    <m/>
    <n v="18193004"/>
    <n v="18294087"/>
    <m/>
    <m/>
    <m/>
    <m/>
    <n v="0"/>
    <m/>
    <m/>
    <n v="0"/>
    <n v="18193004"/>
    <n v="18294087"/>
    <m/>
    <m/>
    <m/>
    <m/>
    <n v="0"/>
    <m/>
    <m/>
    <n v="0"/>
    <m/>
    <m/>
    <m/>
    <m/>
    <n v="18193004"/>
    <n v="18294087"/>
  </r>
  <r>
    <x v="13"/>
    <x v="46"/>
    <s v="TX Engineering extension service"/>
    <n v="228723"/>
    <x v="0"/>
    <m/>
    <m/>
    <n v="8785214"/>
    <n v="8847818"/>
    <m/>
    <m/>
    <m/>
    <m/>
    <n v="0"/>
    <m/>
    <m/>
    <n v="0"/>
    <n v="8785214"/>
    <n v="8847818"/>
    <m/>
    <m/>
    <m/>
    <m/>
    <n v="0"/>
    <m/>
    <m/>
    <n v="0"/>
    <m/>
    <m/>
    <m/>
    <m/>
    <n v="8785214"/>
    <n v="8847818"/>
  </r>
  <r>
    <x v="13"/>
    <x v="3"/>
    <s v="Community or public service units"/>
    <n v="22872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"/>
    <s v="TX Forest Service"/>
    <n v="228723"/>
    <x v="0"/>
    <m/>
    <m/>
    <n v="20004850"/>
    <n v="20084993"/>
    <m/>
    <m/>
    <m/>
    <m/>
    <n v="0"/>
    <m/>
    <m/>
    <n v="0"/>
    <n v="20004850"/>
    <n v="20084993"/>
    <m/>
    <m/>
    <m/>
    <m/>
    <n v="0"/>
    <m/>
    <m/>
    <n v="0"/>
    <m/>
    <m/>
    <m/>
    <m/>
    <n v="20004850"/>
    <n v="20084993"/>
  </r>
  <r>
    <x v="13"/>
    <x v="3"/>
    <s v="TX Transportation Institute"/>
    <n v="228723"/>
    <x v="0"/>
    <m/>
    <m/>
    <n v="924709"/>
    <n v="959843"/>
    <m/>
    <m/>
    <m/>
    <m/>
    <n v="0"/>
    <m/>
    <m/>
    <n v="0"/>
    <n v="924709"/>
    <n v="959843"/>
    <m/>
    <m/>
    <m/>
    <m/>
    <n v="0"/>
    <m/>
    <m/>
    <n v="0"/>
    <m/>
    <m/>
    <m/>
    <m/>
    <n v="924709"/>
    <n v="959843"/>
  </r>
  <r>
    <x v="13"/>
    <x v="3"/>
    <s v="TX Wildlife damage management service"/>
    <n v="22872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"/>
    <s v="TX Vet Med Diagnostic Lab"/>
    <n v="228723"/>
    <x v="0"/>
    <m/>
    <m/>
    <n v="6921603"/>
    <n v="6930607"/>
    <m/>
    <m/>
    <m/>
    <m/>
    <n v="0"/>
    <m/>
    <m/>
    <n v="0"/>
    <n v="6921603"/>
    <n v="6930607"/>
    <m/>
    <m/>
    <m/>
    <m/>
    <n v="0"/>
    <m/>
    <m/>
    <n v="0"/>
    <m/>
    <m/>
    <m/>
    <m/>
    <n v="6921603"/>
    <n v="6930607"/>
  </r>
  <r>
    <x v="13"/>
    <x v="0"/>
    <s v="Texas Tech University "/>
    <n v="229115"/>
    <x v="0"/>
    <n v="176283886"/>
    <n v="176997345"/>
    <m/>
    <m/>
    <m/>
    <m/>
    <n v="208952225"/>
    <n v="0"/>
    <n v="208952225"/>
    <n v="219756767"/>
    <m/>
    <n v="219756767"/>
    <n v="385236111"/>
    <n v="396754112"/>
    <m/>
    <m/>
    <m/>
    <m/>
    <n v="0"/>
    <m/>
    <m/>
    <n v="0"/>
    <m/>
    <m/>
    <m/>
    <m/>
    <n v="385236111"/>
    <n v="396754112"/>
  </r>
  <r>
    <x v="13"/>
    <x v="0"/>
    <s v="University of Houston"/>
    <n v="225511"/>
    <x v="0"/>
    <n v="201851497"/>
    <n v="202628052"/>
    <m/>
    <m/>
    <m/>
    <m/>
    <n v="238756114"/>
    <n v="394215"/>
    <n v="239150329"/>
    <n v="257598885"/>
    <n v="394215"/>
    <n v="257993100"/>
    <n v="440607611"/>
    <n v="460226937"/>
    <m/>
    <m/>
    <m/>
    <m/>
    <n v="0"/>
    <m/>
    <m/>
    <n v="0"/>
    <m/>
    <m/>
    <m/>
    <m/>
    <n v="440607611"/>
    <n v="460226937"/>
  </r>
  <r>
    <x v="13"/>
    <x v="0"/>
    <s v="University of North Texas"/>
    <n v="227216"/>
    <x v="0"/>
    <n v="141130303"/>
    <n v="141679684"/>
    <m/>
    <m/>
    <m/>
    <m/>
    <n v="200974200"/>
    <n v="396672"/>
    <n v="201370872"/>
    <n v="217960665"/>
    <n v="396672"/>
    <n v="218357337"/>
    <n v="342104503"/>
    <n v="359640349"/>
    <m/>
    <m/>
    <m/>
    <m/>
    <n v="0"/>
    <m/>
    <m/>
    <n v="0"/>
    <m/>
    <m/>
    <m/>
    <m/>
    <n v="342104503"/>
    <n v="359640349"/>
  </r>
  <r>
    <x v="13"/>
    <x v="0"/>
    <s v="University of Texas at Arlington"/>
    <n v="228769"/>
    <x v="0"/>
    <n v="105818801"/>
    <n v="106328277"/>
    <m/>
    <m/>
    <m/>
    <m/>
    <n v="145783411"/>
    <n v="327110"/>
    <n v="146110521"/>
    <n v="158768506"/>
    <n v="327110"/>
    <n v="159095616"/>
    <n v="251602212"/>
    <n v="265096783"/>
    <m/>
    <m/>
    <m/>
    <m/>
    <n v="0"/>
    <m/>
    <m/>
    <n v="0"/>
    <m/>
    <m/>
    <m/>
    <m/>
    <n v="251602212"/>
    <n v="265096783"/>
  </r>
  <r>
    <x v="13"/>
    <x v="0"/>
    <s v="University of Texas at Austin"/>
    <n v="228778"/>
    <x v="0"/>
    <n v="470818944"/>
    <n v="488631728"/>
    <m/>
    <m/>
    <m/>
    <m/>
    <n v="474679784"/>
    <m/>
    <n v="474679784"/>
    <n v="499023993"/>
    <m/>
    <n v="499023993"/>
    <n v="945498728"/>
    <n v="987655721"/>
    <m/>
    <m/>
    <m/>
    <m/>
    <n v="0"/>
    <m/>
    <m/>
    <n v="0"/>
    <m/>
    <m/>
    <m/>
    <m/>
    <n v="945498728"/>
    <n v="987655721"/>
  </r>
  <r>
    <x v="13"/>
    <x v="0"/>
    <s v="University of Texas at Dallas"/>
    <n v="228787"/>
    <x v="0"/>
    <n v="81393429"/>
    <n v="81669012"/>
    <m/>
    <m/>
    <m/>
    <m/>
    <n v="78139287"/>
    <n v="0"/>
    <n v="78139287"/>
    <n v="127104190"/>
    <m/>
    <n v="127104190"/>
    <n v="159532716"/>
    <n v="208773202"/>
    <m/>
    <m/>
    <m/>
    <m/>
    <n v="0"/>
    <m/>
    <m/>
    <n v="0"/>
    <m/>
    <m/>
    <m/>
    <m/>
    <n v="159532716"/>
    <n v="208773202"/>
  </r>
  <r>
    <x v="13"/>
    <x v="0"/>
    <s v="Texas Woman's University"/>
    <n v="229179"/>
    <x v="1"/>
    <n v="68890978"/>
    <n v="69080320"/>
    <m/>
    <m/>
    <m/>
    <m/>
    <n v="59632073"/>
    <n v="133660"/>
    <n v="59765733"/>
    <n v="63553275"/>
    <n v="133660"/>
    <n v="63686935"/>
    <n v="128523051"/>
    <n v="132633595"/>
    <m/>
    <m/>
    <m/>
    <m/>
    <n v="0"/>
    <m/>
    <m/>
    <n v="0"/>
    <m/>
    <m/>
    <m/>
    <m/>
    <n v="128523051"/>
    <n v="132633595"/>
  </r>
  <r>
    <x v="13"/>
    <x v="0"/>
    <s v="University of Texas at El Paso"/>
    <n v="228796"/>
    <x v="1"/>
    <n v="84068388"/>
    <n v="84298213"/>
    <m/>
    <m/>
    <m/>
    <m/>
    <n v="95525241"/>
    <n v="284730"/>
    <n v="95809971"/>
    <n v="101782645"/>
    <n v="284730"/>
    <n v="102067375"/>
    <n v="179593629"/>
    <n v="186080858"/>
    <m/>
    <m/>
    <m/>
    <m/>
    <n v="0"/>
    <m/>
    <m/>
    <n v="0"/>
    <m/>
    <m/>
    <m/>
    <m/>
    <n v="179593629"/>
    <n v="186080858"/>
  </r>
  <r>
    <x v="13"/>
    <x v="0"/>
    <s v="Angelo State University"/>
    <n v="222831"/>
    <x v="2"/>
    <n v="29399328"/>
    <n v="29632763"/>
    <m/>
    <m/>
    <m/>
    <m/>
    <n v="24009765"/>
    <n v="69000"/>
    <n v="24078765"/>
    <n v="27654386"/>
    <n v="69000"/>
    <n v="27723386"/>
    <n v="53409093"/>
    <n v="57287149"/>
    <m/>
    <m/>
    <m/>
    <m/>
    <n v="0"/>
    <m/>
    <m/>
    <n v="0"/>
    <m/>
    <m/>
    <m/>
    <m/>
    <n v="53409093"/>
    <n v="57287149"/>
  </r>
  <r>
    <x v="13"/>
    <x v="0"/>
    <s v="Lamar University"/>
    <n v="226091"/>
    <x v="2"/>
    <n v="47046476"/>
    <n v="47201596"/>
    <m/>
    <m/>
    <m/>
    <m/>
    <n v="48998541"/>
    <n v="105430"/>
    <n v="49103971"/>
    <n v="59662934"/>
    <n v="105430"/>
    <n v="59768364"/>
    <n v="96045017"/>
    <n v="106864530"/>
    <m/>
    <m/>
    <m/>
    <m/>
    <n v="0"/>
    <m/>
    <m/>
    <n v="0"/>
    <m/>
    <m/>
    <m/>
    <m/>
    <n v="96045017"/>
    <n v="106864530"/>
  </r>
  <r>
    <x v="13"/>
    <x v="0"/>
    <s v="Midwestern State University  "/>
    <n v="226833"/>
    <x v="2"/>
    <n v="24437478"/>
    <n v="24433069"/>
    <m/>
    <m/>
    <m/>
    <m/>
    <n v="27696323"/>
    <m/>
    <n v="27696323"/>
    <n v="34332837"/>
    <m/>
    <n v="34332837"/>
    <n v="52133801"/>
    <n v="58765906"/>
    <m/>
    <m/>
    <m/>
    <m/>
    <n v="0"/>
    <m/>
    <m/>
    <n v="0"/>
    <m/>
    <m/>
    <m/>
    <m/>
    <n v="52133801"/>
    <n v="58765906"/>
  </r>
  <r>
    <x v="13"/>
    <x v="0"/>
    <s v="Prairie View A&amp;M University"/>
    <n v="227526"/>
    <x v="2"/>
    <n v="65959456"/>
    <n v="65652524"/>
    <m/>
    <m/>
    <m/>
    <m/>
    <n v="39653310"/>
    <m/>
    <n v="39653310"/>
    <n v="47010168"/>
    <m/>
    <n v="47010168"/>
    <n v="105612766"/>
    <n v="112662692"/>
    <m/>
    <m/>
    <m/>
    <m/>
    <n v="0"/>
    <m/>
    <m/>
    <n v="0"/>
    <m/>
    <m/>
    <m/>
    <m/>
    <n v="105612766"/>
    <n v="112662692"/>
  </r>
  <r>
    <x v="13"/>
    <x v="0"/>
    <s v="Sam Houston State University "/>
    <n v="227881"/>
    <x v="2"/>
    <n v="60282585"/>
    <n v="60427125"/>
    <m/>
    <m/>
    <m/>
    <m/>
    <n v="74192648"/>
    <m/>
    <n v="74192648"/>
    <n v="81048150"/>
    <m/>
    <n v="81048150"/>
    <n v="134475233"/>
    <n v="141475275"/>
    <m/>
    <m/>
    <m/>
    <m/>
    <n v="0"/>
    <m/>
    <m/>
    <n v="0"/>
    <m/>
    <m/>
    <m/>
    <m/>
    <n v="134475233"/>
    <n v="141475275"/>
  </r>
  <r>
    <x v="13"/>
    <x v="0"/>
    <s v="Stephen F. Austin State University"/>
    <n v="228431"/>
    <x v="2"/>
    <n v="55555428"/>
    <n v="55810163"/>
    <m/>
    <m/>
    <m/>
    <m/>
    <n v="55269681"/>
    <n v="155525"/>
    <n v="55425206"/>
    <n v="65130539"/>
    <n v="155525"/>
    <n v="65286064"/>
    <n v="110825109"/>
    <n v="120940702"/>
    <m/>
    <m/>
    <m/>
    <m/>
    <n v="0"/>
    <m/>
    <m/>
    <n v="0"/>
    <m/>
    <m/>
    <m/>
    <m/>
    <n v="110825109"/>
    <n v="120940702"/>
  </r>
  <r>
    <x v="13"/>
    <x v="0"/>
    <s v="Sul Ross State University "/>
    <n v="228501"/>
    <x v="2"/>
    <n v="17245731"/>
    <n v="17315516"/>
    <m/>
    <m/>
    <m/>
    <m/>
    <n v="8908570"/>
    <m/>
    <n v="8908570"/>
    <n v="9155049"/>
    <m/>
    <n v="9155049"/>
    <n v="26154301"/>
    <n v="26470565"/>
    <m/>
    <m/>
    <m/>
    <m/>
    <n v="0"/>
    <m/>
    <m/>
    <n v="0"/>
    <m/>
    <m/>
    <m/>
    <m/>
    <n v="26154301"/>
    <n v="26470565"/>
  </r>
  <r>
    <x v="13"/>
    <x v="0"/>
    <s v="Tarleton State University  "/>
    <n v="228529"/>
    <x v="2"/>
    <n v="43161091"/>
    <n v="43330574"/>
    <m/>
    <m/>
    <m/>
    <m/>
    <n v="35367959"/>
    <m/>
    <n v="35367959"/>
    <n v="40849943"/>
    <m/>
    <n v="40849943"/>
    <n v="78529050"/>
    <n v="84180517"/>
    <m/>
    <m/>
    <m/>
    <m/>
    <n v="0"/>
    <m/>
    <m/>
    <n v="0"/>
    <m/>
    <m/>
    <m/>
    <m/>
    <n v="78529050"/>
    <n v="84180517"/>
  </r>
  <r>
    <x v="13"/>
    <x v="0"/>
    <s v="Texas A&amp;M University-Commerce"/>
    <n v="224554"/>
    <x v="2"/>
    <n v="41681725"/>
    <n v="41841424"/>
    <m/>
    <m/>
    <m/>
    <m/>
    <n v="32357948"/>
    <m/>
    <n v="32357948"/>
    <n v="40886723"/>
    <m/>
    <n v="40886723"/>
    <n v="74039673"/>
    <n v="82728147"/>
    <m/>
    <m/>
    <m/>
    <m/>
    <n v="0"/>
    <m/>
    <m/>
    <n v="0"/>
    <m/>
    <m/>
    <m/>
    <m/>
    <n v="74039673"/>
    <n v="82728147"/>
  </r>
  <r>
    <x v="13"/>
    <x v="0"/>
    <s v="Texas A&amp;M University-Corpus Christi "/>
    <n v="224147"/>
    <x v="2"/>
    <n v="49432714"/>
    <n v="49615921"/>
    <m/>
    <m/>
    <m/>
    <m/>
    <n v="34526421"/>
    <m/>
    <n v="34526421"/>
    <n v="38937078"/>
    <m/>
    <n v="38937078"/>
    <n v="83959135"/>
    <n v="88552999"/>
    <m/>
    <m/>
    <m/>
    <m/>
    <n v="0"/>
    <m/>
    <m/>
    <n v="0"/>
    <m/>
    <m/>
    <m/>
    <m/>
    <n v="83959135"/>
    <n v="88552999"/>
  </r>
  <r>
    <x v="13"/>
    <x v="0"/>
    <s v="Texas A&amp;M University-Kingsville"/>
    <n v="228705"/>
    <x v="2"/>
    <n v="47477667"/>
    <n v="47593567"/>
    <m/>
    <m/>
    <m/>
    <m/>
    <n v="26093800"/>
    <m/>
    <n v="26093800"/>
    <n v="29633108"/>
    <m/>
    <n v="29633108"/>
    <n v="73571467"/>
    <n v="77226675"/>
    <m/>
    <m/>
    <m/>
    <m/>
    <n v="0"/>
    <m/>
    <m/>
    <n v="0"/>
    <m/>
    <m/>
    <m/>
    <m/>
    <n v="73571467"/>
    <n v="77226675"/>
  </r>
  <r>
    <x v="13"/>
    <x v="0"/>
    <s v="Texas Southern University "/>
    <n v="229063"/>
    <x v="2"/>
    <n v="60784302"/>
    <n v="54749906"/>
    <m/>
    <m/>
    <m/>
    <m/>
    <n v="64627450"/>
    <n v="112581"/>
    <n v="64740031"/>
    <n v="59798338"/>
    <n v="112581"/>
    <n v="59910919"/>
    <n v="125411752"/>
    <n v="114548244"/>
    <m/>
    <m/>
    <m/>
    <m/>
    <n v="0"/>
    <m/>
    <m/>
    <n v="0"/>
    <m/>
    <m/>
    <m/>
    <m/>
    <n v="125411752"/>
    <n v="114548244"/>
  </r>
  <r>
    <x v="13"/>
    <x v="0"/>
    <s v="Texas State University - San Marcos"/>
    <n v="228459"/>
    <x v="2"/>
    <n v="107998344"/>
    <n v="108514853"/>
    <m/>
    <m/>
    <m/>
    <m/>
    <n v="130102565"/>
    <n v="296848"/>
    <n v="130399413"/>
    <n v="151244411"/>
    <n v="296848"/>
    <n v="151541259"/>
    <n v="238100909"/>
    <n v="259759264"/>
    <m/>
    <m/>
    <m/>
    <m/>
    <n v="0"/>
    <m/>
    <m/>
    <n v="0"/>
    <m/>
    <m/>
    <m/>
    <m/>
    <n v="238100909"/>
    <n v="259759264"/>
  </r>
  <r>
    <x v="13"/>
    <x v="0"/>
    <s v="University of Houston-Clear Lake "/>
    <n v="225414"/>
    <x v="2"/>
    <n v="36837991"/>
    <n v="36987862"/>
    <m/>
    <m/>
    <m/>
    <m/>
    <n v="32712516"/>
    <n v="97000"/>
    <n v="32809516"/>
    <n v="35875261"/>
    <n v="97000"/>
    <n v="35972261"/>
    <n v="69550507"/>
    <n v="72863123"/>
    <m/>
    <m/>
    <m/>
    <m/>
    <n v="0"/>
    <m/>
    <m/>
    <n v="0"/>
    <m/>
    <m/>
    <m/>
    <m/>
    <n v="69550507"/>
    <n v="72863123"/>
  </r>
  <r>
    <x v="13"/>
    <x v="0"/>
    <s v="University of Texas at San Antonio"/>
    <n v="229027"/>
    <x v="2"/>
    <n v="104432159"/>
    <n v="104479643"/>
    <m/>
    <m/>
    <m/>
    <m/>
    <n v="168972156"/>
    <m/>
    <n v="168972156"/>
    <n v="177826998"/>
    <m/>
    <n v="177826998"/>
    <n v="273404315"/>
    <n v="282306641"/>
    <m/>
    <m/>
    <m/>
    <m/>
    <n v="0"/>
    <m/>
    <m/>
    <n v="0"/>
    <m/>
    <m/>
    <m/>
    <m/>
    <n v="273404315"/>
    <n v="282306641"/>
  </r>
  <r>
    <x v="13"/>
    <x v="0"/>
    <s v="University of Texas at Tyler"/>
    <n v="228802"/>
    <x v="2"/>
    <n v="29862044"/>
    <n v="29978334"/>
    <m/>
    <m/>
    <m/>
    <m/>
    <n v="25306545"/>
    <n v="60128"/>
    <n v="25366673"/>
    <n v="27076580"/>
    <n v="60128"/>
    <n v="27136708"/>
    <n v="55168589"/>
    <n v="57054914"/>
    <m/>
    <m/>
    <m/>
    <m/>
    <n v="0"/>
    <m/>
    <m/>
    <n v="0"/>
    <m/>
    <m/>
    <m/>
    <m/>
    <n v="55168589"/>
    <n v="57054914"/>
  </r>
  <r>
    <x v="13"/>
    <x v="0"/>
    <s v="University of Texas-Pan American"/>
    <n v="227368"/>
    <x v="2"/>
    <n v="74987731"/>
    <n v="75337342"/>
    <m/>
    <m/>
    <m/>
    <m/>
    <n v="63090992"/>
    <m/>
    <n v="63090992"/>
    <n v="70744430"/>
    <m/>
    <n v="70744430"/>
    <n v="138078723"/>
    <n v="146081772"/>
    <m/>
    <m/>
    <m/>
    <m/>
    <n v="0"/>
    <m/>
    <m/>
    <n v="0"/>
    <m/>
    <m/>
    <m/>
    <m/>
    <n v="138078723"/>
    <n v="146081772"/>
  </r>
  <r>
    <x v="13"/>
    <x v="0"/>
    <s v="West Texas A&amp;M University"/>
    <n v="229814"/>
    <x v="2"/>
    <n v="36167511"/>
    <n v="36282139"/>
    <m/>
    <m/>
    <m/>
    <m/>
    <n v="27116657"/>
    <n v="93615"/>
    <n v="27210272"/>
    <n v="35736558"/>
    <n v="93615"/>
    <n v="35830173"/>
    <n v="63284168"/>
    <n v="72018697"/>
    <m/>
    <m/>
    <m/>
    <m/>
    <n v="0"/>
    <m/>
    <m/>
    <n v="0"/>
    <m/>
    <m/>
    <m/>
    <m/>
    <n v="63284168"/>
    <n v="72018697"/>
  </r>
  <r>
    <x v="13"/>
    <x v="0"/>
    <s v="Texas A&amp;M International University"/>
    <n v="226152"/>
    <x v="3"/>
    <n v="29211476"/>
    <n v="29301004"/>
    <m/>
    <m/>
    <m/>
    <m/>
    <n v="15166775"/>
    <m/>
    <n v="15166775"/>
    <n v="19734784"/>
    <m/>
    <n v="19734784"/>
    <n v="44378251"/>
    <n v="49035788"/>
    <m/>
    <m/>
    <m/>
    <m/>
    <n v="0"/>
    <m/>
    <m/>
    <n v="0"/>
    <m/>
    <m/>
    <m/>
    <m/>
    <n v="44378251"/>
    <n v="49035788"/>
  </r>
  <r>
    <x v="13"/>
    <x v="0"/>
    <s v="Texas A&amp;M -Texarkana"/>
    <n v="224545"/>
    <x v="3"/>
    <n v="10973848"/>
    <n v="11007261"/>
    <m/>
    <m/>
    <m/>
    <m/>
    <n v="4058273"/>
    <m/>
    <n v="4058273"/>
    <n v="6386119"/>
    <m/>
    <n v="6386119"/>
    <n v="15032121"/>
    <n v="17393380"/>
    <m/>
    <m/>
    <m/>
    <m/>
    <n v="0"/>
    <m/>
    <m/>
    <n v="0"/>
    <m/>
    <m/>
    <m/>
    <m/>
    <n v="15032121"/>
    <n v="17393380"/>
  </r>
  <r>
    <x v="13"/>
    <x v="0"/>
    <s v="University of Texas at Brownsville"/>
    <n v="227377"/>
    <x v="3"/>
    <n v="29583666"/>
    <n v="29621916"/>
    <m/>
    <m/>
    <m/>
    <m/>
    <n v="13887458"/>
    <m/>
    <n v="13887458"/>
    <n v="17592697"/>
    <m/>
    <n v="17592697"/>
    <n v="43471124"/>
    <n v="47214613"/>
    <m/>
    <m/>
    <m/>
    <m/>
    <n v="0"/>
    <m/>
    <m/>
    <n v="0"/>
    <m/>
    <m/>
    <m/>
    <m/>
    <n v="43471124"/>
    <n v="47214613"/>
  </r>
  <r>
    <x v="13"/>
    <x v="0"/>
    <s v="University of Texas of the Permian Basin"/>
    <n v="229018"/>
    <x v="3"/>
    <n v="21256576"/>
    <n v="21438596"/>
    <m/>
    <m/>
    <m/>
    <m/>
    <n v="11029254"/>
    <n v="34143"/>
    <n v="11063397"/>
    <n v="13927741"/>
    <n v="34143"/>
    <n v="13961884"/>
    <n v="32285830"/>
    <n v="35366337"/>
    <m/>
    <m/>
    <m/>
    <m/>
    <n v="0"/>
    <m/>
    <m/>
    <n v="0"/>
    <m/>
    <m/>
    <m/>
    <m/>
    <n v="32285830"/>
    <n v="35366337"/>
  </r>
  <r>
    <x v="13"/>
    <x v="0"/>
    <s v="Sul Ross State University-Rio Grande College"/>
    <n v="227924"/>
    <x v="4"/>
    <n v="6082506"/>
    <n v="6089836"/>
    <m/>
    <m/>
    <m/>
    <m/>
    <m/>
    <m/>
    <n v="0"/>
    <m/>
    <m/>
    <n v="0"/>
    <n v="6082506"/>
    <n v="6089836"/>
    <m/>
    <m/>
    <m/>
    <m/>
    <n v="0"/>
    <m/>
    <m/>
    <n v="0"/>
    <m/>
    <m/>
    <m/>
    <m/>
    <n v="6082506"/>
    <n v="6089836"/>
  </r>
  <r>
    <x v="13"/>
    <x v="0"/>
    <s v="University of Houston-Downtown"/>
    <n v="225432"/>
    <x v="4"/>
    <n v="33546598"/>
    <n v="33673531"/>
    <m/>
    <m/>
    <m/>
    <m/>
    <n v="40127656"/>
    <n v="151135"/>
    <n v="40278791"/>
    <n v="46023052"/>
    <n v="151135"/>
    <n v="46174187"/>
    <n v="73674254"/>
    <n v="79696583"/>
    <m/>
    <m/>
    <m/>
    <m/>
    <n v="0"/>
    <m/>
    <m/>
    <n v="0"/>
    <m/>
    <m/>
    <m/>
    <m/>
    <n v="73674254"/>
    <n v="79696583"/>
  </r>
  <r>
    <x v="13"/>
    <x v="0"/>
    <s v="University of Houston-Victoria"/>
    <n v="225502"/>
    <x v="4"/>
    <n v="15845278"/>
    <n v="15913808"/>
    <m/>
    <m/>
    <m/>
    <m/>
    <n v="9487331"/>
    <n v="35850"/>
    <n v="9523181"/>
    <n v="11052631"/>
    <n v="35850"/>
    <n v="11088481"/>
    <n v="25332609"/>
    <n v="26966439"/>
    <m/>
    <m/>
    <m/>
    <m/>
    <n v="0"/>
    <m/>
    <m/>
    <n v="0"/>
    <m/>
    <m/>
    <m/>
    <m/>
    <n v="25332609"/>
    <n v="26966439"/>
  </r>
  <r>
    <x v="13"/>
    <x v="0"/>
    <s v="Texas A&amp;M University at Galveston"/>
    <n v="228714"/>
    <x v="5"/>
    <n v="14715682"/>
    <n v="14766193"/>
    <m/>
    <m/>
    <m/>
    <m/>
    <n v="10524189"/>
    <m/>
    <n v="10524189"/>
    <n v="11828777"/>
    <m/>
    <n v="11828777"/>
    <n v="25239871"/>
    <n v="26594970"/>
    <m/>
    <m/>
    <m/>
    <m/>
    <n v="0"/>
    <m/>
    <m/>
    <n v="0"/>
    <m/>
    <m/>
    <m/>
    <m/>
    <n v="25239871"/>
    <n v="26594970"/>
  </r>
  <r>
    <x v="13"/>
    <x v="0"/>
    <s v="Amarillo College "/>
    <n v="222576"/>
    <x v="6"/>
    <n v="24862705"/>
    <n v="19128843"/>
    <m/>
    <m/>
    <n v="11485080"/>
    <n v="14931279"/>
    <n v="13994432"/>
    <m/>
    <n v="13994432"/>
    <n v="14741031"/>
    <m/>
    <n v="14741031"/>
    <n v="50342217"/>
    <n v="48801153"/>
    <m/>
    <m/>
    <m/>
    <m/>
    <n v="0"/>
    <m/>
    <m/>
    <n v="0"/>
    <m/>
    <m/>
    <m/>
    <m/>
    <n v="50342217"/>
    <n v="48801153"/>
  </r>
  <r>
    <x v="13"/>
    <x v="0"/>
    <s v="Austin Community College "/>
    <n v="222992"/>
    <x v="6"/>
    <n v="61176665"/>
    <n v="48145986"/>
    <m/>
    <m/>
    <n v="70917256"/>
    <n v="80205754"/>
    <n v="53270389"/>
    <m/>
    <n v="53270389"/>
    <n v="58331533"/>
    <m/>
    <n v="58331533"/>
    <n v="185364310"/>
    <n v="186683273"/>
    <m/>
    <m/>
    <m/>
    <m/>
    <n v="0"/>
    <m/>
    <m/>
    <n v="0"/>
    <m/>
    <m/>
    <m/>
    <m/>
    <n v="185364310"/>
    <n v="186683273"/>
  </r>
  <r>
    <x v="13"/>
    <x v="0"/>
    <s v="Blinn College "/>
    <n v="223427"/>
    <x v="6"/>
    <n v="27622423"/>
    <n v="22747025"/>
    <m/>
    <m/>
    <n v="1134627"/>
    <n v="1238975"/>
    <n v="28898314"/>
    <m/>
    <n v="28898314"/>
    <n v="31963958"/>
    <m/>
    <n v="31963958"/>
    <n v="57655364"/>
    <n v="55949958"/>
    <m/>
    <m/>
    <m/>
    <m/>
    <n v="0"/>
    <m/>
    <m/>
    <n v="0"/>
    <m/>
    <m/>
    <m/>
    <m/>
    <n v="57655364"/>
    <n v="55949958"/>
  </r>
  <r>
    <x v="13"/>
    <x v="0"/>
    <s v="Brookhaven College  (DCCCD)"/>
    <n v="22352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0"/>
    <s v="Central Texas College "/>
    <n v="223816"/>
    <x v="6"/>
    <n v="30229393"/>
    <n v="23755710"/>
    <m/>
    <m/>
    <n v="8515023"/>
    <n v="9690551"/>
    <n v="37181122"/>
    <m/>
    <n v="37181122"/>
    <n v="41557734"/>
    <m/>
    <n v="41557734"/>
    <n v="75925538"/>
    <n v="75003995"/>
    <m/>
    <m/>
    <m/>
    <m/>
    <n v="0"/>
    <m/>
    <m/>
    <n v="0"/>
    <m/>
    <m/>
    <m/>
    <m/>
    <n v="75925538"/>
    <n v="75003995"/>
  </r>
  <r>
    <x v="13"/>
    <x v="0"/>
    <s v="Collin County Community College District"/>
    <n v="247834"/>
    <x v="6"/>
    <n v="37110190"/>
    <n v="30758667"/>
    <m/>
    <m/>
    <n v="55464469"/>
    <n v="60737538"/>
    <n v="20891486"/>
    <m/>
    <n v="20891486"/>
    <n v="22228657"/>
    <m/>
    <n v="22228657"/>
    <n v="113466145"/>
    <n v="113724862"/>
    <m/>
    <m/>
    <m/>
    <m/>
    <n v="0"/>
    <m/>
    <m/>
    <n v="0"/>
    <m/>
    <m/>
    <m/>
    <m/>
    <n v="113466145"/>
    <n v="113724862"/>
  </r>
  <r>
    <x v="13"/>
    <x v="0"/>
    <s v="Del Mar College "/>
    <n v="224350"/>
    <x v="6"/>
    <n v="27401770"/>
    <n v="21021053"/>
    <m/>
    <m/>
    <n v="26588538"/>
    <n v="38071782"/>
    <n v="21440422"/>
    <m/>
    <n v="21440422"/>
    <n v="20478947"/>
    <m/>
    <n v="20478947"/>
    <n v="75430730"/>
    <n v="79571782"/>
    <m/>
    <m/>
    <m/>
    <m/>
    <n v="0"/>
    <m/>
    <m/>
    <n v="0"/>
    <m/>
    <m/>
    <m/>
    <m/>
    <n v="75430730"/>
    <n v="79571782"/>
  </r>
  <r>
    <x v="13"/>
    <x v="0"/>
    <s v="Eastfield College  (DCCCD)"/>
    <n v="224572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0"/>
    <s v="El Paso County Community College District"/>
    <n v="224642"/>
    <x v="6"/>
    <n v="47847032"/>
    <n v="37510426"/>
    <m/>
    <m/>
    <n v="33209749"/>
    <n v="34817839"/>
    <n v="37308407"/>
    <m/>
    <n v="37308407"/>
    <n v="36582545"/>
    <m/>
    <n v="36582545"/>
    <n v="118365188"/>
    <n v="108910810"/>
    <m/>
    <m/>
    <m/>
    <m/>
    <n v="0"/>
    <m/>
    <m/>
    <n v="0"/>
    <m/>
    <m/>
    <m/>
    <m/>
    <n v="118365188"/>
    <n v="108910810"/>
  </r>
  <r>
    <x v="13"/>
    <x v="0"/>
    <s v="Houston Community College"/>
    <n v="225423"/>
    <x v="6"/>
    <n v="88574428"/>
    <n v="70961904"/>
    <m/>
    <m/>
    <n v="89548332"/>
    <n v="98018861"/>
    <n v="76653348"/>
    <m/>
    <n v="76653348"/>
    <n v="83093303"/>
    <m/>
    <n v="83093303"/>
    <n v="254776108"/>
    <n v="252074068"/>
    <m/>
    <m/>
    <m/>
    <m/>
    <n v="0"/>
    <m/>
    <m/>
    <n v="0"/>
    <m/>
    <m/>
    <m/>
    <m/>
    <n v="254776108"/>
    <n v="252074068"/>
  </r>
  <r>
    <x v="13"/>
    <x v="0"/>
    <s v="Laredo Community College "/>
    <n v="226134"/>
    <x v="6"/>
    <n v="19358962"/>
    <n v="14433760"/>
    <m/>
    <m/>
    <n v="20260535"/>
    <n v="21744941"/>
    <n v="11087916"/>
    <m/>
    <n v="11087916"/>
    <n v="12267250"/>
    <m/>
    <n v="12267250"/>
    <n v="50707413"/>
    <n v="48445951"/>
    <m/>
    <m/>
    <m/>
    <m/>
    <n v="0"/>
    <m/>
    <m/>
    <n v="0"/>
    <m/>
    <m/>
    <m/>
    <m/>
    <n v="50707413"/>
    <n v="48445951"/>
  </r>
  <r>
    <x v="13"/>
    <x v="0"/>
    <s v="McLennan Community College "/>
    <n v="226578"/>
    <x v="6"/>
    <n v="19282627"/>
    <n v="15181034"/>
    <m/>
    <m/>
    <n v="11371862"/>
    <n v="15292304"/>
    <n v="13735914"/>
    <m/>
    <n v="13735914"/>
    <n v="14220565"/>
    <m/>
    <n v="14220565"/>
    <n v="44390403"/>
    <n v="44693903"/>
    <m/>
    <m/>
    <m/>
    <m/>
    <n v="0"/>
    <m/>
    <m/>
    <n v="0"/>
    <m/>
    <m/>
    <m/>
    <m/>
    <n v="44390403"/>
    <n v="44693903"/>
  </r>
  <r>
    <x v="13"/>
    <x v="0"/>
    <s v="Navarro College "/>
    <n v="227146"/>
    <x v="6"/>
    <n v="15644508"/>
    <n v="13149117"/>
    <m/>
    <m/>
    <n v="2709968"/>
    <n v="2704139"/>
    <n v="11130819"/>
    <m/>
    <n v="11130819"/>
    <n v="13119855"/>
    <m/>
    <n v="13119855"/>
    <n v="29485295"/>
    <n v="28973111"/>
    <m/>
    <m/>
    <m/>
    <m/>
    <n v="0"/>
    <m/>
    <m/>
    <n v="0"/>
    <m/>
    <m/>
    <m/>
    <m/>
    <n v="29485295"/>
    <n v="28973111"/>
  </r>
  <r>
    <x v="13"/>
    <x v="0"/>
    <s v="North Harris Montgomery Community College District"/>
    <n v="227182"/>
    <x v="6"/>
    <n v="78703513"/>
    <n v="61778845"/>
    <m/>
    <m/>
    <n v="74678001"/>
    <n v="119390353"/>
    <n v="46831514"/>
    <m/>
    <n v="46831514"/>
    <n v="50902449"/>
    <m/>
    <n v="50902449"/>
    <n v="200213028"/>
    <n v="232071647"/>
    <m/>
    <m/>
    <m/>
    <m/>
    <n v="0"/>
    <m/>
    <m/>
    <n v="0"/>
    <m/>
    <m/>
    <m/>
    <m/>
    <n v="200213028"/>
    <n v="232071647"/>
  </r>
  <r>
    <x v="13"/>
    <x v="0"/>
    <s v="North Lake College  (DCCCD)"/>
    <n v="227191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0"/>
    <s v="Northwest Vista College (ACCD)"/>
    <n v="420398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0"/>
    <s v="Palo Alto College  (ACCD)"/>
    <n v="24635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0"/>
    <s v="Richland College  (DCCCD)"/>
    <n v="227766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0"/>
    <s v="San Antonio College (ACCD)"/>
    <n v="22792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0"/>
    <s v="San Jacinto College (SJCDS)"/>
    <n v="227979"/>
    <x v="6"/>
    <n v="51976110"/>
    <n v="41235228"/>
    <m/>
    <m/>
    <n v="47230979"/>
    <n v="52642427"/>
    <n v="35950134"/>
    <m/>
    <n v="35950134"/>
    <n v="39029590"/>
    <m/>
    <n v="39029590"/>
    <n v="135157223"/>
    <n v="132907245"/>
    <m/>
    <m/>
    <m/>
    <m/>
    <n v="0"/>
    <m/>
    <m/>
    <n v="0"/>
    <m/>
    <m/>
    <m/>
    <m/>
    <n v="135157223"/>
    <n v="132907245"/>
  </r>
  <r>
    <x v="13"/>
    <x v="0"/>
    <s v="South Plains College "/>
    <n v="228158"/>
    <x v="6"/>
    <n v="20346409"/>
    <n v="15760156"/>
    <m/>
    <m/>
    <n v="7366200"/>
    <n v="7309236"/>
    <n v="17761005"/>
    <m/>
    <n v="17761005"/>
    <n v="19048688"/>
    <m/>
    <n v="19048688"/>
    <n v="45473614"/>
    <n v="42118080"/>
    <m/>
    <m/>
    <m/>
    <m/>
    <n v="0"/>
    <m/>
    <m/>
    <n v="0"/>
    <m/>
    <m/>
    <m/>
    <m/>
    <n v="45473614"/>
    <n v="42118080"/>
  </r>
  <r>
    <x v="13"/>
    <x v="0"/>
    <s v="South Texas College"/>
    <n v="409315"/>
    <x v="6"/>
    <n v="35902893"/>
    <n v="28594878"/>
    <m/>
    <m/>
    <n v="38541888"/>
    <n v="42480809"/>
    <n v="33579786"/>
    <m/>
    <n v="33579786"/>
    <n v="37768435"/>
    <m/>
    <n v="37768435"/>
    <n v="108024567"/>
    <n v="108844122"/>
    <m/>
    <m/>
    <m/>
    <m/>
    <n v="0"/>
    <m/>
    <m/>
    <n v="0"/>
    <m/>
    <m/>
    <m/>
    <m/>
    <n v="108024567"/>
    <n v="108844122"/>
  </r>
  <r>
    <x v="13"/>
    <x v="0"/>
    <s v="St. Philip's College  (ACCD)"/>
    <n v="22785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0"/>
    <s v="Tarrant County College (TCJCD)"/>
    <n v="228547"/>
    <x v="6"/>
    <n v="65627731"/>
    <n v="50931257"/>
    <m/>
    <m/>
    <n v="148603239"/>
    <n v="160732785"/>
    <n v="42319389"/>
    <m/>
    <n v="42319389"/>
    <n v="45072810"/>
    <m/>
    <n v="45072810"/>
    <n v="256550359"/>
    <n v="256736852"/>
    <m/>
    <m/>
    <m/>
    <m/>
    <n v="0"/>
    <m/>
    <m/>
    <n v="0"/>
    <m/>
    <m/>
    <m/>
    <m/>
    <n v="256550359"/>
    <n v="256736852"/>
  </r>
  <r>
    <x v="13"/>
    <x v="0"/>
    <s v="Texas Southmost College "/>
    <n v="229072"/>
    <x v="6"/>
    <n v="14076033"/>
    <n v="14029427"/>
    <m/>
    <m/>
    <n v="13767626"/>
    <n v="15318498"/>
    <n v="26575648"/>
    <m/>
    <n v="26575648"/>
    <n v="27958504"/>
    <m/>
    <n v="27958504"/>
    <n v="54419307"/>
    <n v="57306429"/>
    <m/>
    <m/>
    <m/>
    <m/>
    <n v="0"/>
    <m/>
    <m/>
    <n v="0"/>
    <m/>
    <m/>
    <m/>
    <m/>
    <n v="54419307"/>
    <n v="57306429"/>
  </r>
  <r>
    <x v="13"/>
    <x v="0"/>
    <s v="Tyler Junior College "/>
    <n v="229355"/>
    <x v="6"/>
    <n v="22523129"/>
    <n v="17824694"/>
    <m/>
    <m/>
    <n v="11540450"/>
    <n v="12646609"/>
    <n v="17347331"/>
    <m/>
    <n v="17347331"/>
    <n v="18253739"/>
    <m/>
    <n v="18253739"/>
    <n v="51410910"/>
    <n v="48725042"/>
    <m/>
    <m/>
    <m/>
    <m/>
    <n v="0"/>
    <m/>
    <m/>
    <n v="0"/>
    <m/>
    <m/>
    <m/>
    <m/>
    <n v="51410910"/>
    <n v="48725042"/>
  </r>
  <r>
    <x v="13"/>
    <x v="0"/>
    <s v="Alvin Community College "/>
    <n v="222567"/>
    <x v="7"/>
    <n v="11842589"/>
    <n v="9362219"/>
    <m/>
    <m/>
    <n v="8806376"/>
    <n v="11102379"/>
    <n v="5931972"/>
    <m/>
    <n v="5931972"/>
    <n v="6925943"/>
    <m/>
    <n v="6925943"/>
    <n v="26580937"/>
    <n v="27390541"/>
    <m/>
    <m/>
    <m/>
    <m/>
    <n v="0"/>
    <m/>
    <m/>
    <n v="0"/>
    <m/>
    <m/>
    <m/>
    <m/>
    <n v="26580937"/>
    <n v="27390541"/>
  </r>
  <r>
    <x v="13"/>
    <x v="0"/>
    <s v="Angelina College "/>
    <n v="222822"/>
    <x v="7"/>
    <n v="11066967"/>
    <n v="9053428"/>
    <m/>
    <m/>
    <n v="2994777"/>
    <n v="3870282"/>
    <n v="5237833"/>
    <m/>
    <n v="5237833"/>
    <n v="5477493"/>
    <m/>
    <n v="5477493"/>
    <n v="19299577"/>
    <n v="18401203"/>
    <m/>
    <m/>
    <m/>
    <m/>
    <n v="0"/>
    <m/>
    <m/>
    <n v="0"/>
    <m/>
    <m/>
    <m/>
    <m/>
    <n v="19299577"/>
    <n v="18401203"/>
  </r>
  <r>
    <x v="13"/>
    <x v="0"/>
    <s v="Brazosport College "/>
    <n v="223506"/>
    <x v="7"/>
    <n v="8707075"/>
    <n v="6515284"/>
    <m/>
    <m/>
    <n v="7868247"/>
    <n v="8145443"/>
    <n v="6306979"/>
    <m/>
    <n v="6306979"/>
    <n v="6351568"/>
    <m/>
    <n v="6351568"/>
    <n v="22882301"/>
    <n v="21012295"/>
    <m/>
    <m/>
    <m/>
    <m/>
    <n v="0"/>
    <m/>
    <m/>
    <n v="0"/>
    <m/>
    <m/>
    <m/>
    <m/>
    <n v="22882301"/>
    <n v="21012295"/>
  </r>
  <r>
    <x v="13"/>
    <x v="0"/>
    <s v="Eastfield College  (DCCCD)"/>
    <n v="223773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0"/>
    <s v="Cisco Junior College "/>
    <n v="223898"/>
    <x v="7"/>
    <n v="7152574"/>
    <n v="5855480"/>
    <m/>
    <m/>
    <n v="325167"/>
    <n v="417197"/>
    <n v="6440054"/>
    <m/>
    <n v="6440054"/>
    <n v="6343279"/>
    <m/>
    <n v="6343279"/>
    <n v="13917795"/>
    <n v="12615956"/>
    <m/>
    <m/>
    <m/>
    <m/>
    <n v="0"/>
    <m/>
    <m/>
    <n v="0"/>
    <m/>
    <m/>
    <m/>
    <m/>
    <n v="13917795"/>
    <n v="12615956"/>
  </r>
  <r>
    <x v="13"/>
    <x v="0"/>
    <s v="Coastal Bend College"/>
    <n v="223320"/>
    <x v="7"/>
    <n v="9713030"/>
    <n v="7515809"/>
    <m/>
    <m/>
    <n v="1500928"/>
    <n v="1676634"/>
    <n v="6108313"/>
    <m/>
    <n v="6108313"/>
    <n v="7214178"/>
    <m/>
    <n v="7214178"/>
    <n v="17322271"/>
    <n v="16406621"/>
    <m/>
    <m/>
    <m/>
    <m/>
    <n v="0"/>
    <m/>
    <m/>
    <n v="0"/>
    <m/>
    <m/>
    <m/>
    <m/>
    <n v="17322271"/>
    <n v="16406621"/>
  </r>
  <r>
    <x v="13"/>
    <x v="0"/>
    <s v="College of the Mainland"/>
    <n v="226408"/>
    <x v="7"/>
    <n v="11315523"/>
    <n v="7767249"/>
    <m/>
    <m/>
    <n v="19572072"/>
    <n v="20887193"/>
    <n v="5380620"/>
    <m/>
    <n v="5380620"/>
    <n v="5620209"/>
    <m/>
    <n v="5620209"/>
    <n v="36268215"/>
    <n v="34274651"/>
    <m/>
    <m/>
    <m/>
    <m/>
    <n v="0"/>
    <m/>
    <m/>
    <n v="0"/>
    <m/>
    <m/>
    <m/>
    <m/>
    <n v="36268215"/>
    <n v="34274651"/>
  </r>
  <r>
    <x v="13"/>
    <x v="0"/>
    <s v="El Centro College  (DCCCD)"/>
    <n v="22461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0"/>
    <s v="Grayson County College "/>
    <n v="225070"/>
    <x v="7"/>
    <n v="9617506"/>
    <n v="7551812"/>
    <m/>
    <m/>
    <n v="8419931"/>
    <n v="8533174"/>
    <n v="5317344"/>
    <m/>
    <n v="5317344"/>
    <n v="5502415"/>
    <m/>
    <n v="5502415"/>
    <n v="23354781"/>
    <n v="21587401"/>
    <m/>
    <m/>
    <m/>
    <m/>
    <n v="0"/>
    <m/>
    <m/>
    <n v="0"/>
    <m/>
    <m/>
    <m/>
    <m/>
    <n v="23354781"/>
    <n v="21587401"/>
  </r>
  <r>
    <x v="13"/>
    <x v="0"/>
    <s v="Hill College"/>
    <n v="225371"/>
    <x v="7"/>
    <n v="8614987"/>
    <n v="7259310"/>
    <m/>
    <m/>
    <n v="848825"/>
    <n v="955340"/>
    <n v="3871949"/>
    <m/>
    <n v="3871949"/>
    <n v="3883446"/>
    <m/>
    <n v="3883446"/>
    <n v="13335761"/>
    <n v="12098096"/>
    <m/>
    <m/>
    <m/>
    <m/>
    <n v="0"/>
    <m/>
    <m/>
    <n v="0"/>
    <m/>
    <m/>
    <m/>
    <m/>
    <n v="13335761"/>
    <n v="12098096"/>
  </r>
  <r>
    <x v="13"/>
    <x v="0"/>
    <s v="Howard College"/>
    <n v="225520"/>
    <x v="7"/>
    <n v="14742447"/>
    <n v="11388542"/>
    <m/>
    <m/>
    <n v="3513533"/>
    <n v="3559960"/>
    <n v="4130364"/>
    <m/>
    <n v="4130364"/>
    <n v="4560663"/>
    <m/>
    <n v="4560663"/>
    <n v="22386344"/>
    <n v="19509165"/>
    <m/>
    <m/>
    <m/>
    <m/>
    <n v="0"/>
    <m/>
    <m/>
    <n v="0"/>
    <m/>
    <m/>
    <m/>
    <m/>
    <n v="22386344"/>
    <n v="19509165"/>
  </r>
  <r>
    <x v="13"/>
    <x v="0"/>
    <s v="Kilgore College "/>
    <n v="226019"/>
    <x v="7"/>
    <n v="13904555"/>
    <n v="10979350"/>
    <m/>
    <m/>
    <n v="4855220"/>
    <n v="5240648"/>
    <n v="9533228"/>
    <m/>
    <n v="9533228"/>
    <n v="10748180"/>
    <m/>
    <n v="10748180"/>
    <n v="28293003"/>
    <n v="26968178"/>
    <m/>
    <m/>
    <m/>
    <m/>
    <n v="0"/>
    <m/>
    <m/>
    <n v="0"/>
    <m/>
    <m/>
    <m/>
    <m/>
    <n v="28293003"/>
    <n v="26968178"/>
  </r>
  <r>
    <x v="13"/>
    <x v="0"/>
    <s v="Lamar Institute of Technology"/>
    <n v="441760"/>
    <x v="7"/>
    <n v="10068615"/>
    <n v="10105098"/>
    <m/>
    <m/>
    <m/>
    <m/>
    <n v="6282811"/>
    <n v="27000"/>
    <n v="6309811"/>
    <n v="8037183"/>
    <n v="27000"/>
    <n v="8064183"/>
    <n v="16351426"/>
    <n v="18142281"/>
    <m/>
    <m/>
    <m/>
    <m/>
    <n v="0"/>
    <m/>
    <m/>
    <n v="0"/>
    <m/>
    <m/>
    <m/>
    <m/>
    <n v="16351426"/>
    <n v="18142281"/>
  </r>
  <r>
    <x v="13"/>
    <x v="0"/>
    <s v="Lee College "/>
    <n v="226204"/>
    <x v="7"/>
    <n v="14025296"/>
    <n v="10988811"/>
    <m/>
    <m/>
    <n v="17220056"/>
    <n v="18687122"/>
    <n v="8111130"/>
    <m/>
    <n v="8111130"/>
    <n v="8174703"/>
    <m/>
    <n v="8174703"/>
    <n v="39356482"/>
    <n v="37850636"/>
    <m/>
    <m/>
    <m/>
    <m/>
    <n v="0"/>
    <m/>
    <m/>
    <n v="0"/>
    <m/>
    <m/>
    <m/>
    <m/>
    <n v="39356482"/>
    <n v="37850636"/>
  </r>
  <r>
    <x v="13"/>
    <x v="0"/>
    <s v="Midland College "/>
    <n v="226806"/>
    <x v="7"/>
    <n v="14629331"/>
    <n v="11369870"/>
    <m/>
    <m/>
    <n v="15540794"/>
    <n v="16763611"/>
    <n v="10240248"/>
    <m/>
    <n v="10240248"/>
    <n v="10021532"/>
    <m/>
    <n v="10021532"/>
    <n v="40410373"/>
    <n v="38155013"/>
    <m/>
    <m/>
    <m/>
    <m/>
    <n v="0"/>
    <m/>
    <m/>
    <n v="0"/>
    <m/>
    <m/>
    <m/>
    <m/>
    <n v="40410373"/>
    <n v="38155013"/>
  </r>
  <r>
    <x v="13"/>
    <x v="0"/>
    <s v="Mountain View College  (DCCCD)"/>
    <n v="22693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0"/>
    <s v="North Central Texas Community College"/>
    <n v="224110"/>
    <x v="7"/>
    <n v="12247221"/>
    <n v="10123811"/>
    <m/>
    <m/>
    <n v="1870970"/>
    <n v="1915614"/>
    <n v="11005681"/>
    <m/>
    <n v="11005681"/>
    <n v="11308603"/>
    <m/>
    <n v="11308603"/>
    <n v="25123872"/>
    <n v="23348028"/>
    <m/>
    <m/>
    <m/>
    <m/>
    <n v="0"/>
    <m/>
    <m/>
    <n v="0"/>
    <m/>
    <m/>
    <m/>
    <m/>
    <n v="25123872"/>
    <n v="23348028"/>
  </r>
  <r>
    <x v="13"/>
    <x v="0"/>
    <s v="Odessa College "/>
    <n v="227304"/>
    <x v="7"/>
    <n v="12408779"/>
    <n v="9459673"/>
    <m/>
    <m/>
    <n v="12960177"/>
    <n v="14023240"/>
    <n v="6282396"/>
    <m/>
    <n v="6282396"/>
    <n v="5959145"/>
    <m/>
    <n v="5959145"/>
    <n v="31651352"/>
    <n v="29442058"/>
    <m/>
    <m/>
    <m/>
    <m/>
    <n v="0"/>
    <m/>
    <m/>
    <n v="0"/>
    <m/>
    <m/>
    <m/>
    <m/>
    <n v="31651352"/>
    <n v="29442058"/>
  </r>
  <r>
    <x v="13"/>
    <x v="0"/>
    <s v="Paris Junior College"/>
    <n v="227401"/>
    <x v="7"/>
    <n v="10661119"/>
    <n v="8763953"/>
    <m/>
    <m/>
    <n v="2638167"/>
    <n v="2916867"/>
    <n v="7462185"/>
    <m/>
    <n v="7462185"/>
    <n v="7625746"/>
    <m/>
    <n v="7625746"/>
    <n v="20761471"/>
    <n v="19306566"/>
    <m/>
    <m/>
    <m/>
    <m/>
    <n v="0"/>
    <m/>
    <m/>
    <n v="0"/>
    <m/>
    <m/>
    <m/>
    <m/>
    <n v="20761471"/>
    <n v="19306566"/>
  </r>
  <r>
    <x v="13"/>
    <x v="0"/>
    <s v="Southwest Texas Junior College "/>
    <n v="228316"/>
    <x v="7"/>
    <n v="11479211"/>
    <n v="8758504"/>
    <m/>
    <m/>
    <n v="1782603"/>
    <n v="1864218"/>
    <n v="9460894"/>
    <m/>
    <n v="9460894"/>
    <n v="9710672"/>
    <m/>
    <n v="9710672"/>
    <n v="22722708"/>
    <n v="20333394"/>
    <m/>
    <m/>
    <m/>
    <m/>
    <n v="0"/>
    <m/>
    <m/>
    <n v="0"/>
    <m/>
    <m/>
    <m/>
    <m/>
    <n v="22722708"/>
    <n v="20333394"/>
  </r>
  <r>
    <x v="13"/>
    <x v="0"/>
    <s v="Temple College "/>
    <n v="228608"/>
    <x v="7"/>
    <n v="9740956"/>
    <n v="7730411"/>
    <m/>
    <m/>
    <n v="5559280"/>
    <n v="6542503"/>
    <n v="8889458"/>
    <m/>
    <n v="8889458"/>
    <n v="11000405"/>
    <m/>
    <n v="11000405"/>
    <n v="24189694"/>
    <n v="25273319"/>
    <m/>
    <m/>
    <m/>
    <m/>
    <n v="0"/>
    <m/>
    <m/>
    <n v="0"/>
    <m/>
    <m/>
    <m/>
    <m/>
    <n v="24189694"/>
    <n v="25273319"/>
  </r>
  <r>
    <x v="13"/>
    <x v="0"/>
    <s v="Texarkana College "/>
    <n v="228699"/>
    <x v="7"/>
    <n v="11642956"/>
    <n v="9541081"/>
    <m/>
    <m/>
    <n v="981698"/>
    <n v="1066493"/>
    <n v="5300004"/>
    <m/>
    <n v="5300004"/>
    <n v="5788274"/>
    <m/>
    <n v="5788274"/>
    <n v="17924658"/>
    <n v="16395848"/>
    <m/>
    <m/>
    <m/>
    <m/>
    <n v="0"/>
    <m/>
    <m/>
    <n v="0"/>
    <m/>
    <m/>
    <m/>
    <m/>
    <n v="17924658"/>
    <n v="16395848"/>
  </r>
  <r>
    <x v="13"/>
    <x v="0"/>
    <s v="Texas State Technical College-Harlingen "/>
    <n v="229319"/>
    <x v="7"/>
    <n v="22110885"/>
    <n v="21017740"/>
    <m/>
    <m/>
    <m/>
    <m/>
    <n v="6587748"/>
    <m/>
    <n v="6587748"/>
    <n v="7823197"/>
    <m/>
    <n v="7823197"/>
    <n v="28698633"/>
    <n v="28840937"/>
    <m/>
    <m/>
    <m/>
    <m/>
    <n v="0"/>
    <m/>
    <m/>
    <n v="0"/>
    <m/>
    <m/>
    <m/>
    <m/>
    <n v="28698633"/>
    <n v="28840937"/>
  </r>
  <r>
    <x v="13"/>
    <x v="0"/>
    <s v="Texas State Technical College-Waco"/>
    <n v="228680"/>
    <x v="7"/>
    <n v="28961122"/>
    <n v="28745372"/>
    <m/>
    <m/>
    <m/>
    <m/>
    <n v="9985983"/>
    <m/>
    <n v="9985983"/>
    <n v="9463044"/>
    <m/>
    <n v="9463044"/>
    <n v="38947105"/>
    <n v="38208416"/>
    <m/>
    <m/>
    <m/>
    <m/>
    <n v="0"/>
    <m/>
    <m/>
    <n v="0"/>
    <m/>
    <m/>
    <m/>
    <m/>
    <n v="38947105"/>
    <n v="38208416"/>
  </r>
  <r>
    <x v="13"/>
    <x v="0"/>
    <s v="Trinity Valley Community College"/>
    <n v="225308"/>
    <x v="7"/>
    <n v="14957483"/>
    <n v="12414973"/>
    <m/>
    <m/>
    <n v="5555262"/>
    <n v="6148879"/>
    <n v="5838455"/>
    <m/>
    <n v="5838455"/>
    <n v="6030045"/>
    <m/>
    <n v="6030045"/>
    <n v="26351200"/>
    <n v="24593897"/>
    <m/>
    <m/>
    <m/>
    <m/>
    <n v="0"/>
    <m/>
    <m/>
    <n v="0"/>
    <m/>
    <m/>
    <m/>
    <m/>
    <n v="26351200"/>
    <n v="24593897"/>
  </r>
  <r>
    <x v="13"/>
    <x v="0"/>
    <s v="Vernon College "/>
    <n v="229504"/>
    <x v="7"/>
    <n v="7497464"/>
    <n v="5914929"/>
    <m/>
    <m/>
    <n v="2036614"/>
    <n v="2043714"/>
    <n v="5779455"/>
    <m/>
    <n v="5779455"/>
    <n v="5755595"/>
    <m/>
    <n v="5755595"/>
    <n v="15313533"/>
    <n v="13714238"/>
    <m/>
    <m/>
    <m/>
    <m/>
    <n v="0"/>
    <m/>
    <m/>
    <n v="0"/>
    <m/>
    <m/>
    <m/>
    <m/>
    <n v="15313533"/>
    <n v="13714238"/>
  </r>
  <r>
    <x v="13"/>
    <x v="0"/>
    <s v="Victoria College "/>
    <n v="229540"/>
    <x v="7"/>
    <n v="10233116"/>
    <n v="7765095"/>
    <m/>
    <m/>
    <n v="6019337"/>
    <n v="6541319"/>
    <n v="6048159"/>
    <m/>
    <n v="6048159"/>
    <n v="6400761"/>
    <m/>
    <n v="6400761"/>
    <n v="22300612"/>
    <n v="20707175"/>
    <m/>
    <m/>
    <m/>
    <m/>
    <n v="0"/>
    <m/>
    <m/>
    <n v="0"/>
    <m/>
    <m/>
    <m/>
    <m/>
    <n v="22300612"/>
    <n v="20707175"/>
  </r>
  <r>
    <x v="13"/>
    <x v="0"/>
    <s v="Weatherford College "/>
    <n v="229799"/>
    <x v="7"/>
    <n v="10062218"/>
    <n v="8949530"/>
    <m/>
    <m/>
    <n v="7627168"/>
    <n v="8572873"/>
    <n v="7096233"/>
    <m/>
    <n v="7096233"/>
    <n v="7839869"/>
    <m/>
    <n v="7839869"/>
    <n v="24785619"/>
    <n v="25362272"/>
    <m/>
    <m/>
    <m/>
    <m/>
    <n v="0"/>
    <m/>
    <m/>
    <n v="0"/>
    <m/>
    <m/>
    <m/>
    <m/>
    <n v="24785619"/>
    <n v="25362272"/>
  </r>
  <r>
    <x v="13"/>
    <x v="0"/>
    <s v="Wharton County Junior College "/>
    <n v="229841"/>
    <x v="7"/>
    <n v="11542894"/>
    <n v="9084614"/>
    <m/>
    <m/>
    <n v="4140116"/>
    <n v="4246434"/>
    <n v="12137671"/>
    <m/>
    <n v="12137671"/>
    <n v="12362228"/>
    <m/>
    <n v="12362228"/>
    <n v="27820681"/>
    <n v="25693276"/>
    <m/>
    <m/>
    <m/>
    <m/>
    <n v="0"/>
    <m/>
    <m/>
    <n v="0"/>
    <m/>
    <m/>
    <m/>
    <m/>
    <n v="27820681"/>
    <n v="25693276"/>
  </r>
  <r>
    <x v="13"/>
    <x v="0"/>
    <s v="Clarendon College "/>
    <n v="223922"/>
    <x v="8"/>
    <n v="3063357"/>
    <n v="2345458"/>
    <m/>
    <m/>
    <n v="351127"/>
    <n v="369179"/>
    <n v="2268150"/>
    <m/>
    <n v="2268150"/>
    <n v="2564876"/>
    <m/>
    <n v="2564876"/>
    <n v="5682634"/>
    <n v="5279513"/>
    <m/>
    <m/>
    <m/>
    <m/>
    <n v="0"/>
    <m/>
    <m/>
    <n v="0"/>
    <m/>
    <m/>
    <m/>
    <m/>
    <n v="5682634"/>
    <n v="5279513"/>
  </r>
  <r>
    <x v="13"/>
    <x v="0"/>
    <s v="Frank Phillips College "/>
    <n v="224891"/>
    <x v="8"/>
    <n v="3908100"/>
    <n v="3019140"/>
    <m/>
    <m/>
    <n v="1184304"/>
    <n v="1222654"/>
    <n v="3005844"/>
    <m/>
    <n v="3005844"/>
    <n v="2830873"/>
    <m/>
    <n v="2830873"/>
    <n v="8098248"/>
    <n v="7072667"/>
    <m/>
    <m/>
    <m/>
    <m/>
    <n v="0"/>
    <m/>
    <m/>
    <n v="0"/>
    <m/>
    <m/>
    <m/>
    <m/>
    <n v="8098248"/>
    <n v="7072667"/>
  </r>
  <r>
    <x v="13"/>
    <x v="0"/>
    <s v="Galveston College "/>
    <n v="224961"/>
    <x v="8"/>
    <n v="6732049"/>
    <n v="5259191"/>
    <m/>
    <m/>
    <n v="7645767"/>
    <n v="8240296"/>
    <n v="2729978"/>
    <m/>
    <n v="2729978"/>
    <n v="2614011"/>
    <m/>
    <n v="2614011"/>
    <n v="17107794"/>
    <n v="16113498"/>
    <m/>
    <m/>
    <m/>
    <m/>
    <n v="0"/>
    <m/>
    <m/>
    <n v="0"/>
    <m/>
    <m/>
    <m/>
    <m/>
    <n v="17107794"/>
    <n v="16113498"/>
  </r>
  <r>
    <x v="13"/>
    <x v="0"/>
    <s v="Lamar State College-Orange"/>
    <n v="226107"/>
    <x v="8"/>
    <n v="8296102"/>
    <n v="8324194"/>
    <m/>
    <m/>
    <m/>
    <m/>
    <n v="6753670"/>
    <n v="23155"/>
    <n v="6776825"/>
    <n v="7597584"/>
    <n v="23155"/>
    <n v="7620739"/>
    <n v="15049772"/>
    <n v="15921778"/>
    <m/>
    <m/>
    <m/>
    <m/>
    <n v="0"/>
    <m/>
    <m/>
    <n v="0"/>
    <m/>
    <m/>
    <m/>
    <m/>
    <n v="15049772"/>
    <n v="15921778"/>
  </r>
  <r>
    <x v="13"/>
    <x v="0"/>
    <s v="Lamar State College-Port Arthur"/>
    <n v="226116"/>
    <x v="8"/>
    <n v="11167222"/>
    <n v="11671270"/>
    <m/>
    <m/>
    <m/>
    <m/>
    <n v="5028496"/>
    <n v="26000"/>
    <n v="5054496"/>
    <n v="5375819"/>
    <n v="26000"/>
    <n v="5401819"/>
    <n v="16195718"/>
    <n v="17047089"/>
    <m/>
    <m/>
    <m/>
    <m/>
    <n v="0"/>
    <m/>
    <m/>
    <n v="0"/>
    <m/>
    <m/>
    <m/>
    <m/>
    <n v="16195718"/>
    <n v="17047089"/>
  </r>
  <r>
    <x v="13"/>
    <x v="0"/>
    <s v="Northeast Lakeview College (ACCD)"/>
    <s v="?????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0"/>
    <s v="Northeast Texas Community College "/>
    <n v="227225"/>
    <x v="8"/>
    <n v="5818492"/>
    <n v="4466972"/>
    <m/>
    <m/>
    <n v="2683663"/>
    <n v="3928708"/>
    <n v="4275539"/>
    <m/>
    <n v="4275539"/>
    <n v="4280261"/>
    <m/>
    <n v="4280261"/>
    <n v="12777694"/>
    <n v="12675941"/>
    <m/>
    <m/>
    <m/>
    <m/>
    <n v="0"/>
    <m/>
    <m/>
    <n v="0"/>
    <m/>
    <m/>
    <m/>
    <m/>
    <n v="12777694"/>
    <n v="12675941"/>
  </r>
  <r>
    <x v="13"/>
    <x v="0"/>
    <s v="Panola College"/>
    <n v="227386"/>
    <x v="8"/>
    <n v="5471922"/>
    <n v="4084991"/>
    <m/>
    <m/>
    <n v="4128715"/>
    <n v="4624730"/>
    <n v="3441699"/>
    <m/>
    <n v="3441699"/>
    <n v="3687674"/>
    <m/>
    <n v="3687674"/>
    <n v="13042336"/>
    <n v="12397395"/>
    <m/>
    <m/>
    <m/>
    <m/>
    <n v="0"/>
    <m/>
    <m/>
    <n v="0"/>
    <m/>
    <m/>
    <m/>
    <m/>
    <n v="13042336"/>
    <n v="12397395"/>
  </r>
  <r>
    <x v="13"/>
    <x v="0"/>
    <s v="Ranger College "/>
    <n v="227687"/>
    <x v="8"/>
    <n v="2689559"/>
    <n v="2202632"/>
    <m/>
    <m/>
    <n v="186854"/>
    <n v="191706"/>
    <n v="1127174"/>
    <m/>
    <n v="1127174"/>
    <n v="1409095"/>
    <m/>
    <n v="1409095"/>
    <n v="4003587"/>
    <n v="3803433"/>
    <m/>
    <m/>
    <m/>
    <m/>
    <n v="0"/>
    <m/>
    <m/>
    <n v="0"/>
    <m/>
    <m/>
    <m/>
    <m/>
    <n v="4003587"/>
    <n v="3803433"/>
  </r>
  <r>
    <x v="13"/>
    <x v="0"/>
    <s v="Southwest Collegiate Institute for the Deaf "/>
    <n v="382911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0"/>
    <s v="Texas State Technical College-Marshall"/>
    <n v="408394"/>
    <x v="8"/>
    <n v="4869827"/>
    <n v="4535811"/>
    <m/>
    <m/>
    <m/>
    <m/>
    <n v="1107464"/>
    <m/>
    <n v="1107464"/>
    <n v="1516176"/>
    <m/>
    <n v="1516176"/>
    <n v="5977291"/>
    <n v="6051987"/>
    <m/>
    <m/>
    <m/>
    <m/>
    <n v="0"/>
    <m/>
    <m/>
    <n v="0"/>
    <m/>
    <m/>
    <m/>
    <m/>
    <n v="5977291"/>
    <n v="6051987"/>
  </r>
  <r>
    <x v="13"/>
    <x v="0"/>
    <s v="Texas State Technical College-West Texas"/>
    <n v="229328"/>
    <x v="8"/>
    <n v="14624990"/>
    <n v="16116341"/>
    <m/>
    <m/>
    <m/>
    <m/>
    <n v="3270681"/>
    <m/>
    <n v="3270681"/>
    <n v="3235287"/>
    <m/>
    <n v="3235287"/>
    <n v="17895671"/>
    <n v="19351628"/>
    <m/>
    <m/>
    <m/>
    <m/>
    <n v="0"/>
    <m/>
    <m/>
    <n v="0"/>
    <m/>
    <m/>
    <m/>
    <m/>
    <n v="17895671"/>
    <n v="19351628"/>
  </r>
  <r>
    <x v="13"/>
    <x v="0"/>
    <s v="Western Texas College "/>
    <n v="229832"/>
    <x v="8"/>
    <n v="4349175"/>
    <n v="3359170"/>
    <m/>
    <m/>
    <n v="3115110"/>
    <n v="3330031"/>
    <n v="2651181"/>
    <m/>
    <n v="2651181"/>
    <n v="3113628"/>
    <m/>
    <n v="3113628"/>
    <n v="10115466"/>
    <n v="9802829"/>
    <m/>
    <m/>
    <m/>
    <m/>
    <n v="0"/>
    <m/>
    <m/>
    <n v="0"/>
    <m/>
    <m/>
    <m/>
    <m/>
    <n v="10115466"/>
    <n v="9802829"/>
  </r>
  <r>
    <x v="13"/>
    <x v="0"/>
    <s v="Alamo Community College District (ACCD)"/>
    <m/>
    <x v="15"/>
    <n v="95761007"/>
    <n v="75711173"/>
    <m/>
    <m/>
    <n v="103779431"/>
    <n v="118377594"/>
    <n v="81216884"/>
    <m/>
    <n v="81216884"/>
    <n v="87739678"/>
    <m/>
    <n v="87739678"/>
    <n v="280757322"/>
    <n v="281828445"/>
    <m/>
    <m/>
    <m/>
    <m/>
    <n v="0"/>
    <m/>
    <m/>
    <n v="0"/>
    <m/>
    <m/>
    <m/>
    <m/>
    <n v="280757322"/>
    <n v="281828445"/>
  </r>
  <r>
    <x v="13"/>
    <x v="0"/>
    <s v="Dallas County Community College District (DCCD)"/>
    <m/>
    <x v="15"/>
    <n v="127609163"/>
    <n v="101493158"/>
    <m/>
    <m/>
    <n v="124083701"/>
    <n v="134876611"/>
    <n v="70693775"/>
    <m/>
    <n v="70693775"/>
    <n v="74231282"/>
    <m/>
    <n v="74231282"/>
    <n v="322386639"/>
    <n v="310601051"/>
    <m/>
    <m/>
    <m/>
    <m/>
    <n v="0"/>
    <m/>
    <m/>
    <n v="0"/>
    <m/>
    <m/>
    <m/>
    <m/>
    <n v="322386639"/>
    <n v="310601051"/>
  </r>
  <r>
    <x v="13"/>
    <x v="1"/>
    <s v="Texas A&amp;M University System Health Science Center"/>
    <n v="223214"/>
    <x v="11"/>
    <m/>
    <m/>
    <m/>
    <m/>
    <m/>
    <m/>
    <m/>
    <m/>
    <n v="0"/>
    <m/>
    <m/>
    <n v="0"/>
    <n v="0"/>
    <n v="0"/>
    <m/>
    <m/>
    <m/>
    <m/>
    <n v="0"/>
    <m/>
    <m/>
    <n v="0"/>
    <n v="97350511"/>
    <n v="102371756"/>
    <n v="11012595"/>
    <n v="14526440"/>
    <n v="108363106"/>
    <n v="116898196"/>
  </r>
  <r>
    <x v="13"/>
    <x v="1"/>
    <s v="Texas Tech University Health Sciences Center"/>
    <n v="229337"/>
    <x v="11"/>
    <m/>
    <m/>
    <m/>
    <m/>
    <m/>
    <m/>
    <m/>
    <m/>
    <n v="0"/>
    <m/>
    <m/>
    <n v="0"/>
    <n v="0"/>
    <n v="0"/>
    <m/>
    <m/>
    <m/>
    <m/>
    <n v="0"/>
    <m/>
    <m/>
    <n v="0"/>
    <n v="179922861"/>
    <n v="165914370"/>
    <n v="19252450"/>
    <n v="25163632"/>
    <n v="199175311"/>
    <n v="191078002"/>
  </r>
  <r>
    <x v="13"/>
    <x v="1"/>
    <s v="University of North Texas Health Science Center at Fort Worth"/>
    <n v="228909"/>
    <x v="11"/>
    <m/>
    <m/>
    <m/>
    <m/>
    <m/>
    <m/>
    <m/>
    <m/>
    <n v="0"/>
    <m/>
    <m/>
    <n v="0"/>
    <n v="0"/>
    <n v="0"/>
    <m/>
    <m/>
    <m/>
    <m/>
    <n v="0"/>
    <m/>
    <m/>
    <n v="0"/>
    <n v="64223063"/>
    <n v="64437229"/>
    <n v="10709388"/>
    <n v="11419179"/>
    <n v="74932451"/>
    <n v="75856408"/>
  </r>
  <r>
    <x v="13"/>
    <x v="1"/>
    <s v="University of Texas Health Science Center at Houston"/>
    <n v="229300"/>
    <x v="11"/>
    <m/>
    <m/>
    <m/>
    <m/>
    <m/>
    <m/>
    <m/>
    <m/>
    <n v="0"/>
    <m/>
    <m/>
    <n v="0"/>
    <n v="0"/>
    <n v="0"/>
    <m/>
    <m/>
    <m/>
    <m/>
    <n v="0"/>
    <m/>
    <m/>
    <n v="0"/>
    <n v="162112570"/>
    <n v="162723614"/>
    <n v="21448615"/>
    <n v="22172301"/>
    <n v="183561185"/>
    <n v="184895915"/>
  </r>
  <r>
    <x v="13"/>
    <x v="1"/>
    <s v="University of Texas Health Science Center at San Antonio"/>
    <n v="228644"/>
    <x v="11"/>
    <m/>
    <m/>
    <m/>
    <m/>
    <m/>
    <m/>
    <m/>
    <m/>
    <n v="0"/>
    <m/>
    <m/>
    <n v="0"/>
    <n v="0"/>
    <n v="0"/>
    <m/>
    <m/>
    <m/>
    <m/>
    <n v="0"/>
    <m/>
    <m/>
    <n v="0"/>
    <n v="174273926"/>
    <n v="174788966"/>
    <n v="25494119"/>
    <n v="29986276"/>
    <n v="199768045"/>
    <n v="204775242"/>
  </r>
  <r>
    <x v="13"/>
    <x v="1"/>
    <s v="University of Texas M.D. Anderson Cancer Center"/>
    <n v="416801"/>
    <x v="11"/>
    <m/>
    <m/>
    <m/>
    <m/>
    <m/>
    <m/>
    <m/>
    <m/>
    <n v="0"/>
    <m/>
    <m/>
    <n v="0"/>
    <n v="0"/>
    <n v="0"/>
    <m/>
    <m/>
    <m/>
    <m/>
    <n v="0"/>
    <m/>
    <m/>
    <n v="0"/>
    <n v="68439142"/>
    <n v="70364470"/>
    <n v="587062"/>
    <n v="632901"/>
    <n v="69026204"/>
    <n v="70997371"/>
  </r>
  <r>
    <x v="13"/>
    <x v="1"/>
    <s v="University of Texas Medical Branch at Galveston"/>
    <n v="228653"/>
    <x v="11"/>
    <m/>
    <m/>
    <m/>
    <m/>
    <m/>
    <m/>
    <m/>
    <m/>
    <n v="0"/>
    <m/>
    <m/>
    <n v="0"/>
    <n v="0"/>
    <n v="0"/>
    <m/>
    <m/>
    <m/>
    <m/>
    <n v="0"/>
    <m/>
    <m/>
    <n v="0"/>
    <n v="287346866"/>
    <n v="289293547"/>
    <n v="17574124"/>
    <n v="19326347"/>
    <n v="304920990"/>
    <n v="308619894"/>
  </r>
  <r>
    <x v="13"/>
    <x v="1"/>
    <s v="University of Texas Southwestern Medical Center at Dallas"/>
    <n v="228635"/>
    <x v="11"/>
    <m/>
    <m/>
    <m/>
    <m/>
    <m/>
    <m/>
    <m/>
    <m/>
    <n v="0"/>
    <m/>
    <m/>
    <n v="0"/>
    <n v="0"/>
    <n v="0"/>
    <m/>
    <m/>
    <m/>
    <m/>
    <n v="0"/>
    <m/>
    <m/>
    <n v="0"/>
    <n v="177527913"/>
    <n v="178655292"/>
    <n v="18555782"/>
    <n v="19928432"/>
    <n v="196083695"/>
    <n v="198583724"/>
  </r>
  <r>
    <x v="13"/>
    <x v="10"/>
    <s v="Statewide Special-Purpos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42"/>
    <s v="UNIV TX Health Center at Tyler"/>
    <m/>
    <x v="12"/>
    <m/>
    <m/>
    <m/>
    <m/>
    <m/>
    <m/>
    <m/>
    <m/>
    <n v="0"/>
    <m/>
    <m/>
    <n v="0"/>
    <n v="0"/>
    <n v="0"/>
    <m/>
    <m/>
    <m/>
    <m/>
    <n v="0"/>
    <m/>
    <m/>
    <n v="0"/>
    <n v="41298469"/>
    <n v="41453899"/>
    <m/>
    <m/>
    <n v="41298469"/>
    <n v="41453899"/>
  </r>
  <r>
    <x v="13"/>
    <x v="11"/>
    <s v="Research centers/institut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11"/>
    <s v="Advanced Research Program (CB)"/>
    <m/>
    <x v="12"/>
    <m/>
    <m/>
    <n v="16698922"/>
    <n v="0"/>
    <m/>
    <m/>
    <m/>
    <m/>
    <n v="0"/>
    <m/>
    <m/>
    <n v="0"/>
    <n v="16698922"/>
    <n v="0"/>
    <n v="16698922"/>
    <n v="0"/>
    <m/>
    <m/>
    <n v="0"/>
    <m/>
    <m/>
    <n v="0"/>
    <m/>
    <m/>
    <m/>
    <m/>
    <n v="33397844"/>
    <n v="0"/>
  </r>
  <r>
    <x v="13"/>
    <x v="12"/>
    <s v="Health professions education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12"/>
    <s v="Family practice residency "/>
    <m/>
    <x v="12"/>
    <m/>
    <m/>
    <m/>
    <m/>
    <m/>
    <m/>
    <m/>
    <m/>
    <n v="0"/>
    <m/>
    <m/>
    <n v="0"/>
    <n v="0"/>
    <n v="0"/>
    <m/>
    <m/>
    <m/>
    <m/>
    <n v="0"/>
    <m/>
    <m/>
    <n v="0"/>
    <n v="8732155"/>
    <n v="8732155"/>
    <m/>
    <m/>
    <n v="8732155"/>
    <n v="8732155"/>
  </r>
  <r>
    <x v="13"/>
    <x v="12"/>
    <s v="Other Health Related- Tobacco Settle-Nursing, Allied Health, etc."/>
    <m/>
    <x v="12"/>
    <m/>
    <m/>
    <m/>
    <m/>
    <m/>
    <m/>
    <m/>
    <m/>
    <n v="0"/>
    <m/>
    <m/>
    <n v="0"/>
    <n v="0"/>
    <n v="0"/>
    <m/>
    <m/>
    <m/>
    <m/>
    <n v="0"/>
    <m/>
    <m/>
    <n v="0"/>
    <n v="2025000"/>
    <n v="2025000"/>
    <m/>
    <m/>
    <n v="2025000"/>
    <n v="2025000"/>
  </r>
  <r>
    <x v="13"/>
    <x v="12"/>
    <s v="Other Health Related- Tobacco Settle-Minority Health Res. &amp; Ed."/>
    <m/>
    <x v="12"/>
    <m/>
    <m/>
    <m/>
    <m/>
    <m/>
    <m/>
    <m/>
    <m/>
    <n v="0"/>
    <m/>
    <m/>
    <n v="0"/>
    <n v="0"/>
    <n v="0"/>
    <m/>
    <m/>
    <m/>
    <m/>
    <n v="0"/>
    <m/>
    <m/>
    <n v="0"/>
    <n v="1125000"/>
    <n v="1125000"/>
    <m/>
    <m/>
    <n v="1125000"/>
    <n v="1125000"/>
  </r>
  <r>
    <x v="13"/>
    <x v="12"/>
    <s v="Preceptorships &amp; Primary Care"/>
    <m/>
    <x v="12"/>
    <m/>
    <m/>
    <m/>
    <m/>
    <m/>
    <m/>
    <m/>
    <m/>
    <n v="0"/>
    <m/>
    <m/>
    <n v="0"/>
    <n v="0"/>
    <n v="0"/>
    <m/>
    <m/>
    <m/>
    <m/>
    <n v="0"/>
    <m/>
    <m/>
    <n v="0"/>
    <n v="452145"/>
    <n v="452144"/>
    <m/>
    <m/>
    <n v="452145"/>
    <n v="452144"/>
  </r>
  <r>
    <x v="13"/>
    <x v="12"/>
    <s v="Primary Care Residency"/>
    <m/>
    <x v="12"/>
    <m/>
    <m/>
    <m/>
    <m/>
    <m/>
    <m/>
    <m/>
    <m/>
    <n v="0"/>
    <m/>
    <m/>
    <n v="0"/>
    <n v="0"/>
    <n v="0"/>
    <m/>
    <m/>
    <m/>
    <m/>
    <n v="0"/>
    <m/>
    <m/>
    <n v="0"/>
    <n v="2495220"/>
    <n v="2495220"/>
    <m/>
    <m/>
    <n v="2495220"/>
    <n v="2495220"/>
  </r>
  <r>
    <x v="13"/>
    <x v="12"/>
    <s v="Graduate Medical Education"/>
    <m/>
    <x v="12"/>
    <m/>
    <m/>
    <m/>
    <m/>
    <m/>
    <m/>
    <m/>
    <m/>
    <n v="0"/>
    <m/>
    <m/>
    <n v="0"/>
    <n v="0"/>
    <n v="0"/>
    <m/>
    <m/>
    <m/>
    <m/>
    <n v="0"/>
    <m/>
    <m/>
    <n v="0"/>
    <n v="300000"/>
    <n v="300000"/>
    <m/>
    <m/>
    <n v="300000"/>
    <n v="300000"/>
  </r>
  <r>
    <x v="13"/>
    <x v="12"/>
    <s v="Nursing Shortage Reduction Program"/>
    <m/>
    <x v="12"/>
    <m/>
    <m/>
    <m/>
    <m/>
    <m/>
    <m/>
    <m/>
    <m/>
    <n v="0"/>
    <m/>
    <m/>
    <n v="0"/>
    <n v="0"/>
    <n v="0"/>
    <m/>
    <m/>
    <m/>
    <m/>
    <n v="0"/>
    <m/>
    <m/>
    <n v="0"/>
    <n v="7350000"/>
    <n v="7350000"/>
    <m/>
    <m/>
    <n v="7350000"/>
    <n v="7350000"/>
  </r>
  <r>
    <x v="13"/>
    <x v="12"/>
    <s v="Alzheimer's Centers"/>
    <m/>
    <x v="12"/>
    <m/>
    <m/>
    <m/>
    <m/>
    <m/>
    <m/>
    <m/>
    <m/>
    <n v="0"/>
    <m/>
    <m/>
    <n v="0"/>
    <n v="0"/>
    <n v="0"/>
    <m/>
    <m/>
    <m/>
    <m/>
    <n v="0"/>
    <m/>
    <m/>
    <n v="0"/>
    <n v="3900000"/>
    <n v="0"/>
    <m/>
    <m/>
    <n v="3900000"/>
    <n v="0"/>
  </r>
  <r>
    <x v="13"/>
    <x v="13"/>
    <s v="Educational special purpose funds — all other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13"/>
    <s v="Incentive funding trust fund"/>
    <m/>
    <x v="12"/>
    <m/>
    <m/>
    <m/>
    <n v="100000000"/>
    <m/>
    <m/>
    <m/>
    <m/>
    <n v="0"/>
    <m/>
    <m/>
    <n v="0"/>
    <n v="0"/>
    <n v="100000000"/>
    <m/>
    <m/>
    <m/>
    <m/>
    <n v="0"/>
    <m/>
    <m/>
    <n v="0"/>
    <m/>
    <m/>
    <m/>
    <m/>
    <n v="0"/>
    <n v="100000000"/>
  </r>
  <r>
    <x v="13"/>
    <x v="13"/>
    <s v="Community College Enrollment Growth"/>
    <m/>
    <x v="12"/>
    <m/>
    <m/>
    <n v="1759393"/>
    <n v="1759393"/>
    <m/>
    <m/>
    <m/>
    <m/>
    <n v="0"/>
    <m/>
    <m/>
    <n v="0"/>
    <n v="1759393"/>
    <n v="1759393"/>
    <m/>
    <m/>
    <m/>
    <m/>
    <n v="0"/>
    <m/>
    <m/>
    <n v="0"/>
    <m/>
    <m/>
    <m/>
    <m/>
    <n v="1759393"/>
    <n v="1759393"/>
  </r>
  <r>
    <x v="13"/>
    <x v="13"/>
    <s v="African American Museum"/>
    <m/>
    <x v="12"/>
    <m/>
    <m/>
    <n v="93636"/>
    <n v="93636"/>
    <m/>
    <m/>
    <m/>
    <m/>
    <n v="0"/>
    <m/>
    <m/>
    <n v="0"/>
    <n v="93636"/>
    <n v="93636"/>
    <m/>
    <m/>
    <m/>
    <m/>
    <n v="0"/>
    <m/>
    <m/>
    <n v="0"/>
    <m/>
    <m/>
    <m/>
    <m/>
    <n v="93636"/>
    <n v="93636"/>
  </r>
  <r>
    <x v="13"/>
    <x v="14"/>
    <s v="Statewide System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15"/>
    <s v="Colleges and universities"/>
    <m/>
    <x v="12"/>
    <m/>
    <m/>
    <m/>
    <m/>
    <m/>
    <m/>
    <m/>
    <m/>
    <n v="0"/>
    <m/>
    <m/>
    <n v="0"/>
    <n v="0"/>
    <n v="0"/>
    <n v="34904453"/>
    <n v="19769540"/>
    <m/>
    <m/>
    <n v="0"/>
    <m/>
    <m/>
    <n v="0"/>
    <m/>
    <m/>
    <m/>
    <m/>
    <n v="34904453"/>
    <n v="19769540"/>
  </r>
  <r>
    <x v="13"/>
    <x v="15"/>
    <s v="H. Ed. Coordinating Board"/>
    <m/>
    <x v="12"/>
    <m/>
    <m/>
    <m/>
    <m/>
    <m/>
    <m/>
    <m/>
    <m/>
    <n v="0"/>
    <m/>
    <m/>
    <n v="0"/>
    <n v="0"/>
    <n v="0"/>
    <n v="23783176"/>
    <n v="22414176"/>
    <m/>
    <m/>
    <n v="0"/>
    <m/>
    <m/>
    <n v="0"/>
    <m/>
    <m/>
    <m/>
    <m/>
    <n v="23783176"/>
    <n v="22414176"/>
  </r>
  <r>
    <x v="13"/>
    <x v="16"/>
    <s v="Two-year system(s), if an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16"/>
    <s v="Texas State Technical College System Office"/>
    <m/>
    <x v="12"/>
    <m/>
    <m/>
    <m/>
    <m/>
    <m/>
    <m/>
    <m/>
    <m/>
    <n v="0"/>
    <m/>
    <m/>
    <n v="0"/>
    <n v="0"/>
    <n v="0"/>
    <n v="10525074"/>
    <n v="10675857"/>
    <m/>
    <m/>
    <n v="0"/>
    <m/>
    <m/>
    <n v="0"/>
    <m/>
    <m/>
    <m/>
    <m/>
    <n v="10525074"/>
    <n v="10675857"/>
  </r>
  <r>
    <x v="13"/>
    <x v="17"/>
    <s v="National or regional associations, compacts or consortia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17"/>
    <s v="SREB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18"/>
    <s v="Adm. of Statewide Student Aid Progs. (including centralized guaranteed student loans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19"/>
    <s v="State Support to Private Colleges Other Than Student Ai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19"/>
    <s v="Chiropractic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19"/>
    <s v="Baylor College of Medicine"/>
    <m/>
    <x v="12"/>
    <m/>
    <m/>
    <m/>
    <m/>
    <m/>
    <m/>
    <m/>
    <m/>
    <n v="0"/>
    <m/>
    <m/>
    <n v="0"/>
    <n v="0"/>
    <n v="0"/>
    <n v="48256306"/>
    <n v="48256306"/>
    <m/>
    <m/>
    <n v="0"/>
    <m/>
    <m/>
    <n v="0"/>
    <m/>
    <m/>
    <m/>
    <m/>
    <n v="48256306"/>
    <n v="48256306"/>
  </r>
  <r>
    <x v="13"/>
    <x v="19"/>
    <s v="Centers for Teacher Education"/>
    <m/>
    <x v="12"/>
    <m/>
    <m/>
    <m/>
    <m/>
    <m/>
    <m/>
    <m/>
    <m/>
    <n v="0"/>
    <m/>
    <m/>
    <n v="0"/>
    <n v="0"/>
    <n v="0"/>
    <n v="3200742"/>
    <n v="3200742"/>
    <m/>
    <m/>
    <n v="0"/>
    <m/>
    <m/>
    <n v="0"/>
    <m/>
    <m/>
    <m/>
    <m/>
    <n v="3200742"/>
    <n v="3200742"/>
  </r>
  <r>
    <x v="13"/>
    <x v="20"/>
    <s v="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1"/>
    <s v="SREB contract program with private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2"/>
    <s v="SREB contract program with public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3"/>
    <s v="Other 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4"/>
    <s v="Statewide Student Financial Aid Programs Administered Off Campu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5"/>
    <s v="Available to public &amp;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5"/>
    <s v="TX Student Aid"/>
    <m/>
    <x v="12"/>
    <m/>
    <m/>
    <m/>
    <m/>
    <m/>
    <m/>
    <m/>
    <m/>
    <n v="0"/>
    <m/>
    <m/>
    <n v="0"/>
    <n v="0"/>
    <n v="0"/>
    <n v="355633980"/>
    <n v="350975693"/>
    <m/>
    <m/>
    <n v="0"/>
    <m/>
    <m/>
    <n v="0"/>
    <m/>
    <m/>
    <m/>
    <m/>
    <n v="355633980"/>
    <n v="350975693"/>
  </r>
  <r>
    <x v="13"/>
    <x v="26"/>
    <s v="Need-based"/>
    <m/>
    <x v="12"/>
    <m/>
    <m/>
    <m/>
    <m/>
    <m/>
    <m/>
    <m/>
    <m/>
    <n v="0"/>
    <m/>
    <m/>
    <n v="0"/>
    <n v="0"/>
    <n v="0"/>
    <s v="No detail on basis or sector?"/>
    <m/>
    <m/>
    <m/>
    <n v="0"/>
    <m/>
    <m/>
    <n v="0"/>
    <m/>
    <m/>
    <m/>
    <m/>
    <n v="0"/>
    <n v="0"/>
  </r>
  <r>
    <x v="13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5"/>
    <s v="Teach for TX Conditional Grants"/>
    <m/>
    <x v="12"/>
    <m/>
    <m/>
    <m/>
    <m/>
    <m/>
    <m/>
    <m/>
    <m/>
    <n v="0"/>
    <m/>
    <m/>
    <n v="0"/>
    <n v="0"/>
    <n v="0"/>
    <n v="4521443"/>
    <n v="4521443"/>
    <m/>
    <m/>
    <n v="0"/>
    <m/>
    <m/>
    <n v="0"/>
    <m/>
    <m/>
    <m/>
    <m/>
    <n v="4521443"/>
    <n v="4521443"/>
  </r>
  <r>
    <x v="13"/>
    <x v="26"/>
    <s v="Need-based"/>
    <m/>
    <x v="12"/>
    <m/>
    <m/>
    <m/>
    <m/>
    <m/>
    <m/>
    <m/>
    <m/>
    <n v="0"/>
    <m/>
    <m/>
    <n v="0"/>
    <n v="0"/>
    <n v="0"/>
    <s v="No detail on basis or sector?"/>
    <m/>
    <m/>
    <m/>
    <n v="0"/>
    <m/>
    <m/>
    <n v="0"/>
    <m/>
    <m/>
    <m/>
    <m/>
    <n v="0"/>
    <n v="0"/>
  </r>
  <r>
    <x v="13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5"/>
    <s v="Joint Admission Medical Program"/>
    <m/>
    <x v="12"/>
    <m/>
    <m/>
    <m/>
    <m/>
    <m/>
    <m/>
    <m/>
    <m/>
    <n v="0"/>
    <m/>
    <m/>
    <n v="0"/>
    <n v="0"/>
    <n v="0"/>
    <n v="5616355"/>
    <n v="0"/>
    <m/>
    <m/>
    <n v="0"/>
    <m/>
    <m/>
    <n v="0"/>
    <m/>
    <m/>
    <m/>
    <m/>
    <n v="5616355"/>
    <n v="0"/>
  </r>
  <r>
    <x v="13"/>
    <x v="26"/>
    <s v="Need-based"/>
    <m/>
    <x v="12"/>
    <m/>
    <m/>
    <m/>
    <m/>
    <m/>
    <m/>
    <m/>
    <m/>
    <n v="0"/>
    <m/>
    <m/>
    <n v="0"/>
    <n v="0"/>
    <n v="0"/>
    <s v="No detail on basis or sector?"/>
    <m/>
    <m/>
    <m/>
    <n v="0"/>
    <m/>
    <m/>
    <n v="0"/>
    <m/>
    <m/>
    <m/>
    <m/>
    <n v="0"/>
    <n v="0"/>
  </r>
  <r>
    <x v="13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5"/>
    <s v="Physician's Loan Repayment Program"/>
    <m/>
    <x v="12"/>
    <m/>
    <m/>
    <m/>
    <m/>
    <m/>
    <m/>
    <m/>
    <m/>
    <n v="0"/>
    <m/>
    <m/>
    <n v="0"/>
    <n v="0"/>
    <n v="0"/>
    <n v="197047"/>
    <n v="197047"/>
    <m/>
    <m/>
    <n v="0"/>
    <m/>
    <m/>
    <n v="0"/>
    <m/>
    <m/>
    <m/>
    <m/>
    <n v="197047"/>
    <n v="197047"/>
  </r>
  <r>
    <x v="13"/>
    <x v="26"/>
    <s v="Need-based"/>
    <m/>
    <x v="12"/>
    <m/>
    <m/>
    <m/>
    <m/>
    <m/>
    <m/>
    <m/>
    <m/>
    <n v="0"/>
    <m/>
    <m/>
    <n v="0"/>
    <n v="0"/>
    <n v="0"/>
    <s v="No detail on basis or sector?"/>
    <m/>
    <m/>
    <m/>
    <n v="0"/>
    <m/>
    <m/>
    <n v="0"/>
    <m/>
    <m/>
    <m/>
    <m/>
    <n v="0"/>
    <n v="0"/>
  </r>
  <r>
    <x v="13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5"/>
    <s v="Dentist Education Loan Repayment Program"/>
    <m/>
    <x v="12"/>
    <m/>
    <m/>
    <m/>
    <m/>
    <m/>
    <m/>
    <m/>
    <m/>
    <n v="0"/>
    <m/>
    <m/>
    <n v="0"/>
    <n v="0"/>
    <n v="0"/>
    <n v="106477"/>
    <n v="106477"/>
    <m/>
    <m/>
    <n v="0"/>
    <m/>
    <m/>
    <n v="0"/>
    <m/>
    <m/>
    <m/>
    <m/>
    <n v="106477"/>
    <n v="106477"/>
  </r>
  <r>
    <x v="13"/>
    <x v="26"/>
    <s v="Need-based"/>
    <m/>
    <x v="12"/>
    <m/>
    <m/>
    <m/>
    <m/>
    <m/>
    <m/>
    <m/>
    <m/>
    <n v="0"/>
    <m/>
    <m/>
    <n v="0"/>
    <n v="0"/>
    <n v="0"/>
    <s v="No detail on basis or sector?"/>
    <m/>
    <m/>
    <m/>
    <n v="0"/>
    <m/>
    <m/>
    <n v="0"/>
    <m/>
    <m/>
    <m/>
    <m/>
    <n v="0"/>
    <n v="0"/>
  </r>
  <r>
    <x v="13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5"/>
    <s v="Financial Aid - Prof Nursing"/>
    <m/>
    <x v="12"/>
    <m/>
    <m/>
    <m/>
    <m/>
    <m/>
    <m/>
    <m/>
    <m/>
    <n v="0"/>
    <m/>
    <m/>
    <n v="0"/>
    <n v="0"/>
    <n v="0"/>
    <n v="918565"/>
    <n v="918565"/>
    <m/>
    <m/>
    <n v="0"/>
    <m/>
    <m/>
    <n v="0"/>
    <m/>
    <m/>
    <m/>
    <m/>
    <n v="918565"/>
    <n v="918565"/>
  </r>
  <r>
    <x v="13"/>
    <x v="26"/>
    <s v="Need-based"/>
    <m/>
    <x v="12"/>
    <m/>
    <m/>
    <m/>
    <m/>
    <m/>
    <m/>
    <m/>
    <m/>
    <n v="0"/>
    <m/>
    <m/>
    <n v="0"/>
    <n v="0"/>
    <n v="0"/>
    <s v="No detail on basis or sector?"/>
    <m/>
    <m/>
    <m/>
    <n v="0"/>
    <m/>
    <m/>
    <n v="0"/>
    <m/>
    <m/>
    <m/>
    <m/>
    <n v="0"/>
    <n v="0"/>
  </r>
  <r>
    <x v="13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5"/>
    <s v="Financial Aid - LV Nursing"/>
    <m/>
    <x v="12"/>
    <m/>
    <m/>
    <m/>
    <m/>
    <m/>
    <m/>
    <m/>
    <m/>
    <n v="0"/>
    <m/>
    <m/>
    <n v="0"/>
    <n v="0"/>
    <n v="0"/>
    <n v="45633"/>
    <n v="45633"/>
    <m/>
    <m/>
    <n v="0"/>
    <m/>
    <m/>
    <n v="0"/>
    <m/>
    <m/>
    <m/>
    <m/>
    <n v="45633"/>
    <n v="45633"/>
  </r>
  <r>
    <x v="13"/>
    <x v="26"/>
    <s v="Need-based"/>
    <m/>
    <x v="12"/>
    <m/>
    <m/>
    <m/>
    <m/>
    <m/>
    <m/>
    <m/>
    <m/>
    <n v="0"/>
    <m/>
    <m/>
    <n v="0"/>
    <n v="0"/>
    <n v="0"/>
    <s v="No detail on basis or sector?"/>
    <m/>
    <m/>
    <m/>
    <n v="0"/>
    <m/>
    <m/>
    <n v="0"/>
    <m/>
    <m/>
    <m/>
    <m/>
    <n v="0"/>
    <n v="0"/>
  </r>
  <r>
    <x v="13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5"/>
    <s v="Border Faculty Loan Repayment Program"/>
    <m/>
    <x v="12"/>
    <m/>
    <m/>
    <m/>
    <m/>
    <m/>
    <m/>
    <m/>
    <m/>
    <n v="0"/>
    <m/>
    <m/>
    <n v="0"/>
    <n v="0"/>
    <n v="0"/>
    <n v="197813"/>
    <n v="197813"/>
    <m/>
    <m/>
    <n v="0"/>
    <m/>
    <m/>
    <n v="0"/>
    <m/>
    <m/>
    <m/>
    <m/>
    <n v="197813"/>
    <n v="197813"/>
  </r>
  <r>
    <x v="13"/>
    <x v="26"/>
    <s v="Need-based"/>
    <m/>
    <x v="12"/>
    <m/>
    <m/>
    <m/>
    <m/>
    <m/>
    <m/>
    <m/>
    <m/>
    <n v="0"/>
    <m/>
    <m/>
    <n v="0"/>
    <n v="0"/>
    <n v="0"/>
    <s v="No detail on basis or sector?"/>
    <m/>
    <m/>
    <m/>
    <n v="0"/>
    <m/>
    <m/>
    <n v="0"/>
    <m/>
    <m/>
    <m/>
    <m/>
    <n v="0"/>
    <n v="0"/>
  </r>
  <r>
    <x v="13"/>
    <x v="27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7"/>
    <s v="Limited to private college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8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9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34"/>
    <s v="Limited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3"/>
    <x v="25"/>
    <s v="Doctoral Incentive Program"/>
    <m/>
    <x v="12"/>
    <m/>
    <m/>
    <m/>
    <m/>
    <m/>
    <m/>
    <m/>
    <m/>
    <n v="0"/>
    <m/>
    <m/>
    <n v="0"/>
    <n v="0"/>
    <n v="0"/>
    <n v="436491"/>
    <n v="436492"/>
    <m/>
    <m/>
    <n v="0"/>
    <m/>
    <m/>
    <n v="0"/>
    <m/>
    <m/>
    <m/>
    <m/>
    <n v="436491"/>
    <n v="436492"/>
  </r>
  <r>
    <x v="13"/>
    <x v="35"/>
    <s v="Need-based"/>
    <m/>
    <x v="12"/>
    <m/>
    <m/>
    <m/>
    <m/>
    <m/>
    <m/>
    <m/>
    <m/>
    <n v="0"/>
    <m/>
    <m/>
    <n v="0"/>
    <n v="0"/>
    <n v="0"/>
    <s v="No detail on basis?"/>
    <m/>
    <m/>
    <m/>
    <n v="0"/>
    <m/>
    <m/>
    <n v="0"/>
    <m/>
    <m/>
    <m/>
    <m/>
    <n v="0"/>
    <n v="0"/>
  </r>
  <r>
    <x v="13"/>
    <x v="36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George Mason University "/>
    <n v="232186"/>
    <x v="0"/>
    <n v="129848684"/>
    <n v="130592125"/>
    <n v="2955000"/>
    <n v="1000000"/>
    <m/>
    <m/>
    <n v="176947691"/>
    <n v="311338"/>
    <n v="177259029"/>
    <n v="191983793"/>
    <n v="311338"/>
    <n v="192295131"/>
    <n v="309751375"/>
    <n v="323575918"/>
    <m/>
    <m/>
    <m/>
    <m/>
    <n v="0"/>
    <m/>
    <m/>
    <n v="0"/>
    <m/>
    <m/>
    <m/>
    <m/>
    <n v="309751375"/>
    <n v="323575918"/>
  </r>
  <r>
    <x v="14"/>
    <x v="0"/>
    <s v="University of Virginia"/>
    <n v="234076"/>
    <x v="0"/>
    <n v="119846063"/>
    <n v="119482986"/>
    <n v="5324250"/>
    <n v="3146875"/>
    <m/>
    <m/>
    <n v="249087697"/>
    <n v="760448"/>
    <n v="249848145"/>
    <n v="277536633"/>
    <n v="760448"/>
    <n v="278297081"/>
    <n v="374258010"/>
    <n v="400166494"/>
    <m/>
    <m/>
    <m/>
    <m/>
    <n v="0"/>
    <m/>
    <m/>
    <n v="0"/>
    <m/>
    <m/>
    <m/>
    <m/>
    <n v="374258010"/>
    <n v="400166494"/>
  </r>
  <r>
    <x v="14"/>
    <x v="1"/>
    <s v="Medical School"/>
    <n v="234076"/>
    <x v="0"/>
    <m/>
    <m/>
    <m/>
    <m/>
    <m/>
    <m/>
    <m/>
    <m/>
    <n v="0"/>
    <m/>
    <m/>
    <n v="0"/>
    <n v="0"/>
    <n v="0"/>
    <m/>
    <m/>
    <m/>
    <m/>
    <n v="0"/>
    <m/>
    <m/>
    <n v="0"/>
    <n v="18604451"/>
    <n v="18578790"/>
    <n v="31794403"/>
    <n v="33571164"/>
    <n v="50398854"/>
    <n v="52149954"/>
  </r>
  <r>
    <x v="14"/>
    <x v="0"/>
    <s v="Virginia Tech "/>
    <n v="233921"/>
    <x v="0"/>
    <n v="154084592"/>
    <n v="158646702"/>
    <n v="7277250"/>
    <n v="3121875"/>
    <m/>
    <m/>
    <n v="246973121"/>
    <n v="794424"/>
    <n v="247767545"/>
    <n v="267939204"/>
    <n v="794424"/>
    <n v="268733628"/>
    <n v="408334963"/>
    <n v="429707781"/>
    <m/>
    <m/>
    <m/>
    <m/>
    <n v="0"/>
    <m/>
    <m/>
    <n v="0"/>
    <m/>
    <m/>
    <m/>
    <m/>
    <n v="408334963"/>
    <n v="429707781"/>
  </r>
  <r>
    <x v="14"/>
    <x v="1"/>
    <s v="Veterinary School"/>
    <n v="233921"/>
    <x v="0"/>
    <m/>
    <m/>
    <m/>
    <m/>
    <m/>
    <m/>
    <m/>
    <m/>
    <n v="0"/>
    <m/>
    <m/>
    <n v="0"/>
    <n v="0"/>
    <n v="0"/>
    <m/>
    <m/>
    <m/>
    <m/>
    <n v="0"/>
    <m/>
    <m/>
    <n v="0"/>
    <n v="14072963"/>
    <n v="13740195"/>
    <n v="9746167"/>
    <n v="10235377"/>
    <n v="23819130"/>
    <n v="23975572"/>
  </r>
  <r>
    <x v="14"/>
    <x v="5"/>
    <s v="Agricultural &amp; Foresty Research"/>
    <n v="233921"/>
    <x v="0"/>
    <m/>
    <m/>
    <n v="26779649"/>
    <n v="30642574"/>
    <m/>
    <m/>
    <m/>
    <m/>
    <n v="0"/>
    <m/>
    <m/>
    <n v="0"/>
    <n v="26779649"/>
    <n v="30642574"/>
    <m/>
    <m/>
    <m/>
    <m/>
    <n v="0"/>
    <m/>
    <m/>
    <n v="0"/>
    <m/>
    <m/>
    <m/>
    <m/>
    <n v="26779649"/>
    <n v="30642574"/>
  </r>
  <r>
    <x v="14"/>
    <x v="6"/>
    <s v="Cooperative Extension"/>
    <n v="233921"/>
    <x v="0"/>
    <m/>
    <m/>
    <n v="33476293"/>
    <n v="31019424"/>
    <m/>
    <m/>
    <m/>
    <m/>
    <n v="0"/>
    <m/>
    <m/>
    <n v="0"/>
    <n v="33476293"/>
    <n v="31019424"/>
    <m/>
    <m/>
    <m/>
    <m/>
    <n v="0"/>
    <m/>
    <m/>
    <n v="0"/>
    <m/>
    <m/>
    <m/>
    <m/>
    <n v="33476293"/>
    <n v="31019424"/>
  </r>
  <r>
    <x v="14"/>
    <x v="0"/>
    <s v="College of William &amp; Mary"/>
    <n v="231624"/>
    <x v="1"/>
    <n v="45747385"/>
    <n v="45126221"/>
    <n v="200000"/>
    <n v="75000"/>
    <m/>
    <m/>
    <n v="75906698"/>
    <n v="241596"/>
    <n v="76148294"/>
    <n v="81313895"/>
    <n v="241596"/>
    <n v="81555491"/>
    <n v="121854083"/>
    <n v="126515116"/>
    <m/>
    <m/>
    <m/>
    <m/>
    <n v="0"/>
    <m/>
    <m/>
    <n v="0"/>
    <m/>
    <m/>
    <m/>
    <m/>
    <n v="121854083"/>
    <n v="126515116"/>
  </r>
  <r>
    <x v="14"/>
    <x v="7"/>
    <s v="Research centers/institutes"/>
    <n v="231624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7"/>
    <s v="Va Inst of Marine Science"/>
    <n v="231624"/>
    <x v="1"/>
    <m/>
    <m/>
    <n v="19397121"/>
    <n v="19495729"/>
    <m/>
    <m/>
    <m/>
    <m/>
    <n v="0"/>
    <m/>
    <m/>
    <n v="0"/>
    <n v="19397121"/>
    <n v="19495729"/>
    <m/>
    <m/>
    <m/>
    <m/>
    <n v="0"/>
    <m/>
    <m/>
    <n v="0"/>
    <m/>
    <m/>
    <m/>
    <m/>
    <n v="19397121"/>
    <n v="19495729"/>
  </r>
  <r>
    <x v="14"/>
    <x v="0"/>
    <s v="Old Dominion University "/>
    <n v="232982"/>
    <x v="1"/>
    <n v="104022636"/>
    <n v="107960537"/>
    <n v="4000000"/>
    <n v="3000000"/>
    <m/>
    <m/>
    <n v="83175276"/>
    <n v="193298"/>
    <n v="83368574"/>
    <n v="90975657"/>
    <n v="193298"/>
    <n v="91168955"/>
    <n v="191197912"/>
    <n v="201936194"/>
    <m/>
    <m/>
    <m/>
    <m/>
    <n v="0"/>
    <m/>
    <m/>
    <n v="0"/>
    <m/>
    <m/>
    <m/>
    <m/>
    <n v="191197912"/>
    <n v="201936194"/>
  </r>
  <r>
    <x v="14"/>
    <x v="0"/>
    <s v="Virginia Commonwealth University  "/>
    <n v="234030"/>
    <x v="1"/>
    <n v="155740108"/>
    <n v="160213619"/>
    <n v="3100000"/>
    <n v="2162500"/>
    <m/>
    <m/>
    <n v="165376675"/>
    <n v="289108"/>
    <n v="165665783"/>
    <n v="184344455"/>
    <n v="289108"/>
    <n v="184633563"/>
    <n v="324216783"/>
    <n v="346720574"/>
    <m/>
    <m/>
    <m/>
    <m/>
    <n v="0"/>
    <m/>
    <m/>
    <n v="0"/>
    <m/>
    <m/>
    <m/>
    <m/>
    <n v="324216783"/>
    <n v="346720574"/>
  </r>
  <r>
    <x v="14"/>
    <x v="1"/>
    <s v="Medical School"/>
    <n v="234030"/>
    <x v="1"/>
    <m/>
    <m/>
    <m/>
    <m/>
    <m/>
    <m/>
    <m/>
    <m/>
    <n v="0"/>
    <m/>
    <m/>
    <n v="0"/>
    <n v="0"/>
    <n v="0"/>
    <m/>
    <m/>
    <m/>
    <m/>
    <n v="0"/>
    <m/>
    <m/>
    <n v="0"/>
    <n v="30350551"/>
    <n v="30424890"/>
    <n v="29236135"/>
    <n v="30935471"/>
    <n v="59586686"/>
    <n v="61360361"/>
  </r>
  <r>
    <x v="14"/>
    <x v="0"/>
    <s v="James Madison University  "/>
    <n v="232423"/>
    <x v="2"/>
    <n v="72507281"/>
    <n v="75665513"/>
    <m/>
    <m/>
    <m/>
    <m/>
    <n v="123131910"/>
    <n v="457402"/>
    <n v="123589312"/>
    <n v="133861031"/>
    <n v="457402"/>
    <n v="134318433"/>
    <n v="195639191"/>
    <n v="209526544"/>
    <m/>
    <m/>
    <m/>
    <m/>
    <n v="0"/>
    <m/>
    <m/>
    <n v="0"/>
    <m/>
    <m/>
    <m/>
    <m/>
    <n v="195639191"/>
    <n v="209526544"/>
  </r>
  <r>
    <x v="14"/>
    <x v="0"/>
    <s v="Radford University"/>
    <n v="233277"/>
    <x v="2"/>
    <n v="48607861"/>
    <n v="50500693"/>
    <m/>
    <m/>
    <m/>
    <m/>
    <n v="42964349"/>
    <n v="71570"/>
    <n v="43035919"/>
    <n v="45336394"/>
    <n v="71570"/>
    <n v="45407964"/>
    <n v="91572210"/>
    <n v="95837087"/>
    <m/>
    <m/>
    <m/>
    <m/>
    <n v="0"/>
    <m/>
    <m/>
    <n v="0"/>
    <m/>
    <m/>
    <m/>
    <m/>
    <n v="91572210"/>
    <n v="95837087"/>
  </r>
  <r>
    <x v="14"/>
    <x v="0"/>
    <s v="Christopher Newport University"/>
    <n v="231712"/>
    <x v="3"/>
    <n v="26559753"/>
    <n v="28410868"/>
    <n v="250000"/>
    <n v="237500"/>
    <m/>
    <m/>
    <n v="20755425"/>
    <n v="11324"/>
    <n v="20766749"/>
    <n v="22658899"/>
    <n v="11324"/>
    <n v="22670223"/>
    <n v="47565178"/>
    <n v="51307267"/>
    <m/>
    <m/>
    <m/>
    <m/>
    <n v="0"/>
    <m/>
    <m/>
    <n v="0"/>
    <m/>
    <m/>
    <m/>
    <m/>
    <n v="47565178"/>
    <n v="51307267"/>
  </r>
  <r>
    <x v="14"/>
    <x v="0"/>
    <s v="Norfolk State University "/>
    <n v="232937"/>
    <x v="3"/>
    <n v="44509518"/>
    <n v="44947653"/>
    <m/>
    <m/>
    <m/>
    <m/>
    <n v="29072390"/>
    <n v="113258"/>
    <n v="29185648"/>
    <n v="29985345"/>
    <n v="113258"/>
    <n v="30098603"/>
    <n v="73581908"/>
    <n v="74932998"/>
    <m/>
    <m/>
    <m/>
    <m/>
    <n v="0"/>
    <m/>
    <m/>
    <n v="0"/>
    <m/>
    <m/>
    <m/>
    <m/>
    <n v="73581908"/>
    <n v="74932998"/>
  </r>
  <r>
    <x v="14"/>
    <x v="0"/>
    <s v="Virginia State University "/>
    <n v="234155"/>
    <x v="3"/>
    <n v="32175269"/>
    <n v="32892905"/>
    <m/>
    <m/>
    <m/>
    <m/>
    <n v="27247716"/>
    <n v="142136"/>
    <n v="27389852"/>
    <n v="26745871"/>
    <n v="142136"/>
    <n v="26888007"/>
    <n v="59422985"/>
    <n v="59638776"/>
    <m/>
    <m/>
    <m/>
    <m/>
    <n v="0"/>
    <m/>
    <m/>
    <n v="0"/>
    <m/>
    <m/>
    <m/>
    <m/>
    <n v="59422985"/>
    <n v="59638776"/>
  </r>
  <r>
    <x v="14"/>
    <x v="5"/>
    <s v="Agricultural cooperative extension"/>
    <n v="234155"/>
    <x v="3"/>
    <m/>
    <m/>
    <n v="4498867"/>
    <n v="4726880"/>
    <m/>
    <m/>
    <m/>
    <m/>
    <n v="0"/>
    <m/>
    <m/>
    <n v="0"/>
    <n v="4498867"/>
    <n v="4726880"/>
    <m/>
    <m/>
    <m/>
    <m/>
    <n v="0"/>
    <m/>
    <m/>
    <n v="0"/>
    <m/>
    <m/>
    <m/>
    <m/>
    <n v="4498867"/>
    <n v="4726880"/>
  </r>
  <r>
    <x v="14"/>
    <x v="0"/>
    <s v="Longwood University"/>
    <n v="232566"/>
    <x v="4"/>
    <n v="26114254"/>
    <n v="28463538"/>
    <m/>
    <m/>
    <m/>
    <m/>
    <n v="20261762"/>
    <n v="21646"/>
    <n v="20283408"/>
    <n v="21678727"/>
    <n v="21646"/>
    <n v="21700373"/>
    <n v="46376016"/>
    <n v="50142265"/>
    <m/>
    <m/>
    <m/>
    <m/>
    <n v="0"/>
    <m/>
    <m/>
    <n v="0"/>
    <m/>
    <m/>
    <m/>
    <m/>
    <n v="46376016"/>
    <n v="50142265"/>
  </r>
  <r>
    <x v="14"/>
    <x v="0"/>
    <s v="University of Mary Washington"/>
    <n v="232681"/>
    <x v="4"/>
    <n v="21843866"/>
    <n v="22410393"/>
    <m/>
    <m/>
    <m/>
    <m/>
    <n v="31591659"/>
    <n v="102204"/>
    <n v="31693863"/>
    <n v="33064744"/>
    <n v="102204"/>
    <n v="33166948"/>
    <n v="53435525"/>
    <n v="55475137"/>
    <m/>
    <m/>
    <m/>
    <m/>
    <n v="0"/>
    <m/>
    <m/>
    <n v="0"/>
    <m/>
    <m/>
    <m/>
    <m/>
    <n v="53435525"/>
    <n v="55475137"/>
  </r>
  <r>
    <x v="14"/>
    <x v="0"/>
    <s v="University of Virginia's College at Wise "/>
    <n v="233897"/>
    <x v="5"/>
    <n v="14327467"/>
    <n v="14514147"/>
    <m/>
    <m/>
    <m/>
    <m/>
    <n v="5735200"/>
    <n v="7800"/>
    <n v="5743000"/>
    <n v="5914200"/>
    <n v="7800"/>
    <n v="5922000"/>
    <n v="20062667"/>
    <n v="20428347"/>
    <m/>
    <m/>
    <m/>
    <m/>
    <n v="0"/>
    <m/>
    <m/>
    <n v="0"/>
    <m/>
    <m/>
    <m/>
    <m/>
    <n v="20062667"/>
    <n v="20428347"/>
  </r>
  <r>
    <x v="14"/>
    <x v="0"/>
    <s v="J.S. Reynolds Community College"/>
    <n v="23241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Northern Virginia Community College "/>
    <n v="232946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Thomas Nelson Community College "/>
    <n v="23375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Tidewater Community College "/>
    <n v="233772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Blue Ridge Community College "/>
    <n v="23153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Central Virginia Community College "/>
    <n v="23169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Danville Community College "/>
    <n v="231882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Germanna Community College"/>
    <n v="23219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John Tyler Community College"/>
    <n v="23245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Lord Fairfax Community College  "/>
    <n v="23257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New River Community College "/>
    <n v="23286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Piedmont Virginia Community College "/>
    <n v="23311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Southside Virginia Community College  "/>
    <n v="23363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Southwest Virginia Community College "/>
    <n v="23364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Virginia Western Community College "/>
    <n v="23394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D.S. Lancaster Community College "/>
    <n v="231873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Eastern Shore Community College  "/>
    <n v="23205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Mountain Empire Community College  "/>
    <n v="232788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Paul D. Camp Community College  "/>
    <n v="23303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Patrick Henry Community College "/>
    <n v="233019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Rappahannock Community College  "/>
    <n v="233310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Richard Bland College "/>
    <n v="233338"/>
    <x v="8"/>
    <n v="5705412"/>
    <n v="5846156"/>
    <m/>
    <m/>
    <m/>
    <m/>
    <n v="2710500"/>
    <n v="1448"/>
    <n v="2711948"/>
    <n v="3166500"/>
    <n v="1448"/>
    <n v="3167948"/>
    <n v="8415912"/>
    <n v="9012656"/>
    <m/>
    <m/>
    <m/>
    <m/>
    <n v="0"/>
    <m/>
    <m/>
    <n v="0"/>
    <m/>
    <m/>
    <m/>
    <m/>
    <n v="8415912"/>
    <n v="9012656"/>
  </r>
  <r>
    <x v="14"/>
    <x v="0"/>
    <s v="Virginia Highlands Community College "/>
    <n v="233903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Wytheville Community College "/>
    <n v="23437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0"/>
    <s v="All Community Colleges except R.Bland"/>
    <m/>
    <x v="15"/>
    <n v="358820186"/>
    <n v="363892312"/>
    <m/>
    <m/>
    <n v="5960000"/>
    <n v="9714492"/>
    <n v="291663741"/>
    <n v="415738"/>
    <n v="292079479"/>
    <n v="323122065"/>
    <n v="415738"/>
    <n v="323537803"/>
    <n v="656443927"/>
    <n v="696728869"/>
    <m/>
    <m/>
    <m/>
    <m/>
    <n v="0"/>
    <m/>
    <m/>
    <n v="0"/>
    <m/>
    <m/>
    <m/>
    <m/>
    <n v="656443927"/>
    <n v="696728869"/>
  </r>
  <r>
    <x v="14"/>
    <x v="9"/>
    <s v="Virginia Military Institute"/>
    <n v="234085"/>
    <x v="11"/>
    <m/>
    <m/>
    <m/>
    <m/>
    <m/>
    <m/>
    <m/>
    <m/>
    <n v="0"/>
    <m/>
    <m/>
    <n v="0"/>
    <n v="0"/>
    <n v="0"/>
    <n v="14938857"/>
    <n v="13401541"/>
    <n v="15928056"/>
    <n v="65262"/>
    <n v="15993318"/>
    <n v="17758056"/>
    <n v="65262"/>
    <n v="17823318"/>
    <m/>
    <m/>
    <m/>
    <m/>
    <n v="30866913"/>
    <n v="31159597"/>
  </r>
  <r>
    <x v="14"/>
    <x v="10"/>
    <s v="Statewide Special-Purpos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11"/>
    <s v="Research centers/institut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11"/>
    <s v="Innovative Technology Authority"/>
    <m/>
    <x v="12"/>
    <m/>
    <m/>
    <n v="5922337"/>
    <n v="5295878"/>
    <m/>
    <m/>
    <m/>
    <m/>
    <n v="0"/>
    <m/>
    <m/>
    <n v="0"/>
    <n v="5922337"/>
    <n v="5295878"/>
    <m/>
    <m/>
    <m/>
    <m/>
    <n v="0"/>
    <m/>
    <m/>
    <n v="0"/>
    <m/>
    <m/>
    <m/>
    <m/>
    <n v="5922337"/>
    <n v="5295878"/>
  </r>
  <r>
    <x v="14"/>
    <x v="11"/>
    <s v="Jefferson Science Associates"/>
    <m/>
    <x v="12"/>
    <m/>
    <m/>
    <n v="1503126"/>
    <n v="1277657"/>
    <m/>
    <m/>
    <m/>
    <m/>
    <n v="0"/>
    <m/>
    <m/>
    <n v="0"/>
    <n v="1503126"/>
    <n v="1277657"/>
    <m/>
    <m/>
    <m/>
    <m/>
    <n v="0"/>
    <m/>
    <m/>
    <n v="0"/>
    <m/>
    <m/>
    <m/>
    <m/>
    <n v="1503126"/>
    <n v="1277657"/>
  </r>
  <r>
    <x v="14"/>
    <x v="11"/>
    <s v="Higher Education Research Initiatives"/>
    <m/>
    <x v="12"/>
    <m/>
    <m/>
    <n v="5141000"/>
    <n v="2600000"/>
    <m/>
    <m/>
    <m/>
    <m/>
    <n v="0"/>
    <m/>
    <m/>
    <n v="0"/>
    <n v="5141000"/>
    <n v="2600000"/>
    <m/>
    <m/>
    <m/>
    <m/>
    <n v="0"/>
    <m/>
    <m/>
    <n v="0"/>
    <m/>
    <m/>
    <m/>
    <m/>
    <n v="5141000"/>
    <n v="2600000"/>
  </r>
  <r>
    <x v="14"/>
    <x v="11"/>
    <s v="Economic Development"/>
    <m/>
    <x v="12"/>
    <m/>
    <m/>
    <n v="2000000"/>
    <n v="0"/>
    <m/>
    <m/>
    <m/>
    <m/>
    <n v="0"/>
    <m/>
    <m/>
    <n v="0"/>
    <n v="2000000"/>
    <n v="0"/>
    <m/>
    <m/>
    <m/>
    <m/>
    <n v="0"/>
    <m/>
    <m/>
    <n v="0"/>
    <m/>
    <m/>
    <m/>
    <m/>
    <n v="2000000"/>
    <n v="0"/>
  </r>
  <r>
    <x v="14"/>
    <x v="12"/>
    <s v="Special Line items for education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12"/>
    <s v="New College Institute"/>
    <m/>
    <x v="12"/>
    <m/>
    <m/>
    <n v="1212500"/>
    <n v="1384809"/>
    <m/>
    <m/>
    <m/>
    <m/>
    <n v="0"/>
    <m/>
    <m/>
    <n v="0"/>
    <n v="1212500"/>
    <n v="1384809"/>
    <m/>
    <m/>
    <m/>
    <m/>
    <n v="0"/>
    <m/>
    <m/>
    <n v="0"/>
    <m/>
    <m/>
    <m/>
    <m/>
    <n v="1212500"/>
    <n v="1384809"/>
  </r>
  <r>
    <x v="14"/>
    <x v="13"/>
    <s v="Educational special purpose funds — all other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13"/>
    <s v="Eminent Scholars"/>
    <m/>
    <x v="12"/>
    <m/>
    <m/>
    <n v="6277568"/>
    <n v="6026466"/>
    <m/>
    <m/>
    <m/>
    <m/>
    <n v="0"/>
    <m/>
    <m/>
    <n v="0"/>
    <n v="6277568"/>
    <n v="6026466"/>
    <m/>
    <m/>
    <m/>
    <m/>
    <n v="0"/>
    <m/>
    <m/>
    <n v="0"/>
    <m/>
    <m/>
    <m/>
    <m/>
    <n v="6277568"/>
    <n v="6026466"/>
  </r>
  <r>
    <x v="14"/>
    <x v="13"/>
    <s v="Library Sharing"/>
    <m/>
    <x v="12"/>
    <m/>
    <m/>
    <n v="6003177"/>
    <n v="6003177"/>
    <m/>
    <m/>
    <m/>
    <m/>
    <n v="0"/>
    <m/>
    <m/>
    <n v="0"/>
    <n v="6003177"/>
    <n v="6003177"/>
    <m/>
    <m/>
    <m/>
    <m/>
    <n v="0"/>
    <m/>
    <m/>
    <n v="0"/>
    <m/>
    <m/>
    <m/>
    <m/>
    <n v="6003177"/>
    <n v="6003177"/>
  </r>
  <r>
    <x v="14"/>
    <x v="13"/>
    <s v="VMI/MBC Contract"/>
    <m/>
    <x v="12"/>
    <m/>
    <m/>
    <n v="546986"/>
    <n v="571899"/>
    <m/>
    <m/>
    <m/>
    <m/>
    <n v="0"/>
    <m/>
    <m/>
    <n v="0"/>
    <n v="546986"/>
    <n v="571899"/>
    <m/>
    <m/>
    <m/>
    <m/>
    <n v="0"/>
    <m/>
    <m/>
    <n v="0"/>
    <m/>
    <m/>
    <m/>
    <m/>
    <n v="546986"/>
    <n v="571899"/>
  </r>
  <r>
    <x v="14"/>
    <x v="13"/>
    <s v="Space Grant"/>
    <m/>
    <x v="12"/>
    <m/>
    <m/>
    <n v="170000"/>
    <n v="170000"/>
    <m/>
    <m/>
    <m/>
    <m/>
    <n v="0"/>
    <m/>
    <m/>
    <n v="0"/>
    <n v="170000"/>
    <n v="170000"/>
    <m/>
    <m/>
    <m/>
    <m/>
    <n v="0"/>
    <m/>
    <m/>
    <n v="0"/>
    <m/>
    <m/>
    <m/>
    <m/>
    <n v="170000"/>
    <n v="170000"/>
  </r>
  <r>
    <x v="14"/>
    <x v="13"/>
    <s v="Melcher's-Monroe Memorials"/>
    <m/>
    <x v="12"/>
    <m/>
    <m/>
    <n v="544965"/>
    <n v="665344"/>
    <m/>
    <m/>
    <m/>
    <m/>
    <n v="0"/>
    <m/>
    <m/>
    <n v="0"/>
    <n v="544965"/>
    <n v="665344"/>
    <m/>
    <m/>
    <m/>
    <m/>
    <n v="0"/>
    <m/>
    <m/>
    <n v="0"/>
    <m/>
    <m/>
    <m/>
    <m/>
    <n v="544965"/>
    <n v="665344"/>
  </r>
  <r>
    <x v="14"/>
    <x v="13"/>
    <s v="Medical College Hampton Rds./Eastern VA Medical Auth."/>
    <m/>
    <x v="12"/>
    <m/>
    <m/>
    <m/>
    <m/>
    <m/>
    <m/>
    <m/>
    <m/>
    <n v="0"/>
    <m/>
    <m/>
    <n v="0"/>
    <n v="0"/>
    <n v="0"/>
    <m/>
    <m/>
    <m/>
    <m/>
    <n v="0"/>
    <m/>
    <m/>
    <n v="0"/>
    <n v="17862303"/>
    <n v="16624658"/>
    <m/>
    <m/>
    <n v="17862303"/>
    <n v="16624658"/>
  </r>
  <r>
    <x v="14"/>
    <x v="13"/>
    <s v="VCBA-Eq Trust Fund"/>
    <m/>
    <x v="12"/>
    <m/>
    <m/>
    <n v="44229771"/>
    <n v="58362902"/>
    <m/>
    <m/>
    <m/>
    <m/>
    <n v="0"/>
    <m/>
    <m/>
    <n v="0"/>
    <n v="44229771"/>
    <n v="58362902"/>
    <m/>
    <m/>
    <m/>
    <m/>
    <n v="0"/>
    <m/>
    <m/>
    <n v="0"/>
    <m/>
    <m/>
    <m/>
    <m/>
    <n v="44229771"/>
    <n v="58362902"/>
  </r>
  <r>
    <x v="14"/>
    <x v="13"/>
    <s v="Southern Virginia Higher Education Center"/>
    <m/>
    <x v="12"/>
    <m/>
    <m/>
    <n v="1390472"/>
    <n v="1747499"/>
    <m/>
    <m/>
    <m/>
    <m/>
    <n v="0"/>
    <m/>
    <m/>
    <n v="0"/>
    <n v="1390472"/>
    <n v="1747499"/>
    <m/>
    <m/>
    <m/>
    <m/>
    <n v="0"/>
    <m/>
    <m/>
    <n v="0"/>
    <m/>
    <m/>
    <m/>
    <m/>
    <n v="1390472"/>
    <n v="1747499"/>
  </r>
  <r>
    <x v="14"/>
    <x v="13"/>
    <s v="SW Va Higher Education Center"/>
    <m/>
    <x v="12"/>
    <m/>
    <m/>
    <n v="1955363"/>
    <n v="1939493"/>
    <m/>
    <m/>
    <m/>
    <m/>
    <n v="0"/>
    <m/>
    <m/>
    <n v="0"/>
    <n v="1955363"/>
    <n v="1939493"/>
    <m/>
    <m/>
    <m/>
    <m/>
    <n v="0"/>
    <m/>
    <m/>
    <n v="0"/>
    <m/>
    <m/>
    <m/>
    <m/>
    <n v="1955363"/>
    <n v="1939493"/>
  </r>
  <r>
    <x v="14"/>
    <x v="13"/>
    <s v="Roanoke H. Ed. Authority"/>
    <m/>
    <x v="12"/>
    <m/>
    <m/>
    <n v="1248390"/>
    <n v="1186551"/>
    <m/>
    <m/>
    <m/>
    <m/>
    <n v="0"/>
    <m/>
    <m/>
    <n v="0"/>
    <n v="1248390"/>
    <n v="1186551"/>
    <m/>
    <m/>
    <m/>
    <m/>
    <n v="0"/>
    <m/>
    <m/>
    <n v="0"/>
    <m/>
    <m/>
    <m/>
    <m/>
    <n v="1248390"/>
    <n v="1186551"/>
  </r>
  <r>
    <x v="14"/>
    <x v="13"/>
    <s v="Institute of Advanced Learning and Research"/>
    <m/>
    <x v="12"/>
    <m/>
    <m/>
    <n v="5910573"/>
    <n v="5612027"/>
    <m/>
    <m/>
    <m/>
    <m/>
    <n v="0"/>
    <m/>
    <m/>
    <n v="0"/>
    <n v="5910573"/>
    <n v="5612027"/>
    <m/>
    <m/>
    <m/>
    <m/>
    <n v="0"/>
    <m/>
    <m/>
    <n v="0"/>
    <m/>
    <m/>
    <m/>
    <m/>
    <n v="5910573"/>
    <n v="5612027"/>
  </r>
  <r>
    <x v="14"/>
    <x v="17"/>
    <s v="nursing education programs"/>
    <m/>
    <x v="12"/>
    <m/>
    <m/>
    <n v="1500000"/>
    <n v="0"/>
    <m/>
    <m/>
    <m/>
    <m/>
    <n v="0"/>
    <m/>
    <m/>
    <n v="0"/>
    <n v="1500000"/>
    <n v="0"/>
    <n v="1500000"/>
    <n v="0"/>
    <m/>
    <m/>
    <n v="0"/>
    <m/>
    <m/>
    <n v="0"/>
    <m/>
    <m/>
    <m/>
    <m/>
    <n v="3000000"/>
    <n v="0"/>
  </r>
  <r>
    <x v="14"/>
    <x v="14"/>
    <s v="Statewide System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15"/>
    <s v="Colleges and universities"/>
    <m/>
    <x v="12"/>
    <m/>
    <m/>
    <m/>
    <m/>
    <m/>
    <m/>
    <m/>
    <m/>
    <n v="0"/>
    <m/>
    <m/>
    <n v="0"/>
    <n v="0"/>
    <n v="0"/>
    <n v="4014408"/>
    <n v="3947161"/>
    <m/>
    <m/>
    <n v="0"/>
    <m/>
    <m/>
    <n v="0"/>
    <m/>
    <m/>
    <m/>
    <m/>
    <n v="4014408"/>
    <n v="3947161"/>
  </r>
  <r>
    <x v="14"/>
    <x v="16"/>
    <s v="Two-year system(s), if any"/>
    <m/>
    <x v="12"/>
    <m/>
    <m/>
    <m/>
    <m/>
    <m/>
    <m/>
    <m/>
    <m/>
    <n v="0"/>
    <m/>
    <m/>
    <n v="0"/>
    <n v="0"/>
    <n v="0"/>
    <n v="15765557"/>
    <n v="15765557"/>
    <m/>
    <m/>
    <n v="0"/>
    <m/>
    <m/>
    <n v="0"/>
    <m/>
    <m/>
    <m/>
    <m/>
    <n v="15765557"/>
    <n v="15765557"/>
  </r>
  <r>
    <x v="14"/>
    <x v="17"/>
    <s v="SREB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18"/>
    <s v="Adm. of Statewide Student Aid Progs. (incldng centralized guaranteed student loans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19"/>
    <s v="State Support to Private Colleges Other Than Student Ai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20"/>
    <s v="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21"/>
    <s v="SREB contract program with private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21"/>
    <s v="Southern College of Optometry"/>
    <m/>
    <x v="12"/>
    <m/>
    <m/>
    <m/>
    <m/>
    <m/>
    <m/>
    <m/>
    <m/>
    <n v="0"/>
    <m/>
    <m/>
    <n v="0"/>
    <n v="0"/>
    <n v="0"/>
    <n v="26640"/>
    <n v="26640"/>
    <m/>
    <m/>
    <n v="0"/>
    <m/>
    <m/>
    <n v="0"/>
    <m/>
    <m/>
    <m/>
    <m/>
    <n v="26640"/>
    <n v="26640"/>
  </r>
  <r>
    <x v="14"/>
    <x v="22"/>
    <s v="SREB contract program with public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22"/>
    <s v="University of North Carolina at Chapel Hill (Library Science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22"/>
    <s v="North Carolina State University (Pulp/Paper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22"/>
    <s v="University of Alabama at Birmingham (Optometry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22"/>
    <s v="North Carolina Central University (Library Science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23"/>
    <s v="Other contract education programs"/>
    <m/>
    <x v="12"/>
    <m/>
    <m/>
    <m/>
    <m/>
    <m/>
    <m/>
    <m/>
    <m/>
    <n v="0"/>
    <m/>
    <m/>
    <n v="0"/>
    <n v="0"/>
    <n v="0"/>
    <n v="170000"/>
    <n v="170000"/>
    <m/>
    <m/>
    <n v="0"/>
    <m/>
    <m/>
    <n v="0"/>
    <m/>
    <m/>
    <m/>
    <m/>
    <n v="170000"/>
    <n v="170000"/>
  </r>
  <r>
    <x v="14"/>
    <x v="24"/>
    <s v="Statewide Student Financial Aid Programs Administered Off Campu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25"/>
    <s v="Available to public &amp;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25"/>
    <s v="Program name(s)???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29"/>
    <s v="Need-based"/>
    <m/>
    <x v="12"/>
    <m/>
    <m/>
    <m/>
    <m/>
    <m/>
    <m/>
    <m/>
    <m/>
    <n v="0"/>
    <m/>
    <m/>
    <n v="0"/>
    <n v="0"/>
    <n v="0"/>
    <n v="3372105"/>
    <n v="3372105"/>
    <m/>
    <m/>
    <n v="0"/>
    <m/>
    <m/>
    <n v="0"/>
    <m/>
    <m/>
    <m/>
    <m/>
    <n v="3372105"/>
    <n v="3372105"/>
  </r>
  <r>
    <x v="14"/>
    <x v="30"/>
    <s v="(Military tuition waiver) Non need-based"/>
    <m/>
    <x v="12"/>
    <m/>
    <m/>
    <m/>
    <m/>
    <m/>
    <m/>
    <m/>
    <m/>
    <n v="0"/>
    <m/>
    <m/>
    <n v="0"/>
    <n v="0"/>
    <n v="0"/>
    <n v="1000000"/>
    <n v="1000000"/>
    <m/>
    <m/>
    <n v="0"/>
    <m/>
    <m/>
    <n v="0"/>
    <m/>
    <m/>
    <m/>
    <m/>
    <n v="1000000"/>
    <n v="1000000"/>
  </r>
  <r>
    <x v="14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32"/>
    <s v="Need-based"/>
    <m/>
    <x v="12"/>
    <m/>
    <m/>
    <m/>
    <m/>
    <m/>
    <m/>
    <m/>
    <m/>
    <n v="0"/>
    <m/>
    <m/>
    <n v="0"/>
    <n v="0"/>
    <n v="0"/>
    <n v="1041645"/>
    <n v="1041645"/>
    <m/>
    <m/>
    <n v="0"/>
    <m/>
    <m/>
    <n v="0"/>
    <m/>
    <m/>
    <m/>
    <m/>
    <n v="1041645"/>
    <n v="1041645"/>
  </r>
  <r>
    <x v="14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34"/>
    <s v="Limited to public college students onl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34"/>
    <s v="Program name(s)???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35"/>
    <s v="Need-based"/>
    <m/>
    <x v="12"/>
    <m/>
    <m/>
    <m/>
    <m/>
    <m/>
    <m/>
    <m/>
    <m/>
    <n v="0"/>
    <m/>
    <m/>
    <n v="0"/>
    <n v="0"/>
    <n v="0"/>
    <n v="113704799"/>
    <n v="122968040"/>
    <m/>
    <m/>
    <n v="0"/>
    <m/>
    <m/>
    <n v="0"/>
    <m/>
    <m/>
    <m/>
    <m/>
    <n v="113704799"/>
    <n v="122968040"/>
  </r>
  <r>
    <x v="14"/>
    <x v="36"/>
    <s v="Non need-based"/>
    <m/>
    <x v="12"/>
    <m/>
    <m/>
    <m/>
    <m/>
    <m/>
    <m/>
    <m/>
    <m/>
    <n v="0"/>
    <m/>
    <m/>
    <n v="0"/>
    <n v="0"/>
    <n v="0"/>
    <n v="12359822"/>
    <n v="12359822"/>
    <m/>
    <m/>
    <n v="0"/>
    <m/>
    <m/>
    <n v="0"/>
    <m/>
    <m/>
    <m/>
    <m/>
    <n v="12359822"/>
    <n v="12359822"/>
  </r>
  <r>
    <x v="14"/>
    <x v="34"/>
    <s v="Transfer grant"/>
    <m/>
    <x v="12"/>
    <m/>
    <m/>
    <m/>
    <m/>
    <m/>
    <m/>
    <m/>
    <m/>
    <n v="0"/>
    <m/>
    <m/>
    <n v="0"/>
    <n v="0"/>
    <n v="0"/>
    <m/>
    <n v="300000"/>
    <m/>
    <m/>
    <n v="0"/>
    <m/>
    <m/>
    <n v="0"/>
    <m/>
    <m/>
    <m/>
    <m/>
    <n v="0"/>
    <n v="300000"/>
  </r>
  <r>
    <x v="14"/>
    <x v="37"/>
    <s v="Limited to private college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37"/>
    <s v="Student Tuition Aid Grant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38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39"/>
    <s v="Non need-based"/>
    <m/>
    <x v="12"/>
    <m/>
    <m/>
    <m/>
    <m/>
    <m/>
    <m/>
    <m/>
    <m/>
    <n v="0"/>
    <m/>
    <m/>
    <n v="0"/>
    <n v="0"/>
    <n v="0"/>
    <n v="59505933"/>
    <n v="60025933"/>
    <m/>
    <m/>
    <n v="0"/>
    <m/>
    <m/>
    <n v="0"/>
    <m/>
    <m/>
    <m/>
    <m/>
    <n v="59505933"/>
    <n v="60025933"/>
  </r>
  <r>
    <x v="14"/>
    <x v="37"/>
    <s v="Other Student Financial Ai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38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4"/>
    <x v="39"/>
    <s v="Non need-based"/>
    <m/>
    <x v="12"/>
    <m/>
    <m/>
    <m/>
    <m/>
    <m/>
    <m/>
    <m/>
    <m/>
    <n v="0"/>
    <m/>
    <m/>
    <n v="0"/>
    <n v="0"/>
    <n v="0"/>
    <n v="4524885"/>
    <n v="4528681"/>
    <m/>
    <m/>
    <n v="0"/>
    <m/>
    <m/>
    <n v="0"/>
    <m/>
    <m/>
    <m/>
    <m/>
    <n v="4524885"/>
    <n v="4528681"/>
  </r>
  <r>
    <x v="15"/>
    <x v="0"/>
    <s v="West Virginia University"/>
    <s v="238032"/>
    <x v="0"/>
    <n v="78511727"/>
    <n v="81100464"/>
    <m/>
    <m/>
    <m/>
    <m/>
    <n v="224238927"/>
    <n v="9855350"/>
    <n v="234094277"/>
    <n v="240153072"/>
    <n v="9849355"/>
    <n v="250002427"/>
    <n v="302750654"/>
    <n v="321253536"/>
    <m/>
    <m/>
    <s v=" "/>
    <s v=" "/>
    <n v="0"/>
    <m/>
    <m/>
    <n v="0"/>
    <m/>
    <m/>
    <m/>
    <m/>
    <n v="302750654"/>
    <n v="321253536"/>
  </r>
  <r>
    <x v="15"/>
    <x v="1"/>
    <s v="Health professions education"/>
    <s v="238032"/>
    <x v="0"/>
    <m/>
    <m/>
    <m/>
    <m/>
    <m/>
    <m/>
    <m/>
    <m/>
    <n v="0"/>
    <m/>
    <m/>
    <n v="0"/>
    <n v="0"/>
    <n v="0"/>
    <m/>
    <m/>
    <m/>
    <m/>
    <n v="0"/>
    <m/>
    <m/>
    <n v="0"/>
    <m/>
    <m/>
    <s v=" "/>
    <m/>
    <n v="0"/>
    <n v="0"/>
  </r>
  <r>
    <x v="15"/>
    <x v="1"/>
    <s v="School of Health Sciences"/>
    <s v="238032"/>
    <x v="0"/>
    <m/>
    <m/>
    <m/>
    <m/>
    <m/>
    <m/>
    <m/>
    <m/>
    <n v="0"/>
    <m/>
    <m/>
    <n v="0"/>
    <n v="0"/>
    <n v="0"/>
    <m/>
    <m/>
    <m/>
    <m/>
    <n v="0"/>
    <m/>
    <m/>
    <n v="0"/>
    <n v="65680396"/>
    <n v="68675787"/>
    <n v="29323723"/>
    <n v="34515355"/>
    <n v="95004119"/>
    <n v="103191142"/>
  </r>
  <r>
    <x v="15"/>
    <x v="13"/>
    <s v="HSTA Program"/>
    <s v="238032"/>
    <x v="0"/>
    <m/>
    <m/>
    <n v="1500000"/>
    <n v="1521166"/>
    <m/>
    <m/>
    <m/>
    <m/>
    <n v="0"/>
    <m/>
    <m/>
    <n v="0"/>
    <n v="1500000"/>
    <n v="1521166"/>
    <m/>
    <m/>
    <m/>
    <m/>
    <n v="0"/>
    <m/>
    <m/>
    <n v="0"/>
    <m/>
    <m/>
    <m/>
    <m/>
    <n v="1500000"/>
    <n v="1521166"/>
  </r>
  <r>
    <x v="15"/>
    <x v="13"/>
    <s v="Health Sciences Career Opportunities"/>
    <s v="238032"/>
    <x v="0"/>
    <m/>
    <m/>
    <n v="369207"/>
    <n v="372059"/>
    <m/>
    <m/>
    <m/>
    <m/>
    <n v="0"/>
    <m/>
    <m/>
    <n v="0"/>
    <n v="369207"/>
    <n v="372059"/>
    <m/>
    <m/>
    <m/>
    <m/>
    <n v="0"/>
    <m/>
    <m/>
    <n v="0"/>
    <m/>
    <m/>
    <m/>
    <m/>
    <n v="369207"/>
    <n v="372059"/>
  </r>
  <r>
    <x v="15"/>
    <x v="1"/>
    <s v="Community or public service units"/>
    <n v="238032"/>
    <x v="0"/>
    <m/>
    <m/>
    <n v="1961707"/>
    <n v="2306620"/>
    <m/>
    <m/>
    <m/>
    <m/>
    <n v="0"/>
    <m/>
    <m/>
    <n v="0"/>
    <n v="1961707"/>
    <n v="2306620"/>
    <m/>
    <m/>
    <m/>
    <m/>
    <n v="0"/>
    <m/>
    <m/>
    <n v="0"/>
    <m/>
    <m/>
    <m/>
    <m/>
    <n v="1961707"/>
    <n v="2306620"/>
  </r>
  <r>
    <x v="15"/>
    <x v="1"/>
    <s v="WVU HSC - Blanchette Rockefeller Neuroligical Institute"/>
    <n v="238032"/>
    <x v="0"/>
    <m/>
    <m/>
    <m/>
    <m/>
    <m/>
    <m/>
    <m/>
    <m/>
    <n v="0"/>
    <m/>
    <m/>
    <n v="0"/>
    <n v="0"/>
    <n v="0"/>
    <m/>
    <m/>
    <m/>
    <m/>
    <n v="0"/>
    <m/>
    <m/>
    <n v="0"/>
    <n v="800000"/>
    <n v="800000"/>
    <m/>
    <m/>
    <n v="800000"/>
    <n v="800000"/>
  </r>
  <r>
    <x v="15"/>
    <x v="13"/>
    <s v="Public Health Program &amp; Health Science Technology"/>
    <s v="238032"/>
    <x v="0"/>
    <m/>
    <m/>
    <n v="60010"/>
    <n v="61786"/>
    <m/>
    <m/>
    <m/>
    <m/>
    <n v="0"/>
    <m/>
    <m/>
    <n v="0"/>
    <n v="60010"/>
    <n v="61786"/>
    <m/>
    <m/>
    <m/>
    <m/>
    <n v="0"/>
    <m/>
    <m/>
    <n v="0"/>
    <m/>
    <m/>
    <m/>
    <m/>
    <n v="60010"/>
    <n v="61786"/>
  </r>
  <r>
    <x v="15"/>
    <x v="1"/>
    <s v="WVUHSC - Graduate Medical Education"/>
    <n v="238032"/>
    <x v="0"/>
    <m/>
    <m/>
    <m/>
    <m/>
    <m/>
    <m/>
    <m/>
    <m/>
    <n v="0"/>
    <m/>
    <m/>
    <n v="0"/>
    <n v="0"/>
    <n v="0"/>
    <m/>
    <m/>
    <m/>
    <m/>
    <n v="0"/>
    <m/>
    <m/>
    <n v="0"/>
    <n v="943080"/>
    <n v="943080"/>
    <m/>
    <m/>
    <n v="943080"/>
    <n v="943080"/>
  </r>
  <r>
    <x v="15"/>
    <x v="5"/>
    <s v="Agricultural cooperative extension"/>
    <n v="238032"/>
    <x v="0"/>
    <m/>
    <m/>
    <n v="13126602"/>
    <n v="15281319"/>
    <m/>
    <m/>
    <m/>
    <m/>
    <n v="0"/>
    <m/>
    <m/>
    <n v="0"/>
    <n v="13126602"/>
    <n v="15281319"/>
    <m/>
    <m/>
    <m/>
    <m/>
    <n v="0"/>
    <m/>
    <m/>
    <n v="0"/>
    <m/>
    <m/>
    <m/>
    <m/>
    <n v="13126602"/>
    <n v="15281319"/>
  </r>
  <r>
    <x v="15"/>
    <x v="6"/>
    <s v="Agricultural experiment stations"/>
    <n v="238032"/>
    <x v="0"/>
    <m/>
    <m/>
    <n v="7126096"/>
    <n v="6407977"/>
    <m/>
    <m/>
    <m/>
    <m/>
    <n v="0"/>
    <m/>
    <m/>
    <n v="0"/>
    <n v="7126096"/>
    <n v="6407977"/>
    <m/>
    <m/>
    <m/>
    <m/>
    <n v="0"/>
    <m/>
    <m/>
    <n v="0"/>
    <m/>
    <m/>
    <m/>
    <m/>
    <n v="7126096"/>
    <n v="6407977"/>
  </r>
  <r>
    <x v="15"/>
    <x v="43"/>
    <s v="Engineering experiment stations"/>
    <n v="238032"/>
    <x v="0"/>
    <m/>
    <m/>
    <n v="2095900"/>
    <n v="2207220"/>
    <m/>
    <m/>
    <m/>
    <m/>
    <n v="0"/>
    <m/>
    <m/>
    <n v="0"/>
    <n v="2095900"/>
    <n v="2207220"/>
    <m/>
    <m/>
    <m/>
    <m/>
    <n v="0"/>
    <m/>
    <m/>
    <n v="0"/>
    <m/>
    <m/>
    <m/>
    <m/>
    <n v="2095900"/>
    <n v="2207220"/>
  </r>
  <r>
    <x v="15"/>
    <x v="7"/>
    <s v="Research centers/institutes"/>
    <n v="238032"/>
    <x v="0"/>
    <m/>
    <m/>
    <n v="2349878"/>
    <n v="2502380"/>
    <m/>
    <m/>
    <m/>
    <m/>
    <n v="0"/>
    <m/>
    <m/>
    <n v="0"/>
    <n v="2349878"/>
    <n v="2502380"/>
    <m/>
    <m/>
    <m/>
    <m/>
    <n v="0"/>
    <m/>
    <m/>
    <n v="0"/>
    <m/>
    <m/>
    <m/>
    <m/>
    <n v="2349878"/>
    <n v="2502380"/>
  </r>
  <r>
    <x v="15"/>
    <x v="7"/>
    <s v="WVU - PRT"/>
    <n v="238032"/>
    <x v="0"/>
    <m/>
    <m/>
    <n v="1917896"/>
    <n v="1837868"/>
    <m/>
    <m/>
    <m/>
    <m/>
    <n v="0"/>
    <m/>
    <m/>
    <n v="0"/>
    <n v="1917896"/>
    <n v="1837868"/>
    <m/>
    <m/>
    <m/>
    <m/>
    <n v="0"/>
    <m/>
    <m/>
    <n v="0"/>
    <m/>
    <m/>
    <m/>
    <m/>
    <n v="1917896"/>
    <n v="1837868"/>
  </r>
  <r>
    <x v="15"/>
    <x v="8"/>
    <s v="Special Line items for education operations"/>
    <n v="238032"/>
    <x v="0"/>
    <m/>
    <m/>
    <n v="3414940"/>
    <n v="4051000"/>
    <m/>
    <m/>
    <m/>
    <m/>
    <n v="0"/>
    <m/>
    <m/>
    <n v="0"/>
    <n v="3414940"/>
    <n v="4051000"/>
    <m/>
    <m/>
    <m/>
    <m/>
    <n v="0"/>
    <m/>
    <m/>
    <n v="0"/>
    <m/>
    <m/>
    <m/>
    <m/>
    <n v="3414940"/>
    <n v="4051000"/>
  </r>
  <r>
    <x v="15"/>
    <x v="8"/>
    <s v="Center for Excellence in Disabilities"/>
    <n v="238032"/>
    <x v="0"/>
    <m/>
    <m/>
    <n v="150000"/>
    <n v="250000"/>
    <m/>
    <m/>
    <m/>
    <m/>
    <n v="0"/>
    <m/>
    <m/>
    <n v="0"/>
    <n v="150000"/>
    <n v="250000"/>
    <m/>
    <m/>
    <m/>
    <m/>
    <n v="0"/>
    <m/>
    <m/>
    <n v="0"/>
    <m/>
    <m/>
    <m/>
    <m/>
    <n v="150000"/>
    <n v="250000"/>
  </r>
  <r>
    <x v="15"/>
    <x v="0"/>
    <s v="Marshall University "/>
    <n v="237525"/>
    <x v="2"/>
    <n v="43354786"/>
    <n v="47104987"/>
    <m/>
    <m/>
    <m/>
    <m/>
    <n v="62349657"/>
    <n v="4694021"/>
    <n v="67043678"/>
    <n v="65485355"/>
    <n v="4692966"/>
    <n v="70178321"/>
    <n v="105704443"/>
    <n v="112590342"/>
    <m/>
    <m/>
    <m/>
    <m/>
    <n v="0"/>
    <m/>
    <m/>
    <n v="0"/>
    <m/>
    <m/>
    <m/>
    <m/>
    <n v="105704443"/>
    <n v="112590342"/>
  </r>
  <r>
    <x v="15"/>
    <x v="7"/>
    <s v="Research centers/institutes"/>
    <n v="237525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8"/>
    <s v="MU/SWVVCTC 2+2 Program"/>
    <n v="237525"/>
    <x v="2"/>
    <m/>
    <m/>
    <n v="181280"/>
    <n v="181280"/>
    <m/>
    <m/>
    <m/>
    <m/>
    <n v="0"/>
    <m/>
    <m/>
    <n v="0"/>
    <n v="181280"/>
    <n v="181280"/>
    <m/>
    <m/>
    <m/>
    <m/>
    <n v="0"/>
    <m/>
    <m/>
    <n v="0"/>
    <m/>
    <m/>
    <m/>
    <m/>
    <n v="181280"/>
    <n v="181280"/>
  </r>
  <r>
    <x v="15"/>
    <x v="7"/>
    <s v="Autism Training Center"/>
    <n v="237525"/>
    <x v="2"/>
    <m/>
    <m/>
    <n v="1050000"/>
    <n v="2075739"/>
    <m/>
    <m/>
    <m/>
    <m/>
    <n v="0"/>
    <m/>
    <m/>
    <n v="0"/>
    <n v="1050000"/>
    <n v="2075739"/>
    <m/>
    <m/>
    <m/>
    <m/>
    <n v="0"/>
    <m/>
    <m/>
    <n v="0"/>
    <m/>
    <m/>
    <m/>
    <m/>
    <n v="1050000"/>
    <n v="2075739"/>
  </r>
  <r>
    <x v="15"/>
    <x v="8"/>
    <s v="Special Line items for education operations"/>
    <n v="237525"/>
    <x v="2"/>
    <m/>
    <m/>
    <n v="725000"/>
    <n v="725000"/>
    <m/>
    <m/>
    <m/>
    <m/>
    <n v="0"/>
    <m/>
    <m/>
    <n v="0"/>
    <n v="725000"/>
    <n v="725000"/>
    <m/>
    <m/>
    <m/>
    <m/>
    <n v="0"/>
    <m/>
    <m/>
    <n v="0"/>
    <m/>
    <m/>
    <m/>
    <m/>
    <n v="725000"/>
    <n v="725000"/>
  </r>
  <r>
    <x v="15"/>
    <x v="47"/>
    <s v="Software purchase"/>
    <n v="237525"/>
    <x v="2"/>
    <m/>
    <m/>
    <n v="59500"/>
    <m/>
    <m/>
    <m/>
    <m/>
    <m/>
    <m/>
    <m/>
    <m/>
    <m/>
    <n v="59500"/>
    <m/>
    <m/>
    <m/>
    <m/>
    <m/>
    <m/>
    <m/>
    <m/>
    <m/>
    <m/>
    <m/>
    <m/>
    <m/>
    <n v="59500"/>
    <n v="0"/>
  </r>
  <r>
    <x v="15"/>
    <x v="1"/>
    <s v="Medical School"/>
    <n v="237525"/>
    <x v="2"/>
    <m/>
    <m/>
    <m/>
    <m/>
    <m/>
    <m/>
    <m/>
    <m/>
    <n v="0"/>
    <m/>
    <m/>
    <n v="0"/>
    <n v="0"/>
    <n v="0"/>
    <m/>
    <m/>
    <m/>
    <m/>
    <n v="0"/>
    <m/>
    <m/>
    <n v="0"/>
    <n v="18711945"/>
    <n v="19083939"/>
    <n v="5376994"/>
    <n v="6196520"/>
    <n v="24088939"/>
    <n v="25280459"/>
  </r>
  <r>
    <x v="15"/>
    <x v="1"/>
    <s v="MU SOM- Graduate Medical Education"/>
    <n v="237525"/>
    <x v="2"/>
    <m/>
    <m/>
    <m/>
    <m/>
    <m/>
    <m/>
    <m/>
    <m/>
    <n v="0"/>
    <m/>
    <m/>
    <n v="0"/>
    <n v="0"/>
    <n v="0"/>
    <m/>
    <m/>
    <m/>
    <m/>
    <n v="0"/>
    <m/>
    <m/>
    <n v="0"/>
    <n v="295477"/>
    <n v="295477"/>
    <m/>
    <m/>
    <n v="295477"/>
    <n v="295477"/>
  </r>
  <r>
    <x v="15"/>
    <x v="1"/>
    <s v="MUSOM - Center for Rural Health"/>
    <n v="237525"/>
    <x v="2"/>
    <m/>
    <m/>
    <m/>
    <m/>
    <m/>
    <m/>
    <m/>
    <m/>
    <n v="0"/>
    <m/>
    <m/>
    <n v="0"/>
    <n v="0"/>
    <n v="0"/>
    <m/>
    <m/>
    <m/>
    <m/>
    <n v="0"/>
    <m/>
    <m/>
    <n v="0"/>
    <n v="175061"/>
    <n v="175061"/>
    <m/>
    <m/>
    <n v="175061"/>
    <n v="175061"/>
  </r>
  <r>
    <x v="15"/>
    <x v="7"/>
    <s v="Forensic Lab"/>
    <n v="237525"/>
    <x v="2"/>
    <m/>
    <m/>
    <m/>
    <m/>
    <m/>
    <m/>
    <m/>
    <m/>
    <n v="0"/>
    <m/>
    <m/>
    <n v="0"/>
    <n v="0"/>
    <n v="0"/>
    <m/>
    <m/>
    <m/>
    <m/>
    <n v="0"/>
    <m/>
    <m/>
    <n v="0"/>
    <n v="417351"/>
    <n v="417351"/>
    <m/>
    <m/>
    <n v="417351"/>
    <n v="417351"/>
  </r>
  <r>
    <x v="15"/>
    <x v="0"/>
    <s v="Bluefield State College "/>
    <n v="237215"/>
    <x v="5"/>
    <n v="6275451"/>
    <n v="6442321"/>
    <m/>
    <m/>
    <m/>
    <m/>
    <n v="7248197"/>
    <n v="25039"/>
    <n v="7273236"/>
    <n v="7774314"/>
    <n v="24777"/>
    <n v="7799091"/>
    <n v="13523648"/>
    <n v="14216635"/>
    <m/>
    <m/>
    <m/>
    <m/>
    <n v="0"/>
    <m/>
    <m/>
    <n v="0"/>
    <m/>
    <m/>
    <m/>
    <m/>
    <n v="13523648"/>
    <n v="14216635"/>
  </r>
  <r>
    <x v="15"/>
    <x v="0"/>
    <s v="Concord University "/>
    <n v="237330"/>
    <x v="5"/>
    <n v="9720063"/>
    <n v="9977767"/>
    <m/>
    <m/>
    <m/>
    <m/>
    <n v="11279290"/>
    <n v="318646"/>
    <n v="11597936"/>
    <n v="11714064"/>
    <n v="315315"/>
    <n v="12029379"/>
    <n v="20999353"/>
    <n v="21691831"/>
    <m/>
    <m/>
    <m/>
    <m/>
    <n v="0"/>
    <m/>
    <m/>
    <n v="0"/>
    <m/>
    <m/>
    <m/>
    <m/>
    <n v="20999353"/>
    <n v="21691831"/>
  </r>
  <r>
    <x v="15"/>
    <x v="0"/>
    <s v="Fairmont State University "/>
    <n v="237367"/>
    <x v="5"/>
    <n v="12166895"/>
    <n v="15019754"/>
    <m/>
    <m/>
    <m/>
    <m/>
    <n v="17701938"/>
    <n v="986115"/>
    <n v="18688053"/>
    <n v="18478146"/>
    <n v="979855"/>
    <n v="19458001"/>
    <n v="29868833"/>
    <n v="33497900"/>
    <m/>
    <m/>
    <m/>
    <m/>
    <n v="0"/>
    <m/>
    <m/>
    <n v="0"/>
    <m/>
    <m/>
    <m/>
    <m/>
    <n v="29868833"/>
    <n v="33497900"/>
  </r>
  <r>
    <x v="15"/>
    <x v="0"/>
    <s v="Glenville State College "/>
    <n v="237385"/>
    <x v="5"/>
    <n v="6095707"/>
    <n v="6539617"/>
    <m/>
    <m/>
    <m/>
    <m/>
    <n v="5004861"/>
    <n v="252882"/>
    <n v="5257743"/>
    <n v="5398965"/>
    <n v="251531"/>
    <n v="5650496"/>
    <n v="11100568"/>
    <n v="11938582"/>
    <m/>
    <m/>
    <m/>
    <m/>
    <n v="0"/>
    <m/>
    <m/>
    <n v="0"/>
    <m/>
    <m/>
    <m/>
    <m/>
    <n v="11100568"/>
    <n v="11938582"/>
  </r>
  <r>
    <x v="15"/>
    <x v="0"/>
    <s v="Shepherd University "/>
    <n v="237792"/>
    <x v="5"/>
    <n v="10708896"/>
    <n v="11018482"/>
    <m/>
    <m/>
    <m/>
    <m/>
    <n v="21561042"/>
    <n v="528293"/>
    <n v="22089335"/>
    <n v="23183504"/>
    <n v="522770"/>
    <n v="23706274"/>
    <n v="32269938"/>
    <n v="34201986"/>
    <m/>
    <m/>
    <m/>
    <m/>
    <n v="0"/>
    <m/>
    <m/>
    <n v="0"/>
    <m/>
    <m/>
    <m/>
    <m/>
    <n v="32269938"/>
    <n v="34201986"/>
  </r>
  <r>
    <x v="15"/>
    <x v="8"/>
    <s v="Special Line items for education operations"/>
    <n v="237792"/>
    <x v="5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x v="8"/>
    <s v="Research Trust Fund (one time)"/>
    <n v="237792"/>
    <x v="5"/>
    <m/>
    <m/>
    <n v="465000"/>
    <m/>
    <m/>
    <m/>
    <m/>
    <m/>
    <m/>
    <m/>
    <m/>
    <m/>
    <n v="465000"/>
    <m/>
    <m/>
    <m/>
    <m/>
    <m/>
    <m/>
    <m/>
    <m/>
    <m/>
    <m/>
    <m/>
    <m/>
    <m/>
    <n v="465000"/>
    <n v="0"/>
  </r>
  <r>
    <x v="15"/>
    <x v="0"/>
    <s v="West Liberty State College "/>
    <n v="237932"/>
    <x v="5"/>
    <n v="8886241"/>
    <n v="9125137"/>
    <m/>
    <m/>
    <m/>
    <m/>
    <n v="10857258"/>
    <n v="661749"/>
    <n v="11519007"/>
    <n v="11667357"/>
    <n v="657980"/>
    <n v="12325337"/>
    <n v="19743499"/>
    <n v="20792494"/>
    <m/>
    <m/>
    <m/>
    <m/>
    <n v="0"/>
    <m/>
    <m/>
    <n v="0"/>
    <m/>
    <m/>
    <m/>
    <m/>
    <n v="19743499"/>
    <n v="20792494"/>
  </r>
  <r>
    <x v="15"/>
    <x v="0"/>
    <s v="West Virginia State University "/>
    <n v="237899"/>
    <x v="5"/>
    <n v="12332043"/>
    <n v="12642590"/>
    <m/>
    <m/>
    <m/>
    <m/>
    <n v="12124170"/>
    <n v="382986"/>
    <n v="12507156"/>
    <n v="13061208"/>
    <n v="378982"/>
    <n v="13440190"/>
    <n v="24456213"/>
    <n v="25703798"/>
    <m/>
    <m/>
    <m/>
    <m/>
    <n v="0"/>
    <m/>
    <m/>
    <n v="0"/>
    <m/>
    <m/>
    <m/>
    <m/>
    <n v="24456213"/>
    <n v="25703798"/>
  </r>
  <r>
    <x v="15"/>
    <x v="0"/>
    <s v="West Virginia University Institute of Technology"/>
    <n v="237950"/>
    <x v="5"/>
    <n v="8272205"/>
    <n v="8947469"/>
    <m/>
    <m/>
    <m/>
    <m/>
    <n v="6490111"/>
    <n v="247889"/>
    <n v="6738000"/>
    <n v="7029049"/>
    <n v="245296"/>
    <n v="7274345"/>
    <n v="14762316"/>
    <n v="15976518"/>
    <m/>
    <m/>
    <m/>
    <m/>
    <n v="0"/>
    <m/>
    <m/>
    <n v="0"/>
    <m/>
    <m/>
    <m/>
    <m/>
    <n v="14762316"/>
    <n v="15976518"/>
  </r>
  <r>
    <x v="15"/>
    <x v="8"/>
    <s v="Special Line items for education operations"/>
    <n v="237950"/>
    <x v="5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x v="8"/>
    <s v="Accreditation supplement"/>
    <n v="237950"/>
    <x v="5"/>
    <m/>
    <m/>
    <n v="1800000"/>
    <n v="0"/>
    <m/>
    <m/>
    <m/>
    <m/>
    <n v="0"/>
    <m/>
    <m/>
    <n v="0"/>
    <n v="1800000"/>
    <n v="0"/>
    <m/>
    <m/>
    <m/>
    <m/>
    <n v="0"/>
    <m/>
    <m/>
    <n v="0"/>
    <m/>
    <m/>
    <m/>
    <m/>
    <n v="1800000"/>
    <n v="0"/>
  </r>
  <r>
    <x v="15"/>
    <x v="0"/>
    <s v="West Virginia University at Parkersburg"/>
    <n v="237686"/>
    <x v="13"/>
    <n v="8953448"/>
    <n v="10235011"/>
    <m/>
    <m/>
    <m/>
    <m/>
    <n v="6127964"/>
    <n v="124036"/>
    <n v="6252000"/>
    <n v="6426230"/>
    <n v="123990"/>
    <n v="6550220"/>
    <n v="15081412"/>
    <n v="16661241"/>
    <m/>
    <m/>
    <m/>
    <m/>
    <n v="0"/>
    <m/>
    <m/>
    <n v="0"/>
    <m/>
    <m/>
    <m/>
    <m/>
    <n v="15081412"/>
    <n v="16661241"/>
  </r>
  <r>
    <x v="15"/>
    <x v="8"/>
    <s v="Special Line items for education operations"/>
    <n v="237686"/>
    <x v="13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x v="8"/>
    <s v="College Transition Progran"/>
    <n v="237686"/>
    <x v="13"/>
    <m/>
    <m/>
    <n v="33350"/>
    <m/>
    <m/>
    <m/>
    <m/>
    <m/>
    <m/>
    <m/>
    <m/>
    <m/>
    <n v="33350"/>
    <m/>
    <m/>
    <m/>
    <m/>
    <m/>
    <m/>
    <m/>
    <m/>
    <m/>
    <m/>
    <m/>
    <m/>
    <m/>
    <n v="33350"/>
    <n v="0"/>
  </r>
  <r>
    <x v="15"/>
    <x v="8"/>
    <s v="WV Advanced Workforce Development &amp; Technical  Programs"/>
    <n v="237686"/>
    <x v="13"/>
    <m/>
    <m/>
    <n v="567140"/>
    <m/>
    <m/>
    <m/>
    <m/>
    <m/>
    <m/>
    <m/>
    <m/>
    <m/>
    <n v="567140"/>
    <m/>
    <m/>
    <m/>
    <m/>
    <m/>
    <m/>
    <m/>
    <m/>
    <m/>
    <m/>
    <m/>
    <m/>
    <m/>
    <n v="567140"/>
    <n v="0"/>
  </r>
  <r>
    <x v="15"/>
    <x v="8"/>
    <s v="Allied Health Program Expansion "/>
    <n v="237686"/>
    <x v="13"/>
    <m/>
    <m/>
    <n v="1094775"/>
    <m/>
    <m/>
    <m/>
    <m/>
    <m/>
    <m/>
    <m/>
    <m/>
    <m/>
    <n v="1094775"/>
    <m/>
    <m/>
    <m/>
    <m/>
    <m/>
    <m/>
    <m/>
    <m/>
    <m/>
    <m/>
    <m/>
    <m/>
    <m/>
    <n v="1094775"/>
    <n v="0"/>
  </r>
  <r>
    <x v="15"/>
    <x v="0"/>
    <s v="Pierpont Community &amp; Technical College"/>
    <n v="443492"/>
    <x v="7"/>
    <n v="8230927"/>
    <n v="8328385"/>
    <m/>
    <m/>
    <m/>
    <m/>
    <n v="6658643"/>
    <m/>
    <n v="6658643"/>
    <n v="6865727"/>
    <m/>
    <n v="6865727"/>
    <n v="14889570"/>
    <n v="15194112"/>
    <m/>
    <m/>
    <m/>
    <m/>
    <n v="0"/>
    <m/>
    <m/>
    <n v="0"/>
    <m/>
    <m/>
    <m/>
    <m/>
    <n v="14889570"/>
    <n v="15194112"/>
  </r>
  <r>
    <x v="15"/>
    <x v="8"/>
    <s v="Special Line items for education operations"/>
    <n v="443492"/>
    <x v="7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x v="8"/>
    <s v="College Transition Progran"/>
    <n v="443492"/>
    <x v="7"/>
    <m/>
    <m/>
    <n v="33350"/>
    <m/>
    <m/>
    <m/>
    <m/>
    <m/>
    <m/>
    <m/>
    <m/>
    <m/>
    <n v="33350"/>
    <m/>
    <m/>
    <m/>
    <m/>
    <m/>
    <m/>
    <m/>
    <m/>
    <m/>
    <m/>
    <m/>
    <m/>
    <m/>
    <n v="33350"/>
    <n v="0"/>
  </r>
  <r>
    <x v="15"/>
    <x v="8"/>
    <s v="WV Advanced Workforce Development &amp; Technical  Programs"/>
    <n v="443492"/>
    <x v="7"/>
    <m/>
    <m/>
    <n v="545816"/>
    <m/>
    <m/>
    <m/>
    <m/>
    <m/>
    <m/>
    <m/>
    <m/>
    <m/>
    <n v="545816"/>
    <m/>
    <m/>
    <m/>
    <m/>
    <m/>
    <m/>
    <m/>
    <m/>
    <m/>
    <m/>
    <m/>
    <m/>
    <m/>
    <n v="545816"/>
    <n v="0"/>
  </r>
  <r>
    <x v="15"/>
    <x v="8"/>
    <s v="Allied Health Program Expansion "/>
    <n v="443492"/>
    <x v="7"/>
    <m/>
    <m/>
    <n v="950164"/>
    <m/>
    <m/>
    <m/>
    <m/>
    <m/>
    <m/>
    <m/>
    <m/>
    <m/>
    <n v="950164"/>
    <m/>
    <m/>
    <m/>
    <m/>
    <m/>
    <m/>
    <m/>
    <m/>
    <m/>
    <m/>
    <m/>
    <m/>
    <m/>
    <n v="950164"/>
    <n v="0"/>
  </r>
  <r>
    <x v="15"/>
    <x v="0"/>
    <s v="Community &amp; Technical College at WVU Tech"/>
    <n v="445674"/>
    <x v="8"/>
    <n v="3430922"/>
    <n v="3896885"/>
    <m/>
    <m/>
    <m/>
    <m/>
    <n v="2253000"/>
    <m/>
    <n v="2253000"/>
    <n v="2352357"/>
    <m/>
    <n v="2352357"/>
    <n v="5683922"/>
    <n v="6249242"/>
    <m/>
    <m/>
    <m/>
    <m/>
    <n v="0"/>
    <m/>
    <m/>
    <n v="0"/>
    <m/>
    <m/>
    <m/>
    <m/>
    <n v="5683922"/>
    <n v="6249242"/>
  </r>
  <r>
    <x v="15"/>
    <x v="8"/>
    <s v="Special Line items for education operations"/>
    <n v="445674"/>
    <x v="8"/>
    <m/>
    <m/>
    <n v="33350"/>
    <m/>
    <m/>
    <m/>
    <m/>
    <m/>
    <m/>
    <m/>
    <m/>
    <m/>
    <n v="33350"/>
    <m/>
    <m/>
    <m/>
    <m/>
    <m/>
    <m/>
    <m/>
    <m/>
    <m/>
    <m/>
    <m/>
    <m/>
    <m/>
    <n v="33350"/>
    <n v="0"/>
  </r>
  <r>
    <x v="15"/>
    <x v="8"/>
    <s v="College Transition Program"/>
    <n v="445674"/>
    <x v="8"/>
    <m/>
    <m/>
    <n v="567880"/>
    <m/>
    <m/>
    <m/>
    <m/>
    <m/>
    <m/>
    <m/>
    <m/>
    <m/>
    <n v="567880"/>
    <m/>
    <m/>
    <m/>
    <m/>
    <m/>
    <m/>
    <m/>
    <m/>
    <m/>
    <m/>
    <m/>
    <m/>
    <m/>
    <n v="567880"/>
    <n v="0"/>
  </r>
  <r>
    <x v="15"/>
    <x v="8"/>
    <s v="WV Advanced Workforce Development &amp; Technical  Programs"/>
    <n v="445674"/>
    <x v="8"/>
    <m/>
    <m/>
    <n v="541750"/>
    <m/>
    <m/>
    <m/>
    <m/>
    <m/>
    <m/>
    <m/>
    <m/>
    <m/>
    <n v="541750"/>
    <m/>
    <m/>
    <m/>
    <m/>
    <m/>
    <m/>
    <m/>
    <m/>
    <m/>
    <m/>
    <m/>
    <m/>
    <m/>
    <n v="541750"/>
    <n v="0"/>
  </r>
  <r>
    <x v="15"/>
    <x v="0"/>
    <s v="Blueridge Community and Technical College"/>
    <n v="446774"/>
    <x v="8"/>
    <n v="2871929"/>
    <n v="2955463"/>
    <m/>
    <m/>
    <m/>
    <m/>
    <n v="2824300"/>
    <n v="116832"/>
    <n v="2941132"/>
    <n v="2941402"/>
    <n v="115611"/>
    <n v="3057013"/>
    <n v="5696229"/>
    <n v="5896865"/>
    <m/>
    <m/>
    <m/>
    <m/>
    <n v="0"/>
    <m/>
    <m/>
    <n v="0"/>
    <m/>
    <m/>
    <m/>
    <m/>
    <n v="5696229"/>
    <n v="5896865"/>
  </r>
  <r>
    <x v="15"/>
    <x v="8"/>
    <s v="Special Line items for education operations"/>
    <n v="446774"/>
    <x v="8"/>
    <m/>
    <m/>
    <n v="3000000"/>
    <m/>
    <m/>
    <m/>
    <m/>
    <m/>
    <m/>
    <m/>
    <m/>
    <m/>
    <n v="3000000"/>
    <m/>
    <m/>
    <m/>
    <m/>
    <m/>
    <m/>
    <m/>
    <m/>
    <m/>
    <m/>
    <m/>
    <m/>
    <m/>
    <n v="3000000"/>
    <n v="0"/>
  </r>
  <r>
    <x v="15"/>
    <x v="8"/>
    <s v="College Transition Program"/>
    <n v="446774"/>
    <x v="8"/>
    <m/>
    <m/>
    <n v="33350"/>
    <m/>
    <m/>
    <m/>
    <m/>
    <m/>
    <m/>
    <m/>
    <m/>
    <m/>
    <n v="33350"/>
    <m/>
    <m/>
    <m/>
    <m/>
    <m/>
    <m/>
    <m/>
    <m/>
    <m/>
    <m/>
    <m/>
    <m/>
    <m/>
    <n v="33350"/>
    <n v="0"/>
  </r>
  <r>
    <x v="15"/>
    <x v="8"/>
    <s v="WV Advanced Workforce Development &amp; Technical  Programs"/>
    <n v="446774"/>
    <x v="8"/>
    <m/>
    <m/>
    <n v="1172487"/>
    <m/>
    <m/>
    <m/>
    <m/>
    <m/>
    <m/>
    <m/>
    <m/>
    <m/>
    <n v="1172487"/>
    <m/>
    <m/>
    <m/>
    <m/>
    <m/>
    <m/>
    <m/>
    <m/>
    <m/>
    <m/>
    <m/>
    <m/>
    <m/>
    <n v="1172487"/>
    <n v="0"/>
  </r>
  <r>
    <x v="15"/>
    <x v="0"/>
    <s v="Eastern West Virginia Community &amp; Technical College"/>
    <n v="438708"/>
    <x v="8"/>
    <n v="2021567"/>
    <n v="2062115"/>
    <m/>
    <m/>
    <m/>
    <m/>
    <n v="460477"/>
    <m/>
    <n v="460477"/>
    <n v="497822"/>
    <m/>
    <n v="497822"/>
    <n v="2482044"/>
    <n v="2559937"/>
    <m/>
    <m/>
    <m/>
    <m/>
    <n v="0"/>
    <m/>
    <m/>
    <n v="0"/>
    <m/>
    <m/>
    <m/>
    <m/>
    <n v="2482044"/>
    <n v="2559937"/>
  </r>
  <r>
    <x v="15"/>
    <x v="8"/>
    <s v="Special Line items for education operations"/>
    <n v="438708"/>
    <x v="8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x v="8"/>
    <s v="College Transition Program"/>
    <n v="438708"/>
    <x v="8"/>
    <m/>
    <m/>
    <n v="33350"/>
    <m/>
    <m/>
    <m/>
    <m/>
    <m/>
    <m/>
    <m/>
    <m/>
    <m/>
    <n v="33350"/>
    <m/>
    <m/>
    <m/>
    <m/>
    <m/>
    <m/>
    <m/>
    <m/>
    <m/>
    <m/>
    <m/>
    <m/>
    <m/>
    <n v="33350"/>
    <n v="0"/>
  </r>
  <r>
    <x v="15"/>
    <x v="8"/>
    <s v="WV Advanced Workforce Development &amp; Technical  Programs"/>
    <n v="438708"/>
    <x v="8"/>
    <m/>
    <m/>
    <n v="225015"/>
    <m/>
    <m/>
    <m/>
    <m/>
    <m/>
    <m/>
    <m/>
    <m/>
    <m/>
    <n v="225015"/>
    <m/>
    <m/>
    <m/>
    <m/>
    <m/>
    <m/>
    <m/>
    <m/>
    <m/>
    <m/>
    <m/>
    <m/>
    <m/>
    <n v="225015"/>
    <n v="0"/>
  </r>
  <r>
    <x v="15"/>
    <x v="0"/>
    <s v="Marshall Community and Technical College"/>
    <n v="444954"/>
    <x v="8"/>
    <n v="5800275"/>
    <n v="5911742"/>
    <m/>
    <m/>
    <m/>
    <m/>
    <n v="5171817"/>
    <m/>
    <n v="5171817"/>
    <n v="5096826"/>
    <m/>
    <n v="5096826"/>
    <n v="10972092"/>
    <n v="11008568"/>
    <m/>
    <m/>
    <m/>
    <m/>
    <n v="0"/>
    <m/>
    <m/>
    <n v="0"/>
    <m/>
    <m/>
    <m/>
    <m/>
    <n v="10972092"/>
    <n v="11008568"/>
  </r>
  <r>
    <x v="15"/>
    <x v="8"/>
    <s v="Special Line items for education operations"/>
    <n v="444954"/>
    <x v="8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x v="8"/>
    <s v="College Transition Program"/>
    <n v="444954"/>
    <x v="8"/>
    <m/>
    <m/>
    <n v="33350"/>
    <m/>
    <m/>
    <m/>
    <m/>
    <m/>
    <m/>
    <m/>
    <m/>
    <m/>
    <n v="33350"/>
    <m/>
    <m/>
    <m/>
    <m/>
    <m/>
    <m/>
    <m/>
    <m/>
    <m/>
    <m/>
    <m/>
    <m/>
    <m/>
    <n v="33350"/>
    <n v="0"/>
  </r>
  <r>
    <x v="15"/>
    <x v="8"/>
    <s v="Software purchase"/>
    <n v="444954"/>
    <x v="8"/>
    <m/>
    <m/>
    <n v="59500"/>
    <m/>
    <m/>
    <m/>
    <m/>
    <m/>
    <m/>
    <m/>
    <m/>
    <m/>
    <n v="59500"/>
    <m/>
    <m/>
    <m/>
    <m/>
    <m/>
    <m/>
    <m/>
    <m/>
    <m/>
    <m/>
    <m/>
    <m/>
    <m/>
    <n v="59500"/>
    <n v="0"/>
  </r>
  <r>
    <x v="15"/>
    <x v="8"/>
    <s v="WV Advanced Workforce Development &amp; Technical  Programs"/>
    <n v="444954"/>
    <x v="8"/>
    <m/>
    <m/>
    <n v="632119"/>
    <m/>
    <m/>
    <m/>
    <m/>
    <m/>
    <m/>
    <m/>
    <m/>
    <m/>
    <n v="632119"/>
    <m/>
    <m/>
    <m/>
    <m/>
    <m/>
    <m/>
    <m/>
    <m/>
    <m/>
    <m/>
    <m/>
    <m/>
    <m/>
    <n v="632119"/>
    <n v="0"/>
  </r>
  <r>
    <x v="15"/>
    <x v="8"/>
    <s v="Allied Health Program Expansion "/>
    <n v="444954"/>
    <x v="8"/>
    <m/>
    <m/>
    <n v="199050"/>
    <m/>
    <m/>
    <m/>
    <m/>
    <m/>
    <m/>
    <m/>
    <m/>
    <m/>
    <n v="199050"/>
    <m/>
    <m/>
    <m/>
    <m/>
    <m/>
    <m/>
    <m/>
    <m/>
    <m/>
    <m/>
    <m/>
    <m/>
    <m/>
    <n v="199050"/>
    <n v="0"/>
  </r>
  <r>
    <x v="15"/>
    <x v="0"/>
    <s v="New River Community &amp; Technical College"/>
    <n v="447582"/>
    <x v="8"/>
    <n v="4863295"/>
    <n v="5673054"/>
    <m/>
    <m/>
    <m/>
    <m/>
    <n v="4631140"/>
    <n v="21659"/>
    <n v="4652799"/>
    <n v="4631367"/>
    <n v="21432"/>
    <n v="4652799"/>
    <n v="9494435"/>
    <n v="10304421"/>
    <m/>
    <m/>
    <m/>
    <m/>
    <n v="0"/>
    <m/>
    <m/>
    <n v="0"/>
    <m/>
    <m/>
    <m/>
    <m/>
    <n v="9494435"/>
    <n v="10304421"/>
  </r>
  <r>
    <x v="15"/>
    <x v="8"/>
    <s v="Special Line items for education operations"/>
    <n v="447582"/>
    <x v="8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x v="8"/>
    <s v="College Transition Program"/>
    <n v="447582"/>
    <x v="8"/>
    <m/>
    <m/>
    <n v="33350"/>
    <m/>
    <m/>
    <m/>
    <m/>
    <m/>
    <m/>
    <m/>
    <m/>
    <m/>
    <n v="33350"/>
    <m/>
    <m/>
    <m/>
    <m/>
    <m/>
    <m/>
    <m/>
    <m/>
    <m/>
    <m/>
    <m/>
    <m/>
    <m/>
    <n v="33350"/>
    <n v="0"/>
  </r>
  <r>
    <x v="15"/>
    <x v="8"/>
    <s v="WV Advanced Workforce Development &amp; Technical  Programs"/>
    <n v="447582"/>
    <x v="8"/>
    <m/>
    <m/>
    <n v="282800"/>
    <m/>
    <m/>
    <m/>
    <m/>
    <m/>
    <m/>
    <m/>
    <m/>
    <m/>
    <n v="282800"/>
    <m/>
    <m/>
    <m/>
    <m/>
    <m/>
    <m/>
    <m/>
    <m/>
    <m/>
    <m/>
    <m/>
    <m/>
    <m/>
    <n v="282800"/>
    <n v="0"/>
  </r>
  <r>
    <x v="15"/>
    <x v="8"/>
    <s v="Allied Health Program Expansion "/>
    <n v="447582"/>
    <x v="8"/>
    <m/>
    <m/>
    <n v="1592400"/>
    <m/>
    <m/>
    <m/>
    <m/>
    <m/>
    <m/>
    <m/>
    <m/>
    <m/>
    <n v="1592400"/>
    <m/>
    <m/>
    <m/>
    <m/>
    <m/>
    <m/>
    <m/>
    <m/>
    <m/>
    <m/>
    <m/>
    <m/>
    <m/>
    <n v="1592400"/>
    <n v="0"/>
  </r>
  <r>
    <x v="15"/>
    <x v="0"/>
    <s v="Potomac State College of West Virginia University"/>
    <n v="237701"/>
    <x v="8"/>
    <n v="4346826"/>
    <n v="4604493"/>
    <m/>
    <m/>
    <m/>
    <m/>
    <n v="4387309"/>
    <n v="82691"/>
    <n v="4470000"/>
    <n v="4611287"/>
    <n v="82660"/>
    <n v="4693947"/>
    <n v="8734135"/>
    <n v="9215780"/>
    <m/>
    <m/>
    <m/>
    <m/>
    <n v="0"/>
    <m/>
    <m/>
    <n v="0"/>
    <m/>
    <m/>
    <m/>
    <m/>
    <n v="8734135"/>
    <n v="9215780"/>
  </r>
  <r>
    <x v="15"/>
    <x v="0"/>
    <s v="Southern West Virginia Community &amp; Technical College "/>
    <n v="237817"/>
    <x v="8"/>
    <n v="9386234"/>
    <n v="8933197"/>
    <m/>
    <m/>
    <m/>
    <m/>
    <n v="3368577"/>
    <m/>
    <n v="3368577"/>
    <n v="3641769"/>
    <s v=" "/>
    <n v="3641769"/>
    <n v="12754811"/>
    <n v="12574966"/>
    <m/>
    <m/>
    <m/>
    <m/>
    <n v="0"/>
    <m/>
    <m/>
    <n v="0"/>
    <m/>
    <m/>
    <m/>
    <m/>
    <n v="12754811"/>
    <n v="12574966"/>
  </r>
  <r>
    <x v="15"/>
    <x v="8"/>
    <s v="Special Line items for education operations"/>
    <n v="237817"/>
    <x v="8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x v="8"/>
    <s v="College Transition Program"/>
    <n v="237817"/>
    <x v="8"/>
    <m/>
    <m/>
    <n v="33350"/>
    <m/>
    <m/>
    <m/>
    <m/>
    <m/>
    <m/>
    <m/>
    <m/>
    <m/>
    <n v="33350"/>
    <m/>
    <m/>
    <m/>
    <m/>
    <m/>
    <m/>
    <m/>
    <m/>
    <m/>
    <m/>
    <m/>
    <m/>
    <m/>
    <n v="33350"/>
    <n v="0"/>
  </r>
  <r>
    <x v="15"/>
    <x v="8"/>
    <s v="WV Advanced Workforce Development &amp; Technical  Programs"/>
    <n v="237817"/>
    <x v="8"/>
    <m/>
    <m/>
    <n v="220000"/>
    <m/>
    <m/>
    <m/>
    <m/>
    <m/>
    <m/>
    <m/>
    <m/>
    <m/>
    <n v="220000"/>
    <m/>
    <m/>
    <m/>
    <m/>
    <m/>
    <m/>
    <m/>
    <m/>
    <m/>
    <m/>
    <m/>
    <m/>
    <m/>
    <n v="220000"/>
    <n v="0"/>
  </r>
  <r>
    <x v="15"/>
    <x v="8"/>
    <s v="Allied Health Program Expansion "/>
    <n v="237817"/>
    <x v="8"/>
    <m/>
    <m/>
    <n v="666829"/>
    <m/>
    <m/>
    <m/>
    <m/>
    <m/>
    <m/>
    <m/>
    <m/>
    <m/>
    <n v="666829"/>
    <m/>
    <m/>
    <m/>
    <m/>
    <m/>
    <m/>
    <m/>
    <m/>
    <m/>
    <m/>
    <m/>
    <m/>
    <m/>
    <n v="666829"/>
    <n v="0"/>
  </r>
  <r>
    <x v="15"/>
    <x v="0"/>
    <s v="West Virginia Northern Community College"/>
    <n v="238014"/>
    <x v="8"/>
    <n v="7009680"/>
    <n v="7710716"/>
    <m/>
    <m/>
    <m/>
    <m/>
    <n v="4347568"/>
    <n v="31532"/>
    <n v="4379100"/>
    <n v="4535323"/>
    <n v="31202"/>
    <n v="4566525"/>
    <n v="11357248"/>
    <n v="12246039"/>
    <m/>
    <m/>
    <m/>
    <m/>
    <n v="0"/>
    <m/>
    <m/>
    <n v="0"/>
    <m/>
    <m/>
    <m/>
    <m/>
    <n v="11357248"/>
    <n v="12246039"/>
  </r>
  <r>
    <x v="15"/>
    <x v="8"/>
    <s v="Special Line items for education operations"/>
    <n v="238014"/>
    <x v="8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x v="8"/>
    <s v="College Transition Program"/>
    <n v="238014"/>
    <x v="8"/>
    <m/>
    <m/>
    <n v="33350"/>
    <m/>
    <m/>
    <m/>
    <m/>
    <m/>
    <m/>
    <m/>
    <m/>
    <m/>
    <n v="33350"/>
    <m/>
    <m/>
    <m/>
    <m/>
    <m/>
    <m/>
    <m/>
    <m/>
    <m/>
    <m/>
    <m/>
    <m/>
    <m/>
    <n v="33350"/>
    <n v="0"/>
  </r>
  <r>
    <x v="15"/>
    <x v="8"/>
    <s v="WV Advanced Workforce Development &amp; Technical  Programs"/>
    <n v="238014"/>
    <x v="8"/>
    <m/>
    <m/>
    <n v="52185"/>
    <m/>
    <m/>
    <m/>
    <m/>
    <m/>
    <m/>
    <m/>
    <m/>
    <m/>
    <n v="52185"/>
    <m/>
    <m/>
    <m/>
    <m/>
    <m/>
    <m/>
    <m/>
    <m/>
    <m/>
    <m/>
    <m/>
    <m/>
    <m/>
    <n v="52185"/>
    <n v="0"/>
  </r>
  <r>
    <x v="15"/>
    <x v="8"/>
    <s v="Allied Health Program Expansion "/>
    <n v="238014"/>
    <x v="8"/>
    <m/>
    <m/>
    <n v="1174395"/>
    <m/>
    <m/>
    <m/>
    <m/>
    <m/>
    <m/>
    <m/>
    <m/>
    <m/>
    <n v="1174395"/>
    <m/>
    <m/>
    <m/>
    <m/>
    <m/>
    <m/>
    <m/>
    <m/>
    <m/>
    <m/>
    <m/>
    <m/>
    <m/>
    <n v="1174395"/>
    <n v="0"/>
  </r>
  <r>
    <x v="15"/>
    <x v="0"/>
    <s v="West Virginia State Community &amp; Technical College"/>
    <n v="237899"/>
    <x v="8"/>
    <n v="3456441"/>
    <n v="4038673"/>
    <m/>
    <m/>
    <m/>
    <m/>
    <n v="3871299"/>
    <m/>
    <n v="3871299"/>
    <n v="4055960"/>
    <m/>
    <n v="4055960"/>
    <n v="7327740"/>
    <n v="8094633"/>
    <m/>
    <m/>
    <m/>
    <m/>
    <n v="0"/>
    <m/>
    <m/>
    <n v="0"/>
    <m/>
    <m/>
    <m/>
    <m/>
    <n v="7327740"/>
    <n v="8094633"/>
  </r>
  <r>
    <x v="15"/>
    <x v="8"/>
    <s v="Special Line items for education operations"/>
    <n v="237899"/>
    <x v="8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x v="8"/>
    <s v="College Transition Program"/>
    <n v="237899"/>
    <x v="8"/>
    <m/>
    <m/>
    <n v="33350"/>
    <m/>
    <m/>
    <m/>
    <m/>
    <m/>
    <m/>
    <m/>
    <m/>
    <m/>
    <n v="33350"/>
    <m/>
    <m/>
    <m/>
    <m/>
    <m/>
    <m/>
    <m/>
    <m/>
    <m/>
    <m/>
    <m/>
    <m/>
    <m/>
    <n v="33350"/>
    <n v="0"/>
  </r>
  <r>
    <x v="15"/>
    <x v="8"/>
    <s v="WV Advanced Workforce Development &amp; Technical  Programs"/>
    <n v="237899"/>
    <x v="8"/>
    <m/>
    <m/>
    <n v="137870"/>
    <m/>
    <m/>
    <m/>
    <m/>
    <m/>
    <m/>
    <m/>
    <m/>
    <m/>
    <n v="137870"/>
    <m/>
    <m/>
    <m/>
    <m/>
    <m/>
    <m/>
    <m/>
    <m/>
    <m/>
    <m/>
    <m/>
    <m/>
    <m/>
    <n v="137870"/>
    <n v="0"/>
  </r>
  <r>
    <x v="15"/>
    <x v="8"/>
    <s v="Allied Health Program Expansion "/>
    <n v="237899"/>
    <x v="8"/>
    <m/>
    <m/>
    <n v="935535"/>
    <m/>
    <m/>
    <m/>
    <m/>
    <m/>
    <m/>
    <m/>
    <m/>
    <m/>
    <n v="935535"/>
    <m/>
    <m/>
    <m/>
    <m/>
    <m/>
    <m/>
    <m/>
    <m/>
    <m/>
    <m/>
    <m/>
    <m/>
    <m/>
    <n v="935535"/>
    <n v="0"/>
  </r>
  <r>
    <x v="15"/>
    <x v="41"/>
    <s v="West Virginia School of Osteopathic Medicine"/>
    <n v="237880"/>
    <x v="11"/>
    <m/>
    <m/>
    <m/>
    <m/>
    <m/>
    <m/>
    <m/>
    <m/>
    <n v="0"/>
    <m/>
    <m/>
    <n v="0"/>
    <n v="0"/>
    <n v="0"/>
    <m/>
    <m/>
    <m/>
    <m/>
    <n v="0"/>
    <m/>
    <m/>
    <n v="0"/>
    <n v="7234347"/>
    <n v="7448615"/>
    <n v="22632861"/>
    <n v="23314110"/>
    <n v="29867208"/>
    <n v="30762725"/>
  </r>
  <r>
    <x v="15"/>
    <x v="8"/>
    <s v="Special Line items for education operations"/>
    <n v="237880"/>
    <x v="11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x v="8"/>
    <s v="BRIM insurance subsidy"/>
    <n v="237880"/>
    <x v="11"/>
    <m/>
    <m/>
    <m/>
    <m/>
    <m/>
    <m/>
    <m/>
    <m/>
    <n v="0"/>
    <m/>
    <m/>
    <n v="0"/>
    <n v="0"/>
    <n v="0"/>
    <m/>
    <m/>
    <m/>
    <m/>
    <n v="0"/>
    <m/>
    <m/>
    <n v="0"/>
    <n v="174475"/>
    <n v="174475"/>
    <m/>
    <m/>
    <n v="174475"/>
    <n v="174475"/>
  </r>
  <r>
    <x v="15"/>
    <x v="10"/>
    <s v="Statewide Special-Purpos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42"/>
    <s v="Community or public service uni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42"/>
    <s v="Rural Health Initiative"/>
    <m/>
    <x v="12"/>
    <m/>
    <m/>
    <m/>
    <m/>
    <m/>
    <m/>
    <m/>
    <m/>
    <n v="0"/>
    <m/>
    <m/>
    <n v="0"/>
    <n v="0"/>
    <n v="0"/>
    <n v="4301979"/>
    <n v="3860420"/>
    <m/>
    <m/>
    <n v="0"/>
    <m/>
    <m/>
    <n v="0"/>
    <m/>
    <m/>
    <m/>
    <m/>
    <n v="4301979"/>
    <n v="3860420"/>
  </r>
  <r>
    <x v="15"/>
    <x v="42"/>
    <s v="RHI Program and Site Support - Gradutate Medical Education Fiscal Oversight"/>
    <m/>
    <x v="12"/>
    <m/>
    <m/>
    <m/>
    <m/>
    <m/>
    <m/>
    <m/>
    <m/>
    <n v="0"/>
    <m/>
    <m/>
    <n v="0"/>
    <n v="0"/>
    <n v="0"/>
    <n v="102087"/>
    <n v="104915"/>
    <m/>
    <m/>
    <n v="0"/>
    <m/>
    <m/>
    <n v="0"/>
    <m/>
    <m/>
    <m/>
    <m/>
    <n v="102087"/>
    <n v="104915"/>
  </r>
  <r>
    <x v="15"/>
    <x v="42"/>
    <s v="RHI Program and Site Support - District Consortia"/>
    <m/>
    <x v="12"/>
    <m/>
    <m/>
    <m/>
    <m/>
    <m/>
    <m/>
    <m/>
    <m/>
    <n v="0"/>
    <m/>
    <m/>
    <n v="0"/>
    <n v="0"/>
    <n v="0"/>
    <n v="2410172"/>
    <n v="2410172"/>
    <m/>
    <m/>
    <n v="0"/>
    <m/>
    <m/>
    <n v="0"/>
    <m/>
    <m/>
    <m/>
    <m/>
    <n v="2410172"/>
    <n v="2410172"/>
  </r>
  <r>
    <x v="15"/>
    <x v="45"/>
    <s v="Vice Chancellor for Health Sciences/Rural Health Program Support"/>
    <m/>
    <x v="12"/>
    <m/>
    <m/>
    <m/>
    <m/>
    <m/>
    <m/>
    <m/>
    <m/>
    <n v="0"/>
    <m/>
    <m/>
    <n v="0"/>
    <n v="0"/>
    <n v="0"/>
    <n v="266842"/>
    <n v="271346"/>
    <m/>
    <m/>
    <n v="0"/>
    <m/>
    <m/>
    <n v="0"/>
    <m/>
    <m/>
    <m/>
    <m/>
    <n v="266842"/>
    <n v="271346"/>
  </r>
  <r>
    <x v="15"/>
    <x v="13"/>
    <s v="Educational special purpose funds — all other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13"/>
    <s v="College Transition Program"/>
    <m/>
    <x v="12"/>
    <m/>
    <m/>
    <s v=" "/>
    <n v="333500"/>
    <m/>
    <m/>
    <m/>
    <m/>
    <n v="0"/>
    <m/>
    <m/>
    <n v="0"/>
    <n v="0"/>
    <n v="333500"/>
    <m/>
    <m/>
    <m/>
    <m/>
    <n v="0"/>
    <m/>
    <m/>
    <n v="0"/>
    <m/>
    <m/>
    <m/>
    <m/>
    <n v="0"/>
    <n v="333500"/>
  </r>
  <r>
    <x v="15"/>
    <x v="13"/>
    <s v="Equipment Surplus Funds"/>
    <m/>
    <x v="12"/>
    <m/>
    <m/>
    <m/>
    <n v="3200000"/>
    <m/>
    <m/>
    <m/>
    <m/>
    <m/>
    <m/>
    <m/>
    <m/>
    <n v="0"/>
    <n v="3200000"/>
    <m/>
    <m/>
    <m/>
    <m/>
    <n v="0"/>
    <m/>
    <m/>
    <m/>
    <m/>
    <m/>
    <m/>
    <m/>
    <n v="0"/>
    <n v="3200000"/>
  </r>
  <r>
    <x v="15"/>
    <x v="13"/>
    <s v="Unclassified Supplemental (SB 2003)"/>
    <m/>
    <x v="12"/>
    <m/>
    <m/>
    <m/>
    <n v="680000"/>
    <m/>
    <m/>
    <m/>
    <m/>
    <m/>
    <m/>
    <m/>
    <m/>
    <n v="0"/>
    <n v="680000"/>
    <m/>
    <m/>
    <m/>
    <m/>
    <m/>
    <m/>
    <m/>
    <m/>
    <m/>
    <m/>
    <m/>
    <m/>
    <n v="0"/>
    <n v="680000"/>
  </r>
  <r>
    <x v="15"/>
    <x v="13"/>
    <s v="Supplemental Appropriation (SB 2001)"/>
    <m/>
    <x v="12"/>
    <m/>
    <m/>
    <m/>
    <n v="2000000"/>
    <m/>
    <m/>
    <m/>
    <m/>
    <m/>
    <m/>
    <m/>
    <m/>
    <n v="0"/>
    <n v="2000000"/>
    <m/>
    <m/>
    <m/>
    <m/>
    <m/>
    <m/>
    <m/>
    <m/>
    <m/>
    <m/>
    <m/>
    <m/>
    <n v="0"/>
    <n v="2000000"/>
  </r>
  <r>
    <x v="15"/>
    <x v="13"/>
    <s v="Research Challenge NonAppropriated Spending Authorization"/>
    <m/>
    <x v="12"/>
    <m/>
    <m/>
    <n v="10000000"/>
    <m/>
    <m/>
    <m/>
    <m/>
    <m/>
    <n v="0"/>
    <m/>
    <m/>
    <n v="0"/>
    <n v="10000000"/>
    <n v="0"/>
    <m/>
    <m/>
    <m/>
    <m/>
    <n v="0"/>
    <m/>
    <m/>
    <n v="0"/>
    <m/>
    <m/>
    <m/>
    <m/>
    <n v="10000000"/>
    <n v="0"/>
  </r>
  <r>
    <x v="15"/>
    <x v="13"/>
    <s v="WV Advanced Workforce Development &amp; Technical  Programs"/>
    <m/>
    <x v="12"/>
    <m/>
    <m/>
    <n v="1596688"/>
    <n v="0"/>
    <m/>
    <m/>
    <m/>
    <m/>
    <n v="0"/>
    <m/>
    <m/>
    <n v="0"/>
    <n v="1596688"/>
    <n v="0"/>
    <m/>
    <n v="7500000"/>
    <m/>
    <m/>
    <n v="0"/>
    <m/>
    <m/>
    <n v="0"/>
    <m/>
    <m/>
    <m/>
    <m/>
    <n v="1596688"/>
    <n v="7500000"/>
  </r>
  <r>
    <x v="15"/>
    <x v="13"/>
    <s v="Research Trust Fund (one time)"/>
    <m/>
    <x v="12"/>
    <m/>
    <m/>
    <n v="49535000"/>
    <n v="0"/>
    <m/>
    <m/>
    <m/>
    <m/>
    <n v="0"/>
    <m/>
    <m/>
    <n v="0"/>
    <n v="49535000"/>
    <n v="0"/>
    <m/>
    <m/>
    <m/>
    <m/>
    <n v="0"/>
    <m/>
    <m/>
    <n v="0"/>
    <m/>
    <m/>
    <m/>
    <m/>
    <n v="49535000"/>
    <n v="0"/>
  </r>
  <r>
    <x v="15"/>
    <x v="13"/>
    <s v="Energy Savings Loan Program"/>
    <m/>
    <x v="12"/>
    <m/>
    <m/>
    <n v="7000000"/>
    <n v="0"/>
    <m/>
    <m/>
    <m/>
    <m/>
    <n v="0"/>
    <m/>
    <m/>
    <n v="0"/>
    <n v="7000000"/>
    <n v="0"/>
    <m/>
    <m/>
    <m/>
    <m/>
    <n v="0"/>
    <m/>
    <m/>
    <n v="0"/>
    <m/>
    <m/>
    <m/>
    <m/>
    <n v="7000000"/>
    <n v="0"/>
  </r>
  <r>
    <x v="15"/>
    <x v="13"/>
    <s v="Allied Health Program Expansion "/>
    <m/>
    <x v="12"/>
    <m/>
    <m/>
    <n v="0"/>
    <n v="0"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13"/>
    <s v="Unclassified (Software WVU MU)"/>
    <m/>
    <x v="12"/>
    <m/>
    <m/>
    <n v="0"/>
    <n v="0"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14"/>
    <s v="Statewide System Operation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15"/>
    <s v="Colleges and universiti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15"/>
    <s v="Higher Education Policy Commission"/>
    <m/>
    <x v="12"/>
    <m/>
    <m/>
    <m/>
    <m/>
    <m/>
    <m/>
    <m/>
    <m/>
    <n v="0"/>
    <m/>
    <m/>
    <n v="0"/>
    <n v="0"/>
    <n v="0"/>
    <n v="2100984"/>
    <n v="2238019"/>
    <m/>
    <m/>
    <n v="0"/>
    <m/>
    <m/>
    <n v="0"/>
    <m/>
    <m/>
    <m/>
    <m/>
    <n v="2100984"/>
    <n v="2238019"/>
  </r>
  <r>
    <x v="15"/>
    <x v="15"/>
    <s v="WV Network for Education Telecommunications Computer Center"/>
    <m/>
    <x v="12"/>
    <m/>
    <m/>
    <m/>
    <m/>
    <m/>
    <m/>
    <m/>
    <m/>
    <n v="0"/>
    <m/>
    <m/>
    <n v="0"/>
    <n v="0"/>
    <n v="0"/>
    <n v="1915008"/>
    <n v="2072112"/>
    <m/>
    <m/>
    <n v="0"/>
    <m/>
    <m/>
    <n v="0"/>
    <m/>
    <m/>
    <m/>
    <m/>
    <n v="1915008"/>
    <n v="2072112"/>
  </r>
  <r>
    <x v="15"/>
    <x v="16"/>
    <s v="Two-year system(s), if an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16"/>
    <s v="WV Council for Community &amp; Technical Education"/>
    <m/>
    <x v="12"/>
    <m/>
    <m/>
    <m/>
    <m/>
    <m/>
    <m/>
    <m/>
    <m/>
    <n v="0"/>
    <m/>
    <m/>
    <n v="0"/>
    <n v="0"/>
    <n v="0"/>
    <n v="1413360"/>
    <n v="886664"/>
    <m/>
    <m/>
    <n v="0"/>
    <m/>
    <m/>
    <n v="0"/>
    <m/>
    <m/>
    <m/>
    <m/>
    <n v="1413360"/>
    <n v="886664"/>
  </r>
  <r>
    <x v="15"/>
    <x v="17"/>
    <s v="National or regional associations, compacts or consortia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18"/>
    <s v="Adm. of Statewide Student Aid Progs. (incldng centralized guaranteed student loans)"/>
    <m/>
    <x v="12"/>
    <m/>
    <m/>
    <m/>
    <m/>
    <m/>
    <m/>
    <m/>
    <m/>
    <n v="0"/>
    <m/>
    <m/>
    <n v="0"/>
    <n v="0"/>
    <n v="0"/>
    <n v="1534000"/>
    <n v="1166429"/>
    <m/>
    <m/>
    <n v="0"/>
    <m/>
    <m/>
    <n v="0"/>
    <m/>
    <m/>
    <m/>
    <m/>
    <n v="1534000"/>
    <n v="1166429"/>
  </r>
  <r>
    <x v="15"/>
    <x v="19"/>
    <s v="State Support to Private Colleges Other Than Student Ai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0"/>
    <s v="Contract Education Program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1"/>
    <s v="SREB contract program with private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1"/>
    <s v="Ohio College of Podiatric Medicine"/>
    <m/>
    <x v="12"/>
    <m/>
    <m/>
    <m/>
    <m/>
    <m/>
    <m/>
    <m/>
    <m/>
    <n v="0"/>
    <m/>
    <m/>
    <n v="0"/>
    <n v="0"/>
    <n v="0"/>
    <n v="17349"/>
    <n v="19509"/>
    <m/>
    <m/>
    <n v="0"/>
    <m/>
    <m/>
    <n v="0"/>
    <m/>
    <m/>
    <m/>
    <m/>
    <n v="17349"/>
    <n v="19509"/>
  </r>
  <r>
    <x v="15"/>
    <x v="21"/>
    <s v="Tuskegee University (Veterinary Medicine)"/>
    <m/>
    <x v="12"/>
    <m/>
    <m/>
    <m/>
    <m/>
    <m/>
    <m/>
    <m/>
    <m/>
    <n v="0"/>
    <m/>
    <m/>
    <n v="0"/>
    <n v="0"/>
    <n v="0"/>
    <n v="163083"/>
    <n v="147307"/>
    <m/>
    <m/>
    <n v="0"/>
    <m/>
    <m/>
    <n v="0"/>
    <m/>
    <m/>
    <m/>
    <m/>
    <n v="163083"/>
    <n v="147307"/>
  </r>
  <r>
    <x v="15"/>
    <x v="21"/>
    <s v="Southern College of Optometry"/>
    <m/>
    <x v="12"/>
    <m/>
    <m/>
    <m/>
    <m/>
    <m/>
    <m/>
    <m/>
    <m/>
    <n v="0"/>
    <m/>
    <m/>
    <n v="0"/>
    <n v="0"/>
    <n v="0"/>
    <n v="166554"/>
    <n v="129218"/>
    <m/>
    <m/>
    <n v="0"/>
    <m/>
    <m/>
    <n v="0"/>
    <m/>
    <m/>
    <m/>
    <m/>
    <n v="166554"/>
    <n v="129218"/>
  </r>
  <r>
    <x v="15"/>
    <x v="22"/>
    <s v="SREB contract program with public college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2"/>
    <s v="University of Georgia (Veterinary Medicine)"/>
    <m/>
    <x v="12"/>
    <m/>
    <m/>
    <m/>
    <m/>
    <m/>
    <m/>
    <m/>
    <m/>
    <n v="0"/>
    <m/>
    <m/>
    <n v="0"/>
    <n v="0"/>
    <n v="0"/>
    <n v="469452"/>
    <n v="510405"/>
    <m/>
    <m/>
    <n v="0"/>
    <m/>
    <m/>
    <n v="0"/>
    <m/>
    <m/>
    <m/>
    <m/>
    <n v="469452"/>
    <n v="510405"/>
  </r>
  <r>
    <x v="15"/>
    <x v="23"/>
    <s v="Other contract education programs"/>
    <m/>
    <x v="12"/>
    <m/>
    <m/>
    <m/>
    <m/>
    <m/>
    <m/>
    <m/>
    <m/>
    <n v="0"/>
    <m/>
    <m/>
    <n v="0"/>
    <n v="0"/>
    <n v="0"/>
    <n v="204110"/>
    <n v="214370"/>
    <m/>
    <m/>
    <n v="0"/>
    <m/>
    <m/>
    <n v="0"/>
    <m/>
    <m/>
    <m/>
    <m/>
    <n v="204110"/>
    <n v="214370"/>
  </r>
  <r>
    <x v="15"/>
    <x v="24"/>
    <s v="Statewide Student Financial Aid Programs Administered Off Campu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5"/>
    <s v="Available to public &amp;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5"/>
    <s v="Higher Education Grant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9"/>
    <s v="Need-based"/>
    <m/>
    <x v="12"/>
    <m/>
    <m/>
    <m/>
    <m/>
    <m/>
    <m/>
    <m/>
    <m/>
    <n v="0"/>
    <m/>
    <m/>
    <n v="0"/>
    <n v="0"/>
    <n v="0"/>
    <n v="27398300"/>
    <n v="28291709"/>
    <m/>
    <m/>
    <n v="0"/>
    <m/>
    <m/>
    <n v="0"/>
    <m/>
    <m/>
    <m/>
    <m/>
    <n v="27398300"/>
    <n v="28291709"/>
  </r>
  <r>
    <x v="15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2"/>
    <s v="Need-based"/>
    <m/>
    <x v="12"/>
    <m/>
    <m/>
    <m/>
    <m/>
    <m/>
    <m/>
    <m/>
    <m/>
    <n v="0"/>
    <m/>
    <m/>
    <n v="0"/>
    <n v="0"/>
    <n v="0"/>
    <n v="5611700"/>
    <n v="4763084"/>
    <m/>
    <m/>
    <n v="0"/>
    <m/>
    <m/>
    <n v="0"/>
    <m/>
    <m/>
    <m/>
    <m/>
    <n v="5611700"/>
    <n v="4763084"/>
  </r>
  <r>
    <x v="15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5"/>
    <s v="PROMISE Scholarship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0"/>
    <s v="Non need-based"/>
    <m/>
    <x v="12"/>
    <m/>
    <m/>
    <m/>
    <m/>
    <m/>
    <m/>
    <m/>
    <m/>
    <n v="0"/>
    <m/>
    <m/>
    <n v="0"/>
    <n v="0"/>
    <n v="0"/>
    <n v="37785200"/>
    <n v="37175664"/>
    <m/>
    <m/>
    <n v="0"/>
    <m/>
    <m/>
    <n v="0"/>
    <m/>
    <m/>
    <m/>
    <m/>
    <n v="37785200"/>
    <n v="37175664"/>
  </r>
  <r>
    <x v="15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3"/>
    <s v="Non need-based"/>
    <m/>
    <x v="12"/>
    <m/>
    <m/>
    <m/>
    <m/>
    <m/>
    <m/>
    <m/>
    <m/>
    <n v="0"/>
    <m/>
    <m/>
    <n v="0"/>
    <n v="0"/>
    <n v="0"/>
    <n v="4037800"/>
    <n v="3968094"/>
    <m/>
    <m/>
    <n v="0"/>
    <m/>
    <m/>
    <n v="0"/>
    <m/>
    <m/>
    <m/>
    <m/>
    <n v="4037800"/>
    <n v="3968094"/>
  </r>
  <r>
    <x v="15"/>
    <x v="25"/>
    <s v="SREB Minority Doctoral Fellows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9"/>
    <s v="Need-based"/>
    <m/>
    <x v="12"/>
    <m/>
    <m/>
    <m/>
    <m/>
    <m/>
    <m/>
    <m/>
    <m/>
    <n v="0"/>
    <m/>
    <m/>
    <n v="0"/>
    <n v="0"/>
    <n v="0"/>
    <n v="150000"/>
    <n v="150000"/>
    <m/>
    <m/>
    <n v="0"/>
    <m/>
    <m/>
    <n v="0"/>
    <m/>
    <m/>
    <m/>
    <m/>
    <n v="150000"/>
    <n v="150000"/>
  </r>
  <r>
    <x v="15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5"/>
    <s v="Underwood-Smith Teacher Scholarship Fun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0"/>
    <s v="Non need-based"/>
    <m/>
    <x v="12"/>
    <m/>
    <m/>
    <m/>
    <m/>
    <m/>
    <m/>
    <m/>
    <m/>
    <n v="0"/>
    <m/>
    <m/>
    <n v="0"/>
    <n v="0"/>
    <n v="0"/>
    <n v="119971"/>
    <n v="130034"/>
    <m/>
    <m/>
    <n v="0"/>
    <m/>
    <m/>
    <n v="0"/>
    <m/>
    <m/>
    <m/>
    <m/>
    <n v="119971"/>
    <n v="130034"/>
  </r>
  <r>
    <x v="15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3"/>
    <s v="Non need-based"/>
    <m/>
    <x v="12"/>
    <m/>
    <m/>
    <m/>
    <m/>
    <m/>
    <m/>
    <m/>
    <m/>
    <n v="0"/>
    <m/>
    <m/>
    <n v="0"/>
    <n v="0"/>
    <n v="0"/>
    <n v="21171"/>
    <n v="11108"/>
    <m/>
    <m/>
    <n v="0"/>
    <m/>
    <m/>
    <n v="0"/>
    <m/>
    <m/>
    <m/>
    <m/>
    <n v="21171"/>
    <n v="11108"/>
  </r>
  <r>
    <x v="15"/>
    <x v="25"/>
    <s v="WV Engineering Science Technology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0"/>
    <s v="Non need-based"/>
    <m/>
    <x v="12"/>
    <m/>
    <m/>
    <m/>
    <m/>
    <m/>
    <m/>
    <m/>
    <m/>
    <n v="0"/>
    <m/>
    <m/>
    <n v="0"/>
    <n v="0"/>
    <n v="0"/>
    <n v="456359"/>
    <n v="457629"/>
    <m/>
    <m/>
    <n v="0"/>
    <m/>
    <m/>
    <n v="0"/>
    <m/>
    <m/>
    <m/>
    <m/>
    <n v="456359"/>
    <n v="457629"/>
  </r>
  <r>
    <x v="15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3"/>
    <s v="Non need-based"/>
    <m/>
    <x v="12"/>
    <m/>
    <m/>
    <m/>
    <m/>
    <m/>
    <m/>
    <m/>
    <m/>
    <n v="0"/>
    <m/>
    <m/>
    <n v="0"/>
    <n v="0"/>
    <n v="0"/>
    <n v="14114"/>
    <n v="12844"/>
    <m/>
    <m/>
    <n v="0"/>
    <m/>
    <m/>
    <n v="0"/>
    <m/>
    <m/>
    <m/>
    <m/>
    <n v="14114"/>
    <n v="12844"/>
  </r>
  <r>
    <x v="15"/>
    <x v="25"/>
    <s v="Health Sciences Scholarship Fun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9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0"/>
    <s v="Non need-based"/>
    <m/>
    <x v="12"/>
    <m/>
    <m/>
    <m/>
    <m/>
    <m/>
    <m/>
    <m/>
    <m/>
    <n v="0"/>
    <m/>
    <m/>
    <n v="0"/>
    <n v="0"/>
    <n v="0"/>
    <n v="133418"/>
    <n v="234200"/>
    <m/>
    <m/>
    <n v="0"/>
    <m/>
    <m/>
    <n v="0"/>
    <m/>
    <m/>
    <m/>
    <m/>
    <n v="133418"/>
    <n v="234200"/>
  </r>
  <r>
    <x v="15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2"/>
    <s v="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3"/>
    <s v="Non need-based"/>
    <m/>
    <x v="12"/>
    <m/>
    <m/>
    <m/>
    <m/>
    <m/>
    <m/>
    <m/>
    <m/>
    <n v="0"/>
    <m/>
    <m/>
    <n v="0"/>
    <n v="0"/>
    <n v="0"/>
    <n v="16490"/>
    <n v="16587"/>
    <m/>
    <m/>
    <n v="0"/>
    <m/>
    <m/>
    <n v="0"/>
    <m/>
    <m/>
    <m/>
    <m/>
    <n v="16490"/>
    <n v="16587"/>
  </r>
  <r>
    <x v="15"/>
    <x v="25"/>
    <s v="HEAPS Grant Program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8"/>
    <s v="Amount to public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29"/>
    <s v="Need-based"/>
    <m/>
    <x v="12"/>
    <m/>
    <m/>
    <m/>
    <m/>
    <m/>
    <m/>
    <m/>
    <m/>
    <n v="0"/>
    <m/>
    <m/>
    <n v="0"/>
    <n v="0"/>
    <n v="0"/>
    <n v="5351090"/>
    <n v="4665390"/>
    <m/>
    <m/>
    <n v="0"/>
    <m/>
    <m/>
    <n v="0"/>
    <m/>
    <m/>
    <m/>
    <m/>
    <n v="5351090"/>
    <n v="4665390"/>
  </r>
  <r>
    <x v="15"/>
    <x v="30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1"/>
    <s v="Amount to private sector students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2"/>
    <s v="Need-based"/>
    <m/>
    <x v="12"/>
    <m/>
    <m/>
    <m/>
    <m/>
    <m/>
    <m/>
    <m/>
    <m/>
    <n v="0"/>
    <m/>
    <m/>
    <n v="0"/>
    <n v="0"/>
    <n v="0"/>
    <n v="529229"/>
    <n v="249326"/>
    <m/>
    <m/>
    <n v="0"/>
    <m/>
    <m/>
    <n v="0"/>
    <m/>
    <m/>
    <m/>
    <m/>
    <n v="529229"/>
    <n v="249326"/>
  </r>
  <r>
    <x v="15"/>
    <x v="33"/>
    <s v="Non need-base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4"/>
    <s v="Limited to public college students onl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5"/>
    <s v="Need-based"/>
    <m/>
    <x v="12"/>
    <m/>
    <m/>
    <m/>
    <m/>
    <m/>
    <m/>
    <m/>
    <m/>
    <n v="0"/>
    <m/>
    <m/>
    <n v="0"/>
    <n v="0"/>
    <n v="0"/>
    <s v="na"/>
    <s v="na"/>
    <m/>
    <m/>
    <n v="0"/>
    <m/>
    <m/>
    <n v="0"/>
    <m/>
    <m/>
    <m/>
    <m/>
    <n v="0"/>
    <n v="0"/>
  </r>
  <r>
    <x v="15"/>
    <x v="36"/>
    <s v="Non need-based"/>
    <m/>
    <x v="12"/>
    <m/>
    <m/>
    <m/>
    <m/>
    <m/>
    <m/>
    <m/>
    <m/>
    <n v="0"/>
    <m/>
    <m/>
    <n v="0"/>
    <n v="0"/>
    <n v="0"/>
    <s v="na"/>
    <s v="na"/>
    <m/>
    <m/>
    <n v="0"/>
    <m/>
    <m/>
    <n v="0"/>
    <m/>
    <m/>
    <m/>
    <m/>
    <n v="0"/>
    <n v="0"/>
  </r>
  <r>
    <x v="15"/>
    <x v="34"/>
    <s v="Limited to private college students only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0"/>
    <n v="0"/>
  </r>
  <r>
    <x v="15"/>
    <x v="35"/>
    <s v="Need-based"/>
    <m/>
    <x v="12"/>
    <m/>
    <m/>
    <m/>
    <m/>
    <m/>
    <m/>
    <m/>
    <m/>
    <n v="0"/>
    <m/>
    <m/>
    <n v="0"/>
    <n v="0"/>
    <n v="0"/>
    <s v="na"/>
    <s v="na"/>
    <m/>
    <m/>
    <n v="0"/>
    <m/>
    <m/>
    <n v="0"/>
    <m/>
    <m/>
    <m/>
    <m/>
    <n v="0"/>
    <n v="0"/>
  </r>
  <r>
    <x v="15"/>
    <x v="36"/>
    <s v="Non need-based"/>
    <m/>
    <x v="12"/>
    <m/>
    <m/>
    <m/>
    <m/>
    <m/>
    <m/>
    <m/>
    <m/>
    <n v="0"/>
    <m/>
    <m/>
    <n v="0"/>
    <n v="0"/>
    <n v="0"/>
    <s v="na"/>
    <s v="na"/>
    <m/>
    <m/>
    <n v="0"/>
    <m/>
    <m/>
    <n v="0"/>
    <m/>
    <m/>
    <m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7" dataOnRows="1" applyNumberFormats="0" applyBorderFormats="0" applyFontFormats="0" applyPatternFormats="0" applyAlignmentFormats="0" applyWidthHeightFormats="1" dataCaption="Data" updatedVersion="3" minRefreshableVersion="3" asteriskTotals="1" showMultipleLabel="0" showMemberPropertyTips="0" useAutoFormatting="1" itemPrintTitles="1" createdVersion="3" indent="0" compact="0" compactData="0" gridDropZones="1">
  <location ref="C2:U150" firstHeaderRow="1" firstDataRow="2" firstDataCol="2"/>
  <pivotFields count="49">
    <pivotField axis="axisCol" compact="0" outline="0" subtotalTop="0" showAll="0" includeNewItemsInFilter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16"/>
        <item t="default"/>
      </items>
    </pivotField>
    <pivotField axis="axisRow" compact="0" outline="0" subtotalTop="0" showAll="0" includeNewItemsInFilter="1">
      <items count="50">
        <item n="1A" x="0"/>
        <item n="1B" x="2"/>
        <item n="1B1" x="3"/>
        <item n="1B2" x="4"/>
        <item n="1B3" x="5"/>
        <item n="1B4" x="6"/>
        <item n="1B5" x="43"/>
        <item n="1B6" x="7"/>
        <item n="1B7" x="8"/>
        <item n="1C" x="10"/>
        <item n="1C1" x="42"/>
        <item n="1C2" x="45"/>
        <item n="1C3" x="40"/>
        <item x="44"/>
        <item n="1C5" x="46"/>
        <item n="1C6" x="11"/>
        <item n="1C7" x="12"/>
        <item n="1G" x="13"/>
        <item n="1D" x="1"/>
        <item n="1E" x="41"/>
        <item n="1F" x="9"/>
        <item n="2A" x="14"/>
        <item n="2A1" x="15"/>
        <item n="2A2" x="16"/>
        <item n="2A3" x="17"/>
        <item n="2A4" x="18"/>
        <item n="2B" x="19"/>
        <item n="2C" x="20"/>
        <item n="2C1" x="21"/>
        <item n="2C2" x="22"/>
        <item n="2C3" x="23"/>
        <item n="2D" x="24"/>
        <item n="2D1" x="25"/>
        <item n="2D1a" x="26"/>
        <item n="2D1b" x="27"/>
        <item n="2D1c" x="28"/>
        <item n="2D1c1" x="29"/>
        <item n="2D1c2" x="30"/>
        <item n="2D1d" x="31"/>
        <item n="2D1d1" x="32"/>
        <item n="2D1d2" x="33"/>
        <item n="2D2" x="34"/>
        <item n="2D2a" x="35"/>
        <item n="2D2b" x="36"/>
        <item n="2D3" x="37"/>
        <item n="2D3a" x="38"/>
        <item n="2D3b" x="39"/>
        <item m="1" x="48"/>
        <item x="4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18">
        <item x="0"/>
        <item x="1"/>
        <item x="2"/>
        <item x="3"/>
        <item x="4"/>
        <item x="5"/>
        <item x="13"/>
        <item x="6"/>
        <item x="7"/>
        <item x="8"/>
        <item x="15"/>
        <item x="9"/>
        <item x="10"/>
        <item m="1" x="16"/>
        <item x="14"/>
        <item x="11"/>
        <item x="12"/>
        <item t="default"/>
      </items>
    </pivotField>
    <pivotField compact="0" numFmtId="37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37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37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showAll="0" includeNewItemsInFilter="1" defaultSubtotal="0">
      <items count="6">
        <item x="0"/>
        <item x="1"/>
        <item x="2"/>
        <item x="3"/>
        <item x="4"/>
        <item x="5"/>
      </items>
    </pivotField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1"/>
    <field x="-2"/>
  </rowFields>
  <rowItems count="147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  <i>
      <x v="12"/>
      <x/>
    </i>
    <i r="1" i="1">
      <x v="1"/>
    </i>
    <i r="1" i="2">
      <x v="2"/>
    </i>
    <i>
      <x v="13"/>
      <x/>
    </i>
    <i r="1" i="1">
      <x v="1"/>
    </i>
    <i r="1" i="2">
      <x v="2"/>
    </i>
    <i>
      <x v="14"/>
      <x/>
    </i>
    <i r="1" i="1">
      <x v="1"/>
    </i>
    <i r="1" i="2">
      <x v="2"/>
    </i>
    <i>
      <x v="15"/>
      <x/>
    </i>
    <i r="1" i="1">
      <x v="1"/>
    </i>
    <i r="1" i="2">
      <x v="2"/>
    </i>
    <i>
      <x v="16"/>
      <x/>
    </i>
    <i r="1" i="1">
      <x v="1"/>
    </i>
    <i r="1" i="2">
      <x v="2"/>
    </i>
    <i>
      <x v="17"/>
      <x/>
    </i>
    <i r="1" i="1">
      <x v="1"/>
    </i>
    <i r="1" i="2">
      <x v="2"/>
    </i>
    <i>
      <x v="18"/>
      <x/>
    </i>
    <i r="1" i="1">
      <x v="1"/>
    </i>
    <i r="1" i="2">
      <x v="2"/>
    </i>
    <i>
      <x v="19"/>
      <x/>
    </i>
    <i r="1" i="1">
      <x v="1"/>
    </i>
    <i r="1" i="2">
      <x v="2"/>
    </i>
    <i>
      <x v="20"/>
      <x/>
    </i>
    <i r="1" i="1">
      <x v="1"/>
    </i>
    <i r="1" i="2">
      <x v="2"/>
    </i>
    <i>
      <x v="21"/>
      <x/>
    </i>
    <i r="1" i="1">
      <x v="1"/>
    </i>
    <i r="1" i="2">
      <x v="2"/>
    </i>
    <i>
      <x v="22"/>
      <x/>
    </i>
    <i r="1" i="1">
      <x v="1"/>
    </i>
    <i r="1" i="2">
      <x v="2"/>
    </i>
    <i>
      <x v="23"/>
      <x/>
    </i>
    <i r="1" i="1">
      <x v="1"/>
    </i>
    <i r="1" i="2">
      <x v="2"/>
    </i>
    <i>
      <x v="24"/>
      <x/>
    </i>
    <i r="1" i="1">
      <x v="1"/>
    </i>
    <i r="1" i="2">
      <x v="2"/>
    </i>
    <i>
      <x v="25"/>
      <x/>
    </i>
    <i r="1" i="1">
      <x v="1"/>
    </i>
    <i r="1" i="2">
      <x v="2"/>
    </i>
    <i>
      <x v="26"/>
      <x/>
    </i>
    <i r="1" i="1">
      <x v="1"/>
    </i>
    <i r="1" i="2">
      <x v="2"/>
    </i>
    <i>
      <x v="27"/>
      <x/>
    </i>
    <i r="1" i="1">
      <x v="1"/>
    </i>
    <i r="1" i="2">
      <x v="2"/>
    </i>
    <i>
      <x v="28"/>
      <x/>
    </i>
    <i r="1" i="1">
      <x v="1"/>
    </i>
    <i r="1" i="2">
      <x v="2"/>
    </i>
    <i>
      <x v="29"/>
      <x/>
    </i>
    <i r="1" i="1">
      <x v="1"/>
    </i>
    <i r="1" i="2">
      <x v="2"/>
    </i>
    <i>
      <x v="30"/>
      <x/>
    </i>
    <i r="1" i="1">
      <x v="1"/>
    </i>
    <i r="1" i="2">
      <x v="2"/>
    </i>
    <i>
      <x v="31"/>
      <x/>
    </i>
    <i r="1" i="1">
      <x v="1"/>
    </i>
    <i r="1" i="2">
      <x v="2"/>
    </i>
    <i>
      <x v="32"/>
      <x/>
    </i>
    <i r="1" i="1">
      <x v="1"/>
    </i>
    <i r="1" i="2">
      <x v="2"/>
    </i>
    <i>
      <x v="33"/>
      <x/>
    </i>
    <i r="1" i="1">
      <x v="1"/>
    </i>
    <i r="1" i="2">
      <x v="2"/>
    </i>
    <i>
      <x v="34"/>
      <x/>
    </i>
    <i r="1" i="1">
      <x v="1"/>
    </i>
    <i r="1" i="2">
      <x v="2"/>
    </i>
    <i>
      <x v="35"/>
      <x/>
    </i>
    <i r="1" i="1">
      <x v="1"/>
    </i>
    <i r="1" i="2">
      <x v="2"/>
    </i>
    <i>
      <x v="36"/>
      <x/>
    </i>
    <i r="1" i="1">
      <x v="1"/>
    </i>
    <i r="1" i="2">
      <x v="2"/>
    </i>
    <i>
      <x v="37"/>
      <x/>
    </i>
    <i r="1" i="1">
      <x v="1"/>
    </i>
    <i r="1" i="2">
      <x v="2"/>
    </i>
    <i>
      <x v="38"/>
      <x/>
    </i>
    <i r="1" i="1">
      <x v="1"/>
    </i>
    <i r="1" i="2">
      <x v="2"/>
    </i>
    <i>
      <x v="39"/>
      <x/>
    </i>
    <i r="1" i="1">
      <x v="1"/>
    </i>
    <i r="1" i="2">
      <x v="2"/>
    </i>
    <i>
      <x v="40"/>
      <x/>
    </i>
    <i r="1" i="1">
      <x v="1"/>
    </i>
    <i r="1" i="2">
      <x v="2"/>
    </i>
    <i>
      <x v="41"/>
      <x/>
    </i>
    <i r="1" i="1">
      <x v="1"/>
    </i>
    <i r="1" i="2">
      <x v="2"/>
    </i>
    <i>
      <x v="42"/>
      <x/>
    </i>
    <i r="1" i="1">
      <x v="1"/>
    </i>
    <i r="1" i="2">
      <x v="2"/>
    </i>
    <i>
      <x v="43"/>
      <x/>
    </i>
    <i r="1" i="1">
      <x v="1"/>
    </i>
    <i r="1" i="2">
      <x v="2"/>
    </i>
    <i>
      <x v="44"/>
      <x/>
    </i>
    <i r="1" i="1">
      <x v="1"/>
    </i>
    <i r="1" i="2">
      <x v="2"/>
    </i>
    <i>
      <x v="45"/>
      <x/>
    </i>
    <i r="1" i="1">
      <x v="1"/>
    </i>
    <i r="1" i="2">
      <x v="2"/>
    </i>
    <i>
      <x v="46"/>
      <x/>
    </i>
    <i r="1" i="1">
      <x v="1"/>
    </i>
    <i r="1" i="2">
      <x v="2"/>
    </i>
    <i>
      <x v="48"/>
      <x/>
    </i>
    <i r="1" i="1">
      <x v="1"/>
    </i>
    <i r="1" i="2">
      <x v="2"/>
    </i>
    <i t="grand">
      <x/>
    </i>
    <i t="grand" i="1">
      <x/>
    </i>
    <i t="grand" i="2">
      <x/>
    </i>
  </rowItems>
  <colFields count="1">
    <field x="0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dataFields count="3">
    <dataField name="Total-Old" fld="31" baseField="0" baseItem="0" numFmtId="37"/>
    <dataField name="Total-New" fld="32" baseField="0" baseItem="0" numFmtId="37"/>
    <dataField name=" % Change" fld="48" baseField="0" baseItem="0" numFmtId="37"/>
  </dataFields>
  <formats count="488">
    <format dxfId="2354">
      <pivotArea type="origin" dataOnly="0" labelOnly="1" outline="0" fieldPosition="0"/>
    </format>
    <format dxfId="2353">
      <pivotArea type="all" dataOnly="0" labelOnly="1" outline="0" fieldPosition="0"/>
    </format>
    <format dxfId="2352">
      <pivotArea dataOnly="0" labelOnly="1" outline="0" offset="IV1" fieldPosition="0">
        <references count="1">
          <reference field="1" count="1">
            <x v="35"/>
          </reference>
        </references>
      </pivotArea>
    </format>
    <format dxfId="2351">
      <pivotArea dataOnly="0" labelOnly="1" outline="0" fieldPosition="0">
        <references count="1">
          <reference field="1" count="3">
            <x v="35"/>
            <x v="36"/>
            <x v="37"/>
          </reference>
        </references>
      </pivotArea>
    </format>
    <format dxfId="2350">
      <pivotArea dataOnly="0" labelOnly="1" outline="0" fieldPosition="0">
        <references count="1">
          <reference field="1" count="3">
            <x v="41"/>
            <x v="42"/>
            <x v="43"/>
          </reference>
        </references>
      </pivotArea>
    </format>
    <format dxfId="2349">
      <pivotArea dataOnly="0" labelOnly="1" outline="0" fieldPosition="0">
        <references count="1">
          <reference field="0" count="0"/>
        </references>
      </pivotArea>
    </format>
    <format dxfId="2348">
      <pivotArea dataOnly="0" labelOnly="1" grandCol="1" outline="0" fieldPosition="0"/>
    </format>
    <format dxfId="2347">
      <pivotArea outline="0" fieldPosition="0">
        <references count="1">
          <reference field="0" count="1" selected="0">
            <x v="6"/>
          </reference>
        </references>
      </pivotArea>
    </format>
    <format dxfId="2346">
      <pivotArea type="topRight" dataOnly="0" labelOnly="1" outline="0" offset="F1" fieldPosition="0"/>
    </format>
    <format dxfId="2345">
      <pivotArea dataOnly="0" labelOnly="1" outline="0" fieldPosition="0">
        <references count="1">
          <reference field="0" count="1">
            <x v="6"/>
          </reference>
        </references>
      </pivotArea>
    </format>
    <format dxfId="2344">
      <pivotArea outline="0" fieldPosition="0">
        <references count="1">
          <reference field="0" count="1" selected="0">
            <x v="3"/>
          </reference>
        </references>
      </pivotArea>
    </format>
    <format dxfId="2343">
      <pivotArea type="topRight" dataOnly="0" labelOnly="1" outline="0" offset="C1" fieldPosition="0"/>
    </format>
    <format dxfId="2342">
      <pivotArea dataOnly="0" labelOnly="1" outline="0" fieldPosition="0">
        <references count="1">
          <reference field="0" count="1">
            <x v="3"/>
          </reference>
        </references>
      </pivotArea>
    </format>
    <format dxfId="2341">
      <pivotArea outline="0" fieldPosition="0">
        <references count="1">
          <reference field="0" count="1" selected="0">
            <x v="3"/>
          </reference>
        </references>
      </pivotArea>
    </format>
    <format dxfId="2340">
      <pivotArea type="topRight" dataOnly="0" labelOnly="1" outline="0" offset="C1" fieldPosition="0"/>
    </format>
    <format dxfId="2339">
      <pivotArea dataOnly="0" labelOnly="1" outline="0" fieldPosition="0">
        <references count="1">
          <reference field="0" count="1">
            <x v="3"/>
          </reference>
        </references>
      </pivotArea>
    </format>
    <format dxfId="2338">
      <pivotArea outline="0" fieldPosition="0">
        <references count="1">
          <reference field="0" count="1" selected="0">
            <x v="6"/>
          </reference>
        </references>
      </pivotArea>
    </format>
    <format dxfId="2337">
      <pivotArea type="topRight" dataOnly="0" labelOnly="1" outline="0" offset="F1" fieldPosition="0"/>
    </format>
    <format dxfId="2336">
      <pivotArea dataOnly="0" labelOnly="1" outline="0" fieldPosition="0">
        <references count="1">
          <reference field="0" count="1">
            <x v="6"/>
          </reference>
        </references>
      </pivotArea>
    </format>
    <format dxfId="2335">
      <pivotArea type="all" dataOnly="0" outline="0" fieldPosition="0"/>
    </format>
    <format dxfId="2334">
      <pivotArea outline="0" fieldPosition="0">
        <references count="1">
          <reference field="1" count="9" selected="0">
            <x v="35"/>
            <x v="36"/>
            <x v="37"/>
            <x v="38"/>
            <x v="39"/>
            <x v="40"/>
            <x v="41"/>
            <x v="42"/>
            <x v="43"/>
          </reference>
        </references>
      </pivotArea>
    </format>
    <format dxfId="2333">
      <pivotArea outline="0" fieldPosition="0">
        <references count="2">
          <reference field="4294967294" count="1" selected="0">
            <x v="0"/>
          </reference>
          <reference field="1" count="1" selected="0">
            <x v="44"/>
          </reference>
        </references>
      </pivotArea>
    </format>
    <format dxfId="2332">
      <pivotArea dataOnly="0" labelOnly="1" outline="0" fieldPosition="0">
        <references count="1">
          <reference field="1" count="9">
            <x v="35"/>
            <x v="36"/>
            <x v="37"/>
            <x v="38"/>
            <x v="39"/>
            <x v="40"/>
            <x v="41"/>
            <x v="42"/>
            <x v="43"/>
          </reference>
        </references>
      </pivotArea>
    </format>
    <format dxfId="2331">
      <pivotArea dataOnly="0" labelOnly="1" outline="0" offset="IV1" fieldPosition="0">
        <references count="1">
          <reference field="1" count="1">
            <x v="44"/>
          </reference>
        </references>
      </pivotArea>
    </format>
    <format dxfId="2330">
      <pivotArea dataOnly="0" labelOnly="1" outline="0" fieldPosition="0">
        <references count="2">
          <reference field="4294967294" count="0"/>
          <reference field="1" count="1" selected="0">
            <x v="35"/>
          </reference>
        </references>
      </pivotArea>
    </format>
    <format dxfId="2329">
      <pivotArea dataOnly="0" labelOnly="1" outline="0" fieldPosition="0">
        <references count="2">
          <reference field="4294967294" count="0"/>
          <reference field="1" count="1" selected="0">
            <x v="36"/>
          </reference>
        </references>
      </pivotArea>
    </format>
    <format dxfId="2328">
      <pivotArea dataOnly="0" labelOnly="1" outline="0" fieldPosition="0">
        <references count="2">
          <reference field="4294967294" count="0"/>
          <reference field="1" count="1" selected="0">
            <x v="37"/>
          </reference>
        </references>
      </pivotArea>
    </format>
    <format dxfId="2327">
      <pivotArea dataOnly="0" labelOnly="1" outline="0" fieldPosition="0">
        <references count="2">
          <reference field="4294967294" count="0"/>
          <reference field="1" count="1" selected="0">
            <x v="38"/>
          </reference>
        </references>
      </pivotArea>
    </format>
    <format dxfId="2326">
      <pivotArea dataOnly="0" labelOnly="1" outline="0" fieldPosition="0">
        <references count="2">
          <reference field="4294967294" count="0"/>
          <reference field="1" count="1" selected="0">
            <x v="39"/>
          </reference>
        </references>
      </pivotArea>
    </format>
    <format dxfId="2325">
      <pivotArea dataOnly="0" labelOnly="1" outline="0" fieldPosition="0">
        <references count="2">
          <reference field="4294967294" count="0"/>
          <reference field="1" count="1" selected="0">
            <x v="40"/>
          </reference>
        </references>
      </pivotArea>
    </format>
    <format dxfId="2324">
      <pivotArea dataOnly="0" labelOnly="1" outline="0" fieldPosition="0">
        <references count="2">
          <reference field="4294967294" count="0"/>
          <reference field="1" count="1" selected="0">
            <x v="41"/>
          </reference>
        </references>
      </pivotArea>
    </format>
    <format dxfId="2323">
      <pivotArea dataOnly="0" labelOnly="1" outline="0" fieldPosition="0">
        <references count="2">
          <reference field="4294967294" count="0"/>
          <reference field="1" count="1" selected="0">
            <x v="42"/>
          </reference>
        </references>
      </pivotArea>
    </format>
    <format dxfId="2322">
      <pivotArea dataOnly="0" labelOnly="1" outline="0" fieldPosition="0">
        <references count="2">
          <reference field="4294967294" count="0"/>
          <reference field="1" count="1" selected="0">
            <x v="43"/>
          </reference>
        </references>
      </pivotArea>
    </format>
    <format dxfId="232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4"/>
          </reference>
        </references>
      </pivotArea>
    </format>
    <format dxfId="2320">
      <pivotArea dataOnly="0" labelOnly="1" outline="0" fieldPosition="0">
        <references count="2">
          <reference field="4294967294" count="2">
            <x v="0"/>
            <x v="1"/>
          </reference>
          <reference field="1" count="1" selected="0">
            <x v="0"/>
          </reference>
        </references>
      </pivotArea>
    </format>
    <format dxfId="2319">
      <pivotArea type="all" dataOnly="0" outline="0" fieldPosition="0"/>
    </format>
    <format dxfId="2318">
      <pivotArea field="1" grandRow="1" outline="0" axis="axisRow" fieldPosition="0">
        <references count="1">
          <reference field="4294967294" count="0" selected="0"/>
        </references>
      </pivotArea>
    </format>
    <format dxfId="2317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316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315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314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313">
      <pivotArea grandRow="1" grandCol="1" outline="0" fieldPosition="0">
        <references count="1">
          <reference field="4294967294" count="0" selected="0"/>
        </references>
      </pivotArea>
    </format>
    <format dxfId="2312">
      <pivotArea outline="0" fieldPosition="0">
        <references count="2">
          <reference field="0" count="1" selected="0">
            <x v="4"/>
          </reference>
          <reference field="1" count="1" selected="0">
            <x v="2"/>
          </reference>
        </references>
      </pivotArea>
    </format>
    <format dxfId="2311">
      <pivotArea outline="0" fieldPosition="0">
        <references count="2">
          <reference field="0" count="1" selected="0">
            <x v="2"/>
          </reference>
          <reference field="1" count="1" selected="0">
            <x v="4"/>
          </reference>
        </references>
      </pivotArea>
    </format>
    <format dxfId="2310">
      <pivotArea outline="0" fieldPosition="0">
        <references count="2">
          <reference field="0" count="1" selected="0">
            <x v="7"/>
          </reference>
          <reference field="1" count="1" selected="0">
            <x v="7"/>
          </reference>
        </references>
      </pivotArea>
    </format>
    <format dxfId="2309">
      <pivotArea outline="0" fieldPosition="0">
        <references count="2">
          <reference field="0" count="1" selected="0">
            <x v="3"/>
          </reference>
          <reference field="1" count="1" selected="0">
            <x v="8"/>
          </reference>
        </references>
      </pivotArea>
    </format>
    <format dxfId="2308">
      <pivotArea outline="0" fieldPosition="0">
        <references count="2">
          <reference field="0" count="1" selected="0">
            <x v="1"/>
          </reference>
          <reference field="1" count="1" selected="0">
            <x v="15"/>
          </reference>
        </references>
      </pivotArea>
    </format>
    <format dxfId="2307">
      <pivotArea outline="0" fieldPosition="0">
        <references count="2">
          <reference field="0" count="1" selected="0">
            <x v="3"/>
          </reference>
          <reference field="1" count="1" selected="0">
            <x v="15"/>
          </reference>
        </references>
      </pivotArea>
    </format>
    <format dxfId="2306">
      <pivotArea outline="0" fieldPosition="0">
        <references count="2">
          <reference field="0" count="1" selected="0">
            <x v="3"/>
          </reference>
          <reference field="1" count="1" selected="0">
            <x v="16"/>
          </reference>
        </references>
      </pivotArea>
    </format>
    <format dxfId="2305">
      <pivotArea outline="0" fieldPosition="0">
        <references count="2">
          <reference field="0" count="1" selected="0">
            <x v="3"/>
          </reference>
          <reference field="1" count="1" selected="0">
            <x v="17"/>
          </reference>
        </references>
      </pivotArea>
    </format>
    <format dxfId="2304">
      <pivotArea outline="0" fieldPosition="0">
        <references count="2">
          <reference field="0" count="1" selected="0">
            <x v="6"/>
          </reference>
          <reference field="1" count="1" selected="0">
            <x v="17"/>
          </reference>
        </references>
      </pivotArea>
    </format>
    <format dxfId="2303">
      <pivotArea outline="0" fieldPosition="0">
        <references count="2">
          <reference field="0" count="1" selected="0">
            <x v="7"/>
          </reference>
          <reference field="1" count="1" selected="0">
            <x v="17"/>
          </reference>
        </references>
      </pivotArea>
    </format>
    <format dxfId="2302">
      <pivotArea outline="0" fieldPosition="0">
        <references count="2">
          <reference field="0" count="1" selected="0">
            <x v="4"/>
          </reference>
          <reference field="1" count="1" selected="0">
            <x v="15"/>
          </reference>
        </references>
      </pivotArea>
    </format>
    <format dxfId="2301">
      <pivotArea outline="0" fieldPosition="0">
        <references count="2">
          <reference field="0" count="1" selected="0">
            <x v="6"/>
          </reference>
          <reference field="1" count="1" selected="0">
            <x v="15"/>
          </reference>
        </references>
      </pivotArea>
    </format>
    <format dxfId="2300">
      <pivotArea outline="0" fieldPosition="0">
        <references count="2">
          <reference field="0" count="1" selected="0">
            <x v="4"/>
          </reference>
          <reference field="1" count="1" selected="0">
            <x v="19"/>
          </reference>
        </references>
      </pivotArea>
    </format>
    <format dxfId="2299">
      <pivotArea outline="0" fieldPosition="0">
        <references count="2">
          <reference field="0" count="1" selected="0">
            <x v="3"/>
          </reference>
          <reference field="1" count="1" selected="0">
            <x v="22"/>
          </reference>
        </references>
      </pivotArea>
    </format>
    <format dxfId="2298">
      <pivotArea outline="0" fieldPosition="0">
        <references count="2">
          <reference field="0" count="1" selected="0">
            <x v="2"/>
          </reference>
          <reference field="1" count="1" selected="0">
            <x v="22"/>
          </reference>
        </references>
      </pivotArea>
    </format>
    <format dxfId="2297">
      <pivotArea outline="0" fieldPosition="0">
        <references count="2">
          <reference field="0" count="1" selected="0">
            <x v="2"/>
          </reference>
          <reference field="1" count="1" selected="0">
            <x v="23"/>
          </reference>
        </references>
      </pivotArea>
    </format>
    <format dxfId="2296">
      <pivotArea outline="0" fieldPosition="0">
        <references count="2">
          <reference field="4294967294" count="1" selected="0">
            <x v="1"/>
          </reference>
          <reference field="1" count="1" selected="0">
            <x v="24"/>
          </reference>
        </references>
      </pivotArea>
    </format>
    <format dxfId="2295">
      <pivotArea outline="0" fieldPosition="0">
        <references count="2">
          <reference field="0" count="1" selected="0">
            <x v="3"/>
          </reference>
          <reference field="1" count="1" selected="0">
            <x v="24"/>
          </reference>
        </references>
      </pivotArea>
    </format>
    <format dxfId="2294">
      <pivotArea outline="0" fieldPosition="0">
        <references count="2">
          <reference field="0" count="1" selected="0">
            <x v="4"/>
          </reference>
          <reference field="1" count="1" selected="0">
            <x v="25"/>
          </reference>
        </references>
      </pivotArea>
    </format>
    <format dxfId="2293">
      <pivotArea outline="0" fieldPosition="0">
        <references count="2">
          <reference field="0" count="1" selected="0">
            <x v="3"/>
          </reference>
          <reference field="1" count="1" selected="0">
            <x v="26"/>
          </reference>
        </references>
      </pivotArea>
    </format>
    <format dxfId="2292">
      <pivotArea outline="0" fieldPosition="0">
        <references count="2">
          <reference field="0" count="1" selected="0">
            <x v="4"/>
          </reference>
          <reference field="1" count="1" selected="0">
            <x v="26"/>
          </reference>
        </references>
      </pivotArea>
    </format>
    <format dxfId="2291">
      <pivotArea outline="0" fieldPosition="0">
        <references count="2">
          <reference field="0" count="1" selected="0">
            <x v="6"/>
          </reference>
          <reference field="1" count="1" selected="0">
            <x v="26"/>
          </reference>
        </references>
      </pivotArea>
    </format>
    <format dxfId="2290">
      <pivotArea outline="0" fieldPosition="0">
        <references count="2">
          <reference field="0" count="1" selected="0">
            <x v="5"/>
          </reference>
          <reference field="1" count="1" selected="0">
            <x v="28"/>
          </reference>
        </references>
      </pivotArea>
    </format>
    <format dxfId="2289">
      <pivotArea outline="0" fieldPosition="0">
        <references count="2">
          <reference field="0" count="1" selected="0">
            <x v="3"/>
          </reference>
          <reference field="1" count="1" selected="0">
            <x v="30"/>
          </reference>
        </references>
      </pivotArea>
    </format>
    <format dxfId="2288">
      <pivotArea outline="0" fieldPosition="0">
        <references count="2">
          <reference field="0" count="1" selected="0">
            <x v="5"/>
          </reference>
          <reference field="1" count="1" selected="0">
            <x v="30"/>
          </reference>
        </references>
      </pivotArea>
    </format>
    <format dxfId="2287">
      <pivotArea outline="0" fieldPosition="0">
        <references count="2">
          <reference field="0" count="1" selected="0">
            <x v="2"/>
          </reference>
          <reference field="1" count="1" selected="0">
            <x v="32"/>
          </reference>
        </references>
      </pivotArea>
    </format>
    <format dxfId="2286">
      <pivotArea outline="0" fieldPosition="0">
        <references count="2">
          <reference field="0" count="1" selected="0">
            <x v="3"/>
          </reference>
          <reference field="1" count="1" selected="0">
            <x v="33"/>
          </reference>
        </references>
      </pivotArea>
    </format>
    <format dxfId="2285">
      <pivotArea outline="0" fieldPosition="0">
        <references count="2">
          <reference field="0" count="1" selected="0">
            <x v="3"/>
          </reference>
          <reference field="1" count="1" selected="0">
            <x v="34"/>
          </reference>
        </references>
      </pivotArea>
    </format>
    <format dxfId="2284">
      <pivotArea outline="0" fieldPosition="0">
        <references count="2">
          <reference field="0" count="1" selected="0">
            <x v="4"/>
          </reference>
          <reference field="1" count="1" selected="0">
            <x v="32"/>
          </reference>
        </references>
      </pivotArea>
    </format>
    <format dxfId="2283">
      <pivotArea outline="0" fieldPosition="0">
        <references count="2">
          <reference field="0" count="1" selected="0">
            <x v="4"/>
          </reference>
          <reference field="1" count="1" selected="0">
            <x v="36"/>
          </reference>
        </references>
      </pivotArea>
    </format>
    <format dxfId="2282">
      <pivotArea outline="0" fieldPosition="0">
        <references count="2">
          <reference field="0" count="1" selected="0">
            <x v="4"/>
          </reference>
          <reference field="1" count="1" selected="0">
            <x v="37"/>
          </reference>
        </references>
      </pivotArea>
    </format>
    <format dxfId="2281">
      <pivotArea outline="0" fieldPosition="0">
        <references count="2">
          <reference field="0" count="1" selected="0">
            <x v="3"/>
          </reference>
          <reference field="1" count="1" selected="0">
            <x v="37"/>
          </reference>
        </references>
      </pivotArea>
    </format>
    <format dxfId="2280">
      <pivotArea outline="0" fieldPosition="0">
        <references count="2">
          <reference field="0" count="1" selected="0">
            <x v="7"/>
          </reference>
          <reference field="1" count="1" selected="0">
            <x v="36"/>
          </reference>
        </references>
      </pivotArea>
    </format>
    <format dxfId="2279">
      <pivotArea outline="0" fieldPosition="0">
        <references count="2">
          <reference field="0" count="1" selected="0">
            <x v="6"/>
          </reference>
          <reference field="1" count="1" selected="0">
            <x v="36"/>
          </reference>
        </references>
      </pivotArea>
    </format>
    <format dxfId="2278">
      <pivotArea outline="0" fieldPosition="0">
        <references count="2">
          <reference field="0" count="1" selected="0">
            <x v="4"/>
          </reference>
          <reference field="1" count="1" selected="0">
            <x v="39"/>
          </reference>
        </references>
      </pivotArea>
    </format>
    <format dxfId="2277">
      <pivotArea outline="0" fieldPosition="0">
        <references count="2">
          <reference field="0" count="1" selected="0">
            <x v="1"/>
          </reference>
          <reference field="1" count="1" selected="0">
            <x v="39"/>
          </reference>
        </references>
      </pivotArea>
    </format>
    <format dxfId="2276">
      <pivotArea outline="0" fieldPosition="0">
        <references count="2">
          <reference field="0" count="1" selected="0">
            <x v="6"/>
          </reference>
          <reference field="1" count="1" selected="0">
            <x v="39"/>
          </reference>
        </references>
      </pivotArea>
    </format>
    <format dxfId="2275">
      <pivotArea outline="0" fieldPosition="0">
        <references count="2">
          <reference field="0" count="1" selected="0">
            <x v="7"/>
          </reference>
          <reference field="1" count="1" selected="0">
            <x v="39"/>
          </reference>
        </references>
      </pivotArea>
    </format>
    <format dxfId="2274">
      <pivotArea outline="0" fieldPosition="0">
        <references count="2">
          <reference field="0" count="1" selected="0">
            <x v="4"/>
          </reference>
          <reference field="1" count="1" selected="0">
            <x v="40"/>
          </reference>
        </references>
      </pivotArea>
    </format>
    <format dxfId="2273">
      <pivotArea outline="0" fieldPosition="0">
        <references count="2">
          <reference field="0" count="1" selected="0">
            <x v="6"/>
          </reference>
          <reference field="1" count="1" selected="0">
            <x v="40"/>
          </reference>
        </references>
      </pivotArea>
    </format>
    <format dxfId="2272">
      <pivotArea outline="0" fieldPosition="0">
        <references count="2">
          <reference field="0" count="1" selected="0">
            <x v="7"/>
          </reference>
          <reference field="1" count="1" selected="0">
            <x v="40"/>
          </reference>
        </references>
      </pivotArea>
    </format>
    <format dxfId="2271">
      <pivotArea outline="0" fieldPosition="0">
        <references count="2">
          <reference field="0" count="1" selected="0">
            <x v="1"/>
          </reference>
          <reference field="1" count="1" selected="0">
            <x v="40"/>
          </reference>
        </references>
      </pivotArea>
    </format>
    <format dxfId="2270">
      <pivotArea outline="0" fieldPosition="0">
        <references count="2">
          <reference field="0" count="1" selected="0">
            <x v="3"/>
          </reference>
          <reference field="1" count="1" selected="0">
            <x v="43"/>
          </reference>
        </references>
      </pivotArea>
    </format>
    <format dxfId="2269">
      <pivotArea outline="0" fieldPosition="0">
        <references count="2">
          <reference field="0" count="1" selected="0">
            <x v="3"/>
          </reference>
          <reference field="1" count="1" selected="0">
            <x v="45"/>
          </reference>
        </references>
      </pivotArea>
    </format>
    <format dxfId="2268">
      <pivotArea outline="0" fieldPosition="0">
        <references count="2">
          <reference field="0" count="1" selected="0">
            <x v="3"/>
          </reference>
          <reference field="1" count="1" selected="0">
            <x v="46"/>
          </reference>
        </references>
      </pivotArea>
    </format>
    <format dxfId="2267">
      <pivotArea outline="0" fieldPosition="0">
        <references count="2">
          <reference field="0" count="1" selected="0">
            <x v="5"/>
          </reference>
          <reference field="1" count="1" selected="0">
            <x v="46"/>
          </reference>
        </references>
      </pivotArea>
    </format>
    <format dxfId="2266">
      <pivotArea outline="0" fieldPosition="0">
        <references count="2">
          <reference field="0" count="1" selected="0">
            <x v="11"/>
          </reference>
          <reference field="1" count="1" selected="0">
            <x v="2"/>
          </reference>
        </references>
      </pivotArea>
    </format>
    <format dxfId="2265">
      <pivotArea outline="0" fieldPosition="0">
        <references count="2">
          <reference field="0" count="1" selected="0">
            <x v="10"/>
          </reference>
          <reference field="1" count="1" selected="0">
            <x v="4"/>
          </reference>
        </references>
      </pivotArea>
    </format>
    <format dxfId="2264">
      <pivotArea outline="0" fieldPosition="0">
        <references count="2">
          <reference field="0" count="1" selected="0">
            <x v="10"/>
          </reference>
          <reference field="1" count="1" selected="0">
            <x v="5"/>
          </reference>
        </references>
      </pivotArea>
    </format>
    <format dxfId="2263">
      <pivotArea outline="0" fieldPosition="0">
        <references count="2">
          <reference field="0" count="1" selected="0">
            <x v="8"/>
          </reference>
          <reference field="1" count="1" selected="0">
            <x v="10"/>
          </reference>
        </references>
      </pivotArea>
    </format>
    <format dxfId="2262">
      <pivotArea outline="0" fieldPosition="0">
        <references count="2">
          <reference field="0" count="1" selected="0">
            <x v="13"/>
          </reference>
          <reference field="1" count="1" selected="0">
            <x v="15"/>
          </reference>
        </references>
      </pivotArea>
    </format>
    <format dxfId="2261">
      <pivotArea outline="0" fieldPosition="0">
        <references count="2">
          <reference field="0" count="1" selected="0">
            <x v="13"/>
          </reference>
          <reference field="1" count="1" selected="0">
            <x v="16"/>
          </reference>
        </references>
      </pivotArea>
    </format>
    <format dxfId="2260">
      <pivotArea outline="0" fieldPosition="0">
        <references count="2">
          <reference field="0" count="1" selected="0">
            <x v="13"/>
          </reference>
          <reference field="1" count="1" selected="0">
            <x v="17"/>
          </reference>
        </references>
      </pivotArea>
    </format>
    <format dxfId="2259">
      <pivotArea outline="0" fieldPosition="0">
        <references count="2">
          <reference field="0" count="1" selected="0">
            <x v="9"/>
          </reference>
          <reference field="1" count="1" selected="0">
            <x v="17"/>
          </reference>
        </references>
      </pivotArea>
    </format>
    <format dxfId="2258">
      <pivotArea outline="0" fieldPosition="0">
        <references count="2">
          <reference field="0" count="1" selected="0">
            <x v="10"/>
          </reference>
          <reference field="1" count="1" selected="0">
            <x v="17"/>
          </reference>
        </references>
      </pivotArea>
    </format>
    <format dxfId="2257">
      <pivotArea outline="0" fieldPosition="0">
        <references count="2">
          <reference field="0" count="1" selected="0">
            <x v="10"/>
          </reference>
          <reference field="1" count="1" selected="0">
            <x v="18"/>
          </reference>
        </references>
      </pivotArea>
    </format>
    <format dxfId="2256">
      <pivotArea outline="0" fieldPosition="0">
        <references count="2">
          <reference field="0" count="1" selected="0">
            <x v="8"/>
          </reference>
          <reference field="1" count="1" selected="0">
            <x v="19"/>
          </reference>
        </references>
      </pivotArea>
    </format>
    <format dxfId="2255">
      <pivotArea outline="0" fieldPosition="0">
        <references count="2">
          <reference field="0" count="1" selected="0">
            <x v="12"/>
          </reference>
          <reference field="1" count="1" selected="0">
            <x v="20"/>
          </reference>
        </references>
      </pivotArea>
    </format>
    <format dxfId="2254">
      <pivotArea outline="0" fieldPosition="0">
        <references count="2">
          <reference field="0" count="1" selected="0">
            <x v="8"/>
          </reference>
          <reference field="1" count="1" selected="0">
            <x v="22"/>
          </reference>
        </references>
      </pivotArea>
    </format>
    <format dxfId="2253">
      <pivotArea outline="0" fieldPosition="0">
        <references count="2">
          <reference field="0" count="1" selected="0">
            <x v="8"/>
          </reference>
          <reference field="1" count="1" selected="0">
            <x v="23"/>
          </reference>
        </references>
      </pivotArea>
    </format>
    <format dxfId="2252">
      <pivotArea outline="0" fieldPosition="0">
        <references count="2">
          <reference field="0" count="1" selected="0">
            <x v="8"/>
          </reference>
          <reference field="1" count="1" selected="0">
            <x v="25"/>
          </reference>
        </references>
      </pivotArea>
    </format>
    <format dxfId="2251">
      <pivotArea outline="0" fieldPosition="0">
        <references count="2">
          <reference field="0" count="1" selected="0">
            <x v="11"/>
          </reference>
          <reference field="1" count="1" selected="0">
            <x v="24"/>
          </reference>
        </references>
      </pivotArea>
    </format>
    <format dxfId="2250">
      <pivotArea outline="0" fieldPosition="0">
        <references count="2">
          <reference field="0" count="1" selected="0">
            <x v="8"/>
          </reference>
          <reference field="1" count="1" selected="0">
            <x v="28"/>
          </reference>
        </references>
      </pivotArea>
    </format>
    <format dxfId="2249">
      <pivotArea outline="0" fieldPosition="0">
        <references count="2">
          <reference field="0" count="1" selected="0">
            <x v="13"/>
          </reference>
          <reference field="1" count="1" selected="0">
            <x v="32"/>
          </reference>
        </references>
      </pivotArea>
    </format>
    <format dxfId="2248">
      <pivotArea outline="0" fieldPosition="0">
        <references count="2">
          <reference field="0" count="1" selected="0">
            <x v="12"/>
          </reference>
          <reference field="1" count="1" selected="0">
            <x v="36"/>
          </reference>
        </references>
      </pivotArea>
    </format>
    <format dxfId="2247">
      <pivotArea outline="0" fieldPosition="0">
        <references count="2">
          <reference field="0" count="1" selected="0">
            <x v="12"/>
          </reference>
          <reference field="1" count="1" selected="0">
            <x v="37"/>
          </reference>
        </references>
      </pivotArea>
    </format>
    <format dxfId="2246">
      <pivotArea outline="0" fieldPosition="0">
        <references count="2">
          <reference field="0" count="1" selected="0">
            <x v="8"/>
          </reference>
          <reference field="1" count="1" selected="0">
            <x v="37"/>
          </reference>
        </references>
      </pivotArea>
    </format>
    <format dxfId="2245">
      <pivotArea outline="0" fieldPosition="0">
        <references count="2">
          <reference field="0" count="1" selected="0">
            <x v="11"/>
          </reference>
          <reference field="1" count="1" selected="0">
            <x v="39"/>
          </reference>
        </references>
      </pivotArea>
    </format>
    <format dxfId="2244">
      <pivotArea outline="0" fieldPosition="0">
        <references count="2">
          <reference field="0" count="1" selected="0">
            <x v="12"/>
          </reference>
          <reference field="1" count="1" selected="0">
            <x v="39"/>
          </reference>
        </references>
      </pivotArea>
    </format>
    <format dxfId="2243">
      <pivotArea outline="0" fieldPosition="0">
        <references count="2">
          <reference field="0" count="1" selected="0">
            <x v="12"/>
          </reference>
          <reference field="1" count="1" selected="0">
            <x v="40"/>
          </reference>
        </references>
      </pivotArea>
    </format>
    <format dxfId="2242">
      <pivotArea outline="0" fieldPosition="0">
        <references count="2">
          <reference field="0" count="1" selected="0">
            <x v="8"/>
          </reference>
          <reference field="1" count="1" selected="0">
            <x v="40"/>
          </reference>
        </references>
      </pivotArea>
    </format>
    <format dxfId="2241">
      <pivotArea outline="0" fieldPosition="0">
        <references count="2">
          <reference field="0" count="1" selected="0">
            <x v="13"/>
          </reference>
          <reference field="1" count="1" selected="0">
            <x v="41"/>
          </reference>
        </references>
      </pivotArea>
    </format>
    <format dxfId="2240">
      <pivotArea outline="0" fieldPosition="0">
        <references count="1">
          <reference field="1" count="42" selected="0">
            <x v="1"/>
            <x v="2"/>
            <x v="3"/>
            <x v="4"/>
            <x v="5"/>
            <x v="6"/>
            <x v="7"/>
            <x v="8"/>
            <x v="9"/>
            <x v="10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</reference>
        </references>
      </pivotArea>
    </format>
    <format dxfId="2239">
      <pivotArea field="1" grandRow="1" outline="0" axis="axisRow" fieldPosition="0">
        <references count="1">
          <reference field="4294967294" count="0" selected="0"/>
        </references>
      </pivotArea>
    </format>
    <format dxfId="2238">
      <pivotArea dataOnly="0" labelOnly="1" outline="0" fieldPosition="0">
        <references count="1">
          <reference field="1" count="42">
            <x v="1"/>
            <x v="2"/>
            <x v="3"/>
            <x v="4"/>
            <x v="5"/>
            <x v="6"/>
            <x v="7"/>
            <x v="8"/>
            <x v="9"/>
            <x v="10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</reference>
        </references>
      </pivotArea>
    </format>
    <format dxfId="2237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236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235">
      <pivotArea dataOnly="0" labelOnly="1" outline="0" fieldPosition="0">
        <references count="2">
          <reference field="4294967294" count="0"/>
          <reference field="1" count="1" selected="0">
            <x v="1"/>
          </reference>
        </references>
      </pivotArea>
    </format>
    <format dxfId="2234">
      <pivotArea dataOnly="0" labelOnly="1" outline="0" fieldPosition="0">
        <references count="2">
          <reference field="4294967294" count="0"/>
          <reference field="1" count="1" selected="0">
            <x v="2"/>
          </reference>
        </references>
      </pivotArea>
    </format>
    <format dxfId="2233">
      <pivotArea dataOnly="0" labelOnly="1" outline="0" fieldPosition="0">
        <references count="2">
          <reference field="4294967294" count="0"/>
          <reference field="1" count="1" selected="0">
            <x v="3"/>
          </reference>
        </references>
      </pivotArea>
    </format>
    <format dxfId="2232">
      <pivotArea dataOnly="0" labelOnly="1" outline="0" fieldPosition="0">
        <references count="2">
          <reference field="4294967294" count="0"/>
          <reference field="1" count="1" selected="0">
            <x v="4"/>
          </reference>
        </references>
      </pivotArea>
    </format>
    <format dxfId="2231">
      <pivotArea dataOnly="0" labelOnly="1" outline="0" fieldPosition="0">
        <references count="2">
          <reference field="4294967294" count="0"/>
          <reference field="1" count="1" selected="0">
            <x v="5"/>
          </reference>
        </references>
      </pivotArea>
    </format>
    <format dxfId="2230">
      <pivotArea dataOnly="0" labelOnly="1" outline="0" fieldPosition="0">
        <references count="2">
          <reference field="4294967294" count="0"/>
          <reference field="1" count="1" selected="0">
            <x v="6"/>
          </reference>
        </references>
      </pivotArea>
    </format>
    <format dxfId="2229">
      <pivotArea dataOnly="0" labelOnly="1" outline="0" fieldPosition="0">
        <references count="2">
          <reference field="4294967294" count="0"/>
          <reference field="1" count="1" selected="0">
            <x v="7"/>
          </reference>
        </references>
      </pivotArea>
    </format>
    <format dxfId="2228">
      <pivotArea dataOnly="0" labelOnly="1" outline="0" fieldPosition="0">
        <references count="2">
          <reference field="4294967294" count="0"/>
          <reference field="1" count="1" selected="0">
            <x v="8"/>
          </reference>
        </references>
      </pivotArea>
    </format>
    <format dxfId="2227">
      <pivotArea dataOnly="0" labelOnly="1" outline="0" fieldPosition="0">
        <references count="2">
          <reference field="4294967294" count="0"/>
          <reference field="1" count="1" selected="0">
            <x v="9"/>
          </reference>
        </references>
      </pivotArea>
    </format>
    <format dxfId="2226">
      <pivotArea dataOnly="0" labelOnly="1" outline="0" fieldPosition="0">
        <references count="2">
          <reference field="4294967294" count="0"/>
          <reference field="1" count="1" selected="0">
            <x v="10"/>
          </reference>
        </references>
      </pivotArea>
    </format>
    <format dxfId="2225">
      <pivotArea dataOnly="0" labelOnly="1" outline="0" fieldPosition="0">
        <references count="2">
          <reference field="4294967294" count="0"/>
          <reference field="1" count="1" selected="0">
            <x v="15"/>
          </reference>
        </references>
      </pivotArea>
    </format>
    <format dxfId="2224">
      <pivotArea dataOnly="0" labelOnly="1" outline="0" fieldPosition="0">
        <references count="2">
          <reference field="4294967294" count="0"/>
          <reference field="1" count="1" selected="0">
            <x v="16"/>
          </reference>
        </references>
      </pivotArea>
    </format>
    <format dxfId="2223">
      <pivotArea dataOnly="0" labelOnly="1" outline="0" fieldPosition="0">
        <references count="2">
          <reference field="4294967294" count="0"/>
          <reference field="1" count="1" selected="0">
            <x v="17"/>
          </reference>
        </references>
      </pivotArea>
    </format>
    <format dxfId="2222">
      <pivotArea dataOnly="0" labelOnly="1" outline="0" fieldPosition="0">
        <references count="2">
          <reference field="4294967294" count="0"/>
          <reference field="1" count="1" selected="0">
            <x v="18"/>
          </reference>
        </references>
      </pivotArea>
    </format>
    <format dxfId="2221">
      <pivotArea dataOnly="0" labelOnly="1" outline="0" fieldPosition="0">
        <references count="2">
          <reference field="4294967294" count="0"/>
          <reference field="1" count="1" selected="0">
            <x v="19"/>
          </reference>
        </references>
      </pivotArea>
    </format>
    <format dxfId="2220">
      <pivotArea dataOnly="0" labelOnly="1" outline="0" fieldPosition="0">
        <references count="2">
          <reference field="4294967294" count="0"/>
          <reference field="1" count="1" selected="0">
            <x v="20"/>
          </reference>
        </references>
      </pivotArea>
    </format>
    <format dxfId="2219">
      <pivotArea dataOnly="0" labelOnly="1" outline="0" fieldPosition="0">
        <references count="2">
          <reference field="4294967294" count="0"/>
          <reference field="1" count="1" selected="0">
            <x v="21"/>
          </reference>
        </references>
      </pivotArea>
    </format>
    <format dxfId="2218">
      <pivotArea dataOnly="0" labelOnly="1" outline="0" fieldPosition="0">
        <references count="2">
          <reference field="4294967294" count="0"/>
          <reference field="1" count="1" selected="0">
            <x v="22"/>
          </reference>
        </references>
      </pivotArea>
    </format>
    <format dxfId="2217">
      <pivotArea dataOnly="0" labelOnly="1" outline="0" fieldPosition="0">
        <references count="2">
          <reference field="4294967294" count="0"/>
          <reference field="1" count="1" selected="0">
            <x v="23"/>
          </reference>
        </references>
      </pivotArea>
    </format>
    <format dxfId="2216">
      <pivotArea dataOnly="0" labelOnly="1" outline="0" fieldPosition="0">
        <references count="2">
          <reference field="4294967294" count="0"/>
          <reference field="1" count="1" selected="0">
            <x v="24"/>
          </reference>
        </references>
      </pivotArea>
    </format>
    <format dxfId="2215">
      <pivotArea dataOnly="0" labelOnly="1" outline="0" fieldPosition="0">
        <references count="2">
          <reference field="4294967294" count="0"/>
          <reference field="1" count="1" selected="0">
            <x v="25"/>
          </reference>
        </references>
      </pivotArea>
    </format>
    <format dxfId="2214">
      <pivotArea dataOnly="0" labelOnly="1" outline="0" fieldPosition="0">
        <references count="2">
          <reference field="4294967294" count="0"/>
          <reference field="1" count="1" selected="0">
            <x v="26"/>
          </reference>
        </references>
      </pivotArea>
    </format>
    <format dxfId="2213">
      <pivotArea dataOnly="0" labelOnly="1" outline="0" fieldPosition="0">
        <references count="2">
          <reference field="4294967294" count="0"/>
          <reference field="1" count="1" selected="0">
            <x v="27"/>
          </reference>
        </references>
      </pivotArea>
    </format>
    <format dxfId="2212">
      <pivotArea dataOnly="0" labelOnly="1" outline="0" fieldPosition="0">
        <references count="2">
          <reference field="4294967294" count="0"/>
          <reference field="1" count="1" selected="0">
            <x v="28"/>
          </reference>
        </references>
      </pivotArea>
    </format>
    <format dxfId="2211">
      <pivotArea dataOnly="0" labelOnly="1" outline="0" fieldPosition="0">
        <references count="2">
          <reference field="4294967294" count="0"/>
          <reference field="1" count="1" selected="0">
            <x v="29"/>
          </reference>
        </references>
      </pivotArea>
    </format>
    <format dxfId="2210">
      <pivotArea dataOnly="0" labelOnly="1" outline="0" fieldPosition="0">
        <references count="2">
          <reference field="4294967294" count="0"/>
          <reference field="1" count="1" selected="0">
            <x v="30"/>
          </reference>
        </references>
      </pivotArea>
    </format>
    <format dxfId="2209">
      <pivotArea dataOnly="0" labelOnly="1" outline="0" fieldPosition="0">
        <references count="2">
          <reference field="4294967294" count="0"/>
          <reference field="1" count="1" selected="0">
            <x v="31"/>
          </reference>
        </references>
      </pivotArea>
    </format>
    <format dxfId="2208">
      <pivotArea dataOnly="0" labelOnly="1" outline="0" fieldPosition="0">
        <references count="2">
          <reference field="4294967294" count="0"/>
          <reference field="1" count="1" selected="0">
            <x v="32"/>
          </reference>
        </references>
      </pivotArea>
    </format>
    <format dxfId="2207">
      <pivotArea dataOnly="0" labelOnly="1" outline="0" fieldPosition="0">
        <references count="2">
          <reference field="4294967294" count="0"/>
          <reference field="1" count="1" selected="0">
            <x v="33"/>
          </reference>
        </references>
      </pivotArea>
    </format>
    <format dxfId="2206">
      <pivotArea dataOnly="0" labelOnly="1" outline="0" fieldPosition="0">
        <references count="2">
          <reference field="4294967294" count="0"/>
          <reference field="1" count="1" selected="0">
            <x v="34"/>
          </reference>
        </references>
      </pivotArea>
    </format>
    <format dxfId="2205">
      <pivotArea dataOnly="0" labelOnly="1" outline="0" fieldPosition="0">
        <references count="2">
          <reference field="4294967294" count="0"/>
          <reference field="1" count="1" selected="0">
            <x v="35"/>
          </reference>
        </references>
      </pivotArea>
    </format>
    <format dxfId="2204">
      <pivotArea dataOnly="0" labelOnly="1" outline="0" fieldPosition="0">
        <references count="2">
          <reference field="4294967294" count="0"/>
          <reference field="1" count="1" selected="0">
            <x v="36"/>
          </reference>
        </references>
      </pivotArea>
    </format>
    <format dxfId="2203">
      <pivotArea dataOnly="0" labelOnly="1" outline="0" fieldPosition="0">
        <references count="2">
          <reference field="4294967294" count="0"/>
          <reference field="1" count="1" selected="0">
            <x v="37"/>
          </reference>
        </references>
      </pivotArea>
    </format>
    <format dxfId="2202">
      <pivotArea dataOnly="0" labelOnly="1" outline="0" fieldPosition="0">
        <references count="2">
          <reference field="4294967294" count="0"/>
          <reference field="1" count="1" selected="0">
            <x v="38"/>
          </reference>
        </references>
      </pivotArea>
    </format>
    <format dxfId="2201">
      <pivotArea dataOnly="0" labelOnly="1" outline="0" fieldPosition="0">
        <references count="2">
          <reference field="4294967294" count="0"/>
          <reference field="1" count="1" selected="0">
            <x v="39"/>
          </reference>
        </references>
      </pivotArea>
    </format>
    <format dxfId="2200">
      <pivotArea dataOnly="0" labelOnly="1" outline="0" fieldPosition="0">
        <references count="2">
          <reference field="4294967294" count="0"/>
          <reference field="1" count="1" selected="0">
            <x v="40"/>
          </reference>
        </references>
      </pivotArea>
    </format>
    <format dxfId="2199">
      <pivotArea dataOnly="0" labelOnly="1" outline="0" fieldPosition="0">
        <references count="2">
          <reference field="4294967294" count="0"/>
          <reference field="1" count="1" selected="0">
            <x v="41"/>
          </reference>
        </references>
      </pivotArea>
    </format>
    <format dxfId="2198">
      <pivotArea dataOnly="0" labelOnly="1" outline="0" fieldPosition="0">
        <references count="2">
          <reference field="4294967294" count="0"/>
          <reference field="1" count="1" selected="0">
            <x v="42"/>
          </reference>
        </references>
      </pivotArea>
    </format>
    <format dxfId="2197">
      <pivotArea dataOnly="0" labelOnly="1" outline="0" fieldPosition="0">
        <references count="2">
          <reference field="4294967294" count="0"/>
          <reference field="1" count="1" selected="0">
            <x v="43"/>
          </reference>
        </references>
      </pivotArea>
    </format>
    <format dxfId="2196">
      <pivotArea dataOnly="0" labelOnly="1" outline="0" fieldPosition="0">
        <references count="2">
          <reference field="4294967294" count="0"/>
          <reference field="1" count="1" selected="0">
            <x v="44"/>
          </reference>
        </references>
      </pivotArea>
    </format>
    <format dxfId="2195">
      <pivotArea dataOnly="0" labelOnly="1" outline="0" fieldPosition="0">
        <references count="2">
          <reference field="4294967294" count="0"/>
          <reference field="1" count="1" selected="0">
            <x v="45"/>
          </reference>
        </references>
      </pivotArea>
    </format>
    <format dxfId="2194">
      <pivotArea dataOnly="0" labelOnly="1" outline="0" fieldPosition="0">
        <references count="2">
          <reference field="4294967294" count="0"/>
          <reference field="1" count="1" selected="0">
            <x v="46"/>
          </reference>
        </references>
      </pivotArea>
    </format>
    <format dxfId="2193">
      <pivotArea grandRow="1" grandCol="1" outline="0" fieldPosition="0">
        <references count="1">
          <reference field="4294967294" count="0" selected="0"/>
        </references>
      </pivotArea>
    </format>
    <format dxfId="2192">
      <pivotArea field="1" grandCol="1" outline="0" axis="axisRow" fieldPosition="0">
        <references count="1">
          <reference field="1" count="1" selected="0">
            <x v="14"/>
          </reference>
        </references>
      </pivotArea>
    </format>
    <format dxfId="2191">
      <pivotArea dataOnly="0" labelOnly="1" outline="0" fieldPosition="0">
        <references count="1">
          <reference field="1" count="1">
            <x v="0"/>
          </reference>
        </references>
      </pivotArea>
    </format>
    <format dxfId="2190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218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0"/>
          </reference>
        </references>
      </pivotArea>
    </format>
    <format dxfId="2188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2187">
      <pivotArea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format>
    <format dxfId="2186">
      <pivotArea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format>
    <format dxfId="2185">
      <pivotArea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format>
    <format dxfId="2184">
      <pivotArea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format>
    <format dxfId="2183">
      <pivotArea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format>
    <format dxfId="2182">
      <pivotArea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format>
    <format dxfId="2181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2180">
      <pivotArea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format>
    <format dxfId="2179">
      <pivotArea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format>
    <format dxfId="2178">
      <pivotArea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format>
    <format dxfId="2177">
      <pivotArea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format>
    <format dxfId="2176">
      <pivotArea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format>
    <format dxfId="2175">
      <pivotArea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format>
    <format dxfId="2174">
      <pivotArea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format>
    <format dxfId="2173">
      <pivotArea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format>
    <format dxfId="2172">
      <pivotArea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format>
    <format dxfId="2171">
      <pivotArea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format>
    <format dxfId="2170">
      <pivotArea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format>
    <format dxfId="2169">
      <pivotArea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format>
    <format dxfId="2168">
      <pivotArea outline="0" fieldPosition="0">
        <references count="2">
          <reference field="4294967294" count="1" selected="0">
            <x v="0"/>
          </reference>
          <reference field="1" count="1" selected="0">
            <x v="25"/>
          </reference>
        </references>
      </pivotArea>
    </format>
    <format dxfId="2167">
      <pivotArea outline="0" fieldPosition="0">
        <references count="2">
          <reference field="4294967294" count="1" selected="0">
            <x v="0"/>
          </reference>
          <reference field="1" count="1" selected="0">
            <x v="26"/>
          </reference>
        </references>
      </pivotArea>
    </format>
    <format dxfId="2166">
      <pivotArea outline="0" fieldPosition="0">
        <references count="2">
          <reference field="4294967294" count="1" selected="0">
            <x v="0"/>
          </reference>
          <reference field="1" count="1" selected="0">
            <x v="27"/>
          </reference>
        </references>
      </pivotArea>
    </format>
    <format dxfId="2165">
      <pivotArea outline="0" fieldPosition="0">
        <references count="2">
          <reference field="4294967294" count="1" selected="0">
            <x v="0"/>
          </reference>
          <reference field="1" count="1" selected="0">
            <x v="28"/>
          </reference>
        </references>
      </pivotArea>
    </format>
    <format dxfId="2164">
      <pivotArea outline="0" fieldPosition="0">
        <references count="2">
          <reference field="4294967294" count="1" selected="0">
            <x v="0"/>
          </reference>
          <reference field="1" count="1" selected="0">
            <x v="29"/>
          </reference>
        </references>
      </pivotArea>
    </format>
    <format dxfId="2163">
      <pivotArea outline="0" fieldPosition="0">
        <references count="2">
          <reference field="4294967294" count="1" selected="0">
            <x v="0"/>
          </reference>
          <reference field="1" count="1" selected="0">
            <x v="30"/>
          </reference>
        </references>
      </pivotArea>
    </format>
    <format dxfId="2162">
      <pivotArea outline="0" fieldPosition="0">
        <references count="2">
          <reference field="4294967294" count="1" selected="0">
            <x v="0"/>
          </reference>
          <reference field="1" count="1" selected="0">
            <x v="31"/>
          </reference>
        </references>
      </pivotArea>
    </format>
    <format dxfId="2161">
      <pivotArea outline="0" fieldPosition="0">
        <references count="2">
          <reference field="4294967294" count="1" selected="0">
            <x v="0"/>
          </reference>
          <reference field="1" count="1" selected="0">
            <x v="32"/>
          </reference>
        </references>
      </pivotArea>
    </format>
    <format dxfId="2160">
      <pivotArea outline="0" fieldPosition="0">
        <references count="2">
          <reference field="4294967294" count="1" selected="0">
            <x v="0"/>
          </reference>
          <reference field="1" count="1" selected="0">
            <x v="33"/>
          </reference>
        </references>
      </pivotArea>
    </format>
    <format dxfId="2159">
      <pivotArea outline="0" fieldPosition="0">
        <references count="2">
          <reference field="4294967294" count="1" selected="0">
            <x v="0"/>
          </reference>
          <reference field="1" count="1" selected="0">
            <x v="34"/>
          </reference>
        </references>
      </pivotArea>
    </format>
    <format dxfId="2158">
      <pivotArea outline="0" fieldPosition="0">
        <references count="2">
          <reference field="4294967294" count="1" selected="0">
            <x v="0"/>
          </reference>
          <reference field="1" count="1" selected="0">
            <x v="35"/>
          </reference>
        </references>
      </pivotArea>
    </format>
    <format dxfId="2157">
      <pivotArea outline="0" fieldPosition="0">
        <references count="2">
          <reference field="4294967294" count="1" selected="0">
            <x v="0"/>
          </reference>
          <reference field="1" count="1" selected="0">
            <x v="36"/>
          </reference>
        </references>
      </pivotArea>
    </format>
    <format dxfId="2156">
      <pivotArea outline="0" fieldPosition="0">
        <references count="2">
          <reference field="4294967294" count="1" selected="0">
            <x v="0"/>
          </reference>
          <reference field="1" count="1" selected="0">
            <x v="37"/>
          </reference>
        </references>
      </pivotArea>
    </format>
    <format dxfId="2155">
      <pivotArea outline="0" fieldPosition="0">
        <references count="2">
          <reference field="4294967294" count="1" selected="0">
            <x v="0"/>
          </reference>
          <reference field="1" count="1" selected="0">
            <x v="38"/>
          </reference>
        </references>
      </pivotArea>
    </format>
    <format dxfId="2154">
      <pivotArea outline="0" fieldPosition="0">
        <references count="2">
          <reference field="4294967294" count="1" selected="0">
            <x v="0"/>
          </reference>
          <reference field="1" count="1" selected="0">
            <x v="39"/>
          </reference>
        </references>
      </pivotArea>
    </format>
    <format dxfId="2153">
      <pivotArea outline="0" fieldPosition="0">
        <references count="2">
          <reference field="4294967294" count="1" selected="0">
            <x v="0"/>
          </reference>
          <reference field="1" count="1" selected="0">
            <x v="40"/>
          </reference>
        </references>
      </pivotArea>
    </format>
    <format dxfId="2152">
      <pivotArea outline="0" fieldPosition="0">
        <references count="2">
          <reference field="4294967294" count="1" selected="0">
            <x v="0"/>
          </reference>
          <reference field="1" count="1" selected="0">
            <x v="41"/>
          </reference>
        </references>
      </pivotArea>
    </format>
    <format dxfId="2151">
      <pivotArea outline="0" fieldPosition="0">
        <references count="2">
          <reference field="4294967294" count="1" selected="0">
            <x v="0"/>
          </reference>
          <reference field="1" count="1" selected="0">
            <x v="42"/>
          </reference>
        </references>
      </pivotArea>
    </format>
    <format dxfId="2150">
      <pivotArea outline="0" fieldPosition="0">
        <references count="2">
          <reference field="4294967294" count="1" selected="0">
            <x v="0"/>
          </reference>
          <reference field="1" count="1" selected="0">
            <x v="43"/>
          </reference>
        </references>
      </pivotArea>
    </format>
    <format dxfId="2149">
      <pivotArea outline="0" fieldPosition="0">
        <references count="2">
          <reference field="4294967294" count="1" selected="0">
            <x v="0"/>
          </reference>
          <reference field="1" count="1" selected="0">
            <x v="44"/>
          </reference>
        </references>
      </pivotArea>
    </format>
    <format dxfId="2148">
      <pivotArea outline="0" fieldPosition="0">
        <references count="2">
          <reference field="4294967294" count="1" selected="0">
            <x v="0"/>
          </reference>
          <reference field="1" count="1" selected="0">
            <x v="45"/>
          </reference>
        </references>
      </pivotArea>
    </format>
    <format dxfId="2147">
      <pivotArea outline="0" fieldPosition="0">
        <references count="2">
          <reference field="4294967294" count="1" selected="0">
            <x v="0"/>
          </reference>
          <reference field="1" count="1" selected="0">
            <x v="46"/>
          </reference>
        </references>
      </pivotArea>
    </format>
    <format dxfId="2146">
      <pivotArea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format>
    <format dxfId="2145">
      <pivotArea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format>
    <format dxfId="2144">
      <pivotArea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format>
    <format dxfId="2143">
      <pivotArea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1" count="1" selected="0">
            <x v="1"/>
          </reference>
        </references>
      </pivotArea>
    </format>
    <format dxfId="2142">
      <pivotArea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1" count="1" selected="0">
            <x v="2"/>
          </reference>
        </references>
      </pivotArea>
    </format>
    <format dxfId="2141">
      <pivotArea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1" count="1" selected="0">
            <x v="3"/>
          </reference>
        </references>
      </pivotArea>
    </format>
    <format dxfId="2140">
      <pivotArea outline="0" fieldPosition="0">
        <references count="1">
          <reference field="1" count="1" selected="0">
            <x v="0"/>
          </reference>
        </references>
      </pivotArea>
    </format>
    <format dxfId="2139">
      <pivotArea dataOnly="0" labelOnly="1" outline="0" fieldPosition="0">
        <references count="2">
          <reference field="4294967294" count="0"/>
          <reference field="1" count="1" selected="0">
            <x v="0"/>
          </reference>
        </references>
      </pivotArea>
    </format>
    <format dxfId="213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"/>
          </reference>
        </references>
      </pivotArea>
    </format>
    <format dxfId="213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"/>
          </reference>
        </references>
      </pivotArea>
    </format>
    <format dxfId="213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"/>
          </reference>
        </references>
      </pivotArea>
    </format>
    <format dxfId="213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"/>
          </reference>
        </references>
      </pivotArea>
    </format>
    <format dxfId="213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"/>
          </reference>
        </references>
      </pivotArea>
    </format>
    <format dxfId="213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"/>
          </reference>
        </references>
      </pivotArea>
    </format>
    <format dxfId="213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"/>
          </reference>
        </references>
      </pivotArea>
    </format>
    <format dxfId="213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"/>
          </reference>
        </references>
      </pivotArea>
    </format>
    <format dxfId="213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"/>
          </reference>
        </references>
      </pivotArea>
    </format>
    <format dxfId="212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"/>
          </reference>
        </references>
      </pivotArea>
    </format>
    <format dxfId="212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1"/>
          </reference>
        </references>
      </pivotArea>
    </format>
    <format dxfId="212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2"/>
          </reference>
        </references>
      </pivotArea>
    </format>
    <format dxfId="212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4"/>
          </reference>
        </references>
      </pivotArea>
    </format>
    <format dxfId="212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5"/>
          </reference>
        </references>
      </pivotArea>
    </format>
    <format dxfId="212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6"/>
          </reference>
        </references>
      </pivotArea>
    </format>
    <format dxfId="212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7"/>
          </reference>
        </references>
      </pivotArea>
    </format>
    <format dxfId="212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8"/>
          </reference>
        </references>
      </pivotArea>
    </format>
    <format dxfId="212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9"/>
          </reference>
        </references>
      </pivotArea>
    </format>
    <format dxfId="212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0"/>
          </reference>
        </references>
      </pivotArea>
    </format>
    <format dxfId="211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1"/>
          </reference>
        </references>
      </pivotArea>
    </format>
    <format dxfId="211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2"/>
          </reference>
        </references>
      </pivotArea>
    </format>
    <format dxfId="211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3"/>
          </reference>
        </references>
      </pivotArea>
    </format>
    <format dxfId="211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4"/>
          </reference>
        </references>
      </pivotArea>
    </format>
    <format dxfId="211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5"/>
          </reference>
        </references>
      </pivotArea>
    </format>
    <format dxfId="211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6"/>
          </reference>
        </references>
      </pivotArea>
    </format>
    <format dxfId="211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7"/>
          </reference>
        </references>
      </pivotArea>
    </format>
    <format dxfId="211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8"/>
          </reference>
        </references>
      </pivotArea>
    </format>
    <format dxfId="211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9"/>
          </reference>
        </references>
      </pivotArea>
    </format>
    <format dxfId="211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0"/>
          </reference>
        </references>
      </pivotArea>
    </format>
    <format dxfId="210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1"/>
          </reference>
        </references>
      </pivotArea>
    </format>
    <format dxfId="210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2"/>
          </reference>
        </references>
      </pivotArea>
    </format>
    <format dxfId="210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3"/>
          </reference>
        </references>
      </pivotArea>
    </format>
    <format dxfId="210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4"/>
          </reference>
        </references>
      </pivotArea>
    </format>
    <format dxfId="210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5"/>
          </reference>
        </references>
      </pivotArea>
    </format>
    <format dxfId="210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6"/>
          </reference>
        </references>
      </pivotArea>
    </format>
    <format dxfId="210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7"/>
          </reference>
        </references>
      </pivotArea>
    </format>
    <format dxfId="210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8"/>
          </reference>
        </references>
      </pivotArea>
    </format>
    <format dxfId="210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9"/>
          </reference>
        </references>
      </pivotArea>
    </format>
    <format dxfId="210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0"/>
          </reference>
        </references>
      </pivotArea>
    </format>
    <format dxfId="209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1"/>
          </reference>
        </references>
      </pivotArea>
    </format>
    <format dxfId="209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2"/>
          </reference>
        </references>
      </pivotArea>
    </format>
    <format dxfId="209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3"/>
          </reference>
        </references>
      </pivotArea>
    </format>
    <format dxfId="209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4"/>
          </reference>
        </references>
      </pivotArea>
    </format>
    <format dxfId="209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5"/>
          </reference>
        </references>
      </pivotArea>
    </format>
    <format dxfId="209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6"/>
          </reference>
        </references>
      </pivotArea>
    </format>
    <format dxfId="2093">
      <pivotArea grandCol="1" outline="0" fieldPosition="0"/>
    </format>
    <format dxfId="2092">
      <pivotArea type="topRight" dataOnly="0" labelOnly="1" outline="0" offset="P1" fieldPosition="0"/>
    </format>
    <format dxfId="2091">
      <pivotArea dataOnly="0" labelOnly="1" grandCol="1" outline="0" fieldPosition="0"/>
    </format>
    <format dxfId="2090">
      <pivotArea outline="0" fieldPosition="0">
        <references count="1">
          <reference field="0" count="1" selected="0">
            <x v="0"/>
          </reference>
        </references>
      </pivotArea>
    </format>
    <format dxfId="2089">
      <pivotArea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0"/>
          </reference>
        </references>
      </pivotArea>
    </format>
    <format dxfId="2088">
      <pivotArea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0"/>
          </reference>
        </references>
      </pivotArea>
    </format>
    <format dxfId="2087">
      <pivotArea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0"/>
          </reference>
        </references>
      </pivotArea>
    </format>
    <format dxfId="2086">
      <pivotArea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1" count="1" selected="0">
            <x v="0"/>
          </reference>
        </references>
      </pivotArea>
    </format>
    <format dxfId="2085">
      <pivotArea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1" count="1" selected="0">
            <x v="0"/>
          </reference>
        </references>
      </pivotArea>
    </format>
    <format dxfId="2084">
      <pivotArea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1" count="1" selected="0">
            <x v="0"/>
          </reference>
        </references>
      </pivotArea>
    </format>
    <format dxfId="2083">
      <pivotArea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1" count="1" selected="0">
            <x v="0"/>
          </reference>
        </references>
      </pivotArea>
    </format>
    <format dxfId="2082">
      <pivotArea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1" count="1" selected="0">
            <x v="0"/>
          </reference>
        </references>
      </pivotArea>
    </format>
    <format dxfId="2081">
      <pivotArea outline="0" fieldPosition="0">
        <references count="3">
          <reference field="4294967294" count="1" selected="0">
            <x v="0"/>
          </reference>
          <reference field="0" count="1" selected="0">
            <x v="9"/>
          </reference>
          <reference field="1" count="1" selected="0">
            <x v="0"/>
          </reference>
        </references>
      </pivotArea>
    </format>
    <format dxfId="2080">
      <pivotArea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1" count="1" selected="0">
            <x v="0"/>
          </reference>
        </references>
      </pivotArea>
    </format>
    <format dxfId="2079">
      <pivotArea outline="0" fieldPosition="0">
        <references count="3">
          <reference field="4294967294" count="1" selected="0">
            <x v="0"/>
          </reference>
          <reference field="0" count="1" selected="0">
            <x v="11"/>
          </reference>
          <reference field="1" count="1" selected="0">
            <x v="0"/>
          </reference>
        </references>
      </pivotArea>
    </format>
    <format dxfId="2078">
      <pivotArea outline="0" fieldPosition="0">
        <references count="3">
          <reference field="4294967294" count="1" selected="0">
            <x v="0"/>
          </reference>
          <reference field="0" count="1" selected="0">
            <x v="12"/>
          </reference>
          <reference field="1" count="1" selected="0">
            <x v="0"/>
          </reference>
        </references>
      </pivotArea>
    </format>
    <format dxfId="2077">
      <pivotArea outline="0" fieldPosition="0">
        <references count="3">
          <reference field="4294967294" count="1" selected="0">
            <x v="0"/>
          </reference>
          <reference field="0" count="1" selected="0">
            <x v="13"/>
          </reference>
          <reference field="1" count="1" selected="0">
            <x v="0"/>
          </reference>
        </references>
      </pivotArea>
    </format>
    <format dxfId="2076">
      <pivotArea field="1" grandCol="1" outline="0" axis="axisRow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2075">
      <pivotArea outline="0" fieldPosition="0">
        <references count="2">
          <reference field="0" count="1" selected="0">
            <x v="0"/>
          </reference>
          <reference field="1" count="10" selected="0"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2074">
      <pivotArea dataOnly="0" labelOnly="1" outline="0" fieldPosition="0">
        <references count="1">
          <reference field="1" count="10"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2073">
      <pivotArea dataOnly="0" labelOnly="1" outline="0" fieldPosition="0">
        <references count="2">
          <reference field="4294967294" count="0"/>
          <reference field="1" count="1" selected="0">
            <x v="21"/>
          </reference>
        </references>
      </pivotArea>
    </format>
    <format dxfId="2072">
      <pivotArea dataOnly="0" labelOnly="1" outline="0" fieldPosition="0">
        <references count="2">
          <reference field="4294967294" count="0"/>
          <reference field="1" count="1" selected="0">
            <x v="22"/>
          </reference>
        </references>
      </pivotArea>
    </format>
    <format dxfId="2071">
      <pivotArea dataOnly="0" labelOnly="1" outline="0" fieldPosition="0">
        <references count="2">
          <reference field="4294967294" count="0"/>
          <reference field="1" count="1" selected="0">
            <x v="23"/>
          </reference>
        </references>
      </pivotArea>
    </format>
    <format dxfId="2070">
      <pivotArea dataOnly="0" labelOnly="1" outline="0" fieldPosition="0">
        <references count="2">
          <reference field="4294967294" count="0"/>
          <reference field="1" count="1" selected="0">
            <x v="24"/>
          </reference>
        </references>
      </pivotArea>
    </format>
    <format dxfId="2069">
      <pivotArea dataOnly="0" labelOnly="1" outline="0" fieldPosition="0">
        <references count="2">
          <reference field="4294967294" count="0"/>
          <reference field="1" count="1" selected="0">
            <x v="25"/>
          </reference>
        </references>
      </pivotArea>
    </format>
    <format dxfId="2068">
      <pivotArea dataOnly="0" labelOnly="1" outline="0" fieldPosition="0">
        <references count="2">
          <reference field="4294967294" count="0"/>
          <reference field="1" count="1" selected="0">
            <x v="26"/>
          </reference>
        </references>
      </pivotArea>
    </format>
    <format dxfId="2067">
      <pivotArea dataOnly="0" labelOnly="1" outline="0" fieldPosition="0">
        <references count="2">
          <reference field="4294967294" count="0"/>
          <reference field="1" count="1" selected="0">
            <x v="27"/>
          </reference>
        </references>
      </pivotArea>
    </format>
    <format dxfId="2066">
      <pivotArea dataOnly="0" labelOnly="1" outline="0" fieldPosition="0">
        <references count="2">
          <reference field="4294967294" count="0"/>
          <reference field="1" count="1" selected="0">
            <x v="28"/>
          </reference>
        </references>
      </pivotArea>
    </format>
    <format dxfId="2065">
      <pivotArea dataOnly="0" labelOnly="1" outline="0" fieldPosition="0">
        <references count="2">
          <reference field="4294967294" count="0"/>
          <reference field="1" count="1" selected="0">
            <x v="29"/>
          </reference>
        </references>
      </pivotArea>
    </format>
    <format dxfId="2064">
      <pivotArea dataOnly="0" labelOnly="1" outline="0" fieldPosition="0">
        <references count="2">
          <reference field="4294967294" count="0"/>
          <reference field="1" count="1" selected="0">
            <x v="30"/>
          </reference>
        </references>
      </pivotArea>
    </format>
    <format dxfId="2063">
      <pivotArea outline="0" fieldPosition="0">
        <references count="2">
          <reference field="0" count="1" selected="0">
            <x v="0"/>
          </reference>
          <reference field="1" count="17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</reference>
        </references>
      </pivotArea>
    </format>
    <format dxfId="2062">
      <pivotArea dataOnly="0" labelOnly="1" outline="0" fieldPosition="0">
        <references count="1">
          <reference field="1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</reference>
        </references>
      </pivotArea>
    </format>
    <format dxfId="2061">
      <pivotArea dataOnly="0" labelOnly="1" outline="0" fieldPosition="0">
        <references count="2">
          <reference field="4294967294" count="0"/>
          <reference field="1" count="1" selected="0">
            <x v="0"/>
          </reference>
        </references>
      </pivotArea>
    </format>
    <format dxfId="2060">
      <pivotArea dataOnly="0" labelOnly="1" outline="0" fieldPosition="0">
        <references count="2">
          <reference field="4294967294" count="0"/>
          <reference field="1" count="1" selected="0">
            <x v="1"/>
          </reference>
        </references>
      </pivotArea>
    </format>
    <format dxfId="2059">
      <pivotArea dataOnly="0" labelOnly="1" outline="0" fieldPosition="0">
        <references count="2">
          <reference field="4294967294" count="0"/>
          <reference field="1" count="1" selected="0">
            <x v="2"/>
          </reference>
        </references>
      </pivotArea>
    </format>
    <format dxfId="2058">
      <pivotArea dataOnly="0" labelOnly="1" outline="0" fieldPosition="0">
        <references count="2">
          <reference field="4294967294" count="0"/>
          <reference field="1" count="1" selected="0">
            <x v="3"/>
          </reference>
        </references>
      </pivotArea>
    </format>
    <format dxfId="2057">
      <pivotArea dataOnly="0" labelOnly="1" outline="0" fieldPosition="0">
        <references count="2">
          <reference field="4294967294" count="0"/>
          <reference field="1" count="1" selected="0">
            <x v="4"/>
          </reference>
        </references>
      </pivotArea>
    </format>
    <format dxfId="2056">
      <pivotArea dataOnly="0" labelOnly="1" outline="0" fieldPosition="0">
        <references count="2">
          <reference field="4294967294" count="0"/>
          <reference field="1" count="1" selected="0">
            <x v="5"/>
          </reference>
        </references>
      </pivotArea>
    </format>
    <format dxfId="2055">
      <pivotArea dataOnly="0" labelOnly="1" outline="0" fieldPosition="0">
        <references count="2">
          <reference field="4294967294" count="0"/>
          <reference field="1" count="1" selected="0">
            <x v="6"/>
          </reference>
        </references>
      </pivotArea>
    </format>
    <format dxfId="2054">
      <pivotArea dataOnly="0" labelOnly="1" outline="0" fieldPosition="0">
        <references count="2">
          <reference field="4294967294" count="0"/>
          <reference field="1" count="1" selected="0">
            <x v="7"/>
          </reference>
        </references>
      </pivotArea>
    </format>
    <format dxfId="2053">
      <pivotArea dataOnly="0" labelOnly="1" outline="0" fieldPosition="0">
        <references count="2">
          <reference field="4294967294" count="0"/>
          <reference field="1" count="1" selected="0">
            <x v="8"/>
          </reference>
        </references>
      </pivotArea>
    </format>
    <format dxfId="2052">
      <pivotArea dataOnly="0" labelOnly="1" outline="0" fieldPosition="0">
        <references count="2">
          <reference field="4294967294" count="0"/>
          <reference field="1" count="1" selected="0">
            <x v="9"/>
          </reference>
        </references>
      </pivotArea>
    </format>
    <format dxfId="2051">
      <pivotArea dataOnly="0" labelOnly="1" outline="0" fieldPosition="0">
        <references count="2">
          <reference field="4294967294" count="0"/>
          <reference field="1" count="1" selected="0">
            <x v="10"/>
          </reference>
        </references>
      </pivotArea>
    </format>
    <format dxfId="2050">
      <pivotArea dataOnly="0" labelOnly="1" outline="0" fieldPosition="0">
        <references count="2">
          <reference field="4294967294" count="0"/>
          <reference field="1" count="1" selected="0">
            <x v="11"/>
          </reference>
        </references>
      </pivotArea>
    </format>
    <format dxfId="2049">
      <pivotArea dataOnly="0" labelOnly="1" outline="0" fieldPosition="0">
        <references count="2">
          <reference field="4294967294" count="0"/>
          <reference field="1" count="1" selected="0">
            <x v="12"/>
          </reference>
        </references>
      </pivotArea>
    </format>
    <format dxfId="2048">
      <pivotArea dataOnly="0" labelOnly="1" outline="0" fieldPosition="0">
        <references count="2">
          <reference field="4294967294" count="0"/>
          <reference field="1" count="1" selected="0">
            <x v="14"/>
          </reference>
        </references>
      </pivotArea>
    </format>
    <format dxfId="2047">
      <pivotArea dataOnly="0" labelOnly="1" outline="0" fieldPosition="0">
        <references count="2">
          <reference field="4294967294" count="0"/>
          <reference field="1" count="1" selected="0">
            <x v="15"/>
          </reference>
        </references>
      </pivotArea>
    </format>
    <format dxfId="2046">
      <pivotArea dataOnly="0" labelOnly="1" outline="0" fieldPosition="0">
        <references count="2">
          <reference field="4294967294" count="0"/>
          <reference field="1" count="1" selected="0">
            <x v="16"/>
          </reference>
        </references>
      </pivotArea>
    </format>
    <format dxfId="2045">
      <pivotArea dataOnly="0" labelOnly="1" outline="0" fieldPosition="0">
        <references count="2">
          <reference field="4294967294" count="0"/>
          <reference field="1" count="1" selected="0">
            <x v="17"/>
          </reference>
        </references>
      </pivotArea>
    </format>
    <format dxfId="2044">
      <pivotArea outline="0" fieldPosition="0">
        <references count="2">
          <reference field="0" count="2" selected="0">
            <x v="0"/>
            <x v="1"/>
          </reference>
          <reference field="1" count="3" selected="0">
            <x v="18"/>
            <x v="19"/>
            <x v="20"/>
          </reference>
        </references>
      </pivotArea>
    </format>
    <format dxfId="2043">
      <pivotArea dataOnly="0" labelOnly="1" outline="0" fieldPosition="0">
        <references count="1">
          <reference field="1" count="3">
            <x v="18"/>
            <x v="19"/>
            <x v="20"/>
          </reference>
        </references>
      </pivotArea>
    </format>
    <format dxfId="2042">
      <pivotArea dataOnly="0" labelOnly="1" outline="0" fieldPosition="0">
        <references count="2">
          <reference field="4294967294" count="0"/>
          <reference field="1" count="1" selected="0">
            <x v="18"/>
          </reference>
        </references>
      </pivotArea>
    </format>
    <format dxfId="2041">
      <pivotArea dataOnly="0" labelOnly="1" outline="0" fieldPosition="0">
        <references count="2">
          <reference field="4294967294" count="0"/>
          <reference field="1" count="1" selected="0">
            <x v="19"/>
          </reference>
        </references>
      </pivotArea>
    </format>
    <format dxfId="2040">
      <pivotArea dataOnly="0" labelOnly="1" outline="0" fieldPosition="0">
        <references count="2">
          <reference field="4294967294" count="0"/>
          <reference field="1" count="1" selected="0">
            <x v="20"/>
          </reference>
        </references>
      </pivotArea>
    </format>
    <format dxfId="2039">
      <pivotArea outline="0" fieldPosition="0">
        <references count="2">
          <reference field="0" count="1" selected="0">
            <x v="0"/>
          </reference>
          <reference field="1" count="16" selected="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</reference>
        </references>
      </pivotArea>
    </format>
    <format dxfId="2038">
      <pivotArea dataOnly="0" labelOnly="1" outline="0" fieldPosition="0">
        <references count="1">
          <reference field="1" count="16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</reference>
        </references>
      </pivotArea>
    </format>
    <format dxfId="2037">
      <pivotArea dataOnly="0" labelOnly="1" outline="0" fieldPosition="0">
        <references count="2">
          <reference field="4294967294" count="0"/>
          <reference field="1" count="1" selected="0">
            <x v="31"/>
          </reference>
        </references>
      </pivotArea>
    </format>
    <format dxfId="2036">
      <pivotArea dataOnly="0" labelOnly="1" outline="0" fieldPosition="0">
        <references count="2">
          <reference field="4294967294" count="0"/>
          <reference field="1" count="1" selected="0">
            <x v="32"/>
          </reference>
        </references>
      </pivotArea>
    </format>
    <format dxfId="2035">
      <pivotArea dataOnly="0" labelOnly="1" outline="0" fieldPosition="0">
        <references count="2">
          <reference field="4294967294" count="0"/>
          <reference field="1" count="1" selected="0">
            <x v="33"/>
          </reference>
        </references>
      </pivotArea>
    </format>
    <format dxfId="2034">
      <pivotArea dataOnly="0" labelOnly="1" outline="0" fieldPosition="0">
        <references count="2">
          <reference field="4294967294" count="0"/>
          <reference field="1" count="1" selected="0">
            <x v="34"/>
          </reference>
        </references>
      </pivotArea>
    </format>
    <format dxfId="2033">
      <pivotArea dataOnly="0" labelOnly="1" outline="0" fieldPosition="0">
        <references count="2">
          <reference field="4294967294" count="0"/>
          <reference field="1" count="1" selected="0">
            <x v="35"/>
          </reference>
        </references>
      </pivotArea>
    </format>
    <format dxfId="2032">
      <pivotArea dataOnly="0" labelOnly="1" outline="0" fieldPosition="0">
        <references count="2">
          <reference field="4294967294" count="0"/>
          <reference field="1" count="1" selected="0">
            <x v="36"/>
          </reference>
        </references>
      </pivotArea>
    </format>
    <format dxfId="2031">
      <pivotArea dataOnly="0" labelOnly="1" outline="0" fieldPosition="0">
        <references count="2">
          <reference field="4294967294" count="0"/>
          <reference field="1" count="1" selected="0">
            <x v="37"/>
          </reference>
        </references>
      </pivotArea>
    </format>
    <format dxfId="2030">
      <pivotArea dataOnly="0" labelOnly="1" outline="0" fieldPosition="0">
        <references count="2">
          <reference field="4294967294" count="0"/>
          <reference field="1" count="1" selected="0">
            <x v="38"/>
          </reference>
        </references>
      </pivotArea>
    </format>
    <format dxfId="2029">
      <pivotArea dataOnly="0" labelOnly="1" outline="0" fieldPosition="0">
        <references count="2">
          <reference field="4294967294" count="0"/>
          <reference field="1" count="1" selected="0">
            <x v="39"/>
          </reference>
        </references>
      </pivotArea>
    </format>
    <format dxfId="2028">
      <pivotArea dataOnly="0" labelOnly="1" outline="0" fieldPosition="0">
        <references count="2">
          <reference field="4294967294" count="0"/>
          <reference field="1" count="1" selected="0">
            <x v="40"/>
          </reference>
        </references>
      </pivotArea>
    </format>
    <format dxfId="2027">
      <pivotArea dataOnly="0" labelOnly="1" outline="0" fieldPosition="0">
        <references count="2">
          <reference field="4294967294" count="0"/>
          <reference field="1" count="1" selected="0">
            <x v="41"/>
          </reference>
        </references>
      </pivotArea>
    </format>
    <format dxfId="2026">
      <pivotArea dataOnly="0" labelOnly="1" outline="0" fieldPosition="0">
        <references count="2">
          <reference field="4294967294" count="0"/>
          <reference field="1" count="1" selected="0">
            <x v="42"/>
          </reference>
        </references>
      </pivotArea>
    </format>
    <format dxfId="2025">
      <pivotArea dataOnly="0" labelOnly="1" outline="0" fieldPosition="0">
        <references count="2">
          <reference field="4294967294" count="0"/>
          <reference field="1" count="1" selected="0">
            <x v="43"/>
          </reference>
        </references>
      </pivotArea>
    </format>
    <format dxfId="2024">
      <pivotArea dataOnly="0" labelOnly="1" outline="0" fieldPosition="0">
        <references count="2">
          <reference field="4294967294" count="0"/>
          <reference field="1" count="1" selected="0">
            <x v="44"/>
          </reference>
        </references>
      </pivotArea>
    </format>
    <format dxfId="2023">
      <pivotArea dataOnly="0" labelOnly="1" outline="0" fieldPosition="0">
        <references count="2">
          <reference field="4294967294" count="0"/>
          <reference field="1" count="1" selected="0">
            <x v="45"/>
          </reference>
        </references>
      </pivotArea>
    </format>
    <format dxfId="2022">
      <pivotArea dataOnly="0" labelOnly="1" outline="0" fieldPosition="0">
        <references count="2">
          <reference field="4294967294" count="0"/>
          <reference field="1" count="1" selected="0">
            <x v="46"/>
          </reference>
        </references>
      </pivotArea>
    </format>
    <format dxfId="2021">
      <pivotArea outline="0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32"/>
          </reference>
        </references>
      </pivotArea>
    </format>
    <format dxfId="2020">
      <pivotArea outline="0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34"/>
          </reference>
        </references>
      </pivotArea>
    </format>
    <format dxfId="2019">
      <pivotArea outline="0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33"/>
          </reference>
        </references>
      </pivotArea>
    </format>
    <format dxfId="2018">
      <pivotArea outline="0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36"/>
          </reference>
        </references>
      </pivotArea>
    </format>
    <format dxfId="2017">
      <pivotArea outline="0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37"/>
          </reference>
        </references>
      </pivotArea>
    </format>
    <format dxfId="2016">
      <pivotArea outline="0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39"/>
          </reference>
        </references>
      </pivotArea>
    </format>
    <format dxfId="2015">
      <pivotArea outline="0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40"/>
          </reference>
        </references>
      </pivotArea>
    </format>
    <format dxfId="2014">
      <pivotArea outline="0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34"/>
          </reference>
        </references>
      </pivotArea>
    </format>
    <format dxfId="2013">
      <pivotArea outline="0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36"/>
          </reference>
        </references>
      </pivotArea>
    </format>
    <format dxfId="2012">
      <pivotArea outline="0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37"/>
          </reference>
        </references>
      </pivotArea>
    </format>
    <format dxfId="2011">
      <pivotArea outline="0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39"/>
          </reference>
        </references>
      </pivotArea>
    </format>
    <format dxfId="2010">
      <pivotArea outline="0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40"/>
          </reference>
        </references>
      </pivotArea>
    </format>
    <format dxfId="2009">
      <pivotArea outline="0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43"/>
          </reference>
        </references>
      </pivotArea>
    </format>
    <format dxfId="2008">
      <pivotArea outline="0" fieldPosition="0">
        <references count="3">
          <reference field="4294967294" count="1" selected="0">
            <x v="1"/>
          </reference>
          <reference field="0" count="1" selected="0">
            <x v="2"/>
          </reference>
          <reference field="1" count="1" selected="0">
            <x v="32"/>
          </reference>
        </references>
      </pivotArea>
    </format>
    <format dxfId="2007">
      <pivotArea outline="0" fieldPosition="0">
        <references count="3">
          <reference field="4294967294" count="1" selected="0">
            <x v="1"/>
          </reference>
          <reference field="0" count="1" selected="0">
            <x v="2"/>
          </reference>
          <reference field="1" count="1" selected="0">
            <x v="36"/>
          </reference>
        </references>
      </pivotArea>
    </format>
    <format dxfId="2006">
      <pivotArea outline="0" fieldPosition="0">
        <references count="3">
          <reference field="4294967294" count="1" selected="0">
            <x v="1"/>
          </reference>
          <reference field="0" count="1" selected="0">
            <x v="2"/>
          </reference>
          <reference field="1" count="1" selected="0">
            <x v="37"/>
          </reference>
        </references>
      </pivotArea>
    </format>
    <format dxfId="2005">
      <pivotArea outline="0" fieldPosition="0">
        <references count="3">
          <reference field="4294967294" count="1" selected="0">
            <x v="1"/>
          </reference>
          <reference field="0" count="1" selected="0">
            <x v="2"/>
          </reference>
          <reference field="1" count="1" selected="0">
            <x v="39"/>
          </reference>
        </references>
      </pivotArea>
    </format>
    <format dxfId="2004">
      <pivotArea outline="0" fieldPosition="0">
        <references count="3">
          <reference field="4294967294" count="1" selected="0">
            <x v="1"/>
          </reference>
          <reference field="0" count="1" selected="0">
            <x v="2"/>
          </reference>
          <reference field="1" count="1" selected="0">
            <x v="40"/>
          </reference>
        </references>
      </pivotArea>
    </format>
    <format dxfId="2003">
      <pivotArea outline="0" fieldPosition="0">
        <references count="3">
          <reference field="4294967294" count="1" selected="0">
            <x v="1"/>
          </reference>
          <reference field="0" count="1" selected="0">
            <x v="3"/>
          </reference>
          <reference field="1" count="1" selected="0">
            <x v="32"/>
          </reference>
        </references>
      </pivotArea>
    </format>
    <format dxfId="2002">
      <pivotArea outline="0" fieldPosition="0">
        <references count="3">
          <reference field="4294967294" count="1" selected="0">
            <x v="1"/>
          </reference>
          <reference field="0" count="1" selected="0">
            <x v="3"/>
          </reference>
          <reference field="1" count="1" selected="0">
            <x v="33"/>
          </reference>
        </references>
      </pivotArea>
    </format>
    <format dxfId="2001">
      <pivotArea outline="0" fieldPosition="0">
        <references count="3">
          <reference field="4294967294" count="1" selected="0">
            <x v="1"/>
          </reference>
          <reference field="0" count="1" selected="0">
            <x v="3"/>
          </reference>
          <reference field="1" count="1" selected="0">
            <x v="34"/>
          </reference>
        </references>
      </pivotArea>
    </format>
    <format dxfId="2000">
      <pivotArea outline="0" fieldPosition="0">
        <references count="3">
          <reference field="4294967294" count="1" selected="0">
            <x v="1"/>
          </reference>
          <reference field="0" count="1" selected="0">
            <x v="3"/>
          </reference>
          <reference field="1" count="1" selected="0">
            <x v="42"/>
          </reference>
        </references>
      </pivotArea>
    </format>
    <format dxfId="1999">
      <pivotArea outline="0" fieldPosition="0">
        <references count="3">
          <reference field="4294967294" count="1" selected="0">
            <x v="1"/>
          </reference>
          <reference field="0" count="1" selected="0">
            <x v="3"/>
          </reference>
          <reference field="1" count="1" selected="0">
            <x v="43"/>
          </reference>
        </references>
      </pivotArea>
    </format>
    <format dxfId="1998">
      <pivotArea outline="0" fieldPosition="0">
        <references count="3">
          <reference field="4294967294" count="1" selected="0">
            <x v="1"/>
          </reference>
          <reference field="0" count="1" selected="0">
            <x v="3"/>
          </reference>
          <reference field="1" count="1" selected="0">
            <x v="45"/>
          </reference>
        </references>
      </pivotArea>
    </format>
    <format dxfId="1997">
      <pivotArea outline="0" fieldPosition="0">
        <references count="3">
          <reference field="4294967294" count="1" selected="0">
            <x v="1"/>
          </reference>
          <reference field="0" count="1" selected="0">
            <x v="3"/>
          </reference>
          <reference field="1" count="1" selected="0">
            <x v="46"/>
          </reference>
        </references>
      </pivotArea>
    </format>
    <format dxfId="1996">
      <pivotArea outline="0" fieldPosition="0">
        <references count="3">
          <reference field="4294967294" count="1" selected="0">
            <x v="1"/>
          </reference>
          <reference field="0" count="1" selected="0">
            <x v="4"/>
          </reference>
          <reference field="1" count="1" selected="0">
            <x v="32"/>
          </reference>
        </references>
      </pivotArea>
    </format>
    <format dxfId="1995">
      <pivotArea outline="0" fieldPosition="0">
        <references count="3">
          <reference field="4294967294" count="1" selected="0">
            <x v="1"/>
          </reference>
          <reference field="0" count="1" selected="0">
            <x v="4"/>
          </reference>
          <reference field="1" count="1" selected="0">
            <x v="37"/>
          </reference>
        </references>
      </pivotArea>
    </format>
    <format dxfId="1994">
      <pivotArea outline="0" fieldPosition="0">
        <references count="3">
          <reference field="4294967294" count="1" selected="0">
            <x v="1"/>
          </reference>
          <reference field="0" count="1" selected="0">
            <x v="4"/>
          </reference>
          <reference field="1" count="1" selected="0">
            <x v="40"/>
          </reference>
        </references>
      </pivotArea>
    </format>
    <format dxfId="1993">
      <pivotArea outline="0" fieldPosition="0">
        <references count="3">
          <reference field="4294967294" count="1" selected="0">
            <x v="1"/>
          </reference>
          <reference field="0" count="1" selected="0">
            <x v="4"/>
          </reference>
          <reference field="1" count="1" selected="0">
            <x v="43"/>
          </reference>
        </references>
      </pivotArea>
    </format>
    <format dxfId="1992">
      <pivotArea outline="0" fieldPosition="0">
        <references count="3">
          <reference field="4294967294" count="1" selected="0">
            <x v="1"/>
          </reference>
          <reference field="0" count="1" selected="0">
            <x v="4"/>
          </reference>
          <reference field="1" count="1" selected="0">
            <x v="46"/>
          </reference>
        </references>
      </pivotArea>
    </format>
    <format dxfId="1991">
      <pivotArea outline="0" fieldPosition="0">
        <references count="3">
          <reference field="4294967294" count="1" selected="0">
            <x v="1"/>
          </reference>
          <reference field="0" count="1" selected="0">
            <x v="5"/>
          </reference>
          <reference field="1" count="1" selected="0">
            <x v="36"/>
          </reference>
        </references>
      </pivotArea>
    </format>
    <format dxfId="1990">
      <pivotArea outline="0" fieldPosition="0">
        <references count="3">
          <reference field="4294967294" count="1" selected="0">
            <x v="1"/>
          </reference>
          <reference field="0" count="1" selected="0">
            <x v="5"/>
          </reference>
          <reference field="1" count="1" selected="0">
            <x v="37"/>
          </reference>
        </references>
      </pivotArea>
    </format>
    <format dxfId="1989">
      <pivotArea outline="0" fieldPosition="0">
        <references count="3">
          <reference field="4294967294" count="1" selected="0">
            <x v="1"/>
          </reference>
          <reference field="0" count="1" selected="0">
            <x v="5"/>
          </reference>
          <reference field="1" count="1" selected="0">
            <x v="39"/>
          </reference>
        </references>
      </pivotArea>
    </format>
    <format dxfId="1988">
      <pivotArea outline="0" fieldPosition="0">
        <references count="3">
          <reference field="4294967294" count="1" selected="0">
            <x v="1"/>
          </reference>
          <reference field="0" count="1" selected="0">
            <x v="5"/>
          </reference>
          <reference field="1" count="1" selected="0">
            <x v="40"/>
          </reference>
        </references>
      </pivotArea>
    </format>
    <format dxfId="1987">
      <pivotArea outline="0" fieldPosition="0">
        <references count="3">
          <reference field="4294967294" count="1" selected="0">
            <x v="1"/>
          </reference>
          <reference field="0" count="1" selected="0">
            <x v="5"/>
          </reference>
          <reference field="1" count="1" selected="0">
            <x v="41"/>
          </reference>
        </references>
      </pivotArea>
    </format>
    <format dxfId="1986">
      <pivotArea outline="0" fieldPosition="0">
        <references count="3">
          <reference field="4294967294" count="1" selected="0">
            <x v="1"/>
          </reference>
          <reference field="0" count="1" selected="0">
            <x v="5"/>
          </reference>
          <reference field="1" count="1" selected="0">
            <x v="45"/>
          </reference>
        </references>
      </pivotArea>
    </format>
    <format dxfId="1985">
      <pivotArea outline="0" fieldPosition="0">
        <references count="3">
          <reference field="4294967294" count="1" selected="0">
            <x v="1"/>
          </reference>
          <reference field="0" count="1" selected="0">
            <x v="5"/>
          </reference>
          <reference field="1" count="1" selected="0">
            <x v="46"/>
          </reference>
        </references>
      </pivotArea>
    </format>
    <format dxfId="1984">
      <pivotArea outline="0" fieldPosition="0">
        <references count="3">
          <reference field="4294967294" count="1" selected="0">
            <x v="1"/>
          </reference>
          <reference field="0" count="1" selected="0">
            <x v="6"/>
          </reference>
          <reference field="1" count="1" selected="0">
            <x v="36"/>
          </reference>
        </references>
      </pivotArea>
    </format>
    <format dxfId="1983">
      <pivotArea outline="0" fieldPosition="0">
        <references count="3">
          <reference field="4294967294" count="1" selected="0">
            <x v="1"/>
          </reference>
          <reference field="0" count="1" selected="0">
            <x v="6"/>
          </reference>
          <reference field="1" count="1" selected="0">
            <x v="37"/>
          </reference>
        </references>
      </pivotArea>
    </format>
    <format dxfId="1982">
      <pivotArea outline="0" fieldPosition="0">
        <references count="3">
          <reference field="4294967294" count="1" selected="0">
            <x v="1"/>
          </reference>
          <reference field="0" count="1" selected="0">
            <x v="6"/>
          </reference>
          <reference field="1" count="1" selected="0">
            <x v="39"/>
          </reference>
        </references>
      </pivotArea>
    </format>
    <format dxfId="1981">
      <pivotArea outline="0" fieldPosition="0">
        <references count="3">
          <reference field="4294967294" count="1" selected="0">
            <x v="1"/>
          </reference>
          <reference field="0" count="1" selected="0">
            <x v="6"/>
          </reference>
          <reference field="1" count="1" selected="0">
            <x v="40"/>
          </reference>
        </references>
      </pivotArea>
    </format>
    <format dxfId="1980">
      <pivotArea outline="0" fieldPosition="0">
        <references count="3">
          <reference field="4294967294" count="1" selected="0">
            <x v="1"/>
          </reference>
          <reference field="0" count="1" selected="0">
            <x v="6"/>
          </reference>
          <reference field="1" count="1" selected="0">
            <x v="43"/>
          </reference>
        </references>
      </pivotArea>
    </format>
    <format dxfId="1979">
      <pivotArea outline="0" fieldPosition="0">
        <references count="3">
          <reference field="4294967294" count="1" selected="0">
            <x v="1"/>
          </reference>
          <reference field="0" count="1" selected="0">
            <x v="7"/>
          </reference>
          <reference field="1" count="1" selected="0">
            <x v="33"/>
          </reference>
        </references>
      </pivotArea>
    </format>
    <format dxfId="1978">
      <pivotArea outline="0" fieldPosition="0">
        <references count="3">
          <reference field="4294967294" count="1" selected="0">
            <x v="1"/>
          </reference>
          <reference field="0" count="1" selected="0">
            <x v="7"/>
          </reference>
          <reference field="1" count="1" selected="0">
            <x v="36"/>
          </reference>
        </references>
      </pivotArea>
    </format>
    <format dxfId="1977">
      <pivotArea outline="0" fieldPosition="0">
        <references count="3">
          <reference field="4294967294" count="1" selected="0">
            <x v="1"/>
          </reference>
          <reference field="0" count="1" selected="0">
            <x v="7"/>
          </reference>
          <reference field="1" count="1" selected="0">
            <x v="37"/>
          </reference>
        </references>
      </pivotArea>
    </format>
    <format dxfId="1976">
      <pivotArea outline="0" fieldPosition="0">
        <references count="3">
          <reference field="4294967294" count="1" selected="0">
            <x v="1"/>
          </reference>
          <reference field="0" count="1" selected="0">
            <x v="7"/>
          </reference>
          <reference field="1" count="1" selected="0">
            <x v="39"/>
          </reference>
        </references>
      </pivotArea>
    </format>
    <format dxfId="1975">
      <pivotArea outline="0" fieldPosition="0">
        <references count="3">
          <reference field="4294967294" count="1" selected="0">
            <x v="1"/>
          </reference>
          <reference field="0" count="1" selected="0">
            <x v="7"/>
          </reference>
          <reference field="1" count="1" selected="0">
            <x v="40"/>
          </reference>
        </references>
      </pivotArea>
    </format>
    <format dxfId="1974">
      <pivotArea outline="0" fieldPosition="0">
        <references count="3">
          <reference field="4294967294" count="1" selected="0">
            <x v="1"/>
          </reference>
          <reference field="0" count="1" selected="0">
            <x v="8"/>
          </reference>
          <reference field="1" count="1" selected="0">
            <x v="35"/>
          </reference>
        </references>
      </pivotArea>
    </format>
    <format dxfId="1973">
      <pivotArea outline="0" fieldPosition="0">
        <references count="3">
          <reference field="4294967294" count="1" selected="0">
            <x v="1"/>
          </reference>
          <reference field="0" count="1" selected="0">
            <x v="8"/>
          </reference>
          <reference field="1" count="1" selected="0">
            <x v="36"/>
          </reference>
        </references>
      </pivotArea>
    </format>
    <format dxfId="1972">
      <pivotArea outline="0" fieldPosition="0">
        <references count="3">
          <reference field="4294967294" count="1" selected="0">
            <x v="1"/>
          </reference>
          <reference field="0" count="1" selected="0">
            <x v="8"/>
          </reference>
          <reference field="1" count="1" selected="0">
            <x v="37"/>
          </reference>
        </references>
      </pivotArea>
    </format>
    <format dxfId="1971">
      <pivotArea outline="0" fieldPosition="0">
        <references count="3">
          <reference field="4294967294" count="1" selected="0">
            <x v="1"/>
          </reference>
          <reference field="0" count="1" selected="0">
            <x v="8"/>
          </reference>
          <reference field="1" count="1" selected="0">
            <x v="39"/>
          </reference>
        </references>
      </pivotArea>
    </format>
    <format dxfId="1970">
      <pivotArea outline="0" fieldPosition="0">
        <references count="3">
          <reference field="4294967294" count="1" selected="0">
            <x v="1"/>
          </reference>
          <reference field="0" count="1" selected="0">
            <x v="8"/>
          </reference>
          <reference field="1" count="1" selected="0">
            <x v="40"/>
          </reference>
        </references>
      </pivotArea>
    </format>
    <format dxfId="1969">
      <pivotArea outline="0" fieldPosition="0">
        <references count="3">
          <reference field="4294967294" count="1" selected="0">
            <x v="1"/>
          </reference>
          <reference field="0" count="1" selected="0">
            <x v="8"/>
          </reference>
          <reference field="1" count="1" selected="0">
            <x v="41"/>
          </reference>
        </references>
      </pivotArea>
    </format>
    <format dxfId="1968">
      <pivotArea outline="0" fieldPosition="0">
        <references count="3">
          <reference field="4294967294" count="1" selected="0">
            <x v="1"/>
          </reference>
          <reference field="0" count="1" selected="0">
            <x v="8"/>
          </reference>
          <reference field="1" count="1" selected="0">
            <x v="43"/>
          </reference>
        </references>
      </pivotArea>
    </format>
    <format dxfId="1967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33"/>
          </reference>
        </references>
      </pivotArea>
    </format>
    <format dxfId="1966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34"/>
          </reference>
        </references>
      </pivotArea>
    </format>
    <format dxfId="1965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42"/>
          </reference>
        </references>
      </pivotArea>
    </format>
    <format dxfId="1964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43"/>
          </reference>
        </references>
      </pivotArea>
    </format>
    <format dxfId="1963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45"/>
          </reference>
        </references>
      </pivotArea>
    </format>
    <format dxfId="1962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46"/>
          </reference>
        </references>
      </pivotArea>
    </format>
    <format dxfId="1961">
      <pivotArea outline="0" fieldPosition="0">
        <references count="3">
          <reference field="4294967294" count="1" selected="0">
            <x v="1"/>
          </reference>
          <reference field="0" count="1" selected="0">
            <x v="10"/>
          </reference>
          <reference field="1" count="1" selected="0">
            <x v="32"/>
          </reference>
        </references>
      </pivotArea>
    </format>
    <format dxfId="1960">
      <pivotArea outline="0" fieldPosition="0">
        <references count="3">
          <reference field="4294967294" count="1" selected="0">
            <x v="1"/>
          </reference>
          <reference field="0" count="1" selected="0">
            <x v="10"/>
          </reference>
          <reference field="1" count="1" selected="0">
            <x v="44"/>
          </reference>
        </references>
      </pivotArea>
    </format>
    <format dxfId="1959">
      <pivotArea outline="0" fieldPosition="0">
        <references count="3">
          <reference field="4294967294" count="1" selected="0">
            <x v="1"/>
          </reference>
          <reference field="0" count="1" selected="0">
            <x v="11"/>
          </reference>
          <reference field="1" count="1" selected="0">
            <x v="32"/>
          </reference>
        </references>
      </pivotArea>
    </format>
    <format dxfId="1958">
      <pivotArea outline="0" fieldPosition="0">
        <references count="3">
          <reference field="4294967294" count="1" selected="0">
            <x v="1"/>
          </reference>
          <reference field="0" count="1" selected="0">
            <x v="11"/>
          </reference>
          <reference field="1" count="1" selected="0">
            <x v="35"/>
          </reference>
        </references>
      </pivotArea>
    </format>
    <format dxfId="1957">
      <pivotArea outline="0" fieldPosition="0">
        <references count="3">
          <reference field="4294967294" count="1" selected="0">
            <x v="1"/>
          </reference>
          <reference field="0" count="1" selected="0">
            <x v="11"/>
          </reference>
          <reference field="1" count="1" selected="0">
            <x v="36"/>
          </reference>
        </references>
      </pivotArea>
    </format>
    <format dxfId="1956">
      <pivotArea outline="0" fieldPosition="0">
        <references count="3">
          <reference field="4294967294" count="1" selected="0">
            <x v="1"/>
          </reference>
          <reference field="0" count="1" selected="0">
            <x v="11"/>
          </reference>
          <reference field="1" count="1" selected="0">
            <x v="38"/>
          </reference>
        </references>
      </pivotArea>
    </format>
    <format dxfId="1955">
      <pivotArea outline="0" fieldPosition="0">
        <references count="3">
          <reference field="4294967294" count="1" selected="0">
            <x v="1"/>
          </reference>
          <reference field="0" count="1" selected="0">
            <x v="11"/>
          </reference>
          <reference field="1" count="1" selected="0">
            <x v="39"/>
          </reference>
        </references>
      </pivotArea>
    </format>
    <format dxfId="1954">
      <pivotArea outline="0" fieldPosition="0">
        <references count="3">
          <reference field="4294967294" count="1" selected="0">
            <x v="1"/>
          </reference>
          <reference field="0" count="1" selected="0">
            <x v="11"/>
          </reference>
          <reference field="1" count="1" selected="0">
            <x v="41"/>
          </reference>
        </references>
      </pivotArea>
    </format>
    <format dxfId="1953">
      <pivotArea outline="0" fieldPosition="0">
        <references count="3">
          <reference field="4294967294" count="1" selected="0">
            <x v="1"/>
          </reference>
          <reference field="0" count="1" selected="0">
            <x v="11"/>
          </reference>
          <reference field="1" count="1" selected="0">
            <x v="44"/>
          </reference>
        </references>
      </pivotArea>
    </format>
    <format dxfId="1952">
      <pivotArea outline="0" fieldPosition="0">
        <references count="3">
          <reference field="4294967294" count="1" selected="0">
            <x v="1"/>
          </reference>
          <reference field="0" count="1" selected="0">
            <x v="12"/>
          </reference>
          <reference field="1" count="1" selected="0">
            <x v="36"/>
          </reference>
        </references>
      </pivotArea>
    </format>
    <format dxfId="1951">
      <pivotArea outline="0" fieldPosition="0">
        <references count="3">
          <reference field="4294967294" count="1" selected="0">
            <x v="1"/>
          </reference>
          <reference field="0" count="1" selected="0">
            <x v="12"/>
          </reference>
          <reference field="1" count="1" selected="0">
            <x v="37"/>
          </reference>
        </references>
      </pivotArea>
    </format>
    <format dxfId="1950">
      <pivotArea outline="0" fieldPosition="0">
        <references count="3">
          <reference field="4294967294" count="1" selected="0">
            <x v="1"/>
          </reference>
          <reference field="0" count="1" selected="0">
            <x v="12"/>
          </reference>
          <reference field="1" count="1" selected="0">
            <x v="39"/>
          </reference>
        </references>
      </pivotArea>
    </format>
    <format dxfId="1949">
      <pivotArea outline="0" fieldPosition="0">
        <references count="3">
          <reference field="4294967294" count="1" selected="0">
            <x v="1"/>
          </reference>
          <reference field="0" count="1" selected="0">
            <x v="12"/>
          </reference>
          <reference field="1" count="1" selected="0">
            <x v="40"/>
          </reference>
        </references>
      </pivotArea>
    </format>
    <format dxfId="1948">
      <pivotArea outline="0" fieldPosition="0">
        <references count="3">
          <reference field="4294967294" count="1" selected="0">
            <x v="1"/>
          </reference>
          <reference field="0" count="1" selected="0">
            <x v="13"/>
          </reference>
          <reference field="1" count="1" selected="0">
            <x v="32"/>
          </reference>
        </references>
      </pivotArea>
    </format>
    <format dxfId="1947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2"/>
          </reference>
        </references>
      </pivotArea>
    </format>
    <format dxfId="1946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3"/>
          </reference>
        </references>
      </pivotArea>
    </format>
    <format dxfId="1945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4"/>
          </reference>
        </references>
      </pivotArea>
    </format>
    <format dxfId="1944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5"/>
          </reference>
        </references>
      </pivotArea>
    </format>
    <format dxfId="1943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6"/>
          </reference>
        </references>
      </pivotArea>
    </format>
    <format dxfId="1942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7"/>
          </reference>
        </references>
      </pivotArea>
    </format>
    <format dxfId="1941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8"/>
          </reference>
        </references>
      </pivotArea>
    </format>
    <format dxfId="1940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9"/>
          </reference>
        </references>
      </pivotArea>
    </format>
    <format dxfId="1939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40"/>
          </reference>
        </references>
      </pivotArea>
    </format>
    <format dxfId="1938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42"/>
          </reference>
        </references>
      </pivotArea>
    </format>
    <format dxfId="1937">
      <pivotArea field="1" grandCol="1" outline="0" axis="axisRow" fieldPosition="0">
        <references count="2">
          <reference field="4294967294" count="2" selected="0">
            <x v="0"/>
            <x v="1"/>
          </reference>
          <reference field="1" count="1" selected="0">
            <x v="43"/>
          </reference>
        </references>
      </pivotArea>
    </format>
    <format dxfId="1936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46"/>
          </reference>
        </references>
      </pivotArea>
    </format>
    <format dxfId="1935">
      <pivotArea type="all" dataOnly="0" outline="0" fieldPosition="0"/>
    </format>
    <format dxfId="1934">
      <pivotArea outline="0" collapsedLevelsAreSubtotals="1" fieldPosition="0">
        <references count="2">
          <reference field="4294967294" count="1" selected="0">
            <x v="2"/>
          </reference>
          <reference field="1" count="1" selected="0">
            <x v="0"/>
          </reference>
        </references>
      </pivotArea>
    </format>
    <format dxfId="1933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1"/>
          </reference>
        </references>
      </pivotArea>
    </format>
    <format dxfId="1932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2"/>
          </reference>
        </references>
      </pivotArea>
    </format>
    <format dxfId="1931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3"/>
          </reference>
        </references>
      </pivotArea>
    </format>
    <format dxfId="1930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4"/>
          </reference>
        </references>
      </pivotArea>
    </format>
    <format dxfId="1929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5"/>
          </reference>
        </references>
      </pivotArea>
    </format>
    <format dxfId="1928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6"/>
          </reference>
        </references>
      </pivotArea>
    </format>
    <format dxfId="1927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7"/>
          </reference>
        </references>
      </pivotArea>
    </format>
    <format dxfId="1926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8"/>
          </reference>
        </references>
      </pivotArea>
    </format>
    <format dxfId="1925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9"/>
          </reference>
        </references>
      </pivotArea>
    </format>
    <format dxfId="1924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10"/>
          </reference>
        </references>
      </pivotArea>
    </format>
    <format dxfId="1923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11"/>
          </reference>
        </references>
      </pivotArea>
    </format>
    <format dxfId="1922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12"/>
          </reference>
        </references>
      </pivotArea>
    </format>
    <format dxfId="1921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13"/>
          </reference>
        </references>
      </pivotArea>
    </format>
    <format dxfId="1920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14"/>
          </reference>
        </references>
      </pivotArea>
    </format>
    <format dxfId="1919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15"/>
          </reference>
        </references>
      </pivotArea>
    </format>
    <format dxfId="1918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16"/>
          </reference>
        </references>
      </pivotArea>
    </format>
    <format dxfId="1917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17"/>
          </reference>
        </references>
      </pivotArea>
    </format>
    <format dxfId="1916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" count="1" selected="0">
            <x v="18"/>
          </reference>
        </references>
      </pivotArea>
    </format>
    <format dxfId="1915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1"/>
          </reference>
        </references>
      </pivotArea>
    </format>
    <format dxfId="1914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2"/>
          </reference>
        </references>
      </pivotArea>
    </format>
    <format dxfId="1913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3"/>
          </reference>
        </references>
      </pivotArea>
    </format>
    <format dxfId="1912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4"/>
          </reference>
        </references>
      </pivotArea>
    </format>
    <format dxfId="1911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5"/>
          </reference>
        </references>
      </pivotArea>
    </format>
    <format dxfId="1910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6"/>
          </reference>
        </references>
      </pivotArea>
    </format>
    <format dxfId="1909">
      <pivotArea outline="0" collapsedLevelsAreSubtotals="1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7"/>
          </reference>
        </references>
      </pivotArea>
    </format>
    <format dxfId="1908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7"/>
          </reference>
        </references>
      </pivotArea>
    </format>
    <format dxfId="1907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8"/>
          </reference>
        </references>
      </pivotArea>
    </format>
    <format dxfId="1906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9"/>
          </reference>
        </references>
      </pivotArea>
    </format>
    <format dxfId="1905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10"/>
          </reference>
        </references>
      </pivotArea>
    </format>
    <format dxfId="1904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11"/>
          </reference>
        </references>
      </pivotArea>
    </format>
    <format dxfId="1903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12"/>
          </reference>
        </references>
      </pivotArea>
    </format>
    <format dxfId="1902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13"/>
          </reference>
        </references>
      </pivotArea>
    </format>
    <format dxfId="1901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14"/>
          </reference>
        </references>
      </pivotArea>
    </format>
    <format dxfId="1900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15"/>
          </reference>
        </references>
      </pivotArea>
    </format>
    <format dxfId="1899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16"/>
          </reference>
        </references>
      </pivotArea>
    </format>
    <format dxfId="1898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17"/>
          </reference>
        </references>
      </pivotArea>
    </format>
    <format dxfId="1897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18"/>
          </reference>
        </references>
      </pivotArea>
    </format>
    <format dxfId="1896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19"/>
          </reference>
        </references>
      </pivotArea>
    </format>
    <format dxfId="1895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20"/>
          </reference>
        </references>
      </pivotArea>
    </format>
    <format dxfId="1894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21"/>
          </reference>
        </references>
      </pivotArea>
    </format>
    <format dxfId="1893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22"/>
          </reference>
        </references>
      </pivotArea>
    </format>
    <format dxfId="1892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23"/>
          </reference>
        </references>
      </pivotArea>
    </format>
    <format dxfId="1891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24"/>
          </reference>
        </references>
      </pivotArea>
    </format>
    <format dxfId="1890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25"/>
          </reference>
        </references>
      </pivotArea>
    </format>
    <format dxfId="1889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26"/>
          </reference>
        </references>
      </pivotArea>
    </format>
    <format dxfId="1888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27"/>
          </reference>
        </references>
      </pivotArea>
    </format>
    <format dxfId="1887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28"/>
          </reference>
        </references>
      </pivotArea>
    </format>
    <format dxfId="1886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29"/>
          </reference>
        </references>
      </pivotArea>
    </format>
    <format dxfId="1885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30"/>
          </reference>
        </references>
      </pivotArea>
    </format>
    <format dxfId="1884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31"/>
          </reference>
        </references>
      </pivotArea>
    </format>
    <format dxfId="1883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32"/>
          </reference>
        </references>
      </pivotArea>
    </format>
    <format dxfId="1882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33"/>
          </reference>
        </references>
      </pivotArea>
    </format>
    <format dxfId="1881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34"/>
          </reference>
        </references>
      </pivotArea>
    </format>
    <format dxfId="1880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35"/>
          </reference>
        </references>
      </pivotArea>
    </format>
    <format dxfId="1879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36"/>
          </reference>
        </references>
      </pivotArea>
    </format>
    <format dxfId="1878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37"/>
          </reference>
        </references>
      </pivotArea>
    </format>
    <format dxfId="1877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38"/>
          </reference>
        </references>
      </pivotArea>
    </format>
    <format dxfId="1876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39"/>
          </reference>
        </references>
      </pivotArea>
    </format>
    <format dxfId="1875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40"/>
          </reference>
        </references>
      </pivotArea>
    </format>
    <format dxfId="1874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41"/>
          </reference>
        </references>
      </pivotArea>
    </format>
    <format dxfId="1873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42"/>
          </reference>
        </references>
      </pivotArea>
    </format>
    <format dxfId="1872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43"/>
          </reference>
        </references>
      </pivotArea>
    </format>
    <format dxfId="1871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44"/>
          </reference>
        </references>
      </pivotArea>
    </format>
    <format dxfId="1870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45"/>
          </reference>
        </references>
      </pivotArea>
    </format>
    <format dxfId="1869">
      <pivotArea outline="0"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46"/>
          </reference>
        </references>
      </pivotArea>
    </format>
    <format dxfId="1868">
      <pivotArea field="0" grandRow="1" outline="0" collapsedLevelsAreSubtotals="1" axis="axisCol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format>
    <format dxfId="1867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8"/>
          </reference>
          <reference field="1" count="1" selected="0">
            <x v="36"/>
          </reference>
        </references>
      </pivotArea>
    </format>
  </formats>
  <conditionalFormats count="8">
    <conditionalFormat priority="15">
      <pivotAreas count="48"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3"/>
            </reference>
          </references>
        </pivotArea>
      </pivotAreas>
    </conditionalFormat>
    <conditionalFormat priority="13">
      <pivotAreas count="48"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3"/>
            </reference>
          </references>
        </pivotArea>
      </pivotAreas>
    </conditionalFormat>
    <conditionalFormat priority="11">
      <pivotAreas count="48"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2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3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4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1" count="1" selected="0">
              <x v="1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9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1" count="1" selected="0">
              <x v="8"/>
            </reference>
          </references>
        </pivotArea>
      </pivotAreas>
    </conditionalFormat>
    <conditionalFormat priority="7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1" count="1" selected="0">
              <x v="8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1" count="1" selected="0">
              <x v="8"/>
            </reference>
          </references>
        </pivotArea>
      </pivotAreas>
    </conditionalFormat>
    <conditionalFormat priority="3">
      <pivotAreas count="1"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1">
      <pivotAreas count="1"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7" dataOnRows="1" applyNumberFormats="0" applyBorderFormats="0" applyFontFormats="0" applyPatternFormats="0" applyAlignmentFormats="0" applyWidthHeightFormats="1" dataCaption="Data" grandTotalCaption="Grand Total" updatedVersion="3" minRefreshableVersion="3" showMemberPropertyTips="0" itemPrintTitles="1" createdVersion="3" indent="0" compact="0" compactData="0" gridDropZones="1">
  <location ref="A3:X668" firstHeaderRow="1" firstDataRow="3" firstDataCol="2"/>
  <pivotFields count="49">
    <pivotField axis="axisRow" compact="0" outline="0" subtotalTop="0" showAll="0" includeNewItemsInFilter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16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18">
        <item x="0"/>
        <item x="1"/>
        <item x="2"/>
        <item x="3"/>
        <item x="4"/>
        <item x="5"/>
        <item x="13"/>
        <item x="6"/>
        <item x="7"/>
        <item x="8"/>
        <item x="15"/>
        <item x="9"/>
        <item x="10"/>
        <item x="14"/>
        <item x="11"/>
        <item x="12"/>
        <item m="1" x="16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axis="axisCol" compact="0" outline="0" subtotalTop="0" showAll="0" includeNewItemsInFilter="1">
      <items count="7">
        <item n="Four-Year" x="3"/>
        <item n="Two-Year" x="4"/>
        <item n="Technical" x="5"/>
        <item n="Specialized" x="1"/>
        <item n="Other" x="0"/>
        <item x="2"/>
        <item t="default"/>
      </items>
    </pivotField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0"/>
    <field x="-2"/>
  </rowFields>
  <rowItems count="663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  <i t="grand" i="15">
      <x/>
    </i>
    <i t="grand" i="16">
      <x/>
    </i>
    <i t="grand" i="17">
      <x/>
    </i>
    <i t="grand" i="18">
      <x/>
    </i>
    <i t="grand" i="19">
      <x/>
    </i>
    <i t="grand" i="20">
      <x/>
    </i>
    <i t="grand" i="21">
      <x/>
    </i>
    <i t="grand" i="22">
      <x/>
    </i>
    <i t="grand" i="23">
      <x/>
    </i>
    <i t="grand" i="24">
      <x/>
    </i>
    <i t="grand" i="25">
      <x/>
    </i>
    <i t="grand" i="26">
      <x/>
    </i>
    <i t="grand" i="27">
      <x/>
    </i>
    <i t="grand" i="28">
      <x/>
    </i>
    <i t="grand" i="29">
      <x/>
    </i>
    <i t="grand" i="30">
      <x/>
    </i>
    <i t="grand" i="31">
      <x/>
    </i>
    <i t="grand" i="32">
      <x/>
    </i>
    <i t="grand" i="33">
      <x/>
    </i>
    <i t="grand" i="34">
      <x/>
    </i>
    <i t="grand" i="35">
      <x/>
    </i>
    <i t="grand" i="36">
      <x/>
    </i>
    <i t="grand" i="37">
      <x/>
    </i>
    <i t="grand" i="38">
      <x/>
    </i>
  </rowItems>
  <colFields count="2">
    <field x="43"/>
    <field x="4"/>
  </colFields>
  <colItems count="22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r="1">
      <x v="10"/>
    </i>
    <i t="default">
      <x v="1"/>
    </i>
    <i>
      <x v="2"/>
      <x v="11"/>
    </i>
    <i r="1">
      <x v="12"/>
    </i>
    <i r="1">
      <x v="13"/>
    </i>
    <i t="default">
      <x v="2"/>
    </i>
    <i>
      <x v="3"/>
      <x v="14"/>
    </i>
    <i t="default">
      <x v="3"/>
    </i>
    <i>
      <x v="4"/>
      <x v="15"/>
    </i>
    <i t="default">
      <x v="4"/>
    </i>
    <i t="grand">
      <x/>
    </i>
  </colItems>
  <dataFields count="39">
    <dataField name="Sum of State Gen Purp-Old" fld="5" baseField="0" baseItem="0" numFmtId="37"/>
    <dataField name="Sum of State Gen Purp-New" fld="6" baseField="0" baseItem="0" numFmtId="37"/>
    <dataField name=" % change in state gen purp" fld="39" baseField="0" baseItem="0" numFmtId="37"/>
    <dataField name="Sum of State Ed Spec Purp-Old" fld="7" baseField="0" baseItem="0" numFmtId="37"/>
    <dataField name="Sum of State Ed Spec Purp-New" fld="8" baseField="0" baseItem="0" numFmtId="37"/>
    <dataField name=" % change in state ed spec purp" fld="38" baseField="0" baseItem="0" numFmtId="37"/>
    <dataField name="Sum of Local-Old" fld="9" baseField="0" baseItem="0" numFmtId="37"/>
    <dataField name="Sum of Local-New" fld="10" baseField="0" baseItem="0" numFmtId="37"/>
    <dataField name=" % change in local" fld="37" baseField="0" baseItem="0" numFmtId="37"/>
    <dataField name="Sum of Tuition Ops-Old" fld="11" baseField="0" baseItem="0" numFmtId="37"/>
    <dataField name="Sum of Tuition Ops-New" fld="14" baseField="0" baseItem="0" numFmtId="37"/>
    <dataField name=" % change in tuition ops" fld="36" baseField="0" baseItem="0" numFmtId="37"/>
    <dataField name="Sum of Tuition Debt-Old" fld="12" baseField="0" baseItem="0" numFmtId="37"/>
    <dataField name="Sum of Tuition Debt-New" fld="15" baseField="0" baseItem="0" numFmtId="37"/>
    <dataField name=" % change in tuition debt" fld="42" baseField="0" baseItem="0" numFmtId="37"/>
    <dataField name="Sum of Tuition Tot-Old" fld="13" baseField="0" baseItem="0" numFmtId="37"/>
    <dataField name="Sum of Tuition Tot-New" fld="16" baseField="0" baseItem="0" numFmtId="37"/>
    <dataField name=" % change in tuition total" fld="41" baseField="0" baseItem="0" numFmtId="37"/>
    <dataField name="Sum of Other Spec Purp State-Old" fld="19" baseField="0" baseItem="0" numFmtId="37"/>
    <dataField name="Sum of Other Spec Purp State-New" fld="20" baseField="0" baseItem="0" numFmtId="37"/>
    <dataField name=" % change in other spec purp state" fld="40" baseField="0" baseItem="0" numFmtId="37"/>
    <dataField name="Sum of Tuition SP Ops-Old" fld="21" baseField="0" baseItem="0" numFmtId="37"/>
    <dataField name="Sum of Tuition SP Ops-New" fld="24" baseField="0" baseItem="0" numFmtId="37"/>
    <dataField name=" % change in tuition sp ops" fld="46" baseField="0" baseItem="0" numFmtId="37"/>
    <dataField name="Sum of Tuition SP Debt-Old" fld="22" baseField="0" baseItem="0" numFmtId="37"/>
    <dataField name="Sum of Tuition SP Debt-New" fld="25" baseField="0" baseItem="0" numFmtId="37"/>
    <dataField name=" % change in tuition sp debt" fld="45" baseField="0" baseItem="0" numFmtId="37"/>
    <dataField name="Sum of Tuition SP Tot-Old" fld="23" baseField="0" baseItem="0" numFmtId="37"/>
    <dataField name="Sum of Tuition SP Tot-New" fld="26" baseField="0" baseItem="0" numFmtId="37"/>
    <dataField name=" % change in tuition sp total" fld="44" baseField="0" baseItem="0" numFmtId="37"/>
    <dataField name="Sum of Health State-Old" fld="27" baseField="0" baseItem="0" numFmtId="37"/>
    <dataField name="Sum of Health State-New" fld="28" baseField="0" baseItem="0" numFmtId="37"/>
    <dataField name=" % change in health state" fld="33" baseField="0" baseItem="0" numFmtId="37"/>
    <dataField name="Sum of Health Tuition-Old" fld="29" baseField="0" baseItem="0" numFmtId="37"/>
    <dataField name="Sum of Health Tuition-New" fld="30" baseField="0" baseItem="0" numFmtId="37"/>
    <dataField name=" % change in health tuition" fld="34" baseField="0" baseItem="0" numFmtId="37"/>
    <dataField name="Sum of Total E&amp;G-Old" fld="17" baseField="0" baseItem="0" numFmtId="37"/>
    <dataField name="Sum of Total E&amp;G-New" fld="18" baseField="0" baseItem="0" numFmtId="37"/>
    <dataField name=" % change in total E&amp;G funds" fld="47" baseField="0" baseItem="0" numFmtId="37"/>
  </dataFields>
  <formats count="673">
    <format dxfId="1856">
      <pivotArea outline="0" fieldPosition="0"/>
    </format>
    <format dxfId="1855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1854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1853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3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852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3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851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3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850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4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849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4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848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4"/>
          </reference>
          <reference field="4" count="1" selected="0">
            <x v="5"/>
          </reference>
          <reference field="43" count="1" selected="0">
            <x v="0"/>
          </reference>
        </references>
      </pivotArea>
    </format>
    <format dxfId="1847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5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846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5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845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5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844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5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843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5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842">
      <pivotArea outline="0" fieldPosition="0">
        <references count="4">
          <reference field="4294967294" count="3" selected="0">
            <x v="30"/>
            <x v="31"/>
            <x v="32"/>
          </reference>
          <reference field="0" count="1" selected="0">
            <x v="5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841">
      <pivotArea outline="0" fieldPosition="0">
        <references count="4">
          <reference field="4294967294" count="3" selected="0">
            <x v="33"/>
            <x v="34"/>
            <x v="35"/>
          </reference>
          <reference field="0" count="1" selected="0">
            <x v="6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840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7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839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8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838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9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837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11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836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11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835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12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834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4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833">
      <pivotArea outline="0" fieldPosition="0">
        <references count="4">
          <reference field="4294967294" count="3" selected="0">
            <x v="6"/>
            <x v="7"/>
            <x v="8"/>
          </reference>
          <reference field="0" count="1" selected="0">
            <x v="1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832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4"/>
          </reference>
          <reference field="4" count="1" selected="0">
            <x v="8"/>
          </reference>
          <reference field="43" count="1" selected="0">
            <x v="1"/>
          </reference>
        </references>
      </pivotArea>
    </format>
    <format dxfId="1831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6"/>
          </reference>
          <reference field="4" count="1" selected="0">
            <x v="7"/>
          </reference>
          <reference field="43" count="1" selected="0">
            <x v="1"/>
          </reference>
        </references>
      </pivotArea>
    </format>
    <format dxfId="1830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8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829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9"/>
          </reference>
          <reference field="4" count="1" selected="0">
            <x v="7"/>
          </reference>
          <reference field="43" count="1" selected="0">
            <x v="1"/>
          </reference>
        </references>
      </pivotArea>
    </format>
    <format dxfId="1828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9"/>
          </reference>
          <reference field="4" count="1" selected="0">
            <x v="8"/>
          </reference>
          <reference field="43" count="1" selected="0">
            <x v="1"/>
          </reference>
        </references>
      </pivotArea>
    </format>
    <format dxfId="1827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9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826">
      <pivotArea outline="0" fieldPosition="0">
        <references count="4">
          <reference field="4294967294" count="3" selected="0">
            <x v="6"/>
            <x v="7"/>
            <x v="8"/>
          </reference>
          <reference field="0" count="1" selected="0">
            <x v="10"/>
          </reference>
          <reference field="4" count="1" selected="0">
            <x v="7"/>
          </reference>
          <reference field="43" count="1" selected="0">
            <x v="1"/>
          </reference>
        </references>
      </pivotArea>
    </format>
    <format dxfId="1825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1"/>
          </reference>
          <reference field="4" count="1" selected="0">
            <x v="8"/>
          </reference>
          <reference field="43" count="1" selected="0">
            <x v="1"/>
          </reference>
        </references>
      </pivotArea>
    </format>
    <format dxfId="1824">
      <pivotArea outline="0" fieldPosition="0">
        <references count="4">
          <reference field="4294967294" count="3" selected="0">
            <x v="6"/>
            <x v="7"/>
            <x v="8"/>
          </reference>
          <reference field="0" count="1" selected="0">
            <x v="13"/>
          </reference>
          <reference field="4" count="1" selected="0">
            <x v="10"/>
          </reference>
          <reference field="43" count="1" selected="0">
            <x v="1"/>
          </reference>
        </references>
      </pivotArea>
    </format>
    <format dxfId="1823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4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822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15"/>
          </reference>
          <reference field="4" count="1" selected="0">
            <x v="8"/>
          </reference>
          <reference field="43" count="1" selected="0">
            <x v="1"/>
          </reference>
        </references>
      </pivotArea>
    </format>
    <format dxfId="1821">
      <pivotArea outline="0" fieldPosition="0">
        <references count="4">
          <reference field="4294967294" count="3" selected="0">
            <x v="6"/>
            <x v="7"/>
            <x v="8"/>
          </reference>
          <reference field="0" count="1" selected="0">
            <x v="0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820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0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819">
      <pivotArea outline="0" fieldPosition="0">
        <references count="4">
          <reference field="4294967294" count="3" selected="0">
            <x v="6"/>
            <x v="7"/>
            <x v="8"/>
          </reference>
          <reference field="0" count="1" selected="0">
            <x v="10"/>
          </reference>
          <reference field="4" count="2" selected="0">
            <x v="11"/>
            <x v="12"/>
          </reference>
          <reference field="43" count="1" selected="0">
            <x v="2"/>
          </reference>
        </references>
      </pivotArea>
    </format>
    <format dxfId="1818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0"/>
          </reference>
          <reference field="4" count="1" selected="0">
            <x v="12"/>
          </reference>
          <reference field="43" count="1" selected="0">
            <x v="2"/>
          </reference>
        </references>
      </pivotArea>
    </format>
    <format dxfId="1817">
      <pivotArea outline="0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4"/>
          </reference>
          <reference field="43" count="1" selected="0" defaultSubtotal="1">
            <x v="3"/>
          </reference>
        </references>
      </pivotArea>
    </format>
    <format dxfId="1816">
      <pivotArea outline="0" fieldPosition="0">
        <references count="3">
          <reference field="4294967294" count="3" selected="0">
            <x v="9"/>
            <x v="10"/>
            <x v="11"/>
          </reference>
          <reference field="0" count="1" selected="0">
            <x v="4"/>
          </reference>
          <reference field="43" count="1" selected="0" defaultSubtotal="1">
            <x v="3"/>
          </reference>
        </references>
      </pivotArea>
    </format>
    <format dxfId="1815">
      <pivotArea outline="0" fieldPosition="0">
        <references count="3">
          <reference field="4294967294" count="3" selected="0">
            <x v="33"/>
            <x v="34"/>
            <x v="35"/>
          </reference>
          <reference field="0" count="1" selected="0">
            <x v="4"/>
          </reference>
          <reference field="43" count="1" selected="0" defaultSubtotal="1">
            <x v="3"/>
          </reference>
        </references>
      </pivotArea>
    </format>
    <format dxfId="1814">
      <pivotArea outline="0" fieldPosition="0">
        <references count="3">
          <reference field="4294967294" count="3" selected="0">
            <x v="30"/>
            <x v="31"/>
            <x v="32"/>
          </reference>
          <reference field="0" count="1" selected="0">
            <x v="8"/>
          </reference>
          <reference field="43" count="1" selected="0" defaultSubtotal="1">
            <x v="3"/>
          </reference>
        </references>
      </pivotArea>
    </format>
    <format dxfId="1813">
      <pivotArea outline="0" fieldPosition="0">
        <references count="3">
          <reference field="4294967294" count="3" selected="0">
            <x v="24"/>
            <x v="25"/>
            <x v="26"/>
          </reference>
          <reference field="0" count="1" selected="0">
            <x v="12"/>
          </reference>
          <reference field="43" count="1" selected="0" defaultSubtotal="1">
            <x v="3"/>
          </reference>
        </references>
      </pivotArea>
    </format>
    <format dxfId="1812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13"/>
          </reference>
          <reference field="43" count="1" selected="0" defaultSubtotal="1">
            <x v="3"/>
          </reference>
        </references>
      </pivotArea>
    </format>
    <format dxfId="1811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2"/>
          </reference>
          <reference field="43" count="1" selected="0">
            <x v="4"/>
          </reference>
        </references>
      </pivotArea>
    </format>
    <format dxfId="1810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3"/>
          </reference>
          <reference field="43" count="1" selected="0">
            <x v="4"/>
          </reference>
        </references>
      </pivotArea>
    </format>
    <format dxfId="1809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7"/>
          </reference>
          <reference field="43" count="1" selected="0">
            <x v="4"/>
          </reference>
        </references>
      </pivotArea>
    </format>
    <format dxfId="1808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9"/>
          </reference>
          <reference field="43" count="1" selected="0">
            <x v="4"/>
          </reference>
        </references>
      </pivotArea>
    </format>
    <format dxfId="1807">
      <pivotArea outline="0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11"/>
          </reference>
          <reference field="43" count="1" selected="0">
            <x v="4"/>
          </reference>
        </references>
      </pivotArea>
    </format>
    <format dxfId="1806">
      <pivotArea outline="0" fieldPosition="0">
        <references count="3">
          <reference field="4294967294" count="3" selected="0">
            <x v="18"/>
            <x v="19"/>
            <x v="20"/>
          </reference>
          <reference field="0" count="1" selected="0">
            <x v="12"/>
          </reference>
          <reference field="43" count="1" selected="0">
            <x v="4"/>
          </reference>
        </references>
      </pivotArea>
    </format>
    <format dxfId="1805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13"/>
          </reference>
          <reference field="43" count="1" selected="0">
            <x v="4"/>
          </reference>
        </references>
      </pivotArea>
    </format>
    <format dxfId="1804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15"/>
          </reference>
          <reference field="43" count="1" selected="0">
            <x v="4"/>
          </reference>
        </references>
      </pivotArea>
    </format>
    <format dxfId="1803">
      <pivotArea outline="0" fieldPosition="0">
        <references count="3">
          <reference field="4294967294" count="3" selected="0">
            <x v="18"/>
            <x v="19"/>
            <x v="20"/>
          </reference>
          <reference field="0" count="1" selected="0">
            <x v="15"/>
          </reference>
          <reference field="43" count="1" selected="0">
            <x v="4"/>
          </reference>
        </references>
      </pivotArea>
    </format>
    <format dxfId="1802">
      <pivotArea type="all" dataOnly="0" outline="0" fieldPosition="0"/>
    </format>
    <format dxfId="1801">
      <pivotArea outline="0" fieldPosition="0">
        <references count="1">
          <reference field="43" count="1" selected="0" defaultSubtotal="1">
            <x v="0"/>
          </reference>
        </references>
      </pivotArea>
    </format>
    <format dxfId="1800">
      <pivotArea dataOnly="0" labelOnly="1" outline="0" fieldPosition="0">
        <references count="1">
          <reference field="43" count="1" defaultSubtotal="1">
            <x v="0"/>
          </reference>
        </references>
      </pivotArea>
    </format>
    <format dxfId="1799">
      <pivotArea outline="0" fieldPosition="0">
        <references count="1">
          <reference field="43" count="1" selected="0" defaultSubtotal="1">
            <x v="1"/>
          </reference>
        </references>
      </pivotArea>
    </format>
    <format dxfId="1798">
      <pivotArea dataOnly="0" labelOnly="1" outline="0" fieldPosition="0">
        <references count="1">
          <reference field="43" count="1" defaultSubtotal="1">
            <x v="1"/>
          </reference>
        </references>
      </pivotArea>
    </format>
    <format dxfId="1797">
      <pivotArea outline="0" fieldPosition="0">
        <references count="1">
          <reference field="43" count="1" selected="0">
            <x v="4"/>
          </reference>
        </references>
      </pivotArea>
    </format>
    <format dxfId="1796">
      <pivotArea type="topRight" dataOnly="0" labelOnly="1" outline="0" offset="R1" fieldPosition="0"/>
    </format>
    <format dxfId="1795">
      <pivotArea dataOnly="0" labelOnly="1" outline="0" fieldPosition="0">
        <references count="1">
          <reference field="43" count="1">
            <x v="4"/>
          </reference>
        </references>
      </pivotArea>
    </format>
    <format dxfId="1794">
      <pivotArea outline="0" fieldPosition="0">
        <references count="4">
          <reference field="4294967294" count="3" selected="0">
            <x v="6"/>
            <x v="7"/>
            <x v="8"/>
          </reference>
          <reference field="0" count="1" selected="0">
            <x v="7"/>
          </reference>
          <reference field="4" count="3" selected="0">
            <x v="7"/>
            <x v="8"/>
            <x v="9"/>
          </reference>
          <reference field="43" count="1" selected="0">
            <x v="1"/>
          </reference>
        </references>
      </pivotArea>
    </format>
    <format dxfId="1793">
      <pivotArea outline="0" fieldPosition="0">
        <references count="1">
          <reference field="43" count="1" selected="0" defaultSubtotal="1">
            <x v="0"/>
          </reference>
        </references>
      </pivotArea>
    </format>
    <format dxfId="1792">
      <pivotArea field="43" type="button" dataOnly="0" labelOnly="1" outline="0" axis="axisCol" fieldPosition="0"/>
    </format>
    <format dxfId="1791">
      <pivotArea field="4" type="button" dataOnly="0" labelOnly="1" outline="0" axis="axisCol" fieldPosition="1"/>
    </format>
    <format dxfId="1790">
      <pivotArea type="topRight" dataOnly="0" labelOnly="1" outline="0" fieldPosition="0"/>
    </format>
    <format dxfId="1789">
      <pivotArea dataOnly="0" labelOnly="1" outline="0" fieldPosition="0">
        <references count="1">
          <reference field="43" count="1">
            <x v="0"/>
          </reference>
        </references>
      </pivotArea>
    </format>
    <format dxfId="1788">
      <pivotArea dataOnly="0" labelOnly="1" outline="0" fieldPosition="0">
        <references count="1">
          <reference field="43" count="1" defaultSubtotal="1">
            <x v="0"/>
          </reference>
        </references>
      </pivotArea>
    </format>
    <format dxfId="1787">
      <pivotArea dataOnly="0" labelOnly="1" outline="0" fieldPosition="0">
        <references count="2">
          <reference field="4" count="6">
            <x v="0"/>
            <x v="1"/>
            <x v="2"/>
            <x v="3"/>
            <x v="4"/>
            <x v="5"/>
          </reference>
          <reference field="43" count="1" selected="0">
            <x v="0"/>
          </reference>
        </references>
      </pivotArea>
    </format>
    <format dxfId="1786">
      <pivotArea outline="0" fieldPosition="0">
        <references count="2"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785">
      <pivotArea type="topRight" dataOnly="0" labelOnly="1" outline="0" offset="F1" fieldPosition="0"/>
    </format>
    <format dxfId="1784">
      <pivotArea dataOnly="0" labelOnly="1" outline="0" offset="A256" fieldPosition="0">
        <references count="1">
          <reference field="43" count="1">
            <x v="1"/>
          </reference>
        </references>
      </pivotArea>
    </format>
    <format dxfId="1783">
      <pivotArea dataOnly="0" labelOnly="1" outline="0" fieldPosition="0">
        <references count="2">
          <reference field="4" count="1">
            <x v="6"/>
          </reference>
          <reference field="43" count="1" selected="0">
            <x v="1"/>
          </reference>
        </references>
      </pivotArea>
    </format>
    <format dxfId="1782">
      <pivotArea outline="0" fieldPosition="0">
        <references count="2">
          <reference field="4" count="1" selected="0">
            <x v="7"/>
          </reference>
          <reference field="43" count="1" selected="0">
            <x v="1"/>
          </reference>
        </references>
      </pivotArea>
    </format>
    <format dxfId="1781">
      <pivotArea type="topRight" dataOnly="0" labelOnly="1" outline="0" offset="G1" fieldPosition="0"/>
    </format>
    <format dxfId="1780">
      <pivotArea dataOnly="0" labelOnly="1" outline="0" offset="B256" fieldPosition="0">
        <references count="1">
          <reference field="43" count="1">
            <x v="1"/>
          </reference>
        </references>
      </pivotArea>
    </format>
    <format dxfId="1779">
      <pivotArea dataOnly="0" labelOnly="1" outline="0" fieldPosition="0">
        <references count="2">
          <reference field="4" count="1">
            <x v="7"/>
          </reference>
          <reference field="43" count="1" selected="0">
            <x v="1"/>
          </reference>
        </references>
      </pivotArea>
    </format>
    <format dxfId="1778">
      <pivotArea outline="0" fieldPosition="0">
        <references count="2">
          <reference field="4" count="1" selected="0">
            <x v="8"/>
          </reference>
          <reference field="43" count="1" selected="0">
            <x v="1"/>
          </reference>
        </references>
      </pivotArea>
    </format>
    <format dxfId="1777">
      <pivotArea type="topRight" dataOnly="0" labelOnly="1" outline="0" offset="H1" fieldPosition="0"/>
    </format>
    <format dxfId="1776">
      <pivotArea dataOnly="0" labelOnly="1" outline="0" offset="C256" fieldPosition="0">
        <references count="1">
          <reference field="43" count="1">
            <x v="1"/>
          </reference>
        </references>
      </pivotArea>
    </format>
    <format dxfId="1775">
      <pivotArea dataOnly="0" labelOnly="1" outline="0" fieldPosition="0">
        <references count="2">
          <reference field="4" count="1">
            <x v="8"/>
          </reference>
          <reference field="43" count="1" selected="0">
            <x v="1"/>
          </reference>
        </references>
      </pivotArea>
    </format>
    <format dxfId="1774">
      <pivotArea outline="0" fieldPosition="0">
        <references count="2"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773">
      <pivotArea type="topRight" dataOnly="0" labelOnly="1" outline="0" offset="I1" fieldPosition="0"/>
    </format>
    <format dxfId="1772">
      <pivotArea dataOnly="0" labelOnly="1" outline="0" offset="D256" fieldPosition="0">
        <references count="1">
          <reference field="43" count="1">
            <x v="1"/>
          </reference>
        </references>
      </pivotArea>
    </format>
    <format dxfId="1771">
      <pivotArea dataOnly="0" labelOnly="1" outline="0" fieldPosition="0">
        <references count="2">
          <reference field="4" count="1">
            <x v="9"/>
          </reference>
          <reference field="43" count="1" selected="0">
            <x v="1"/>
          </reference>
        </references>
      </pivotArea>
    </format>
    <format dxfId="1770">
      <pivotArea outline="0" fieldPosition="0">
        <references count="2">
          <reference field="4" count="1" selected="0">
            <x v="10"/>
          </reference>
          <reference field="43" count="1" selected="0">
            <x v="1"/>
          </reference>
        </references>
      </pivotArea>
    </format>
    <format dxfId="1769">
      <pivotArea type="topRight" dataOnly="0" labelOnly="1" outline="0" offset="J1" fieldPosition="0"/>
    </format>
    <format dxfId="1768">
      <pivotArea dataOnly="0" labelOnly="1" outline="0" offset="IV256" fieldPosition="0">
        <references count="1">
          <reference field="43" count="1">
            <x v="1"/>
          </reference>
        </references>
      </pivotArea>
    </format>
    <format dxfId="1767">
      <pivotArea dataOnly="0" labelOnly="1" outline="0" fieldPosition="0">
        <references count="2">
          <reference field="4" count="1">
            <x v="10"/>
          </reference>
          <reference field="43" count="1" selected="0">
            <x v="1"/>
          </reference>
        </references>
      </pivotArea>
    </format>
    <format dxfId="1766">
      <pivotArea outline="0" fieldPosition="0">
        <references count="1">
          <reference field="43" count="1" selected="0" defaultSubtotal="1">
            <x v="1"/>
          </reference>
        </references>
      </pivotArea>
    </format>
    <format dxfId="1765">
      <pivotArea type="topRight" dataOnly="0" labelOnly="1" outline="0" offset="K1" fieldPosition="0"/>
    </format>
    <format dxfId="1764">
      <pivotArea dataOnly="0" labelOnly="1" outline="0" fieldPosition="0">
        <references count="1">
          <reference field="43" count="1" defaultSubtotal="1">
            <x v="1"/>
          </reference>
        </references>
      </pivotArea>
    </format>
    <format dxfId="1763">
      <pivotArea outline="0" fieldPosition="0">
        <references count="4">
          <reference field="4294967294" count="1" selected="0">
            <x v="3"/>
          </reference>
          <reference field="0" count="1" selected="0">
            <x v="0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762">
      <pivotArea outline="0" fieldPosition="0">
        <references count="4">
          <reference field="4294967294" count="1" selected="0">
            <x v="9"/>
          </reference>
          <reference field="0" count="1" selected="0">
            <x v="0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761">
      <pivotArea outline="0" fieldPosition="0">
        <references count="4">
          <reference field="4294967294" count="1" selected="0">
            <x v="9"/>
          </reference>
          <reference field="0" count="1" selected="0">
            <x v="0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760">
      <pivotArea outline="0" fieldPosition="0">
        <references count="4">
          <reference field="4294967294" count="1" selected="0">
            <x v="33"/>
          </reference>
          <reference field="0" count="1" selected="0">
            <x v="0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759">
      <pivotArea outline="0" fieldPosition="0">
        <references count="4">
          <reference field="4294967294" count="1" selected="0">
            <x v="9"/>
          </reference>
          <reference field="0" count="1" selected="0">
            <x v="0"/>
          </reference>
          <reference field="4" count="1" selected="0">
            <x v="7"/>
          </reference>
          <reference field="43" count="1" selected="0">
            <x v="1"/>
          </reference>
        </references>
      </pivotArea>
    </format>
    <format dxfId="1758">
      <pivotArea outline="0" fieldPosition="0">
        <references count="4">
          <reference field="4294967294" count="1" selected="0">
            <x v="6"/>
          </reference>
          <reference field="0" count="1" selected="0">
            <x v="0"/>
          </reference>
          <reference field="4" count="1" selected="0">
            <x v="8"/>
          </reference>
          <reference field="43" count="1" selected="0">
            <x v="1"/>
          </reference>
        </references>
      </pivotArea>
    </format>
    <format dxfId="1757">
      <pivotArea outline="0" fieldPosition="0">
        <references count="4">
          <reference field="4294967294" count="1" selected="0">
            <x v="6"/>
          </reference>
          <reference field="0" count="1" selected="0">
            <x v="0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756">
      <pivotArea outline="0" fieldPosition="0">
        <references count="4">
          <reference field="4294967294" count="1" selected="0">
            <x v="6"/>
          </reference>
          <reference field="0" count="1" selected="0">
            <x v="0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755">
      <pivotArea dataOnly="0" labelOnly="1" outline="0" fieldPosition="0">
        <references count="2">
          <reference field="4294967294" count="1">
            <x v="5"/>
          </reference>
          <reference field="0" count="1" selected="0">
            <x v="0"/>
          </reference>
        </references>
      </pivotArea>
    </format>
    <format dxfId="1754">
      <pivotArea dataOnly="0" labelOnly="1" outline="0" fieldPosition="0">
        <references count="2">
          <reference field="4294967294" count="1">
            <x v="8"/>
          </reference>
          <reference field="0" count="1" selected="0">
            <x v="0"/>
          </reference>
        </references>
      </pivotArea>
    </format>
    <format dxfId="1753">
      <pivotArea dataOnly="0" labelOnly="1" outline="0" fieldPosition="0">
        <references count="2">
          <reference field="4294967294" count="1">
            <x v="11"/>
          </reference>
          <reference field="0" count="1" selected="0">
            <x v="0"/>
          </reference>
        </references>
      </pivotArea>
    </format>
    <format dxfId="1752">
      <pivotArea dataOnly="0" labelOnly="1" outline="0" fieldPosition="0">
        <references count="2">
          <reference field="4294967294" count="1">
            <x v="14"/>
          </reference>
          <reference field="0" count="1" selected="0">
            <x v="0"/>
          </reference>
        </references>
      </pivotArea>
    </format>
    <format dxfId="1751">
      <pivotArea dataOnly="0" labelOnly="1" outline="0" fieldPosition="0">
        <references count="2">
          <reference field="4294967294" count="1">
            <x v="17"/>
          </reference>
          <reference field="0" count="1" selected="0">
            <x v="0"/>
          </reference>
        </references>
      </pivotArea>
    </format>
    <format dxfId="1750">
      <pivotArea dataOnly="0" labelOnly="1" outline="0" fieldPosition="0">
        <references count="2">
          <reference field="4294967294" count="1">
            <x v="20"/>
          </reference>
          <reference field="0" count="1" selected="0">
            <x v="0"/>
          </reference>
        </references>
      </pivotArea>
    </format>
    <format dxfId="1749">
      <pivotArea dataOnly="0" labelOnly="1" outline="0" fieldPosition="0">
        <references count="2">
          <reference field="4294967294" count="1">
            <x v="23"/>
          </reference>
          <reference field="0" count="1" selected="0">
            <x v="0"/>
          </reference>
        </references>
      </pivotArea>
    </format>
    <format dxfId="1748">
      <pivotArea dataOnly="0" labelOnly="1" outline="0" fieldPosition="0">
        <references count="2">
          <reference field="4294967294" count="1">
            <x v="26"/>
          </reference>
          <reference field="0" count="1" selected="0">
            <x v="0"/>
          </reference>
        </references>
      </pivotArea>
    </format>
    <format dxfId="1747">
      <pivotArea dataOnly="0" labelOnly="1" outline="0" fieldPosition="0">
        <references count="2">
          <reference field="4294967294" count="1">
            <x v="29"/>
          </reference>
          <reference field="0" count="1" selected="0">
            <x v="0"/>
          </reference>
        </references>
      </pivotArea>
    </format>
    <format dxfId="1746">
      <pivotArea dataOnly="0" labelOnly="1" outline="0" fieldPosition="0">
        <references count="2">
          <reference field="4294967294" count="1">
            <x v="32"/>
          </reference>
          <reference field="0" count="1" selected="0">
            <x v="0"/>
          </reference>
        </references>
      </pivotArea>
    </format>
    <format dxfId="1745">
      <pivotArea dataOnly="0" labelOnly="1" outline="0" fieldPosition="0">
        <references count="2">
          <reference field="4294967294" count="1">
            <x v="35"/>
          </reference>
          <reference field="0" count="1" selected="0">
            <x v="0"/>
          </reference>
        </references>
      </pivotArea>
    </format>
    <format dxfId="1744">
      <pivotArea outline="0" fieldPosition="0">
        <references count="4">
          <reference field="4294967294" count="1" selected="0">
            <x v="9"/>
          </reference>
          <reference field="0" count="1" selected="0">
            <x v="1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743">
      <pivotArea outline="0" fieldPosition="0">
        <references count="4">
          <reference field="4294967294" count="1" selected="0">
            <x v="33"/>
          </reference>
          <reference field="0" count="1" selected="0">
            <x v="1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742">
      <pivotArea outline="0" fieldPosition="0">
        <references count="4">
          <reference field="4294967294" count="1" selected="0">
            <x v="12"/>
          </reference>
          <reference field="0" count="1" selected="0">
            <x v="1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741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2"/>
          </reference>
          <reference field="4" count="2" selected="0">
            <x v="2"/>
            <x v="3"/>
          </reference>
          <reference field="43" count="1" selected="0">
            <x v="0"/>
          </reference>
        </references>
      </pivotArea>
    </format>
    <format dxfId="1740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2"/>
          </reference>
          <reference field="4" count="2" selected="0">
            <x v="1"/>
            <x v="2"/>
          </reference>
          <reference field="43" count="1" selected="0">
            <x v="0"/>
          </reference>
        </references>
      </pivotArea>
    </format>
    <format dxfId="1739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2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738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2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737">
      <pivotArea outline="0" fieldPosition="0">
        <references count="4">
          <reference field="4294967294" count="1" selected="0">
            <x v="33"/>
          </reference>
          <reference field="0" count="1" selected="0">
            <x v="2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736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3"/>
          </reference>
          <reference field="4" count="2" selected="0">
            <x v="2"/>
            <x v="3"/>
          </reference>
          <reference field="43" count="1" selected="0">
            <x v="0"/>
          </reference>
        </references>
      </pivotArea>
    </format>
    <format dxfId="1735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3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734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3"/>
          </reference>
          <reference field="4" count="3" selected="0">
            <x v="0"/>
            <x v="1"/>
            <x v="2"/>
          </reference>
          <reference field="43" count="1" selected="0">
            <x v="0"/>
          </reference>
        </references>
      </pivotArea>
    </format>
    <format dxfId="1733">
      <pivotArea outline="0" fieldPosition="0">
        <references count="4">
          <reference field="4294967294" count="1" selected="0">
            <x v="12"/>
          </reference>
          <reference field="0" count="1" selected="0">
            <x v="3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732">
      <pivotArea outline="0" fieldPosition="0">
        <references count="4">
          <reference field="4294967294" count="1" selected="0">
            <x v="33"/>
          </reference>
          <reference field="0" count="1" selected="0">
            <x v="3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731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4"/>
          </reference>
          <reference field="4" count="2" selected="0">
            <x v="2"/>
            <x v="3"/>
          </reference>
          <reference field="43" count="1" selected="0">
            <x v="0"/>
          </reference>
        </references>
      </pivotArea>
    </format>
    <format dxfId="1730">
      <pivotArea outline="0" fieldPosition="0">
        <references count="4">
          <reference field="4294967294" count="1" selected="0">
            <x v="9"/>
          </reference>
          <reference field="0" count="1" selected="0">
            <x v="4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729">
      <pivotArea outline="0" fieldPosition="0">
        <references count="4">
          <reference field="4294967294" count="1" selected="0">
            <x v="12"/>
          </reference>
          <reference field="0" count="1" selected="0">
            <x v="4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728">
      <pivotArea outline="0" fieldPosition="0">
        <references count="4">
          <reference field="4294967294" count="1" selected="0">
            <x v="33"/>
          </reference>
          <reference field="0" count="1" selected="0">
            <x v="4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727">
      <pivotArea outline="0" fieldPosition="0">
        <references count="4">
          <reference field="4294967294" count="1" selected="0">
            <x v="3"/>
          </reference>
          <reference field="0" count="1" selected="0">
            <x v="5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726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5"/>
          </reference>
          <reference field="4" count="3" selected="0">
            <x v="0"/>
            <x v="1"/>
            <x v="2"/>
          </reference>
          <reference field="43" count="1" selected="0">
            <x v="0"/>
          </reference>
        </references>
      </pivotArea>
    </format>
    <format dxfId="1725">
      <pivotArea outline="0" fieldPosition="0">
        <references count="4">
          <reference field="4294967294" count="1" selected="0">
            <x v="12"/>
          </reference>
          <reference field="0" count="1" selected="0">
            <x v="5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724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5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723">
      <pivotArea outline="0" fieldPosition="0">
        <references count="4">
          <reference field="4294967294" count="1" selected="0">
            <x v="33"/>
          </reference>
          <reference field="0" count="1" selected="0">
            <x v="5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722">
      <pivotArea outline="0" fieldPosition="0">
        <references count="4">
          <reference field="4294967294" count="1" selected="0">
            <x v="3"/>
          </reference>
          <reference field="0" count="1" selected="0">
            <x v="6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721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6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720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6"/>
          </reference>
          <reference field="4" count="2" selected="0">
            <x v="1"/>
            <x v="2"/>
          </reference>
          <reference field="43" count="1" selected="0">
            <x v="0"/>
          </reference>
        </references>
      </pivotArea>
    </format>
    <format dxfId="1719">
      <pivotArea outline="0" fieldPosition="0">
        <references count="4">
          <reference field="4294967294" count="1" selected="0">
            <x v="12"/>
          </reference>
          <reference field="0" count="1" selected="0">
            <x v="6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718">
      <pivotArea outline="0" fieldPosition="0">
        <references count="4">
          <reference field="4294967294" count="1" selected="0">
            <x v="33"/>
          </reference>
          <reference field="0" count="1" selected="0">
            <x v="6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717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7"/>
          </reference>
          <reference field="4" count="2" selected="0">
            <x v="2"/>
            <x v="3"/>
          </reference>
          <reference field="43" count="1" selected="0">
            <x v="0"/>
          </reference>
        </references>
      </pivotArea>
    </format>
    <format dxfId="1716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7"/>
          </reference>
          <reference field="4" count="4" selected="0">
            <x v="0"/>
            <x v="1"/>
            <x v="2"/>
            <x v="3"/>
          </reference>
          <reference field="43" count="1" selected="0">
            <x v="0"/>
          </reference>
        </references>
      </pivotArea>
    </format>
    <format dxfId="1715">
      <pivotArea outline="0" fieldPosition="0">
        <references count="4">
          <reference field="4294967294" count="1" selected="0">
            <x v="12"/>
          </reference>
          <reference field="0" count="1" selected="0">
            <x v="7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714">
      <pivotArea outline="0" fieldPosition="0">
        <references count="4">
          <reference field="4294967294" count="1" selected="0">
            <x v="33"/>
          </reference>
          <reference field="0" count="1" selected="0">
            <x v="7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713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8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712">
      <pivotArea outline="0" fieldPosition="0">
        <references count="4">
          <reference field="4294967294" count="1" selected="0">
            <x v="3"/>
          </reference>
          <reference field="0" count="1" selected="0">
            <x v="8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711">
      <pivotArea outline="0" fieldPosition="0">
        <references count="4">
          <reference field="4294967294" count="6" selected="0">
            <x v="9"/>
            <x v="10"/>
            <x v="11"/>
            <x v="12"/>
            <x v="13"/>
            <x v="14"/>
          </reference>
          <reference field="0" count="1" selected="0">
            <x v="8"/>
          </reference>
          <reference field="4" count="3" selected="0">
            <x v="0"/>
            <x v="1"/>
            <x v="2"/>
          </reference>
          <reference field="43" count="1" selected="0">
            <x v="0"/>
          </reference>
        </references>
      </pivotArea>
    </format>
    <format dxfId="1710">
      <pivotArea outline="0" fieldPosition="0">
        <references count="4">
          <reference field="4294967294" count="1" selected="0">
            <x v="33"/>
          </reference>
          <reference field="0" count="1" selected="0">
            <x v="8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709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9"/>
          </reference>
          <reference field="4" count="2" selected="0">
            <x v="2"/>
            <x v="3"/>
          </reference>
          <reference field="43" count="1" selected="0">
            <x v="0"/>
          </reference>
        </references>
      </pivotArea>
    </format>
    <format dxfId="1708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9"/>
          </reference>
          <reference field="4" count="3" selected="0">
            <x v="0"/>
            <x v="1"/>
            <x v="2"/>
          </reference>
          <reference field="43" count="1" selected="0">
            <x v="0"/>
          </reference>
        </references>
      </pivotArea>
    </format>
    <format dxfId="1707">
      <pivotArea outline="0" fieldPosition="0">
        <references count="4">
          <reference field="4294967294" count="1" selected="0">
            <x v="12"/>
          </reference>
          <reference field="0" count="1" selected="0">
            <x v="9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706">
      <pivotArea outline="0" fieldPosition="0">
        <references count="4">
          <reference field="4294967294" count="3" selected="0">
            <x v="33"/>
            <x v="34"/>
            <x v="35"/>
          </reference>
          <reference field="0" count="1" selected="0">
            <x v="9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705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10"/>
          </reference>
          <reference field="4" count="2" selected="0">
            <x v="2"/>
            <x v="3"/>
          </reference>
          <reference field="43" count="1" selected="0">
            <x v="0"/>
          </reference>
        </references>
      </pivotArea>
    </format>
    <format dxfId="1704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0"/>
          </reference>
          <reference field="4" count="3" selected="0">
            <x v="0"/>
            <x v="1"/>
            <x v="2"/>
          </reference>
          <reference field="43" count="1" selected="0">
            <x v="0"/>
          </reference>
        </references>
      </pivotArea>
    </format>
    <format dxfId="1703">
      <pivotArea outline="0" fieldPosition="0">
        <references count="4">
          <reference field="4294967294" count="1" selected="0">
            <x v="12"/>
          </reference>
          <reference field="0" count="1" selected="0">
            <x v="1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702">
      <pivotArea outline="0" fieldPosition="0">
        <references count="4">
          <reference field="4294967294" count="1" selected="0">
            <x v="33"/>
          </reference>
          <reference field="0" count="1" selected="0">
            <x v="10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701">
      <pivotArea outline="0" fieldPosition="0">
        <references count="4">
          <reference field="4294967294" count="1" selected="0">
            <x v="3"/>
          </reference>
          <reference field="0" count="1" selected="0">
            <x v="11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700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1"/>
          </reference>
          <reference field="4" count="3" selected="0">
            <x v="0"/>
            <x v="1"/>
            <x v="2"/>
          </reference>
          <reference field="43" count="1" selected="0">
            <x v="0"/>
          </reference>
        </references>
      </pivotArea>
    </format>
    <format dxfId="1699">
      <pivotArea outline="0" fieldPosition="0">
        <references count="4">
          <reference field="4294967294" count="1" selected="0">
            <x v="33"/>
          </reference>
          <reference field="0" count="1" selected="0">
            <x v="11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698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12"/>
          </reference>
          <reference field="4" count="2" selected="0">
            <x v="2"/>
            <x v="3"/>
          </reference>
          <reference field="43" count="1" selected="0">
            <x v="0"/>
          </reference>
        </references>
      </pivotArea>
    </format>
    <format dxfId="1697">
      <pivotArea outline="0" fieldPosition="0">
        <references count="4">
          <reference field="4294967294" count="1" selected="0">
            <x v="9"/>
          </reference>
          <reference field="0" count="1" selected="0">
            <x v="12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696">
      <pivotArea outline="0" fieldPosition="0">
        <references count="4">
          <reference field="4294967294" count="1" selected="0">
            <x v="9"/>
          </reference>
          <reference field="0" count="1" selected="0">
            <x v="12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95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2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694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13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693">
      <pivotArea outline="0" fieldPosition="0">
        <references count="4">
          <reference field="4294967294" count="4" selected="0">
            <x v="3"/>
            <x v="4"/>
            <x v="5"/>
            <x v="6"/>
          </reference>
          <reference field="0" count="1" selected="0">
            <x v="13"/>
          </reference>
          <reference field="4" count="3" selected="0">
            <x v="2"/>
            <x v="3"/>
            <x v="4"/>
          </reference>
          <reference field="43" count="1" selected="0">
            <x v="0"/>
          </reference>
        </references>
      </pivotArea>
    </format>
    <format dxfId="1692">
      <pivotArea outline="0" fieldPosition="0">
        <references count="3">
          <reference field="4294967294" count="3" selected="0">
            <x v="9"/>
            <x v="10"/>
            <x v="11"/>
          </reference>
          <reference field="0" count="1" selected="0">
            <x v="13"/>
          </reference>
          <reference field="43" count="1" selected="0">
            <x v="0"/>
          </reference>
        </references>
      </pivotArea>
    </format>
    <format dxfId="1691">
      <pivotArea outline="0" fieldPosition="0">
        <references count="4">
          <reference field="4294967294" count="1" selected="0">
            <x v="3"/>
          </reference>
          <reference field="0" count="1" selected="0">
            <x v="14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690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4"/>
          </reference>
          <reference field="4" count="2" selected="0">
            <x v="0"/>
            <x v="1"/>
          </reference>
          <reference field="43" count="1" selected="0">
            <x v="0"/>
          </reference>
        </references>
      </pivotArea>
    </format>
    <format dxfId="1689">
      <pivotArea outline="0" fieldPosition="0">
        <references count="4">
          <reference field="4294967294" count="1" selected="0">
            <x v="12"/>
          </reference>
          <reference field="0" count="1" selected="0">
            <x v="14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88">
      <pivotArea outline="0" fieldPosition="0">
        <references count="4">
          <reference field="4294967294" count="1" selected="0">
            <x v="33"/>
          </reference>
          <reference field="0" count="1" selected="0">
            <x v="14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687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15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86">
      <pivotArea outline="0" fieldPosition="0">
        <references count="4">
          <reference field="4294967294" count="1" selected="0">
            <x v="3"/>
          </reference>
          <reference field="0" count="1" selected="0">
            <x v="15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685">
      <pivotArea outline="0" fieldPosition="0">
        <references count="4">
          <reference field="4294967294" count="5" selected="0">
            <x v="9"/>
            <x v="10"/>
            <x v="11"/>
            <x v="12"/>
            <x v="13"/>
          </reference>
          <reference field="0" count="1" selected="0">
            <x v="15"/>
          </reference>
          <reference field="4" count="4" selected="0">
            <x v="0"/>
            <x v="1"/>
            <x v="2"/>
            <x v="3"/>
          </reference>
          <reference field="43" count="1" selected="0">
            <x v="0"/>
          </reference>
        </references>
      </pivotArea>
    </format>
    <format dxfId="1684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5"/>
          </reference>
          <reference field="4" count="1" selected="0">
            <x v="5"/>
          </reference>
          <reference field="43" count="1" selected="0">
            <x v="0"/>
          </reference>
        </references>
      </pivotArea>
    </format>
    <format dxfId="1683">
      <pivotArea outline="0" fieldPosition="0">
        <references count="4">
          <reference field="4294967294" count="3" selected="0">
            <x v="33"/>
            <x v="34"/>
            <x v="35"/>
          </reference>
          <reference field="0" count="1" selected="0">
            <x v="15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82">
      <pivotArea outline="0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681">
      <pivotArea outline="0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680">
      <pivotArea outline="0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679">
      <pivotArea outline="0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678">
      <pivotArea outline="0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677">
      <pivotArea outline="0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676">
      <pivotArea outline="0" fieldPosition="0">
        <references count="4">
          <reference field="4294967294" count="1" selected="0">
            <x v="23"/>
          </reference>
          <reference field="0" count="1" selected="0">
            <x v="0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675">
      <pivotArea outline="0" fieldPosition="0">
        <references count="4">
          <reference field="4294967294" count="1" selected="0">
            <x v="26"/>
          </reference>
          <reference field="0" count="1" selected="0">
            <x v="0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674">
      <pivotArea outline="0" fieldPosition="0">
        <references count="4">
          <reference field="4294967294" count="1" selected="0">
            <x v="29"/>
          </reference>
          <reference field="0" count="1" selected="0">
            <x v="0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673">
      <pivotArea outline="0" fieldPosition="0">
        <references count="4">
          <reference field="4294967294" count="1" selected="0">
            <x v="32"/>
          </reference>
          <reference field="0" count="1" selected="0">
            <x v="0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672">
      <pivotArea outline="0" fieldPosition="0">
        <references count="4">
          <reference field="4294967294" count="1" selected="0">
            <x v="35"/>
          </reference>
          <reference field="0" count="1" selected="0">
            <x v="0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671">
      <pivotArea outline="0" fieldPosition="0">
        <references count="3">
          <reference field="0" count="1" selected="0">
            <x v="0"/>
          </reference>
          <reference field="4" count="3" selected="0">
            <x v="7"/>
            <x v="8"/>
            <x v="9"/>
          </reference>
          <reference field="43" count="1" selected="0">
            <x v="1"/>
          </reference>
        </references>
      </pivotArea>
    </format>
    <format dxfId="1670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1"/>
          </reference>
          <reference field="4" count="1" selected="0">
            <x v="8"/>
          </reference>
          <reference field="43" count="1" selected="0">
            <x v="1"/>
          </reference>
        </references>
      </pivotArea>
    </format>
    <format dxfId="1669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8"/>
          </reference>
          <reference field="4" count="3" selected="0">
            <x v="7"/>
            <x v="8"/>
            <x v="9"/>
          </reference>
          <reference field="43" count="1" selected="0">
            <x v="1"/>
          </reference>
        </references>
      </pivotArea>
    </format>
    <format dxfId="1668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15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667">
      <pivotArea outline="0" fieldPosition="0">
        <references count="3">
          <reference field="4294967294" count="1" selected="0">
            <x v="5"/>
          </reference>
          <reference field="0" count="1" selected="0">
            <x v="0"/>
          </reference>
          <reference field="43" count="1" selected="0" defaultSubtotal="1">
            <x v="1"/>
          </reference>
        </references>
      </pivotArea>
    </format>
    <format dxfId="1666">
      <pivotArea outline="0" fieldPosition="0">
        <references count="3">
          <reference field="4294967294" count="1" selected="0">
            <x v="8"/>
          </reference>
          <reference field="0" count="1" selected="0">
            <x v="0"/>
          </reference>
          <reference field="43" count="1" selected="0" defaultSubtotal="1">
            <x v="1"/>
          </reference>
        </references>
      </pivotArea>
    </format>
    <format dxfId="1665">
      <pivotArea outline="0" fieldPosition="0">
        <references count="3">
          <reference field="4294967294" count="1" selected="0">
            <x v="11"/>
          </reference>
          <reference field="0" count="1" selected="0">
            <x v="0"/>
          </reference>
          <reference field="43" count="1" selected="0" defaultSubtotal="1">
            <x v="1"/>
          </reference>
        </references>
      </pivotArea>
    </format>
    <format dxfId="1664">
      <pivotArea outline="0" fieldPosition="0">
        <references count="3">
          <reference field="4294967294" count="1" selected="0">
            <x v="14"/>
          </reference>
          <reference field="0" count="1" selected="0">
            <x v="0"/>
          </reference>
          <reference field="43" count="1" selected="0" defaultSubtotal="1">
            <x v="1"/>
          </reference>
        </references>
      </pivotArea>
    </format>
    <format dxfId="1663">
      <pivotArea outline="0" fieldPosition="0">
        <references count="3">
          <reference field="4294967294" count="1" selected="0">
            <x v="17"/>
          </reference>
          <reference field="0" count="1" selected="0">
            <x v="0"/>
          </reference>
          <reference field="43" count="1" selected="0" defaultSubtotal="1">
            <x v="1"/>
          </reference>
        </references>
      </pivotArea>
    </format>
    <format dxfId="1662">
      <pivotArea outline="0" fieldPosition="0">
        <references count="3">
          <reference field="4294967294" count="1" selected="0">
            <x v="20"/>
          </reference>
          <reference field="0" count="1" selected="0">
            <x v="0"/>
          </reference>
          <reference field="43" count="1" selected="0" defaultSubtotal="1">
            <x v="1"/>
          </reference>
        </references>
      </pivotArea>
    </format>
    <format dxfId="1661">
      <pivotArea outline="0" fieldPosition="0">
        <references count="3">
          <reference field="4294967294" count="1" selected="0">
            <x v="23"/>
          </reference>
          <reference field="0" count="1" selected="0">
            <x v="0"/>
          </reference>
          <reference field="43" count="1" selected="0" defaultSubtotal="1">
            <x v="1"/>
          </reference>
        </references>
      </pivotArea>
    </format>
    <format dxfId="1660">
      <pivotArea outline="0" fieldPosition="0">
        <references count="3">
          <reference field="4294967294" count="1" selected="0">
            <x v="26"/>
          </reference>
          <reference field="0" count="1" selected="0">
            <x v="0"/>
          </reference>
          <reference field="43" count="1" selected="0" defaultSubtotal="1">
            <x v="1"/>
          </reference>
        </references>
      </pivotArea>
    </format>
    <format dxfId="1659">
      <pivotArea outline="0" fieldPosition="0">
        <references count="3">
          <reference field="4294967294" count="1" selected="0">
            <x v="29"/>
          </reference>
          <reference field="0" count="1" selected="0">
            <x v="0"/>
          </reference>
          <reference field="43" count="1" selected="0" defaultSubtotal="1">
            <x v="1"/>
          </reference>
        </references>
      </pivotArea>
    </format>
    <format dxfId="1658">
      <pivotArea outline="0" fieldPosition="0">
        <references count="3">
          <reference field="4294967294" count="1" selected="0">
            <x v="32"/>
          </reference>
          <reference field="0" count="1" selected="0">
            <x v="0"/>
          </reference>
          <reference field="43" count="1" selected="0" defaultSubtotal="1">
            <x v="1"/>
          </reference>
        </references>
      </pivotArea>
    </format>
    <format dxfId="1657">
      <pivotArea outline="0" fieldPosition="0">
        <references count="3">
          <reference field="4294967294" count="1" selected="0">
            <x v="35"/>
          </reference>
          <reference field="0" count="1" selected="0">
            <x v="0"/>
          </reference>
          <reference field="43" count="1" selected="0" defaultSubtotal="1">
            <x v="1"/>
          </reference>
        </references>
      </pivotArea>
    </format>
    <format dxfId="1656">
      <pivotArea outline="0" fieldPosition="0">
        <references count="3">
          <reference field="4294967294" count="12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  <reference field="0" count="1" selected="0">
            <x v="0"/>
          </reference>
          <reference field="43" count="1" selected="0" defaultSubtotal="1">
            <x v="1"/>
          </reference>
        </references>
      </pivotArea>
    </format>
    <format dxfId="1655">
      <pivotArea outline="0" fieldPosition="0">
        <references count="3">
          <reference field="4294967294" count="12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  <reference field="0" count="1" selected="0">
            <x v="0"/>
          </reference>
          <reference field="43" count="1" selected="0">
            <x v="2"/>
          </reference>
        </references>
      </pivotArea>
    </format>
    <format dxfId="1654">
      <pivotArea outline="0" fieldPosition="0">
        <references count="3">
          <reference field="4294967294" count="1" selected="0">
            <x v="27"/>
          </reference>
          <reference field="0" count="1" selected="0">
            <x v="4"/>
          </reference>
          <reference field="43" count="1" selected="0">
            <x v="3"/>
          </reference>
        </references>
      </pivotArea>
    </format>
    <format dxfId="1653">
      <pivotArea outline="0" fieldPosition="0">
        <references count="2">
          <reference field="4294967294" count="1" selected="0">
            <x v="5"/>
          </reference>
          <reference field="0" count="1" selected="0">
            <x v="0"/>
          </reference>
        </references>
      </pivotArea>
    </format>
    <format dxfId="1652">
      <pivotArea outline="0" fieldPosition="0">
        <references count="2">
          <reference field="4294967294" count="1" selected="0">
            <x v="8"/>
          </reference>
          <reference field="0" count="1" selected="0">
            <x v="0"/>
          </reference>
        </references>
      </pivotArea>
    </format>
    <format dxfId="1651">
      <pivotArea outline="0" fieldPosition="0">
        <references count="2">
          <reference field="4294967294" count="1" selected="0">
            <x v="11"/>
          </reference>
          <reference field="0" count="1" selected="0">
            <x v="0"/>
          </reference>
        </references>
      </pivotArea>
    </format>
    <format dxfId="1650">
      <pivotArea outline="0" fieldPosition="0">
        <references count="2">
          <reference field="4294967294" count="1" selected="0">
            <x v="14"/>
          </reference>
          <reference field="0" count="1" selected="0">
            <x v="0"/>
          </reference>
        </references>
      </pivotArea>
    </format>
    <format dxfId="1649">
      <pivotArea outline="0" fieldPosition="0">
        <references count="2">
          <reference field="4294967294" count="1" selected="0">
            <x v="17"/>
          </reference>
          <reference field="0" count="1" selected="0">
            <x v="0"/>
          </reference>
        </references>
      </pivotArea>
    </format>
    <format dxfId="1648">
      <pivotArea outline="0" fieldPosition="0">
        <references count="2">
          <reference field="4294967294" count="1" selected="0">
            <x v="20"/>
          </reference>
          <reference field="0" count="1" selected="0">
            <x v="0"/>
          </reference>
        </references>
      </pivotArea>
    </format>
    <format dxfId="1647">
      <pivotArea outline="0" fieldPosition="0">
        <references count="2">
          <reference field="4294967294" count="1" selected="0">
            <x v="23"/>
          </reference>
          <reference field="0" count="1" selected="0">
            <x v="0"/>
          </reference>
        </references>
      </pivotArea>
    </format>
    <format dxfId="1646">
      <pivotArea outline="0" fieldPosition="0">
        <references count="2">
          <reference field="4294967294" count="1" selected="0">
            <x v="26"/>
          </reference>
          <reference field="0" count="1" selected="0">
            <x v="0"/>
          </reference>
        </references>
      </pivotArea>
    </format>
    <format dxfId="1645">
      <pivotArea outline="0" fieldPosition="0">
        <references count="2">
          <reference field="4294967294" count="1" selected="0">
            <x v="29"/>
          </reference>
          <reference field="0" count="1" selected="0">
            <x v="0"/>
          </reference>
        </references>
      </pivotArea>
    </format>
    <format dxfId="1644">
      <pivotArea outline="0" fieldPosition="0">
        <references count="2">
          <reference field="4294967294" count="1" selected="0">
            <x v="32"/>
          </reference>
          <reference field="0" count="1" selected="0">
            <x v="0"/>
          </reference>
        </references>
      </pivotArea>
    </format>
    <format dxfId="1643">
      <pivotArea outline="0" fieldPosition="0">
        <references count="2">
          <reference field="4294967294" count="1" selected="0">
            <x v="35"/>
          </reference>
          <reference field="0" count="1" selected="0">
            <x v="0"/>
          </reference>
        </references>
      </pivotArea>
    </format>
    <format dxfId="1642">
      <pivotArea outline="0" fieldPosition="0">
        <references count="2">
          <reference field="0" count="1" selected="0">
            <x v="0"/>
          </reference>
          <reference field="43" count="1" selected="0">
            <x v="0"/>
          </reference>
        </references>
      </pivotArea>
    </format>
    <format dxfId="1641">
      <pivotArea outline="0" fieldPosition="0">
        <references count="4">
          <reference field="4294967294" count="1" selected="0">
            <x v="0"/>
          </reference>
          <reference field="0" count="1" selected="0">
            <x v="1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40">
      <pivotArea outline="0" fieldPosition="0">
        <references count="4">
          <reference field="4294967294" count="1" selected="0">
            <x v="0"/>
          </reference>
          <reference field="0" count="1" selected="0">
            <x v="2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39">
      <pivotArea outline="0" fieldPosition="0">
        <references count="4">
          <reference field="4294967294" count="1" selected="0">
            <x v="0"/>
          </reference>
          <reference field="0" count="1" selected="0">
            <x v="3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38">
      <pivotArea outline="0" fieldPosition="0">
        <references count="4">
          <reference field="4294967294" count="1" selected="0">
            <x v="0"/>
          </reference>
          <reference field="0" count="1" selected="0">
            <x v="4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37">
      <pivotArea outline="0" fieldPosition="0">
        <references count="4">
          <reference field="4294967294" count="1" selected="0">
            <x v="0"/>
          </reference>
          <reference field="0" count="1" selected="0">
            <x v="5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36">
      <pivotArea outline="0" fieldPosition="0">
        <references count="4">
          <reference field="4294967294" count="1" selected="0">
            <x v="0"/>
          </reference>
          <reference field="0" count="1" selected="0">
            <x v="6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35">
      <pivotArea outline="0" fieldPosition="0">
        <references count="4">
          <reference field="4294967294" count="1" selected="0">
            <x v="0"/>
          </reference>
          <reference field="0" count="1" selected="0">
            <x v="7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34">
      <pivotArea outline="0" fieldPosition="0">
        <references count="4">
          <reference field="4294967294" count="1" selected="0">
            <x v="0"/>
          </reference>
          <reference field="0" count="1" selected="0">
            <x v="8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33">
      <pivotArea outline="0" fieldPosition="0">
        <references count="4">
          <reference field="4294967294" count="1" selected="0">
            <x v="0"/>
          </reference>
          <reference field="0" count="1" selected="0">
            <x v="9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32">
      <pivotArea outline="0" fieldPosition="0">
        <references count="4">
          <reference field="4294967294" count="1" selected="0">
            <x v="0"/>
          </reference>
          <reference field="0" count="1" selected="0">
            <x v="1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31">
      <pivotArea outline="0" fieldPosition="0">
        <references count="4">
          <reference field="4294967294" count="1" selected="0">
            <x v="0"/>
          </reference>
          <reference field="0" count="1" selected="0">
            <x v="11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30">
      <pivotArea outline="0" fieldPosition="0">
        <references count="4">
          <reference field="4294967294" count="1" selected="0">
            <x v="0"/>
          </reference>
          <reference field="0" count="1" selected="0">
            <x v="12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29">
      <pivotArea outline="0" fieldPosition="0">
        <references count="4">
          <reference field="4294967294" count="1" selected="0">
            <x v="0"/>
          </reference>
          <reference field="0" count="1" selected="0">
            <x v="14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28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0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627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0"/>
          </reference>
          <reference field="4" count="4" selected="0">
            <x v="2"/>
            <x v="3"/>
            <x v="4"/>
            <x v="5"/>
          </reference>
          <reference field="43" count="1" selected="0">
            <x v="0"/>
          </reference>
        </references>
      </pivotArea>
    </format>
    <format dxfId="1626">
      <pivotArea outline="0" fieldPosition="0">
        <references count="3">
          <reference field="4294967294" count="3" selected="0">
            <x v="9"/>
            <x v="10"/>
            <x v="11"/>
          </reference>
          <reference field="0" count="1" selected="0">
            <x v="0"/>
          </reference>
          <reference field="43" count="1" selected="0">
            <x v="0"/>
          </reference>
        </references>
      </pivotArea>
    </format>
    <format dxfId="1625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24">
      <pivotArea outline="0" fieldPosition="0">
        <references count="4">
          <reference field="4294967294" count="3" selected="0">
            <x v="33"/>
            <x v="34"/>
            <x v="35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23">
      <pivotArea outline="0" fieldPosition="0">
        <references count="4">
          <reference field="4294967294" count="3" selected="0">
            <x v="33"/>
            <x v="34"/>
            <x v="35"/>
          </reference>
          <reference field="0" count="1" selected="0">
            <x v="0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622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1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621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1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620">
      <pivotArea outline="0" fieldPosition="0">
        <references count="3">
          <reference field="4294967294" count="3" selected="0">
            <x v="9"/>
            <x v="10"/>
            <x v="11"/>
          </reference>
          <reference field="0" count="1" selected="0">
            <x v="1"/>
          </reference>
          <reference field="43" count="1" selected="0">
            <x v="0"/>
          </reference>
        </references>
      </pivotArea>
    </format>
    <format dxfId="1619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2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18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3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617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3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616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4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615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4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614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4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613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4"/>
          </reference>
          <reference field="4" count="1" selected="0">
            <x v="5"/>
          </reference>
          <reference field="43" count="1" selected="0">
            <x v="0"/>
          </reference>
        </references>
      </pivotArea>
    </format>
    <format dxfId="1612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5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611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5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610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6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609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6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608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6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07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7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606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7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605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8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604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8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603">
      <pivotArea outline="0" fieldPosition="0">
        <references count="3">
          <reference field="4294967294" count="3" selected="0">
            <x v="9"/>
            <x v="10"/>
            <x v="11"/>
          </reference>
          <reference field="0" count="1" selected="0">
            <x v="8"/>
          </reference>
          <reference field="43" count="1" selected="0">
            <x v="0"/>
          </reference>
        </references>
      </pivotArea>
    </format>
    <format dxfId="1602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9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601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9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600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1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599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0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598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11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597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11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596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11"/>
          </reference>
          <reference field="4" count="1" selected="0">
            <x v="5"/>
          </reference>
          <reference field="43" count="1" selected="0">
            <x v="0"/>
          </reference>
        </references>
      </pivotArea>
    </format>
    <format dxfId="1595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11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594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12"/>
          </reference>
          <reference field="4" count="2" selected="0">
            <x v="0"/>
            <x v="1"/>
          </reference>
          <reference field="43" count="1" selected="0">
            <x v="0"/>
          </reference>
        </references>
      </pivotArea>
    </format>
    <format dxfId="1593">
      <pivotArea outline="0" fieldPosition="0">
        <references count="4">
          <reference field="4294967294" count="3" selected="0">
            <x v="30"/>
            <x v="31"/>
            <x v="32"/>
          </reference>
          <reference field="0" count="1" selected="0">
            <x v="12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592">
      <pivotArea outline="0" fieldPosition="0">
        <references count="4">
          <reference field="4294967294" count="3" selected="0">
            <x v="33"/>
            <x v="34"/>
            <x v="35"/>
          </reference>
          <reference field="0" count="1" selected="0">
            <x v="12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591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13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590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13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589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14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588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4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587">
      <pivotArea outline="0" fieldPosition="0">
        <references count="4">
          <reference field="4294967294" count="3" selected="0">
            <x v="30"/>
            <x v="31"/>
            <x v="32"/>
          </reference>
          <reference field="0" count="1" selected="0">
            <x v="14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586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15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585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15"/>
          </reference>
          <reference field="4" count="1" selected="0">
            <x v="5"/>
          </reference>
          <reference field="43" count="1" selected="0">
            <x v="0"/>
          </reference>
        </references>
      </pivotArea>
    </format>
    <format dxfId="1584">
      <pivotArea outline="0" fieldPosition="0">
        <references count="2">
          <reference field="0" count="1" selected="0">
            <x v="0"/>
          </reference>
          <reference field="43" count="1" selected="0">
            <x v="1"/>
          </reference>
        </references>
      </pivotArea>
    </format>
    <format dxfId="1583">
      <pivotArea outline="0" fieldPosition="0">
        <references count="4">
          <reference field="4294967294" count="1" selected="0">
            <x v="0"/>
          </reference>
          <reference field="0" count="1" selected="0">
            <x v="2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582">
      <pivotArea outline="0" fieldPosition="0">
        <references count="4">
          <reference field="4294967294" count="1" selected="0">
            <x v="0"/>
          </reference>
          <reference field="0" count="1" selected="0">
            <x v="3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581">
      <pivotArea outline="0" fieldPosition="0">
        <references count="4">
          <reference field="4294967294" count="1" selected="0">
            <x v="0"/>
          </reference>
          <reference field="0" count="1" selected="0">
            <x v="4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580">
      <pivotArea outline="0" fieldPosition="0">
        <references count="4">
          <reference field="4294967294" count="1" selected="0">
            <x v="0"/>
          </reference>
          <reference field="0" count="1" selected="0">
            <x v="5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579">
      <pivotArea outline="0" fieldPosition="0">
        <references count="4">
          <reference field="4294967294" count="1" selected="0">
            <x v="0"/>
          </reference>
          <reference field="0" count="1" selected="0">
            <x v="7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578">
      <pivotArea outline="0" fieldPosition="0">
        <references count="4">
          <reference field="4294967294" count="1" selected="0">
            <x v="0"/>
          </reference>
          <reference field="0" count="1" selected="0">
            <x v="8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577">
      <pivotArea outline="0" fieldPosition="0">
        <references count="4">
          <reference field="4294967294" count="1" selected="0">
            <x v="0"/>
          </reference>
          <reference field="0" count="1" selected="0">
            <x v="9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576">
      <pivotArea outline="0" fieldPosition="0">
        <references count="4">
          <reference field="4294967294" count="1" selected="0">
            <x v="0"/>
          </reference>
          <reference field="0" count="1" selected="0">
            <x v="10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575">
      <pivotArea outline="0" fieldPosition="0">
        <references count="4">
          <reference field="4294967294" count="1" selected="0">
            <x v="0"/>
          </reference>
          <reference field="0" count="1" selected="0">
            <x v="11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574">
      <pivotArea outline="0" fieldPosition="0">
        <references count="4">
          <reference field="4294967294" count="1" selected="0">
            <x v="0"/>
          </reference>
          <reference field="0" count="1" selected="0">
            <x v="12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573">
      <pivotArea outline="0" fieldPosition="0">
        <references count="4">
          <reference field="4294967294" count="1" selected="0">
            <x v="0"/>
          </reference>
          <reference field="0" count="1" selected="0">
            <x v="13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572">
      <pivotArea outline="0" fieldPosition="0">
        <references count="4">
          <reference field="4294967294" count="1" selected="0">
            <x v="0"/>
          </reference>
          <reference field="0" count="1" selected="0">
            <x v="14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571">
      <pivotArea outline="0" fieldPosition="0">
        <references count="4">
          <reference field="4294967294" count="1" selected="0">
            <x v="0"/>
          </reference>
          <reference field="0" count="1" selected="0">
            <x v="15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570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569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0"/>
          </reference>
          <reference field="4" count="2" selected="0">
            <x v="7"/>
            <x v="8"/>
          </reference>
          <reference field="43" count="1" selected="0">
            <x v="1"/>
          </reference>
        </references>
      </pivotArea>
    </format>
    <format dxfId="1568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0"/>
          </reference>
          <reference field="4" count="3" selected="0">
            <x v="7"/>
            <x v="8"/>
            <x v="9"/>
          </reference>
          <reference field="43" count="1" selected="0">
            <x v="1"/>
          </reference>
        </references>
      </pivotArea>
    </format>
    <format dxfId="1567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0"/>
          </reference>
          <reference field="4" count="3" selected="0">
            <x v="7"/>
            <x v="8"/>
            <x v="9"/>
          </reference>
          <reference field="43" count="1" selected="0">
            <x v="1"/>
          </reference>
        </references>
      </pivotArea>
    </format>
    <format dxfId="1566">
      <pivotArea outline="0" fieldPosition="0">
        <references count="4">
          <reference field="4294967294" count="3" selected="0">
            <x v="6"/>
            <x v="7"/>
            <x v="8"/>
          </reference>
          <reference field="0" count="1" selected="0">
            <x v="1"/>
          </reference>
          <reference field="4" count="2" selected="0">
            <x v="8"/>
            <x v="9"/>
          </reference>
          <reference field="43" count="1" selected="0">
            <x v="1"/>
          </reference>
        </references>
      </pivotArea>
    </format>
    <format dxfId="1565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2"/>
          </reference>
          <reference field="4" count="2" selected="0">
            <x v="8"/>
            <x v="9"/>
          </reference>
          <reference field="43" count="1" selected="0">
            <x v="1"/>
          </reference>
        </references>
      </pivotArea>
    </format>
    <format dxfId="1564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4"/>
          </reference>
          <reference field="4" count="1" selected="0">
            <x v="7"/>
          </reference>
          <reference field="43" count="1" selected="0">
            <x v="1"/>
          </reference>
        </references>
      </pivotArea>
    </format>
    <format dxfId="1563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6"/>
          </reference>
          <reference field="4" count="1" selected="0">
            <x v="7"/>
          </reference>
          <reference field="43" count="1" selected="0">
            <x v="1"/>
          </reference>
        </references>
      </pivotArea>
    </format>
    <format dxfId="1562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6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561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6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560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6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559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7"/>
          </reference>
          <reference field="4" count="1" selected="0">
            <x v="8"/>
          </reference>
          <reference field="43" count="1" selected="0">
            <x v="1"/>
          </reference>
        </references>
      </pivotArea>
    </format>
    <format dxfId="1558">
      <pivotArea outline="0" fieldPosition="0">
        <references count="4">
          <reference field="4294967294" count="3" selected="0">
            <x v="6"/>
            <x v="7"/>
            <x v="8"/>
          </reference>
          <reference field="0" count="1" selected="0">
            <x v="8"/>
          </reference>
          <reference field="4" count="1" selected="0">
            <x v="7"/>
          </reference>
          <reference field="43" count="1" selected="0">
            <x v="1"/>
          </reference>
        </references>
      </pivotArea>
    </format>
    <format dxfId="1557">
      <pivotArea outline="0" fieldPosition="0">
        <references count="4">
          <reference field="4294967294" count="3" selected="0">
            <x v="6"/>
            <x v="7"/>
            <x v="8"/>
          </reference>
          <reference field="0" count="1" selected="0">
            <x v="8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556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8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555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8"/>
          </reference>
          <reference field="4" count="1" selected="0">
            <x v="7"/>
          </reference>
          <reference field="43" count="1" selected="0">
            <x v="1"/>
          </reference>
        </references>
      </pivotArea>
    </format>
    <format dxfId="1554">
      <pivotArea outline="0" fieldPosition="0">
        <references count="4">
          <reference field="4294967294" count="3" selected="0">
            <x v="6"/>
            <x v="7"/>
            <x v="8"/>
          </reference>
          <reference field="0" count="1" selected="0">
            <x v="9"/>
          </reference>
          <reference field="4" count="1" selected="0">
            <x v="7"/>
          </reference>
          <reference field="43" count="1" selected="0">
            <x v="1"/>
          </reference>
        </references>
      </pivotArea>
    </format>
    <format dxfId="1553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0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552">
      <pivotArea outline="0" fieldPosition="0">
        <references count="4">
          <reference field="4294967294" count="3" selected="0">
            <x v="15"/>
            <x v="16"/>
            <x v="17"/>
          </reference>
          <reference field="0" count="1" selected="0">
            <x v="10"/>
          </reference>
          <reference field="4" count="2" selected="0">
            <x v="6"/>
            <x v="7"/>
          </reference>
          <reference field="43" count="1" selected="0">
            <x v="1"/>
          </reference>
        </references>
      </pivotArea>
    </format>
    <format dxfId="1551">
      <pivotArea outline="0" fieldPosition="0">
        <references count="4">
          <reference field="4294967294" count="3" selected="0">
            <x v="6"/>
            <x v="7"/>
            <x v="8"/>
          </reference>
          <reference field="0" count="1" selected="0">
            <x v="11"/>
          </reference>
          <reference field="4" count="3" selected="0">
            <x v="7"/>
            <x v="8"/>
            <x v="9"/>
          </reference>
          <reference field="43" count="1" selected="0">
            <x v="1"/>
          </reference>
        </references>
      </pivotArea>
    </format>
    <format dxfId="1550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11"/>
          </reference>
          <reference field="4" count="3" selected="0">
            <x v="7"/>
            <x v="8"/>
            <x v="9"/>
          </reference>
          <reference field="43" count="1" selected="0">
            <x v="1"/>
          </reference>
        </references>
      </pivotArea>
    </format>
    <format dxfId="1549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3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548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5"/>
          </reference>
          <reference field="4" count="4" selected="0">
            <x v="6"/>
            <x v="7"/>
            <x v="8"/>
            <x v="9"/>
          </reference>
          <reference field="43" count="1" selected="0">
            <x v="1"/>
          </reference>
        </references>
      </pivotArea>
    </format>
    <format dxfId="1547">
      <pivotArea outline="0" fieldPosition="0">
        <references count="2">
          <reference field="0" count="1" selected="0">
            <x v="0"/>
          </reference>
          <reference field="43" count="1" selected="0">
            <x v="2"/>
          </reference>
        </references>
      </pivotArea>
    </format>
    <format dxfId="1546">
      <pivotArea outline="0" fieldPosition="0">
        <references count="4">
          <reference field="4294967294" count="1" selected="0">
            <x v="0"/>
          </reference>
          <reference field="0" count="1" selected="0">
            <x v="1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545">
      <pivotArea outline="0" fieldPosition="0">
        <references count="4">
          <reference field="4294967294" count="1" selected="0">
            <x v="0"/>
          </reference>
          <reference field="0" count="1" selected="0">
            <x v="2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544">
      <pivotArea outline="0" fieldPosition="0">
        <references count="4">
          <reference field="4294967294" count="1" selected="0">
            <x v="0"/>
          </reference>
          <reference field="0" count="1" selected="0">
            <x v="3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543">
      <pivotArea outline="0" fieldPosition="0">
        <references count="4">
          <reference field="4294967294" count="1" selected="0">
            <x v="0"/>
          </reference>
          <reference field="0" count="1" selected="0">
            <x v="4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542">
      <pivotArea outline="0" fieldPosition="0">
        <references count="4">
          <reference field="4294967294" count="1" selected="0">
            <x v="0"/>
          </reference>
          <reference field="0" count="1" selected="0">
            <x v="5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541">
      <pivotArea outline="0" fieldPosition="0">
        <references count="4">
          <reference field="4294967294" count="1" selected="0">
            <x v="0"/>
          </reference>
          <reference field="0" count="1" selected="0">
            <x v="6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540">
      <pivotArea outline="0" fieldPosition="0">
        <references count="4">
          <reference field="4294967294" count="1" selected="0">
            <x v="0"/>
          </reference>
          <reference field="0" count="1" selected="0">
            <x v="7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539">
      <pivotArea outline="0" fieldPosition="0">
        <references count="4">
          <reference field="4294967294" count="1" selected="0">
            <x v="0"/>
          </reference>
          <reference field="0" count="1" selected="0">
            <x v="8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538">
      <pivotArea outline="0" fieldPosition="0">
        <references count="4">
          <reference field="4294967294" count="1" selected="0">
            <x v="0"/>
          </reference>
          <reference field="0" count="1" selected="0">
            <x v="9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537">
      <pivotArea outline="0" fieldPosition="0">
        <references count="4">
          <reference field="4294967294" count="1" selected="0">
            <x v="0"/>
          </reference>
          <reference field="0" count="1" selected="0">
            <x v="10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536">
      <pivotArea outline="0" fieldPosition="0">
        <references count="4">
          <reference field="4294967294" count="1" selected="0">
            <x v="0"/>
          </reference>
          <reference field="0" count="1" selected="0">
            <x v="11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535">
      <pivotArea outline="0" fieldPosition="0">
        <references count="4">
          <reference field="4294967294" count="1" selected="0">
            <x v="0"/>
          </reference>
          <reference field="0" count="1" selected="0">
            <x v="12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534">
      <pivotArea outline="0" fieldPosition="0">
        <references count="4">
          <reference field="4294967294" count="1" selected="0">
            <x v="0"/>
          </reference>
          <reference field="0" count="1" selected="0">
            <x v="13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533">
      <pivotArea outline="0" fieldPosition="0">
        <references count="4">
          <reference field="4294967294" count="1" selected="0">
            <x v="0"/>
          </reference>
          <reference field="0" count="1" selected="0">
            <x v="14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532">
      <pivotArea outline="0" fieldPosition="0">
        <references count="4">
          <reference field="4294967294" count="1" selected="0">
            <x v="0"/>
          </reference>
          <reference field="0" count="1" selected="0">
            <x v="15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531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2" selected="0">
            <x v="11"/>
            <x v="12"/>
          </reference>
          <reference field="43" count="1" selected="0">
            <x v="2"/>
          </reference>
        </references>
      </pivotArea>
    </format>
    <format dxfId="1530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0"/>
          </reference>
          <reference field="4" count="2" selected="0">
            <x v="11"/>
            <x v="12"/>
          </reference>
          <reference field="43" count="1" selected="0">
            <x v="2"/>
          </reference>
        </references>
      </pivotArea>
    </format>
    <format dxfId="1529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0"/>
          </reference>
          <reference field="4" count="2" selected="0">
            <x v="11"/>
            <x v="12"/>
          </reference>
          <reference field="43" count="1" selected="0">
            <x v="2"/>
          </reference>
        </references>
      </pivotArea>
    </format>
    <format dxfId="1528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0"/>
          </reference>
          <reference field="43" count="1" selected="0" defaultSubtotal="1">
            <x v="4"/>
          </reference>
        </references>
      </pivotArea>
    </format>
    <format dxfId="1527">
      <pivotArea outline="0" fieldPosition="0">
        <references count="3">
          <reference field="4294967294" count="3" selected="0">
            <x v="18"/>
            <x v="19"/>
            <x v="20"/>
          </reference>
          <reference field="0" count="1" selected="0">
            <x v="0"/>
          </reference>
          <reference field="43" count="1" selected="0" defaultSubtotal="1">
            <x v="4"/>
          </reference>
        </references>
      </pivotArea>
    </format>
    <format dxfId="1526">
      <pivotArea outline="0" fieldPosition="0">
        <references count="3">
          <reference field="4294967294" count="3" selected="0">
            <x v="18"/>
            <x v="19"/>
            <x v="20"/>
          </reference>
          <reference field="0" count="1" selected="0">
            <x v="2"/>
          </reference>
          <reference field="43" count="1" selected="0" defaultSubtotal="1">
            <x v="4"/>
          </reference>
        </references>
      </pivotArea>
    </format>
    <format dxfId="1525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4"/>
          </reference>
          <reference field="4" count="1" selected="0">
            <x v="12"/>
          </reference>
          <reference field="43" count="1" selected="0">
            <x v="2"/>
          </reference>
        </references>
      </pivotArea>
    </format>
    <format dxfId="1524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4"/>
          </reference>
          <reference field="4" count="2" selected="0">
            <x v="11"/>
            <x v="12"/>
          </reference>
          <reference field="43" count="1" selected="0">
            <x v="2"/>
          </reference>
        </references>
      </pivotArea>
    </format>
    <format dxfId="1523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5"/>
          </reference>
          <reference field="4" count="1" selected="0">
            <x v="13"/>
          </reference>
          <reference field="43" count="1" selected="0">
            <x v="2"/>
          </reference>
        </references>
      </pivotArea>
    </format>
    <format dxfId="1522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5"/>
          </reference>
          <reference field="4" count="1" selected="0">
            <x v="13"/>
          </reference>
          <reference field="43" count="1" selected="0">
            <x v="2"/>
          </reference>
        </references>
      </pivotArea>
    </format>
    <format dxfId="1521">
      <pivotArea outline="0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6"/>
          </reference>
          <reference field="43" count="1" selected="0">
            <x v="2"/>
          </reference>
        </references>
      </pivotArea>
    </format>
    <format dxfId="1520">
      <pivotArea outline="0" fieldPosition="0">
        <references count="3">
          <reference field="4294967294" count="3" selected="0">
            <x v="9"/>
            <x v="10"/>
            <x v="11"/>
          </reference>
          <reference field="0" count="1" selected="0">
            <x v="6"/>
          </reference>
          <reference field="43" count="1" selected="0">
            <x v="2"/>
          </reference>
        </references>
      </pivotArea>
    </format>
    <format dxfId="1519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4"/>
          </reference>
          <reference field="43" count="1" selected="0" defaultSubtotal="1">
            <x v="4"/>
          </reference>
        </references>
      </pivotArea>
    </format>
    <format dxfId="1518">
      <pivotArea outline="0" fieldPosition="0">
        <references count="3">
          <reference field="4294967294" count="3" selected="0">
            <x v="18"/>
            <x v="19"/>
            <x v="20"/>
          </reference>
          <reference field="0" count="1" selected="0">
            <x v="4"/>
          </reference>
          <reference field="43" count="1" selected="0" defaultSubtotal="1">
            <x v="4"/>
          </reference>
        </references>
      </pivotArea>
    </format>
    <format dxfId="1517">
      <pivotArea outline="0" fieldPosition="0">
        <references count="3">
          <reference field="4294967294" count="3" selected="0">
            <x v="18"/>
            <x v="19"/>
            <x v="20"/>
          </reference>
          <reference field="0" count="1" selected="0">
            <x v="5"/>
          </reference>
          <reference field="43" count="1" selected="0" defaultSubtotal="1">
            <x v="4"/>
          </reference>
        </references>
      </pivotArea>
    </format>
    <format dxfId="1516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6"/>
          </reference>
          <reference field="43" count="1" selected="0" defaultSubtotal="1">
            <x v="4"/>
          </reference>
        </references>
      </pivotArea>
    </format>
    <format dxfId="1515">
      <pivotArea outline="0" fieldPosition="0">
        <references count="3">
          <reference field="4294967294" count="3" selected="0">
            <x v="18"/>
            <x v="19"/>
            <x v="20"/>
          </reference>
          <reference field="0" count="1" selected="0">
            <x v="7"/>
          </reference>
          <reference field="43" count="1" selected="0" defaultSubtotal="1">
            <x v="4"/>
          </reference>
        </references>
      </pivotArea>
    </format>
    <format dxfId="1514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8"/>
          </reference>
          <reference field="43" count="1" selected="0" defaultSubtotal="1">
            <x v="4"/>
          </reference>
        </references>
      </pivotArea>
    </format>
    <format dxfId="1513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10"/>
          </reference>
          <reference field="43" count="1" selected="0" defaultSubtotal="1">
            <x v="4"/>
          </reference>
        </references>
      </pivotArea>
    </format>
    <format dxfId="1512">
      <pivotArea outline="0" fieldPosition="0">
        <references count="3">
          <reference field="4294967294" count="3" selected="0">
            <x v="18"/>
            <x v="19"/>
            <x v="20"/>
          </reference>
          <reference field="0" count="1" selected="0">
            <x v="12"/>
          </reference>
          <reference field="43" count="1" selected="0" defaultSubtotal="1">
            <x v="4"/>
          </reference>
        </references>
      </pivotArea>
    </format>
    <format dxfId="1511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13"/>
          </reference>
          <reference field="43" count="1" selected="0" defaultSubtotal="1">
            <x v="4"/>
          </reference>
        </references>
      </pivotArea>
    </format>
    <format dxfId="1510">
      <pivotArea outline="0" fieldPosition="0">
        <references count="3">
          <reference field="4294967294" count="3" selected="0">
            <x v="18"/>
            <x v="19"/>
            <x v="20"/>
          </reference>
          <reference field="0" count="1" selected="0">
            <x v="13"/>
          </reference>
          <reference field="43" count="1" selected="0" defaultSubtotal="1">
            <x v="4"/>
          </reference>
        </references>
      </pivotArea>
    </format>
    <format dxfId="1509">
      <pivotArea outline="0" fieldPosition="0">
        <references count="3">
          <reference field="4294967294" count="3" selected="0">
            <x v="18"/>
            <x v="19"/>
            <x v="20"/>
          </reference>
          <reference field="0" count="1" selected="0">
            <x v="13"/>
          </reference>
          <reference field="43" count="1" selected="0">
            <x v="3"/>
          </reference>
        </references>
      </pivotArea>
    </format>
    <format dxfId="1508">
      <pivotArea outline="0" fieldPosition="0">
        <references count="3">
          <reference field="4294967294" count="3" selected="0">
            <x v="30"/>
            <x v="31"/>
            <x v="32"/>
          </reference>
          <reference field="0" count="1" selected="0">
            <x v="13"/>
          </reference>
          <reference field="43" count="1" selected="0" defaultSubtotal="1">
            <x v="4"/>
          </reference>
        </references>
      </pivotArea>
    </format>
    <format dxfId="1507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14"/>
          </reference>
          <reference field="43" count="1" selected="0" defaultSubtotal="1">
            <x v="4"/>
          </reference>
        </references>
      </pivotArea>
    </format>
    <format dxfId="1506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15"/>
          </reference>
          <reference field="43" count="1" selected="0" defaultSubtotal="1">
            <x v="4"/>
          </reference>
        </references>
      </pivotArea>
    </format>
    <format dxfId="1505">
      <pivotArea outline="0" fieldPosition="0">
        <references count="3">
          <reference field="4294967294" count="3" selected="0">
            <x v="30"/>
            <x v="31"/>
            <x v="32"/>
          </reference>
          <reference field="0" count="1" selected="0">
            <x v="15"/>
          </reference>
          <reference field="43" count="1" selected="0">
            <x v="3"/>
          </reference>
        </references>
      </pivotArea>
    </format>
    <format dxfId="1504">
      <pivotArea outline="0" fieldPosition="0">
        <references count="3">
          <reference field="4294967294" count="3" selected="0">
            <x v="33"/>
            <x v="34"/>
            <x v="35"/>
          </reference>
          <reference field="0" count="1" selected="0">
            <x v="15"/>
          </reference>
          <reference field="43" count="1" selected="0">
            <x v="3"/>
          </reference>
        </references>
      </pivotArea>
    </format>
    <format dxfId="1503">
      <pivotArea outline="0" fieldPosition="0">
        <references count="3">
          <reference field="4294967294" count="3" selected="0">
            <x v="33"/>
            <x v="34"/>
            <x v="35"/>
          </reference>
          <reference field="0" count="1" selected="0">
            <x v="13"/>
          </reference>
          <reference field="43" count="1" selected="0">
            <x v="3"/>
          </reference>
        </references>
      </pivotArea>
    </format>
    <format dxfId="1502">
      <pivotArea dataOnly="0" labelOnly="1" outline="0" offset="IV256" fieldPosition="0">
        <references count="1">
          <reference field="0" count="1">
            <x v="1"/>
          </reference>
        </references>
      </pivotArea>
    </format>
    <format dxfId="1501">
      <pivotArea dataOnly="0" labelOnly="1" outline="0" offset="IV256" fieldPosition="0">
        <references count="1">
          <reference field="0" count="1">
            <x v="2"/>
          </reference>
        </references>
      </pivotArea>
    </format>
    <format dxfId="1500">
      <pivotArea dataOnly="0" labelOnly="1" outline="0" offset="IV256" fieldPosition="0">
        <references count="1">
          <reference field="0" count="1">
            <x v="3"/>
          </reference>
        </references>
      </pivotArea>
    </format>
    <format dxfId="1499">
      <pivotArea dataOnly="0" labelOnly="1" outline="0" offset="IV256" fieldPosition="0">
        <references count="1">
          <reference field="0" count="1">
            <x v="4"/>
          </reference>
        </references>
      </pivotArea>
    </format>
    <format dxfId="1498">
      <pivotArea dataOnly="0" labelOnly="1" outline="0" offset="IV256" fieldPosition="0">
        <references count="1">
          <reference field="0" count="1">
            <x v="5"/>
          </reference>
        </references>
      </pivotArea>
    </format>
    <format dxfId="1497">
      <pivotArea dataOnly="0" labelOnly="1" outline="0" offset="IV256" fieldPosition="0">
        <references count="1">
          <reference field="0" count="1">
            <x v="6"/>
          </reference>
        </references>
      </pivotArea>
    </format>
    <format dxfId="1496">
      <pivotArea dataOnly="0" labelOnly="1" outline="0" offset="IV256" fieldPosition="0">
        <references count="1">
          <reference field="0" count="1">
            <x v="7"/>
          </reference>
        </references>
      </pivotArea>
    </format>
    <format dxfId="1495">
      <pivotArea dataOnly="0" labelOnly="1" outline="0" offset="IV256" fieldPosition="0">
        <references count="1">
          <reference field="0" count="1">
            <x v="8"/>
          </reference>
        </references>
      </pivotArea>
    </format>
    <format dxfId="1494">
      <pivotArea dataOnly="0" labelOnly="1" outline="0" offset="IV256" fieldPosition="0">
        <references count="1">
          <reference field="0" count="1">
            <x v="9"/>
          </reference>
        </references>
      </pivotArea>
    </format>
    <format dxfId="1493">
      <pivotArea dataOnly="0" labelOnly="1" outline="0" offset="IV256" fieldPosition="0">
        <references count="1">
          <reference field="0" count="1">
            <x v="10"/>
          </reference>
        </references>
      </pivotArea>
    </format>
    <format dxfId="1492">
      <pivotArea dataOnly="0" labelOnly="1" outline="0" offset="IV256" fieldPosition="0">
        <references count="1">
          <reference field="0" count="1">
            <x v="11"/>
          </reference>
        </references>
      </pivotArea>
    </format>
    <format dxfId="1491">
      <pivotArea dataOnly="0" labelOnly="1" outline="0" offset="IV256" fieldPosition="0">
        <references count="1">
          <reference field="0" count="1">
            <x v="12"/>
          </reference>
        </references>
      </pivotArea>
    </format>
    <format dxfId="1490">
      <pivotArea dataOnly="0" labelOnly="1" outline="0" offset="IV256" fieldPosition="0">
        <references count="1">
          <reference field="0" count="1">
            <x v="13"/>
          </reference>
        </references>
      </pivotArea>
    </format>
    <format dxfId="1489">
      <pivotArea dataOnly="0" labelOnly="1" outline="0" offset="IV256" fieldPosition="0">
        <references count="1">
          <reference field="0" count="1">
            <x v="14"/>
          </reference>
        </references>
      </pivotArea>
    </format>
    <format dxfId="1488">
      <pivotArea dataOnly="0" labelOnly="1" outline="0" offset="IV256" fieldPosition="0">
        <references count="1">
          <reference field="0" count="1">
            <x v="15"/>
          </reference>
        </references>
      </pivotArea>
    </format>
    <format dxfId="1487">
      <pivotArea outline="0" fieldPosition="0">
        <references count="3">
          <reference field="4294967294" count="1" selected="0">
            <x v="5"/>
          </reference>
          <reference field="0" count="1" selected="0">
            <x v="0"/>
          </reference>
          <reference field="43" count="1" selected="0" defaultSubtotal="1">
            <x v="0"/>
          </reference>
        </references>
      </pivotArea>
    </format>
    <format dxfId="1486">
      <pivotArea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485">
      <pivotArea outline="0" fieldPosition="0">
        <references count="3">
          <reference field="4294967294" count="1" selected="0">
            <x v="11"/>
          </reference>
          <reference field="0" count="1" selected="0">
            <x v="0"/>
          </reference>
          <reference field="43" count="1" selected="0">
            <x v="0"/>
          </reference>
        </references>
      </pivotArea>
    </format>
    <format dxfId="1484">
      <pivotArea outline="0" fieldPosition="0">
        <references count="3">
          <reference field="4294967294" count="1" selected="0">
            <x v="14"/>
          </reference>
          <reference field="0" count="1" selected="0">
            <x v="0"/>
          </reference>
          <reference field="43" count="1" selected="0" defaultSubtotal="1">
            <x v="0"/>
          </reference>
        </references>
      </pivotArea>
    </format>
    <format dxfId="1483">
      <pivotArea outline="0" fieldPosition="0">
        <references count="3">
          <reference field="4294967294" count="1" selected="0">
            <x v="30"/>
          </reference>
          <reference field="0" count="1" selected="0">
            <x v="15"/>
          </reference>
          <reference field="43" count="1" selected="0">
            <x v="3"/>
          </reference>
        </references>
      </pivotArea>
    </format>
    <format dxfId="1482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481">
      <pivotArea outline="0" fieldPosition="0">
        <references count="4">
          <reference field="4294967294" count="3" selected="0">
            <x v="6"/>
            <x v="7"/>
            <x v="8"/>
          </reference>
          <reference field="0" count="1" selected="0">
            <x v="1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480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2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479">
      <pivotArea outline="0" fieldPosition="0">
        <references count="4">
          <reference field="4294967294" count="3" selected="0">
            <x v="33"/>
            <x v="34"/>
            <x v="35"/>
          </reference>
          <reference field="0" count="1" selected="0">
            <x v="3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478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4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477">
      <pivotArea outline="0" fieldPosition="0">
        <references count="4">
          <reference field="4294967294" count="3" selected="0">
            <x v="33"/>
            <x v="34"/>
            <x v="35"/>
          </reference>
          <reference field="0" count="1" selected="0">
            <x v="8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476">
      <pivotArea outline="0" fieldPosition="0">
        <references count="4">
          <reference field="4294967294" count="3" selected="0">
            <x v="6"/>
            <x v="7"/>
            <x v="8"/>
          </reference>
          <reference field="0" count="1" selected="0">
            <x v="11"/>
          </reference>
          <reference field="4" count="3" selected="0">
            <x v="7"/>
            <x v="8"/>
            <x v="9"/>
          </reference>
          <reference field="43" count="1" selected="0">
            <x v="1"/>
          </reference>
        </references>
      </pivotArea>
    </format>
    <format dxfId="1475">
      <pivotArea outline="0" fieldPosition="0">
        <references count="4">
          <reference field="4294967294" count="6" selected="0">
            <x v="30"/>
            <x v="31"/>
            <x v="32"/>
            <x v="33"/>
            <x v="34"/>
            <x v="35"/>
          </reference>
          <reference field="0" count="1" selected="0">
            <x v="12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474">
      <pivotArea outline="0" fieldPosition="0">
        <references count="4">
          <reference field="4294967294" count="3" selected="0">
            <x v="33"/>
            <x v="34"/>
            <x v="35"/>
          </reference>
          <reference field="0" count="1" selected="0">
            <x v="15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473">
      <pivotArea outline="0" fieldPosition="0">
        <references count="4">
          <reference field="4294967294" count="1" selected="0">
            <x v="12"/>
          </reference>
          <reference field="0" count="1" selected="0">
            <x v="2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472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7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471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4"/>
          </reference>
          <reference field="4" count="1" selected="0">
            <x v="5"/>
          </reference>
          <reference field="43" count="1" selected="0">
            <x v="0"/>
          </reference>
        </references>
      </pivotArea>
    </format>
    <format dxfId="1470">
      <pivotArea outline="0" fieldPosition="0">
        <references count="4">
          <reference field="4294967294" count="1" selected="0">
            <x v="0"/>
          </reference>
          <reference field="0" count="1" selected="0">
            <x v="0"/>
          </reference>
          <reference field="4" count="1" selected="0">
            <x v="12"/>
          </reference>
          <reference field="43" count="1" selected="0">
            <x v="2"/>
          </reference>
        </references>
      </pivotArea>
    </format>
    <format dxfId="1469">
      <pivotArea outline="0" fieldPosition="0">
        <references count="4">
          <reference field="4294967294" count="1" selected="0">
            <x v="6"/>
          </reference>
          <reference field="0" count="1" selected="0">
            <x v="1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468">
      <pivotArea outline="0" fieldPosition="0">
        <references count="4">
          <reference field="4294967294" count="1" selected="0">
            <x v="6"/>
          </reference>
          <reference field="0" count="1" selected="0">
            <x v="11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467">
      <pivotArea outline="0" fieldPosition="0">
        <references count="4">
          <reference field="4294967294" count="1" selected="0">
            <x v="9"/>
          </reference>
          <reference field="0" count="1" selected="0">
            <x v="11"/>
          </reference>
          <reference field="4" count="1" selected="0">
            <x v="8"/>
          </reference>
          <reference field="43" count="1" selected="0">
            <x v="1"/>
          </reference>
        </references>
      </pivotArea>
    </format>
    <format dxfId="1466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4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465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7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464">
      <pivotArea outline="0" fieldPosition="0">
        <references count="4">
          <reference field="4294967294" count="1" selected="0">
            <x v="9"/>
          </reference>
          <reference field="0" count="1" selected="0">
            <x v="4"/>
          </reference>
          <reference field="4" count="1" selected="0">
            <x v="5"/>
          </reference>
          <reference field="43" count="1" selected="0">
            <x v="0"/>
          </reference>
        </references>
      </pivotArea>
    </format>
    <format dxfId="1463">
      <pivotArea outline="0" fieldPosition="0">
        <references count="4">
          <reference field="4294967294" count="1" selected="0">
            <x v="9"/>
          </reference>
          <reference field="0" count="1" selected="0">
            <x v="4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462">
      <pivotArea outline="0" fieldPosition="0">
        <references count="4">
          <reference field="4294967294" count="1" selected="0">
            <x v="0"/>
          </reference>
          <reference field="0" count="1" selected="0">
            <x v="7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461">
      <pivotArea outline="0" fieldPosition="0">
        <references count="4">
          <reference field="4294967294" count="1" selected="0">
            <x v="30"/>
          </reference>
          <reference field="0" count="1" selected="0">
            <x v="12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460">
      <pivotArea outline="0" fieldPosition="0">
        <references count="4">
          <reference field="4294967294" count="1" selected="0">
            <x v="33"/>
          </reference>
          <reference field="0" count="1" selected="0">
            <x v="12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459">
      <pivotArea outline="0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3" selected="0">
            <x v="3"/>
            <x v="4"/>
            <x v="5"/>
          </reference>
          <reference field="43" count="1" selected="0">
            <x v="0"/>
          </reference>
        </references>
      </pivotArea>
    </format>
    <format dxfId="1458">
      <pivotArea outline="0" fieldPosition="0">
        <references count="3">
          <reference field="4294967294" count="1" selected="0">
            <x v="17"/>
          </reference>
          <reference field="0" count="1" selected="0">
            <x v="0"/>
          </reference>
          <reference field="43" count="1" selected="0" defaultSubtotal="1">
            <x v="0"/>
          </reference>
        </references>
      </pivotArea>
    </format>
    <format dxfId="1457">
      <pivotArea outline="0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3" selected="0">
            <x v="0"/>
            <x v="1"/>
            <x v="2"/>
          </reference>
          <reference field="43" count="1" selected="0">
            <x v="0"/>
          </reference>
        </references>
      </pivotArea>
    </format>
    <format dxfId="1456">
      <pivotArea outline="0" fieldPosition="0">
        <references count="4">
          <reference field="4294967294" count="1" selected="0">
            <x v="0"/>
          </reference>
          <reference field="0" count="1" selected="0">
            <x v="0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455">
      <pivotArea outline="0" fieldPosition="0">
        <references count="4">
          <reference field="4294967294" count="1" selected="0">
            <x v="0"/>
          </reference>
          <reference field="0" count="1" selected="0">
            <x v="0"/>
          </reference>
          <reference field="4" count="1" selected="0">
            <x v="8"/>
          </reference>
          <reference field="43" count="1" selected="0">
            <x v="1"/>
          </reference>
        </references>
      </pivotArea>
    </format>
    <format dxfId="1454">
      <pivotArea dataOnly="0" labelOnly="1" outline="0" fieldPosition="0">
        <references count="2">
          <reference field="4" count="1">
            <x v="9"/>
          </reference>
          <reference field="43" count="1" selected="0">
            <x v="1"/>
          </reference>
        </references>
      </pivotArea>
    </format>
    <format dxfId="1453">
      <pivotArea outline="0" fieldPosition="0">
        <references count="3">
          <reference field="4294967294" count="1" selected="0">
            <x v="5"/>
          </reference>
          <reference field="0" count="1" selected="0">
            <x v="0"/>
          </reference>
          <reference field="43" count="1" selected="0">
            <x v="2"/>
          </reference>
        </references>
      </pivotArea>
    </format>
    <format dxfId="1452">
      <pivotArea outline="0" fieldPosition="0">
        <references count="4">
          <reference field="4294967294" count="1" selected="0">
            <x v="0"/>
          </reference>
          <reference field="0" count="1" selected="0">
            <x v="0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451">
      <pivotArea dataOnly="0" labelOnly="1" outline="0" fieldPosition="0">
        <references count="2">
          <reference field="4294967294" count="1">
            <x v="3"/>
          </reference>
          <reference field="0" count="1" selected="0">
            <x v="0"/>
          </reference>
        </references>
      </pivotArea>
    </format>
    <format dxfId="1450">
      <pivotArea dataOnly="0" labelOnly="1" outline="0" fieldPosition="0">
        <references count="2">
          <reference field="4294967294" count="1">
            <x v="6"/>
          </reference>
          <reference field="0" count="1" selected="0">
            <x v="0"/>
          </reference>
        </references>
      </pivotArea>
    </format>
    <format dxfId="1449">
      <pivotArea dataOnly="0" labelOnly="1" outline="0" fieldPosition="0">
        <references count="2">
          <reference field="4294967294" count="1">
            <x v="9"/>
          </reference>
          <reference field="0" count="1" selected="0">
            <x v="0"/>
          </reference>
        </references>
      </pivotArea>
    </format>
    <format dxfId="1448">
      <pivotArea dataOnly="0" labelOnly="1" outline="0" fieldPosition="0">
        <references count="2">
          <reference field="4294967294" count="1">
            <x v="12"/>
          </reference>
          <reference field="0" count="1" selected="0">
            <x v="0"/>
          </reference>
        </references>
      </pivotArea>
    </format>
    <format dxfId="1447">
      <pivotArea dataOnly="0" labelOnly="1" outline="0" fieldPosition="0">
        <references count="2">
          <reference field="4294967294" count="1">
            <x v="15"/>
          </reference>
          <reference field="0" count="1" selected="0">
            <x v="0"/>
          </reference>
        </references>
      </pivotArea>
    </format>
    <format dxfId="1446">
      <pivotArea dataOnly="0" labelOnly="1" outline="0" fieldPosition="0">
        <references count="2">
          <reference field="4294967294" count="1">
            <x v="18"/>
          </reference>
          <reference field="0" count="1" selected="0">
            <x v="0"/>
          </reference>
        </references>
      </pivotArea>
    </format>
    <format dxfId="1445">
      <pivotArea dataOnly="0" labelOnly="1" outline="0" fieldPosition="0">
        <references count="2">
          <reference field="4294967294" count="1">
            <x v="21"/>
          </reference>
          <reference field="0" count="1" selected="0">
            <x v="0"/>
          </reference>
        </references>
      </pivotArea>
    </format>
    <format dxfId="1444">
      <pivotArea dataOnly="0" labelOnly="1" outline="0" fieldPosition="0">
        <references count="2">
          <reference field="4294967294" count="1">
            <x v="24"/>
          </reference>
          <reference field="0" count="1" selected="0">
            <x v="0"/>
          </reference>
        </references>
      </pivotArea>
    </format>
    <format dxfId="1443">
      <pivotArea dataOnly="0" labelOnly="1" outline="0" fieldPosition="0">
        <references count="2">
          <reference field="4294967294" count="1">
            <x v="27"/>
          </reference>
          <reference field="0" count="1" selected="0">
            <x v="0"/>
          </reference>
        </references>
      </pivotArea>
    </format>
    <format dxfId="1442">
      <pivotArea dataOnly="0" labelOnly="1" outline="0" fieldPosition="0">
        <references count="2">
          <reference field="4294967294" count="1">
            <x v="30"/>
          </reference>
          <reference field="0" count="1" selected="0">
            <x v="0"/>
          </reference>
        </references>
      </pivotArea>
    </format>
    <format dxfId="1441">
      <pivotArea dataOnly="0" labelOnly="1" outline="0" fieldPosition="0">
        <references count="2">
          <reference field="4294967294" count="1">
            <x v="33"/>
          </reference>
          <reference field="0" count="1" selected="0">
            <x v="0"/>
          </reference>
        </references>
      </pivotArea>
    </format>
    <format dxfId="1440">
      <pivotArea outline="0" fieldPosition="0">
        <references count="2">
          <reference field="4294967294" count="1" selected="0">
            <x v="20"/>
          </reference>
          <reference field="0" count="1" selected="0">
            <x v="0"/>
          </reference>
        </references>
      </pivotArea>
    </format>
    <format dxfId="1439">
      <pivotArea outline="0" fieldPosition="0">
        <references count="4">
          <reference field="4294967294" count="1" selected="0">
            <x v="0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438">
      <pivotArea outline="0" fieldPosition="0">
        <references count="4">
          <reference field="4294967294" count="1" selected="0">
            <x v="3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437">
      <pivotArea outline="0" fieldPosition="0">
        <references count="4">
          <reference field="4294967294" count="1" selected="0">
            <x v="6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436">
      <pivotArea outline="0" fieldPosition="0">
        <references count="4">
          <reference field="4294967294" count="1" selected="0">
            <x v="9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435">
      <pivotArea outline="0" fieldPosition="0">
        <references count="4">
          <reference field="4294967294" count="1" selected="0">
            <x v="12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434">
      <pivotArea outline="0" fieldPosition="0">
        <references count="4">
          <reference field="4294967294" count="1" selected="0">
            <x v="15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433">
      <pivotArea outline="0" fieldPosition="0">
        <references count="4">
          <reference field="4294967294" count="1" selected="0">
            <x v="18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432">
      <pivotArea outline="0" fieldPosition="0">
        <references count="4">
          <reference field="4294967294" count="1" selected="0">
            <x v="21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431">
      <pivotArea outline="0" fieldPosition="0">
        <references count="4">
          <reference field="4294967294" count="1" selected="0">
            <x v="24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430">
      <pivotArea outline="0" fieldPosition="0">
        <references count="4">
          <reference field="4294967294" count="1" selected="0">
            <x v="27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429">
      <pivotArea outline="0" fieldPosition="0">
        <references count="4">
          <reference field="4294967294" count="1" selected="0">
            <x v="30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428">
      <pivotArea outline="0" fieldPosition="0">
        <references count="4">
          <reference field="4294967294" count="1" selected="0">
            <x v="33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427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0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426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0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425">
      <pivotArea outline="0" fieldPosition="0">
        <references count="4">
          <reference field="4294967294" count="1" selected="0">
            <x v="3"/>
          </reference>
          <reference field="0" count="1" selected="0">
            <x v="0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424">
      <pivotArea outline="0" fieldPosition="0">
        <references count="4">
          <reference field="4294967294" count="1" selected="0">
            <x v="3"/>
          </reference>
          <reference field="0" count="1" selected="0">
            <x v="0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423">
      <pivotArea outline="0" fieldPosition="0">
        <references count="4">
          <reference field="4294967294" count="1" selected="0">
            <x v="9"/>
          </reference>
          <reference field="0" count="1" selected="0">
            <x v="0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422">
      <pivotArea outline="0" fieldPosition="0">
        <references count="4">
          <reference field="4294967294" count="1" selected="0">
            <x v="12"/>
          </reference>
          <reference field="0" count="1" selected="0">
            <x v="0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421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0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420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0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419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0"/>
          </reference>
          <reference field="4" count="1" selected="0">
            <x v="8"/>
          </reference>
          <reference field="43" count="1" selected="0">
            <x v="1"/>
          </reference>
        </references>
      </pivotArea>
    </format>
    <format dxfId="1418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0"/>
          </reference>
          <reference field="4" count="1" selected="0">
            <x v="7"/>
          </reference>
          <reference field="43" count="1" selected="0">
            <x v="1"/>
          </reference>
        </references>
      </pivotArea>
    </format>
    <format dxfId="1417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0"/>
          </reference>
          <reference field="4" count="1" selected="0">
            <x v="8"/>
          </reference>
          <reference field="43" count="1" selected="0">
            <x v="1"/>
          </reference>
        </references>
      </pivotArea>
    </format>
    <format dxfId="1416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0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415">
      <pivotArea outline="0" fieldPosition="0">
        <references count="4">
          <reference field="4294967294" count="3" selected="0">
            <x v="18"/>
            <x v="19"/>
            <x v="20"/>
          </reference>
          <reference field="0" count="1" selected="0">
            <x v="0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414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0"/>
          </reference>
          <reference field="43" count="1" selected="0" defaultSubtotal="1">
            <x v="4"/>
          </reference>
        </references>
      </pivotArea>
    </format>
    <format dxfId="1413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0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412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0"/>
          </reference>
          <reference field="4" count="1" selected="0">
            <x v="12"/>
          </reference>
          <reference field="43" count="1" selected="0">
            <x v="2"/>
          </reference>
        </references>
      </pivotArea>
    </format>
    <format dxfId="1411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0"/>
          </reference>
          <reference field="4" count="1" selected="0">
            <x v="12"/>
          </reference>
          <reference field="43" count="1" selected="0">
            <x v="2"/>
          </reference>
        </references>
      </pivotArea>
    </format>
    <format dxfId="1410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0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409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1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408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407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406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1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405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1"/>
          </reference>
          <reference field="4" count="1" selected="0">
            <x v="7"/>
          </reference>
          <reference field="43" count="1" selected="0">
            <x v="1"/>
          </reference>
        </references>
      </pivotArea>
    </format>
    <format dxfId="1404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403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402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"/>
          </reference>
          <reference field="4" count="1" selected="0">
            <x v="7"/>
          </reference>
          <reference field="43" count="1" selected="0">
            <x v="1"/>
          </reference>
        </references>
      </pivotArea>
    </format>
    <format dxfId="1401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3"/>
          </reference>
          <reference field="4" count="1" selected="0">
            <x v="5"/>
          </reference>
          <reference field="43" count="1" selected="0">
            <x v="0"/>
          </reference>
        </references>
      </pivotArea>
    </format>
    <format dxfId="1400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3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399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3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398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3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397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3"/>
          </reference>
          <reference field="4" count="1" selected="0">
            <x v="5"/>
          </reference>
          <reference field="43" count="1" selected="0">
            <x v="0"/>
          </reference>
        </references>
      </pivotArea>
    </format>
    <format dxfId="1396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3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395">
      <pivotArea outline="0" fieldPosition="0">
        <references count="4">
          <reference field="4294967294" count="3" selected="0">
            <x v="30"/>
            <x v="31"/>
            <x v="32"/>
          </reference>
          <reference field="0" count="1" selected="0">
            <x v="3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394">
      <pivotArea outline="0" fieldPosition="0">
        <references count="4">
          <reference field="4294967294" count="1" selected="0">
            <x v="30"/>
          </reference>
          <reference field="0" count="1" selected="0">
            <x v="3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393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4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392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4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391">
      <pivotArea outline="0" fieldPosition="0">
        <references count="4">
          <reference field="4294967294" count="3" selected="0">
            <x v="30"/>
            <x v="31"/>
            <x v="32"/>
          </reference>
          <reference field="0" count="1" selected="0">
            <x v="4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390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4"/>
          </reference>
          <reference field="4" count="1" selected="0">
            <x v="7"/>
          </reference>
          <reference field="43" count="1" selected="0">
            <x v="1"/>
          </reference>
        </references>
      </pivotArea>
    </format>
    <format dxfId="1389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4"/>
          </reference>
          <reference field="4" count="1" selected="0">
            <x v="7"/>
          </reference>
          <reference field="43" count="1" selected="0">
            <x v="1"/>
          </reference>
        </references>
      </pivotArea>
    </format>
    <format dxfId="1388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4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387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4"/>
          </reference>
          <reference field="4" count="1" selected="0">
            <x v="12"/>
          </reference>
          <reference field="43" count="1" selected="0">
            <x v="2"/>
          </reference>
        </references>
      </pivotArea>
    </format>
    <format dxfId="1386">
      <pivotArea outline="0" fieldPosition="0">
        <references count="3">
          <reference field="4294967294" count="3" selected="0">
            <x v="30"/>
            <x v="31"/>
            <x v="32"/>
          </reference>
          <reference field="0" count="1" selected="0">
            <x v="4"/>
          </reference>
          <reference field="43" count="1" selected="0">
            <x v="3"/>
          </reference>
        </references>
      </pivotArea>
    </format>
    <format dxfId="1385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5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384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5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383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5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382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5"/>
          </reference>
          <reference field="4" count="1" selected="0">
            <x v="10"/>
          </reference>
          <reference field="43" count="1" selected="0">
            <x v="1"/>
          </reference>
        </references>
      </pivotArea>
    </format>
    <format dxfId="1381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5"/>
          </reference>
          <reference field="4" count="1" selected="0">
            <x v="13"/>
          </reference>
          <reference field="43" count="1" selected="0">
            <x v="2"/>
          </reference>
        </references>
      </pivotArea>
    </format>
    <format dxfId="1380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6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379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6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378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6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377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6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376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6"/>
          </reference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375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6"/>
          </reference>
          <reference field="4" count="1" selected="0">
            <x v="7"/>
          </reference>
          <reference field="43" count="1" selected="0">
            <x v="1"/>
          </reference>
        </references>
      </pivotArea>
    </format>
    <format dxfId="1374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6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373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6"/>
          </reference>
          <reference field="4" count="1" selected="0">
            <x v="11"/>
          </reference>
          <reference field="43" count="1" selected="0">
            <x v="2"/>
          </reference>
        </references>
      </pivotArea>
    </format>
    <format dxfId="1372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6"/>
          </reference>
          <reference field="4" count="1" selected="0">
            <x v="12"/>
          </reference>
          <reference field="43" count="1" selected="0">
            <x v="2"/>
          </reference>
        </references>
      </pivotArea>
    </format>
    <format dxfId="1371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6"/>
          </reference>
          <reference field="4" count="1" selected="0">
            <x v="13"/>
          </reference>
          <reference field="43" count="1" selected="0">
            <x v="2"/>
          </reference>
        </references>
      </pivotArea>
    </format>
    <format dxfId="1370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6"/>
          </reference>
          <reference field="43" count="1" selected="0" defaultSubtotal="1">
            <x v="4"/>
          </reference>
        </references>
      </pivotArea>
    </format>
    <format dxfId="1369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7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368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7"/>
          </reference>
          <reference field="4" count="1" selected="0">
            <x v="5"/>
          </reference>
          <reference field="43" count="1" selected="0">
            <x v="0"/>
          </reference>
        </references>
      </pivotArea>
    </format>
    <format dxfId="1367">
      <pivotArea outline="0" fieldPosition="0">
        <references count="3">
          <reference field="4294967294" count="3" selected="0">
            <x v="18"/>
            <x v="19"/>
            <x v="20"/>
          </reference>
          <reference field="0" count="1" selected="0">
            <x v="7"/>
          </reference>
          <reference field="43" count="1" selected="0">
            <x v="3"/>
          </reference>
        </references>
      </pivotArea>
    </format>
    <format dxfId="1366">
      <pivotArea outline="0" fieldPosition="0">
        <references count="3">
          <reference field="4294967294" count="3" selected="0">
            <x v="9"/>
            <x v="10"/>
            <x v="11"/>
          </reference>
          <reference field="0" count="1" selected="0">
            <x v="8"/>
          </reference>
          <reference field="43" count="1" selected="0">
            <x v="0"/>
          </reference>
        </references>
      </pivotArea>
    </format>
    <format dxfId="1365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8"/>
          </reference>
          <reference field="4" count="1" selected="0">
            <x v="7"/>
          </reference>
          <reference field="43" count="1" selected="0">
            <x v="1"/>
          </reference>
        </references>
      </pivotArea>
    </format>
    <format dxfId="1364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8"/>
          </reference>
          <reference field="4" count="1" selected="0">
            <x v="8"/>
          </reference>
          <reference field="43" count="1" selected="0">
            <x v="1"/>
          </reference>
        </references>
      </pivotArea>
    </format>
    <format dxfId="1363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8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362">
      <pivotArea outline="0" fieldPosition="0">
        <references count="4">
          <reference field="4294967294" count="3" selected="0">
            <x v="6"/>
            <x v="7"/>
            <x v="8"/>
          </reference>
          <reference field="0" count="1" selected="0">
            <x v="8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361">
      <pivotArea outline="0" fieldPosition="0">
        <references count="3">
          <reference field="4294967294" count="3" selected="0">
            <x v="30"/>
            <x v="31"/>
            <x v="32"/>
          </reference>
          <reference field="0" count="1" selected="0">
            <x v="8"/>
          </reference>
          <reference field="43" count="1" selected="0">
            <x v="3"/>
          </reference>
        </references>
      </pivotArea>
    </format>
    <format dxfId="1360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9"/>
          </reference>
          <reference field="4" count="1" selected="0">
            <x v="5"/>
          </reference>
          <reference field="43" count="1" selected="0">
            <x v="0"/>
          </reference>
        </references>
      </pivotArea>
    </format>
    <format dxfId="1359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9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358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9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357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9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356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9"/>
          </reference>
          <reference field="4" count="1" selected="0">
            <x v="5"/>
          </reference>
          <reference field="43" count="1" selected="0">
            <x v="0"/>
          </reference>
        </references>
      </pivotArea>
    </format>
    <format dxfId="1355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9"/>
          </reference>
          <reference field="4" count="1" selected="0">
            <x v="7"/>
          </reference>
          <reference field="43" count="1" selected="0">
            <x v="1"/>
          </reference>
        </references>
      </pivotArea>
    </format>
    <format dxfId="1354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9"/>
          </reference>
          <reference field="4" count="1" selected="0">
            <x v="8"/>
          </reference>
          <reference field="43" count="1" selected="0">
            <x v="1"/>
          </reference>
        </references>
      </pivotArea>
    </format>
    <format dxfId="1353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9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352">
      <pivotArea outline="0" fieldPosition="0">
        <references count="4">
          <reference field="4294967294" count="3" selected="0">
            <x v="18"/>
            <x v="19"/>
            <x v="20"/>
          </reference>
          <reference field="0" count="1" selected="0">
            <x v="9"/>
          </reference>
          <reference field="4" count="3" selected="0">
            <x v="7"/>
            <x v="8"/>
            <x v="9"/>
          </reference>
          <reference field="43" count="1" selected="0">
            <x v="1"/>
          </reference>
        </references>
      </pivotArea>
    </format>
    <format dxfId="1351">
      <pivotArea outline="0" fieldPosition="0">
        <references count="4">
          <reference field="4294967294" count="1" selected="0">
            <x v="3"/>
          </reference>
          <reference field="0" count="1" selected="0">
            <x v="1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350">
      <pivotArea outline="0" fieldPosition="0">
        <references count="4">
          <reference field="4294967294" count="1" selected="0">
            <x v="30"/>
          </reference>
          <reference field="0" count="1" selected="0">
            <x v="1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349">
      <pivotArea outline="0" fieldPosition="0">
        <references count="4">
          <reference field="4294967294" count="1" selected="0">
            <x v="33"/>
          </reference>
          <reference field="0" count="1" selected="0">
            <x v="1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348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10"/>
          </reference>
          <reference field="43" count="1" selected="0" defaultSubtotal="1">
            <x v="4"/>
          </reference>
        </references>
      </pivotArea>
    </format>
    <format dxfId="1347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11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346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11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345">
      <pivotArea outline="0" fieldPosition="0">
        <references count="4">
          <reference field="4294967294" count="3" selected="0">
            <x v="6"/>
            <x v="7"/>
            <x v="8"/>
          </reference>
          <reference field="0" count="1" selected="0">
            <x v="11"/>
          </reference>
          <reference field="4" count="1" selected="0">
            <x v="7"/>
          </reference>
          <reference field="43" count="1" selected="0">
            <x v="1"/>
          </reference>
        </references>
      </pivotArea>
    </format>
    <format dxfId="1344">
      <pivotArea outline="0" fieldPosition="0">
        <references count="4">
          <reference field="4294967294" count="3" selected="0">
            <x v="6"/>
            <x v="7"/>
            <x v="8"/>
          </reference>
          <reference field="0" count="1" selected="0">
            <x v="11"/>
          </reference>
          <reference field="4" count="1" selected="0">
            <x v="8"/>
          </reference>
          <reference field="43" count="1" selected="0">
            <x v="1"/>
          </reference>
        </references>
      </pivotArea>
    </format>
    <format dxfId="1343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11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342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2"/>
          </reference>
          <reference field="4" count="1" selected="0">
            <x v="12"/>
          </reference>
          <reference field="43" count="1" selected="0">
            <x v="2"/>
          </reference>
        </references>
      </pivotArea>
    </format>
    <format dxfId="1341">
      <pivotArea outline="0" fieldPosition="0">
        <references count="3">
          <reference field="4294967294" count="3" selected="0">
            <x v="18"/>
            <x v="19"/>
            <x v="20"/>
          </reference>
          <reference field="0" count="1" selected="0">
            <x v="12"/>
          </reference>
          <reference field="43" count="1" selected="0" defaultSubtotal="1">
            <x v="4"/>
          </reference>
        </references>
      </pivotArea>
    </format>
    <format dxfId="1340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13"/>
          </reference>
          <reference field="4" count="1" selected="0">
            <x v="5"/>
          </reference>
          <reference field="43" count="1" selected="0">
            <x v="0"/>
          </reference>
        </references>
      </pivotArea>
    </format>
    <format dxfId="1339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13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338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3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337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13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336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13"/>
          </reference>
          <reference field="43" count="1" selected="0" defaultSubtotal="1">
            <x v="4"/>
          </reference>
        </references>
      </pivotArea>
    </format>
    <format dxfId="1335">
      <pivotArea outline="0" fieldPosition="0">
        <references count="3">
          <reference field="4294967294" count="3" selected="0">
            <x v="18"/>
            <x v="19"/>
            <x v="20"/>
          </reference>
          <reference field="0" count="1" selected="0">
            <x v="13"/>
          </reference>
          <reference field="43" count="1" selected="0" defaultSubtotal="1">
            <x v="4"/>
          </reference>
        </references>
      </pivotArea>
    </format>
    <format dxfId="1334">
      <pivotArea outline="0" fieldPosition="0">
        <references count="3">
          <reference field="4294967294" count="3" selected="0">
            <x v="30"/>
            <x v="31"/>
            <x v="32"/>
          </reference>
          <reference field="0" count="1" selected="0">
            <x v="13"/>
          </reference>
          <reference field="43" count="1" selected="0" defaultSubtotal="1">
            <x v="4"/>
          </reference>
        </references>
      </pivotArea>
    </format>
    <format dxfId="1333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14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332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14"/>
          </reference>
          <reference field="4" count="1" selected="0">
            <x v="5"/>
          </reference>
          <reference field="43" count="1" selected="0">
            <x v="0"/>
          </reference>
        </references>
      </pivotArea>
    </format>
    <format dxfId="1331">
      <pivotArea outline="0" fieldPosition="0">
        <references count="4">
          <reference field="4294967294" count="3" selected="0">
            <x v="30"/>
            <x v="31"/>
            <x v="32"/>
          </reference>
          <reference field="0" count="1" selected="0">
            <x v="14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330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14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329">
      <pivotArea outline="0" fieldPosition="0">
        <references count="4">
          <reference field="4294967294" count="3" selected="0">
            <x v="6"/>
            <x v="7"/>
            <x v="8"/>
          </reference>
          <reference field="0" count="1" selected="0">
            <x v="14"/>
          </reference>
          <reference field="4" count="1" selected="0">
            <x v="10"/>
          </reference>
          <reference field="43" count="1" selected="0">
            <x v="1"/>
          </reference>
        </references>
      </pivotArea>
    </format>
    <format dxfId="1328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14"/>
          </reference>
          <reference field="43" count="1" selected="0" defaultSubtotal="1">
            <x v="4"/>
          </reference>
        </references>
      </pivotArea>
    </format>
    <format dxfId="1327">
      <pivotArea outline="0" fieldPosition="0">
        <references count="3">
          <reference field="4294967294" count="3" selected="0">
            <x v="18"/>
            <x v="19"/>
            <x v="20"/>
          </reference>
          <reference field="0" count="1" selected="0">
            <x v="14"/>
          </reference>
          <reference field="43" count="1" selected="0" defaultSubtotal="1">
            <x v="4"/>
          </reference>
        </references>
      </pivotArea>
    </format>
    <format dxfId="1326">
      <pivotArea outline="0" fieldPosition="0">
        <references count="3">
          <reference field="4294967294" count="3" selected="0">
            <x v="30"/>
            <x v="31"/>
            <x v="32"/>
          </reference>
          <reference field="0" count="1" selected="0">
            <x v="14"/>
          </reference>
          <reference field="43" count="1" selected="0" defaultSubtotal="1">
            <x v="4"/>
          </reference>
        </references>
      </pivotArea>
    </format>
    <format dxfId="1325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15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324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15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323">
      <pivotArea outline="0" fieldPosition="0">
        <references count="4">
          <reference field="4294967294" count="3" selected="0">
            <x v="33"/>
            <x v="34"/>
            <x v="35"/>
          </reference>
          <reference field="0" count="1" selected="0">
            <x v="15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322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15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321">
      <pivotArea outline="0" fieldPosition="0">
        <references count="3">
          <reference field="4294967294" count="3" selected="0">
            <x v="18"/>
            <x v="19"/>
            <x v="20"/>
          </reference>
          <reference field="0" count="1" selected="0">
            <x v="15"/>
          </reference>
          <reference field="43" count="1" selected="0" defaultSubtotal="1">
            <x v="4"/>
          </reference>
        </references>
      </pivotArea>
    </format>
    <format dxfId="1320">
      <pivotArea outline="0" fieldPosition="0">
        <references count="3">
          <reference field="4294967294" count="3" selected="0">
            <x v="12"/>
            <x v="13"/>
            <x v="14"/>
          </reference>
          <reference field="0" count="1" selected="0">
            <x v="2"/>
          </reference>
          <reference field="43" count="1" selected="0" defaultSubtotal="1">
            <x v="0"/>
          </reference>
        </references>
      </pivotArea>
    </format>
    <format dxfId="1319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2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318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2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317">
      <pivotArea outline="0" fieldPosition="0">
        <references count="4">
          <reference field="4294967294" count="3" selected="0">
            <x v="15"/>
            <x v="16"/>
            <x v="17"/>
          </reference>
          <reference field="0" count="1" selected="0">
            <x v="2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316">
      <pivotArea outline="0" fieldPosition="0">
        <references count="3">
          <reference field="4294967294" count="3" selected="0">
            <x v="12"/>
            <x v="13"/>
            <x v="14"/>
          </reference>
          <reference field="0" count="1" selected="0">
            <x v="2"/>
          </reference>
          <reference field="43" count="1" selected="0" defaultSubtotal="1">
            <x v="0"/>
          </reference>
        </references>
      </pivotArea>
    </format>
    <format dxfId="1315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2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314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2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313">
      <pivotArea type="all" dataOnly="0" outline="0" fieldPosition="0"/>
    </format>
    <format dxfId="1312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311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0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310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0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309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308">
      <pivotArea outline="0" fieldPosition="0">
        <references count="4">
          <reference field="4294967294" count="3" selected="0">
            <x v="30"/>
            <x v="31"/>
            <x v="32"/>
          </reference>
          <reference field="0" count="1" selected="0">
            <x v="0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307">
      <pivotArea outline="0" fieldPosition="0">
        <references count="4">
          <reference field="4294967294" count="3" selected="0">
            <x v="30"/>
            <x v="31"/>
            <x v="32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306">
      <pivotArea outline="0" fieldPosition="0">
        <references count="4">
          <reference field="4294967294" count="3" selected="0">
            <x v="15"/>
            <x v="16"/>
            <x v="17"/>
          </reference>
          <reference field="0" count="1" selected="0">
            <x v="1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305">
      <pivotArea outline="0" fieldPosition="0">
        <references count="4">
          <reference field="4294967294" count="3" selected="0">
            <x v="3"/>
            <x v="4"/>
            <x v="5"/>
          </reference>
          <reference field="0" count="1" selected="0">
            <x v="3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304">
      <pivotArea outline="0" fieldPosition="0">
        <references count="4">
          <reference field="4294967294" count="3" selected="0">
            <x v="33"/>
            <x v="34"/>
            <x v="35"/>
          </reference>
          <reference field="0" count="1" selected="0">
            <x v="3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303">
      <pivotArea outline="0" fieldPosition="0">
        <references count="4">
          <reference field="4294967294" count="3" selected="0">
            <x v="9"/>
            <x v="10"/>
            <x v="11"/>
          </reference>
          <reference field="0" count="1" selected="0">
            <x v="5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302">
      <pivotArea outline="0" fieldPosition="0">
        <references count="4">
          <reference field="4294967294" count="3" selected="0">
            <x v="33"/>
            <x v="34"/>
            <x v="35"/>
          </reference>
          <reference field="0" count="1" selected="0">
            <x v="8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301">
      <pivotArea outline="0" fieldPosition="0">
        <references count="4">
          <reference field="4294967294" count="3" selected="0">
            <x v="12"/>
            <x v="13"/>
            <x v="14"/>
          </reference>
          <reference field="0" count="1" selected="0">
            <x v="12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300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0"/>
          </reference>
          <reference field="43" count="1" selected="0">
            <x v="3"/>
          </reference>
        </references>
      </pivotArea>
    </format>
    <format dxfId="1299">
      <pivotArea outline="0" fieldPosition="0">
        <references count="3">
          <reference field="4294967294" count="3" selected="0">
            <x v="9"/>
            <x v="10"/>
            <x v="11"/>
          </reference>
          <reference field="0" count="1" selected="0">
            <x v="0"/>
          </reference>
          <reference field="43" count="1" selected="0">
            <x v="3"/>
          </reference>
        </references>
      </pivotArea>
    </format>
    <format dxfId="1298">
      <pivotArea outline="0" fieldPosition="0">
        <references count="3">
          <reference field="4294967294" count="3" selected="0">
            <x v="12"/>
            <x v="13"/>
            <x v="14"/>
          </reference>
          <reference field="0" count="1" selected="0">
            <x v="0"/>
          </reference>
          <reference field="43" count="1" selected="0">
            <x v="3"/>
          </reference>
        </references>
      </pivotArea>
    </format>
    <format dxfId="1297">
      <pivotArea outline="0" fieldPosition="0">
        <references count="3">
          <reference field="4294967294" count="3" selected="0">
            <x v="33"/>
            <x v="34"/>
            <x v="35"/>
          </reference>
          <reference field="0" count="1" selected="0">
            <x v="1"/>
          </reference>
          <reference field="43" count="1" selected="0">
            <x v="3"/>
          </reference>
        </references>
      </pivotArea>
    </format>
    <format dxfId="1296">
      <pivotArea outline="0" fieldPosition="0">
        <references count="3">
          <reference field="4294967294" count="3" selected="0">
            <x v="3"/>
            <x v="4"/>
            <x v="5"/>
          </reference>
          <reference field="0" count="1" selected="0">
            <x v="3"/>
          </reference>
          <reference field="43" count="1" selected="0" defaultSubtotal="1">
            <x v="4"/>
          </reference>
        </references>
      </pivotArea>
    </format>
    <format dxfId="1295">
      <pivotArea outline="0" fieldPosition="0">
        <references count="3">
          <reference field="4294967294" count="3" selected="0">
            <x v="18"/>
            <x v="19"/>
            <x v="20"/>
          </reference>
          <reference field="0" count="1" selected="0">
            <x v="3"/>
          </reference>
          <reference field="43" count="1" selected="0" defaultSubtotal="1">
            <x v="4"/>
          </reference>
        </references>
      </pivotArea>
    </format>
    <format dxfId="1294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13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293">
      <pivotArea outline="0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13"/>
          </reference>
          <reference field="4" count="1" selected="0">
            <x v="5"/>
          </reference>
          <reference field="43" count="1" selected="0">
            <x v="0"/>
          </reference>
        </references>
      </pivotArea>
    </format>
    <format dxfId="1292">
      <pivotArea outline="0" fieldPosition="0">
        <references count="4">
          <reference field="4294967294" count="1" selected="0">
            <x v="9"/>
          </reference>
          <reference field="0" count="1" selected="0">
            <x v="8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291">
      <pivotArea outline="0" fieldPosition="0">
        <references count="4">
          <reference field="4294967294" count="9" selected="0">
            <x v="9"/>
            <x v="10"/>
            <x v="11"/>
            <x v="12"/>
            <x v="13"/>
            <x v="14"/>
            <x v="15"/>
            <x v="16"/>
            <x v="17"/>
          </reference>
          <reference field="0" count="1" selected="0">
            <x v="2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290">
      <pivotArea outline="0" fieldPosition="0">
        <references count="4">
          <reference field="4294967294" count="9" selected="0">
            <x v="9"/>
            <x v="10"/>
            <x v="11"/>
            <x v="12"/>
            <x v="13"/>
            <x v="14"/>
            <x v="15"/>
            <x v="16"/>
            <x v="17"/>
          </reference>
          <reference field="0" count="1" selected="0">
            <x v="2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289">
      <pivotArea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format>
    <format dxfId="1288">
      <pivotArea dataOnly="0" labelOnly="1" outline="0" offset="IV2" fieldPosition="0">
        <references count="1">
          <reference field="0" count="1">
            <x v="0"/>
          </reference>
        </references>
      </pivotArea>
    </format>
    <format dxfId="1287">
      <pivotArea dataOnly="0" labelOnly="1" outline="0" fieldPosition="0">
        <references count="2">
          <reference field="4294967294" count="1">
            <x v="1"/>
          </reference>
          <reference field="0" count="1" selected="0">
            <x v="0"/>
          </reference>
        </references>
      </pivotArea>
    </format>
    <format dxfId="1286">
      <pivotArea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format>
    <format dxfId="1285">
      <pivotArea dataOnly="0" labelOnly="1" outline="0" offset="IV2" fieldPosition="0">
        <references count="1">
          <reference field="0" count="1">
            <x v="0"/>
          </reference>
        </references>
      </pivotArea>
    </format>
    <format dxfId="1284">
      <pivotArea dataOnly="0" labelOnly="1" outline="0" fieldPosition="0">
        <references count="2">
          <reference field="4294967294" count="1">
            <x v="1"/>
          </reference>
          <reference field="0" count="1" selected="0">
            <x v="0"/>
          </reference>
        </references>
      </pivotArea>
    </format>
    <format dxfId="1283">
      <pivotArea outline="0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5" selected="0">
            <x v="1"/>
            <x v="2"/>
            <x v="3"/>
            <x v="4"/>
            <x v="5"/>
          </reference>
          <reference field="43" count="1" selected="0">
            <x v="0"/>
          </reference>
        </references>
      </pivotArea>
    </format>
    <format dxfId="1282">
      <pivotArea outline="0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43" count="1" selected="0" defaultSubtotal="1">
            <x v="0"/>
          </reference>
        </references>
      </pivotArea>
    </format>
    <format dxfId="1281">
      <pivotArea outline="0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43" count="4" selected="0" defaultSubtotal="1">
            <x v="1"/>
            <x v="2"/>
            <x v="3"/>
            <x v="4"/>
          </reference>
        </references>
      </pivotArea>
    </format>
    <format dxfId="1280">
      <pivotArea field="0" grandCol="1" outline="0" axis="axisRow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279">
      <pivotArea outline="0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278">
      <pivotArea outline="0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277">
      <pivotArea outline="0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276">
      <pivotArea outline="0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275">
      <pivotArea outline="0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274">
      <pivotArea outline="0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273">
      <pivotArea outline="0" fieldPosition="0">
        <references count="4">
          <reference field="4294967294" count="1" selected="0">
            <x v="23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272">
      <pivotArea outline="0" fieldPosition="0">
        <references count="4">
          <reference field="4294967294" count="1" selected="0">
            <x v="26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271">
      <pivotArea outline="0" fieldPosition="0">
        <references count="4">
          <reference field="4294967294" count="1" selected="0">
            <x v="29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270">
      <pivotArea outline="0" fieldPosition="0">
        <references count="4">
          <reference field="4294967294" count="1" selected="0">
            <x v="32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269">
      <pivotArea outline="0" fieldPosition="0">
        <references count="4">
          <reference field="4294967294" count="1" selected="0">
            <x v="35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268">
      <pivotArea outline="0" fieldPosition="0">
        <references count="4">
          <reference field="4294967294" count="1" selected="0">
            <x v="38"/>
          </reference>
          <reference field="0" count="1" selected="0">
            <x v="0"/>
          </reference>
          <reference field="4" count="1" selected="0">
            <x v="0"/>
          </reference>
          <reference field="43" count="1" selected="0">
            <x v="0"/>
          </reference>
        </references>
      </pivotArea>
    </format>
    <format dxfId="1267">
      <pivotArea outline="0" fieldPosition="0">
        <references count="1">
          <reference field="0" count="1" selected="0">
            <x v="0"/>
          </reference>
        </references>
      </pivotArea>
    </format>
    <format dxfId="1266">
      <pivotArea dataOnly="0" labelOnly="1" outline="0" fieldPosition="0">
        <references count="1">
          <reference field="0" count="1">
            <x v="0"/>
          </reference>
        </references>
      </pivotArea>
    </format>
    <format dxfId="1265">
      <pivotArea dataOnly="0" labelOnly="1" outline="0" fieldPosition="0">
        <references count="2">
          <reference field="4294967294" count="0"/>
          <reference field="0" count="1" selected="0">
            <x v="0"/>
          </reference>
        </references>
      </pivotArea>
    </format>
    <format dxfId="1264">
      <pivotArea outline="0" fieldPosition="0">
        <references count="3">
          <reference field="0" count="1" selected="0">
            <x v="0"/>
          </reference>
          <reference field="4" count="1" selected="0">
            <x v="1"/>
          </reference>
          <reference field="43" count="1" selected="0">
            <x v="0"/>
          </reference>
        </references>
      </pivotArea>
    </format>
    <format dxfId="1263">
      <pivotArea dataOnly="0" labelOnly="1" outline="0" fieldPosition="0">
        <references count="2">
          <reference field="4" count="1">
            <x v="1"/>
          </reference>
          <reference field="43" count="1" selected="0">
            <x v="0"/>
          </reference>
        </references>
      </pivotArea>
    </format>
    <format dxfId="1262">
      <pivotArea outline="0" fieldPosition="0">
        <references count="3">
          <reference field="0" count="1" selected="0">
            <x v="0"/>
          </reference>
          <reference field="4" count="1" selected="0">
            <x v="2"/>
          </reference>
          <reference field="43" count="1" selected="0">
            <x v="0"/>
          </reference>
        </references>
      </pivotArea>
    </format>
    <format dxfId="1261">
      <pivotArea dataOnly="0" labelOnly="1" outline="0" fieldPosition="0">
        <references count="2">
          <reference field="4" count="1">
            <x v="2"/>
          </reference>
          <reference field="43" count="1" selected="0">
            <x v="0"/>
          </reference>
        </references>
      </pivotArea>
    </format>
    <format dxfId="1260">
      <pivotArea outline="0" fieldPosition="0">
        <references count="3">
          <reference field="0" count="1" selected="0">
            <x v="0"/>
          </reference>
          <reference field="4" count="1" selected="0">
            <x v="3"/>
          </reference>
          <reference field="43" count="1" selected="0">
            <x v="0"/>
          </reference>
        </references>
      </pivotArea>
    </format>
    <format dxfId="1259">
      <pivotArea dataOnly="0" labelOnly="1" outline="0" fieldPosition="0">
        <references count="2">
          <reference field="4" count="1">
            <x v="3"/>
          </reference>
          <reference field="43" count="1" selected="0">
            <x v="0"/>
          </reference>
        </references>
      </pivotArea>
    </format>
    <format dxfId="1258">
      <pivotArea outline="0" fieldPosition="0">
        <references count="3">
          <reference field="0" count="1" selected="0">
            <x v="0"/>
          </reference>
          <reference field="4" count="1" selected="0">
            <x v="4"/>
          </reference>
          <reference field="43" count="1" selected="0">
            <x v="0"/>
          </reference>
        </references>
      </pivotArea>
    </format>
    <format dxfId="1257">
      <pivotArea dataOnly="0" labelOnly="1" outline="0" fieldPosition="0">
        <references count="2">
          <reference field="4" count="1">
            <x v="4"/>
          </reference>
          <reference field="43" count="1" selected="0">
            <x v="0"/>
          </reference>
        </references>
      </pivotArea>
    </format>
    <format dxfId="1256">
      <pivotArea outline="0" fieldPosition="0">
        <references count="3">
          <reference field="0" count="1" selected="0">
            <x v="0"/>
          </reference>
          <reference field="4" count="1" selected="0">
            <x v="5"/>
          </reference>
          <reference field="43" count="1" selected="0">
            <x v="0"/>
          </reference>
        </references>
      </pivotArea>
    </format>
    <format dxfId="1255">
      <pivotArea dataOnly="0" labelOnly="1" outline="0" fieldPosition="0">
        <references count="2">
          <reference field="4" count="1">
            <x v="5"/>
          </reference>
          <reference field="43" count="1" selected="0">
            <x v="0"/>
          </reference>
        </references>
      </pivotArea>
    </format>
    <format dxfId="1254">
      <pivotArea outline="0" fieldPosition="0">
        <references count="3">
          <reference field="0" count="1" selected="0">
            <x v="0"/>
          </reference>
          <reference field="4" count="1" selected="0">
            <x v="7"/>
          </reference>
          <reference field="43" count="1" selected="0">
            <x v="1"/>
          </reference>
        </references>
      </pivotArea>
    </format>
    <format dxfId="1253">
      <pivotArea dataOnly="0" labelOnly="1" outline="0" fieldPosition="0">
        <references count="2">
          <reference field="4" count="1">
            <x v="7"/>
          </reference>
          <reference field="43" count="1" selected="0">
            <x v="1"/>
          </reference>
        </references>
      </pivotArea>
    </format>
    <format dxfId="1252">
      <pivotArea outline="0" fieldPosition="0">
        <references count="3">
          <reference field="0" count="1" selected="0">
            <x v="0"/>
          </reference>
          <reference field="4" count="3" selected="0">
            <x v="8"/>
            <x v="9"/>
            <x v="10"/>
          </reference>
          <reference field="43" count="1" selected="0">
            <x v="1"/>
          </reference>
        </references>
      </pivotArea>
    </format>
    <format dxfId="1251">
      <pivotArea dataOnly="0" labelOnly="1" outline="0" fieldPosition="0">
        <references count="2">
          <reference field="4" count="3">
            <x v="8"/>
            <x v="9"/>
            <x v="10"/>
          </reference>
          <reference field="43" count="1" selected="0">
            <x v="1"/>
          </reference>
        </references>
      </pivotArea>
    </format>
    <format dxfId="1250">
      <pivotArea outline="0" fieldPosition="0">
        <references count="3">
          <reference field="0" count="1" selected="0">
            <x v="0"/>
          </reference>
          <reference field="4" count="1" selected="0">
            <x v="9"/>
          </reference>
          <reference field="43" count="1" selected="0">
            <x v="1"/>
          </reference>
        </references>
      </pivotArea>
    </format>
    <format dxfId="1249">
      <pivotArea outline="0" fieldPosition="0">
        <references count="3">
          <reference field="0" count="1" selected="0">
            <x v="0"/>
          </reference>
          <reference field="4" count="1" selected="0">
            <x v="10"/>
          </reference>
          <reference field="43" count="1" selected="0">
            <x v="1"/>
          </reference>
        </references>
      </pivotArea>
    </format>
    <format dxfId="1248">
      <pivotArea outline="0" fieldPosition="0">
        <references count="2">
          <reference field="0" count="1" selected="0">
            <x v="0"/>
          </reference>
          <reference field="43" count="1" selected="0">
            <x v="2"/>
          </reference>
        </references>
      </pivotArea>
    </format>
    <format dxfId="1247">
      <pivotArea outline="0" fieldPosition="0">
        <references count="2">
          <reference field="0" count="1" selected="0">
            <x v="0"/>
          </reference>
          <reference field="43" count="2" selected="0" defaultSubtotal="1">
            <x v="3"/>
            <x v="4"/>
          </reference>
        </references>
      </pivotArea>
    </format>
    <format dxfId="1246">
      <pivotArea type="topRight" dataOnly="0" labelOnly="1" outline="0" offset="V1" fieldPosition="0"/>
    </format>
    <format dxfId="1245">
      <pivotArea dataOnly="0" labelOnly="1" grandCol="1" outline="0" fieldPosition="0"/>
    </format>
    <format dxfId="1244">
      <pivotArea type="origin" dataOnly="0" labelOnly="1" outline="0" fieldPosition="0"/>
    </format>
    <format dxfId="1243">
      <pivotArea field="0" type="button" dataOnly="0" labelOnly="1" outline="0" axis="axisRow" fieldPosition="0"/>
    </format>
    <format dxfId="1242">
      <pivotArea field="-2" type="button" dataOnly="0" labelOnly="1" outline="0" axis="axisRow" fieldPosition="1"/>
    </format>
    <format dxfId="1241">
      <pivotArea field="43" type="button" dataOnly="0" labelOnly="1" outline="0" axis="axisCol" fieldPosition="0"/>
    </format>
    <format dxfId="1240">
      <pivotArea field="4" type="button" dataOnly="0" labelOnly="1" outline="0" axis="axisCol" fieldPosition="1"/>
    </format>
    <format dxfId="1239">
      <pivotArea type="topRight" dataOnly="0" labelOnly="1" outline="0" fieldPosition="0"/>
    </format>
    <format dxfId="1238">
      <pivotArea dataOnly="0" labelOnly="1" outline="0" fieldPosition="0">
        <references count="1">
          <reference field="43" count="5">
            <x v="0"/>
            <x v="1"/>
            <x v="2"/>
            <x v="3"/>
            <x v="4"/>
          </reference>
        </references>
      </pivotArea>
    </format>
    <format dxfId="1237">
      <pivotArea dataOnly="0" labelOnly="1" outline="0" fieldPosition="0">
        <references count="1">
          <reference field="43" count="5" defaultSubtotal="1">
            <x v="0"/>
            <x v="1"/>
            <x v="2"/>
            <x v="3"/>
            <x v="4"/>
          </reference>
        </references>
      </pivotArea>
    </format>
    <format dxfId="1236">
      <pivotArea dataOnly="0" labelOnly="1" grandCol="1" outline="0" fieldPosition="0"/>
    </format>
    <format dxfId="1235">
      <pivotArea dataOnly="0" labelOnly="1" outline="0" fieldPosition="0">
        <references count="2">
          <reference field="4" count="6">
            <x v="0"/>
            <x v="1"/>
            <x v="2"/>
            <x v="3"/>
            <x v="4"/>
            <x v="5"/>
          </reference>
          <reference field="43" count="1" selected="0">
            <x v="0"/>
          </reference>
        </references>
      </pivotArea>
    </format>
    <format dxfId="1234">
      <pivotArea dataOnly="0" labelOnly="1" outline="0" fieldPosition="0">
        <references count="2">
          <reference field="4" count="5">
            <x v="6"/>
            <x v="7"/>
            <x v="8"/>
            <x v="9"/>
            <x v="10"/>
          </reference>
          <reference field="43" count="1" selected="0">
            <x v="1"/>
          </reference>
        </references>
      </pivotArea>
    </format>
    <format dxfId="1233">
      <pivotArea dataOnly="0" labelOnly="1" outline="0" fieldPosition="0">
        <references count="2">
          <reference field="4" count="3">
            <x v="11"/>
            <x v="12"/>
            <x v="13"/>
          </reference>
          <reference field="43" count="1" selected="0">
            <x v="2"/>
          </reference>
        </references>
      </pivotArea>
    </format>
    <format dxfId="1232">
      <pivotArea dataOnly="0" labelOnly="1" outline="0" fieldPosition="0">
        <references count="2">
          <reference field="4" count="1">
            <x v="14"/>
          </reference>
          <reference field="43" count="1" selected="0">
            <x v="3"/>
          </reference>
        </references>
      </pivotArea>
    </format>
    <format dxfId="1231">
      <pivotArea dataOnly="0" labelOnly="1" outline="0" fieldPosition="0">
        <references count="2">
          <reference field="4" count="1">
            <x v="15"/>
          </reference>
          <reference field="43" count="1" selected="0">
            <x v="4"/>
          </reference>
        </references>
      </pivotArea>
    </format>
    <format dxfId="1230">
      <pivotArea outline="0" fieldPosition="0">
        <references count="2">
          <reference field="4" count="1" selected="0">
            <x v="6"/>
          </reference>
          <reference field="43" count="1" selected="0">
            <x v="1"/>
          </reference>
        </references>
      </pivotArea>
    </format>
    <format dxfId="1229">
      <pivotArea dataOnly="0" labelOnly="1" outline="0" offset="A256" fieldPosition="0">
        <references count="1">
          <reference field="43" count="1">
            <x v="1"/>
          </reference>
        </references>
      </pivotArea>
    </format>
    <format dxfId="1228">
      <pivotArea outline="0" fieldPosition="0">
        <references count="1">
          <reference field="43" count="1" selected="0" defaultSubtotal="1">
            <x v="1"/>
          </reference>
        </references>
      </pivotArea>
    </format>
    <format dxfId="1227">
      <pivotArea field="0" type="button" dataOnly="0" labelOnly="1" outline="0" axis="axisRow" fieldPosition="0"/>
    </format>
    <format dxfId="1226">
      <pivotArea field="-2" type="button" dataOnly="0" labelOnly="1" outline="0" axis="axisRow" fieldPosition="1"/>
    </format>
    <format dxfId="1225">
      <pivotArea dataOnly="0" labelOnly="1" outline="0" offset="IV256" fieldPosition="0">
        <references count="1">
          <reference field="43" count="1" defaultSubtotal="1">
            <x v="0"/>
          </reference>
        </references>
      </pivotArea>
    </format>
    <format dxfId="1224">
      <pivotArea dataOnly="0" labelOnly="1" outline="0" offset="IV256" fieldPosition="0">
        <references count="1">
          <reference field="43" count="1" defaultSubtotal="1">
            <x v="1"/>
          </reference>
        </references>
      </pivotArea>
    </format>
    <format dxfId="1223">
      <pivotArea dataOnly="0" labelOnly="1" outline="0" offset="IV256" fieldPosition="0">
        <references count="1">
          <reference field="43" count="1" defaultSubtotal="1">
            <x v="2"/>
          </reference>
        </references>
      </pivotArea>
    </format>
    <format dxfId="1222">
      <pivotArea dataOnly="0" labelOnly="1" outline="0" offset="IV256" fieldPosition="0">
        <references count="1">
          <reference field="43" count="1" defaultSubtotal="1">
            <x v="3"/>
          </reference>
        </references>
      </pivotArea>
    </format>
    <format dxfId="1221">
      <pivotArea dataOnly="0" labelOnly="1" outline="0" offset="IV256" fieldPosition="0">
        <references count="1">
          <reference field="43" count="1" defaultSubtotal="1">
            <x v="4"/>
          </reference>
        </references>
      </pivotArea>
    </format>
    <format dxfId="1220">
      <pivotArea dataOnly="0" labelOnly="1" grandCol="1" outline="0" offset="IV256" fieldPosition="0"/>
    </format>
    <format dxfId="1219">
      <pivotArea dataOnly="0" labelOnly="1" outline="0" fieldPosition="0">
        <references count="2">
          <reference field="4" count="6">
            <x v="0"/>
            <x v="1"/>
            <x v="2"/>
            <x v="3"/>
            <x v="4"/>
            <x v="5"/>
          </reference>
          <reference field="43" count="1" selected="0">
            <x v="0"/>
          </reference>
        </references>
      </pivotArea>
    </format>
    <format dxfId="1218">
      <pivotArea dataOnly="0" labelOnly="1" outline="0" fieldPosition="0">
        <references count="2">
          <reference field="4" count="5">
            <x v="6"/>
            <x v="7"/>
            <x v="8"/>
            <x v="9"/>
            <x v="10"/>
          </reference>
          <reference field="43" count="1" selected="0">
            <x v="1"/>
          </reference>
        </references>
      </pivotArea>
    </format>
    <format dxfId="1217">
      <pivotArea dataOnly="0" labelOnly="1" outline="0" fieldPosition="0">
        <references count="2">
          <reference field="4" count="3">
            <x v="11"/>
            <x v="12"/>
            <x v="13"/>
          </reference>
          <reference field="43" count="1" selected="0">
            <x v="2"/>
          </reference>
        </references>
      </pivotArea>
    </format>
    <format dxfId="1216">
      <pivotArea dataOnly="0" labelOnly="1" outline="0" fieldPosition="0">
        <references count="2">
          <reference field="4" count="1">
            <x v="14"/>
          </reference>
          <reference field="43" count="1" selected="0">
            <x v="3"/>
          </reference>
        </references>
      </pivotArea>
    </format>
    <format dxfId="1215">
      <pivotArea dataOnly="0" labelOnly="1" outline="0" fieldPosition="0">
        <references count="2">
          <reference field="4" count="1">
            <x v="15"/>
          </reference>
          <reference field="43" count="1" selected="0">
            <x v="4"/>
          </reference>
        </references>
      </pivotArea>
    </format>
    <format dxfId="1214">
      <pivotArea field="0" type="button" dataOnly="0" labelOnly="1" outline="0" axis="axisRow" fieldPosition="0"/>
    </format>
    <format dxfId="1213">
      <pivotArea field="-2" type="button" dataOnly="0" labelOnly="1" outline="0" axis="axisRow" fieldPosition="1"/>
    </format>
    <format dxfId="1212">
      <pivotArea dataOnly="0" labelOnly="1" outline="0" offset="IV256" fieldPosition="0">
        <references count="1">
          <reference field="43" count="1" defaultSubtotal="1">
            <x v="0"/>
          </reference>
        </references>
      </pivotArea>
    </format>
    <format dxfId="1211">
      <pivotArea dataOnly="0" labelOnly="1" outline="0" offset="IV256" fieldPosition="0">
        <references count="1">
          <reference field="43" count="1" defaultSubtotal="1">
            <x v="1"/>
          </reference>
        </references>
      </pivotArea>
    </format>
    <format dxfId="1210">
      <pivotArea dataOnly="0" labelOnly="1" outline="0" offset="IV256" fieldPosition="0">
        <references count="1">
          <reference field="43" count="1" defaultSubtotal="1">
            <x v="2"/>
          </reference>
        </references>
      </pivotArea>
    </format>
    <format dxfId="1209">
      <pivotArea dataOnly="0" labelOnly="1" outline="0" offset="IV256" fieldPosition="0">
        <references count="1">
          <reference field="43" count="1" defaultSubtotal="1">
            <x v="3"/>
          </reference>
        </references>
      </pivotArea>
    </format>
    <format dxfId="1208">
      <pivotArea dataOnly="0" labelOnly="1" outline="0" offset="IV256" fieldPosition="0">
        <references count="1">
          <reference field="43" count="1" defaultSubtotal="1">
            <x v="4"/>
          </reference>
        </references>
      </pivotArea>
    </format>
    <format dxfId="1207">
      <pivotArea dataOnly="0" labelOnly="1" grandCol="1" outline="0" offset="IV256" fieldPosition="0"/>
    </format>
    <format dxfId="1206">
      <pivotArea dataOnly="0" labelOnly="1" outline="0" fieldPosition="0">
        <references count="2">
          <reference field="4" count="6">
            <x v="0"/>
            <x v="1"/>
            <x v="2"/>
            <x v="3"/>
            <x v="4"/>
            <x v="5"/>
          </reference>
          <reference field="43" count="1" selected="0">
            <x v="0"/>
          </reference>
        </references>
      </pivotArea>
    </format>
    <format dxfId="1205">
      <pivotArea dataOnly="0" labelOnly="1" outline="0" fieldPosition="0">
        <references count="2">
          <reference field="4" count="5">
            <x v="6"/>
            <x v="7"/>
            <x v="8"/>
            <x v="9"/>
            <x v="10"/>
          </reference>
          <reference field="43" count="1" selected="0">
            <x v="1"/>
          </reference>
        </references>
      </pivotArea>
    </format>
    <format dxfId="1204">
      <pivotArea dataOnly="0" labelOnly="1" outline="0" fieldPosition="0">
        <references count="2">
          <reference field="4" count="3">
            <x v="11"/>
            <x v="12"/>
            <x v="13"/>
          </reference>
          <reference field="43" count="1" selected="0">
            <x v="2"/>
          </reference>
        </references>
      </pivotArea>
    </format>
    <format dxfId="1203">
      <pivotArea dataOnly="0" labelOnly="1" outline="0" fieldPosition="0">
        <references count="2">
          <reference field="4" count="1">
            <x v="14"/>
          </reference>
          <reference field="43" count="1" selected="0">
            <x v="3"/>
          </reference>
        </references>
      </pivotArea>
    </format>
    <format dxfId="1202">
      <pivotArea dataOnly="0" labelOnly="1" outline="0" fieldPosition="0">
        <references count="2">
          <reference field="4" count="1">
            <x v="15"/>
          </reference>
          <reference field="43" count="1" selected="0">
            <x v="4"/>
          </reference>
        </references>
      </pivotArea>
    </format>
    <format dxfId="1201">
      <pivotArea type="origin" dataOnly="0" labelOnly="1" outline="0" offset="A2:B2" fieldPosition="0"/>
    </format>
    <format dxfId="1200">
      <pivotArea outline="0" collapsedLevelsAreSubtotals="1" fieldPosition="0">
        <references count="1">
          <reference field="43" count="1" selected="0" defaultSubtotal="1">
            <x v="2"/>
          </reference>
        </references>
      </pivotArea>
    </format>
    <format dxfId="1199">
      <pivotArea dataOnly="0" labelOnly="1" outline="0" fieldPosition="0">
        <references count="1">
          <reference field="43" count="1" defaultSubtotal="1">
            <x v="2"/>
          </reference>
        </references>
      </pivotArea>
    </format>
    <format dxfId="1198">
      <pivotArea type="origin" dataOnly="0" labelOnly="1" outline="0" fieldPosition="0"/>
    </format>
    <format dxfId="1197">
      <pivotArea field="43" type="button" dataOnly="0" labelOnly="1" outline="0" axis="axisCol" fieldPosition="0"/>
    </format>
    <format dxfId="1196">
      <pivotArea field="4" type="button" dataOnly="0" labelOnly="1" outline="0" axis="axisCol" fieldPosition="1"/>
    </format>
    <format dxfId="1195">
      <pivotArea type="topRight" dataOnly="0" labelOnly="1" outline="0" fieldPosition="0"/>
    </format>
    <format dxfId="1194">
      <pivotArea dataOnly="0" labelOnly="1" outline="0" fieldPosition="0">
        <references count="1">
          <reference field="43" count="1">
            <x v="0"/>
          </reference>
        </references>
      </pivotArea>
    </format>
    <format dxfId="1193">
      <pivotArea dataOnly="0" labelOnly="1" outline="0" offset="IV1" fieldPosition="0">
        <references count="1">
          <reference field="43" count="1" defaultSubtotal="1">
            <x v="0"/>
          </reference>
        </references>
      </pivotArea>
    </format>
    <format dxfId="1192">
      <pivotArea dataOnly="0" labelOnly="1" outline="0" fieldPosition="0">
        <references count="1">
          <reference field="43" count="1">
            <x v="1"/>
          </reference>
        </references>
      </pivotArea>
    </format>
    <format dxfId="1191">
      <pivotArea dataOnly="0" labelOnly="1" outline="0" offset="IV1" fieldPosition="0">
        <references count="1">
          <reference field="43" count="1" defaultSubtotal="1">
            <x v="1"/>
          </reference>
        </references>
      </pivotArea>
    </format>
    <format dxfId="1190">
      <pivotArea dataOnly="0" labelOnly="1" outline="0" fieldPosition="0">
        <references count="1">
          <reference field="43" count="1">
            <x v="2"/>
          </reference>
        </references>
      </pivotArea>
    </format>
    <format dxfId="1189">
      <pivotArea dataOnly="0" labelOnly="1" outline="0" offset="IV1" fieldPosition="0">
        <references count="1">
          <reference field="43" count="1" defaultSubtotal="1">
            <x v="2"/>
          </reference>
        </references>
      </pivotArea>
    </format>
    <format dxfId="1188">
      <pivotArea dataOnly="0" labelOnly="1" outline="0" fieldPosition="0">
        <references count="1">
          <reference field="43" count="1">
            <x v="3"/>
          </reference>
        </references>
      </pivotArea>
    </format>
    <format dxfId="1187">
      <pivotArea dataOnly="0" labelOnly="1" outline="0" offset="IV1" fieldPosition="0">
        <references count="1">
          <reference field="43" count="1" defaultSubtotal="1">
            <x v="3"/>
          </reference>
        </references>
      </pivotArea>
    </format>
    <format dxfId="1186">
      <pivotArea dataOnly="0" labelOnly="1" outline="0" fieldPosition="0">
        <references count="1">
          <reference field="43" count="1">
            <x v="4"/>
          </reference>
        </references>
      </pivotArea>
    </format>
    <format dxfId="1185">
      <pivotArea dataOnly="0" labelOnly="1" outline="0" offset="IV1" fieldPosition="0">
        <references count="1">
          <reference field="43" count="1" defaultSubtotal="1">
            <x v="4"/>
          </reference>
        </references>
      </pivotArea>
    </format>
    <format dxfId="1184">
      <pivotArea dataOnly="0" labelOnly="1" grandCol="1" outline="0" offset="IV1" fieldPosition="0"/>
    </format>
  </formats>
  <conditionalFormats count="7">
    <conditionalFormat priority="9">
      <pivotAreas count="22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</pivotAreas>
    </conditionalFormat>
    <conditionalFormat priority="10">
      <pivotAreas count="22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</pivotAreas>
    </conditionalFormat>
    <conditionalFormat priority="7">
      <pivotAreas count="22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</pivotAreas>
    </conditionalFormat>
    <conditionalFormat priority="5">
      <pivotAreas count="22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</pivotAreas>
    </conditionalFormat>
    <conditionalFormat priority="4">
      <pivotAreas count="22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</pivotAreas>
    </conditionalFormat>
    <conditionalFormat priority="3">
      <pivotAreas count="22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</pivotAreas>
    </conditionalFormat>
    <conditionalFormat priority="1">
      <pivotAreas count="221"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6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7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8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9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0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1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2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3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4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8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1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4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17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0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3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6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29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2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5"/>
            </reference>
            <reference field="0" count="1" selected="0">
              <x v="15"/>
            </reference>
          </references>
        </pivotArea>
        <pivotArea type="data" outline="0" collapsedLevelsAreSubtotals="1" fieldPosition="0">
          <references count="2">
            <reference field="4294967294" count="1" selected="0">
              <x v="38"/>
            </reference>
            <reference field="0" count="1" selected="0">
              <x v="1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8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1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4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17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0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3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6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29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2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5"/>
            </reference>
          </references>
        </pivotArea>
        <pivotArea type="data" grandRow="1" outline="0" collapsedLevelsAreSubtotals="1" fieldPosition="0">
          <references count="1">
            <reference field="4294967294" count="1" selected="0">
              <x v="38"/>
            </reference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=@round(+K52/1000000000,1)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4" enableFormatConditionsCalculation="0">
    <tabColor indexed="18"/>
  </sheetPr>
  <dimension ref="A1:AH3388"/>
  <sheetViews>
    <sheetView tabSelected="1" topLeftCell="A3" zoomScale="80" zoomScaleNormal="80" workbookViewId="0">
      <pane xSplit="5" ySplit="6" topLeftCell="I2286" activePane="bottomRight" state="frozen"/>
      <selection activeCell="A3" sqref="A3"/>
      <selection pane="topRight" activeCell="F3" sqref="F3"/>
      <selection pane="bottomLeft" activeCell="A9" sqref="A9"/>
      <selection pane="bottomRight" activeCell="U2299" sqref="U2299"/>
    </sheetView>
  </sheetViews>
  <sheetFormatPr defaultRowHeight="12.75"/>
  <cols>
    <col min="1" max="1" width="5.625" style="602" customWidth="1"/>
    <col min="2" max="2" width="6.25" style="788" customWidth="1"/>
    <col min="3" max="3" width="63.25" style="789" customWidth="1"/>
    <col min="4" max="4" width="7.375" style="790" customWidth="1"/>
    <col min="5" max="5" width="8" style="791" customWidth="1"/>
    <col min="6" max="6" width="12.5" style="602" hidden="1" customWidth="1"/>
    <col min="7" max="7" width="14.75" style="489" customWidth="1"/>
    <col min="8" max="8" width="12.5" style="602" hidden="1" customWidth="1"/>
    <col min="9" max="9" width="12.5" style="489" customWidth="1"/>
    <col min="10" max="10" width="12.5" style="602" hidden="1" customWidth="1"/>
    <col min="11" max="11" width="12.5" style="489" customWidth="1"/>
    <col min="12" max="14" width="12.5" style="792" hidden="1" customWidth="1"/>
    <col min="15" max="15" width="15.125" style="489" customWidth="1"/>
    <col min="16" max="16" width="12.5" style="489" customWidth="1"/>
    <col min="17" max="17" width="13.375" style="490" customWidth="1"/>
    <col min="18" max="18" width="12.5" style="793" hidden="1" customWidth="1"/>
    <col min="19" max="19" width="12.5" style="490" customWidth="1"/>
    <col min="20" max="20" width="12.5" style="793" hidden="1" customWidth="1"/>
    <col min="21" max="21" width="14.375" style="489" customWidth="1"/>
    <col min="22" max="24" width="12.5" style="489" hidden="1" customWidth="1"/>
    <col min="25" max="27" width="12.5" style="489" customWidth="1"/>
    <col min="28" max="28" width="12.5" style="793" hidden="1" customWidth="1"/>
    <col min="29" max="29" width="14.375" style="489" customWidth="1"/>
    <col min="30" max="30" width="12.5" style="793" hidden="1" customWidth="1"/>
    <col min="31" max="31" width="12.5" style="489" customWidth="1"/>
    <col min="32" max="32" width="12.5" style="793" hidden="1" customWidth="1"/>
    <col min="33" max="33" width="12.5" style="489" customWidth="1"/>
    <col min="34" max="16384" width="9" style="602"/>
  </cols>
  <sheetData>
    <row r="1" spans="1:33" s="533" customFormat="1" ht="14.25">
      <c r="A1" s="202" t="s">
        <v>620</v>
      </c>
      <c r="B1" s="202"/>
      <c r="C1" s="525"/>
      <c r="D1" s="526"/>
      <c r="E1" s="527"/>
      <c r="F1" s="528"/>
      <c r="G1" s="313"/>
      <c r="H1" s="528"/>
      <c r="I1" s="313"/>
      <c r="J1" s="528"/>
      <c r="K1" s="313"/>
      <c r="L1" s="529"/>
      <c r="M1" s="529"/>
      <c r="N1" s="529"/>
      <c r="O1" s="313"/>
      <c r="P1" s="313"/>
      <c r="Q1" s="314"/>
      <c r="R1" s="530"/>
      <c r="S1" s="314"/>
      <c r="T1" s="531"/>
      <c r="U1" s="313"/>
      <c r="V1" s="313"/>
      <c r="W1" s="313"/>
      <c r="X1" s="313"/>
      <c r="Y1" s="313"/>
      <c r="Z1" s="313"/>
      <c r="AA1" s="313"/>
      <c r="AB1" s="531"/>
      <c r="AC1" s="313"/>
      <c r="AD1" s="530"/>
      <c r="AE1" s="313"/>
      <c r="AF1" s="532"/>
      <c r="AG1" s="203"/>
    </row>
    <row r="2" spans="1:33" s="533" customFormat="1" ht="14.25">
      <c r="A2" s="534" t="s">
        <v>1911</v>
      </c>
      <c r="B2" s="204"/>
      <c r="C2" s="535"/>
      <c r="D2" s="441"/>
      <c r="E2" s="242"/>
      <c r="F2" s="204"/>
      <c r="G2" s="206"/>
      <c r="H2" s="204"/>
      <c r="I2" s="206"/>
      <c r="J2" s="204"/>
      <c r="K2" s="206"/>
      <c r="L2" s="536"/>
      <c r="M2" s="536"/>
      <c r="N2" s="536"/>
      <c r="O2" s="206"/>
      <c r="P2" s="206"/>
      <c r="Q2" s="208"/>
      <c r="R2" s="537"/>
      <c r="S2" s="208"/>
      <c r="T2" s="537"/>
      <c r="U2" s="206"/>
      <c r="V2" s="207"/>
      <c r="W2" s="207"/>
      <c r="X2" s="207"/>
      <c r="Y2" s="206"/>
      <c r="Z2" s="206"/>
      <c r="AA2" s="207"/>
      <c r="AB2" s="537"/>
      <c r="AC2" s="206"/>
      <c r="AD2" s="537"/>
      <c r="AE2" s="206"/>
      <c r="AF2" s="538"/>
      <c r="AG2" s="209"/>
    </row>
    <row r="3" spans="1:33" s="533" customFormat="1" ht="14.25">
      <c r="A3" s="442" t="s">
        <v>139</v>
      </c>
      <c r="B3" s="204"/>
      <c r="C3" s="443"/>
      <c r="D3" s="441"/>
      <c r="E3" s="242"/>
      <c r="F3" s="260" t="s">
        <v>1922</v>
      </c>
      <c r="G3" s="206"/>
      <c r="H3" s="260"/>
      <c r="I3" s="206"/>
      <c r="J3" s="260"/>
      <c r="K3" s="206"/>
      <c r="L3" s="539"/>
      <c r="M3" s="539"/>
      <c r="N3" s="539"/>
      <c r="O3" s="206"/>
      <c r="P3" s="206"/>
      <c r="Q3" s="261"/>
      <c r="R3" s="444" t="s">
        <v>671</v>
      </c>
      <c r="S3" s="262"/>
      <c r="T3" s="263" t="s">
        <v>650</v>
      </c>
      <c r="U3" s="206"/>
      <c r="V3" s="210"/>
      <c r="W3" s="210"/>
      <c r="X3" s="210"/>
      <c r="Y3" s="206"/>
      <c r="Z3" s="206"/>
      <c r="AA3" s="210"/>
      <c r="AB3" s="540"/>
      <c r="AC3" s="206"/>
      <c r="AD3" s="205"/>
      <c r="AE3" s="206"/>
      <c r="AF3" s="445" t="s">
        <v>671</v>
      </c>
      <c r="AG3" s="446" t="s">
        <v>671</v>
      </c>
    </row>
    <row r="4" spans="1:33" s="533" customFormat="1" ht="14.25">
      <c r="A4" s="436"/>
      <c r="B4" s="437"/>
      <c r="C4" s="541"/>
      <c r="D4" s="447"/>
      <c r="E4" s="439"/>
      <c r="F4" s="542"/>
      <c r="G4" s="211"/>
      <c r="H4" s="542"/>
      <c r="I4" s="211"/>
      <c r="J4" s="542"/>
      <c r="K4" s="211"/>
      <c r="L4" s="264" t="s">
        <v>450</v>
      </c>
      <c r="M4" s="543"/>
      <c r="N4" s="543"/>
      <c r="O4" s="448"/>
      <c r="P4" s="448"/>
      <c r="Q4" s="265"/>
      <c r="R4" s="544"/>
      <c r="S4" s="266"/>
      <c r="T4" s="267" t="s">
        <v>1923</v>
      </c>
      <c r="U4" s="448"/>
      <c r="V4" s="268"/>
      <c r="W4" s="268"/>
      <c r="X4" s="268"/>
      <c r="Y4" s="448"/>
      <c r="Z4" s="448"/>
      <c r="AA4" s="212"/>
      <c r="AB4" s="269" t="s">
        <v>1924</v>
      </c>
      <c r="AC4" s="449"/>
      <c r="AD4" s="545"/>
      <c r="AE4" s="450"/>
      <c r="AF4" s="546"/>
      <c r="AG4" s="270"/>
    </row>
    <row r="5" spans="1:33" s="533" customFormat="1" ht="14.25">
      <c r="A5" s="436"/>
      <c r="B5" s="437"/>
      <c r="C5" s="438"/>
      <c r="D5" s="447"/>
      <c r="E5" s="439"/>
      <c r="F5" s="542"/>
      <c r="G5" s="231"/>
      <c r="H5" s="542"/>
      <c r="I5" s="231"/>
      <c r="J5" s="542"/>
      <c r="K5" s="231"/>
      <c r="L5" s="271"/>
      <c r="M5" s="547"/>
      <c r="N5" s="451" t="s">
        <v>671</v>
      </c>
      <c r="O5" s="231"/>
      <c r="P5" s="231"/>
      <c r="Q5" s="452" t="s">
        <v>671</v>
      </c>
      <c r="R5" s="548"/>
      <c r="S5" s="272"/>
      <c r="T5" s="549"/>
      <c r="U5" s="231"/>
      <c r="V5" s="550"/>
      <c r="W5" s="542"/>
      <c r="X5" s="453" t="s">
        <v>671</v>
      </c>
      <c r="Y5" s="231"/>
      <c r="Z5" s="231"/>
      <c r="AA5" s="454" t="s">
        <v>671</v>
      </c>
      <c r="AB5" s="551"/>
      <c r="AC5" s="231"/>
      <c r="AD5" s="542"/>
      <c r="AE5" s="231"/>
      <c r="AF5" s="546"/>
      <c r="AG5" s="272"/>
    </row>
    <row r="6" spans="1:33" s="533" customFormat="1" ht="48.75" customHeight="1">
      <c r="A6" s="552" t="s">
        <v>67</v>
      </c>
      <c r="B6" s="553" t="s">
        <v>1774</v>
      </c>
      <c r="C6" s="438"/>
      <c r="D6" s="554" t="s">
        <v>646</v>
      </c>
      <c r="E6" s="555" t="s">
        <v>910</v>
      </c>
      <c r="F6" s="542" t="s">
        <v>643</v>
      </c>
      <c r="G6" s="231" t="s">
        <v>643</v>
      </c>
      <c r="H6" s="542" t="s">
        <v>645</v>
      </c>
      <c r="I6" s="231" t="s">
        <v>645</v>
      </c>
      <c r="J6" s="542" t="s">
        <v>644</v>
      </c>
      <c r="K6" s="231" t="s">
        <v>644</v>
      </c>
      <c r="L6" s="542" t="s">
        <v>1584</v>
      </c>
      <c r="M6" s="542" t="s">
        <v>1585</v>
      </c>
      <c r="N6" s="556" t="s">
        <v>1587</v>
      </c>
      <c r="O6" s="231" t="s">
        <v>1584</v>
      </c>
      <c r="P6" s="231" t="s">
        <v>1585</v>
      </c>
      <c r="Q6" s="273" t="s">
        <v>1587</v>
      </c>
      <c r="R6" s="557" t="s">
        <v>1322</v>
      </c>
      <c r="S6" s="272" t="s">
        <v>1322</v>
      </c>
      <c r="T6" s="549" t="s">
        <v>67</v>
      </c>
      <c r="U6" s="231" t="s">
        <v>67</v>
      </c>
      <c r="V6" s="558" t="s">
        <v>1809</v>
      </c>
      <c r="W6" s="542" t="s">
        <v>1368</v>
      </c>
      <c r="X6" s="559" t="s">
        <v>1369</v>
      </c>
      <c r="Y6" s="231" t="s">
        <v>1920</v>
      </c>
      <c r="Z6" s="231" t="s">
        <v>1921</v>
      </c>
      <c r="AA6" s="213" t="s">
        <v>1369</v>
      </c>
      <c r="AB6" s="551" t="s">
        <v>67</v>
      </c>
      <c r="AC6" s="231" t="s">
        <v>67</v>
      </c>
      <c r="AD6" s="542" t="s">
        <v>384</v>
      </c>
      <c r="AE6" s="231" t="s">
        <v>384</v>
      </c>
      <c r="AF6" s="546" t="s">
        <v>1365</v>
      </c>
      <c r="AG6" s="272" t="s">
        <v>1365</v>
      </c>
    </row>
    <row r="7" spans="1:33" s="533" customFormat="1" ht="12" customHeight="1">
      <c r="A7" s="1100"/>
      <c r="B7" s="1101"/>
      <c r="C7" s="1102"/>
      <c r="D7" s="1103"/>
      <c r="E7" s="1104"/>
      <c r="F7" s="1105" t="s">
        <v>1542</v>
      </c>
      <c r="G7" s="1106" t="s">
        <v>140</v>
      </c>
      <c r="H7" s="1105" t="s">
        <v>1542</v>
      </c>
      <c r="I7" s="1106" t="s">
        <v>140</v>
      </c>
      <c r="J7" s="1105" t="s">
        <v>1542</v>
      </c>
      <c r="K7" s="1106" t="s">
        <v>140</v>
      </c>
      <c r="L7" s="1105" t="s">
        <v>1542</v>
      </c>
      <c r="M7" s="1105" t="s">
        <v>1542</v>
      </c>
      <c r="N7" s="1107" t="s">
        <v>1542</v>
      </c>
      <c r="O7" s="1106" t="s">
        <v>140</v>
      </c>
      <c r="P7" s="1106" t="s">
        <v>140</v>
      </c>
      <c r="Q7" s="1108" t="s">
        <v>140</v>
      </c>
      <c r="R7" s="1109" t="s">
        <v>1542</v>
      </c>
      <c r="S7" s="1110" t="s">
        <v>140</v>
      </c>
      <c r="T7" s="1111" t="s">
        <v>1542</v>
      </c>
      <c r="U7" s="1106" t="s">
        <v>140</v>
      </c>
      <c r="V7" s="1112" t="s">
        <v>1542</v>
      </c>
      <c r="W7" s="1105" t="s">
        <v>1542</v>
      </c>
      <c r="X7" s="1113" t="s">
        <v>1542</v>
      </c>
      <c r="Y7" s="1106" t="s">
        <v>140</v>
      </c>
      <c r="Z7" s="1106" t="s">
        <v>140</v>
      </c>
      <c r="AA7" s="1114" t="s">
        <v>140</v>
      </c>
      <c r="AB7" s="1115" t="s">
        <v>1542</v>
      </c>
      <c r="AC7" s="1106" t="s">
        <v>140</v>
      </c>
      <c r="AD7" s="1105" t="s">
        <v>1542</v>
      </c>
      <c r="AE7" s="1106" t="s">
        <v>140</v>
      </c>
      <c r="AF7" s="1116" t="s">
        <v>1542</v>
      </c>
      <c r="AG7" s="1117" t="s">
        <v>140</v>
      </c>
    </row>
    <row r="8" spans="1:33" s="567" customFormat="1" ht="14.25" customHeight="1">
      <c r="A8" s="560" t="s">
        <v>913</v>
      </c>
      <c r="B8" s="561" t="s">
        <v>915</v>
      </c>
      <c r="C8" s="560" t="s">
        <v>914</v>
      </c>
      <c r="D8" s="562" t="s">
        <v>917</v>
      </c>
      <c r="E8" s="563" t="s">
        <v>916</v>
      </c>
      <c r="F8" s="564" t="s">
        <v>918</v>
      </c>
      <c r="G8" s="564" t="s">
        <v>919</v>
      </c>
      <c r="H8" s="564" t="s">
        <v>903</v>
      </c>
      <c r="I8" s="564" t="s">
        <v>904</v>
      </c>
      <c r="J8" s="564" t="s">
        <v>920</v>
      </c>
      <c r="K8" s="564" t="s">
        <v>921</v>
      </c>
      <c r="L8" s="565" t="s">
        <v>678</v>
      </c>
      <c r="M8" s="565" t="s">
        <v>679</v>
      </c>
      <c r="N8" s="565" t="s">
        <v>905</v>
      </c>
      <c r="O8" s="564" t="s">
        <v>680</v>
      </c>
      <c r="P8" s="564" t="s">
        <v>681</v>
      </c>
      <c r="Q8" s="565" t="s">
        <v>250</v>
      </c>
      <c r="R8" s="566" t="s">
        <v>1410</v>
      </c>
      <c r="S8" s="566" t="s">
        <v>1411</v>
      </c>
      <c r="T8" s="566" t="s">
        <v>926</v>
      </c>
      <c r="U8" s="564" t="s">
        <v>927</v>
      </c>
      <c r="V8" s="565" t="s">
        <v>1325</v>
      </c>
      <c r="W8" s="565" t="s">
        <v>1326</v>
      </c>
      <c r="X8" s="565" t="s">
        <v>1327</v>
      </c>
      <c r="Y8" s="564" t="s">
        <v>1328</v>
      </c>
      <c r="Z8" s="564" t="s">
        <v>1329</v>
      </c>
      <c r="AA8" s="565" t="s">
        <v>1507</v>
      </c>
      <c r="AB8" s="566" t="s">
        <v>922</v>
      </c>
      <c r="AC8" s="564" t="s">
        <v>923</v>
      </c>
      <c r="AD8" s="566" t="s">
        <v>924</v>
      </c>
      <c r="AE8" s="564" t="s">
        <v>925</v>
      </c>
      <c r="AF8" s="560" t="s">
        <v>1366</v>
      </c>
      <c r="AG8" s="560" t="s">
        <v>1367</v>
      </c>
    </row>
    <row r="9" spans="1:33" s="578" customFormat="1" ht="12" customHeight="1">
      <c r="A9" s="568" t="s">
        <v>1270</v>
      </c>
      <c r="B9" s="569" t="s">
        <v>1776</v>
      </c>
      <c r="C9" s="570" t="s">
        <v>448</v>
      </c>
      <c r="D9" s="571">
        <v>100858</v>
      </c>
      <c r="E9" s="572">
        <v>1</v>
      </c>
      <c r="F9" s="573">
        <f>192321449+2071201</f>
        <v>194392650</v>
      </c>
      <c r="G9" s="1208">
        <f>150350840+801000</f>
        <v>151151840</v>
      </c>
      <c r="H9" s="573"/>
      <c r="I9" s="487"/>
      <c r="J9" s="573"/>
      <c r="K9" s="487"/>
      <c r="L9" s="455">
        <v>214119025</v>
      </c>
      <c r="M9" s="573">
        <v>20562155</v>
      </c>
      <c r="N9" s="456">
        <f t="shared" ref="N9:N82" si="0">SUM(L9:M9)</f>
        <v>234681180</v>
      </c>
      <c r="O9" s="487">
        <v>199811880</v>
      </c>
      <c r="P9" s="487">
        <v>22717806</v>
      </c>
      <c r="Q9" s="274">
        <f>SUM(O9:P9)</f>
        <v>222529686</v>
      </c>
      <c r="R9" s="574">
        <f t="shared" ref="R9" si="1">SUM(F9,H9,J9,L9)</f>
        <v>408511675</v>
      </c>
      <c r="S9" s="275">
        <f t="shared" ref="S9" si="2">SUM(G9,I9,K9,O9)</f>
        <v>350963720</v>
      </c>
      <c r="T9" s="575"/>
      <c r="U9" s="487"/>
      <c r="V9" s="576"/>
      <c r="W9" s="573"/>
      <c r="X9" s="574">
        <f t="shared" ref="X9:X82" si="3">SUM(V9:W9)</f>
        <v>0</v>
      </c>
      <c r="Y9" s="487"/>
      <c r="Z9" s="487"/>
      <c r="AA9" s="276">
        <f t="shared" ref="AA9:AA82" si="4">SUM(Y9:Z9)</f>
        <v>0</v>
      </c>
      <c r="AB9" s="573"/>
      <c r="AC9" s="487"/>
      <c r="AD9" s="573"/>
      <c r="AE9" s="487"/>
      <c r="AF9" s="577">
        <f t="shared" ref="AF9" si="5">SUM(R9,T9,V9,AB9,AD9)</f>
        <v>408511675</v>
      </c>
      <c r="AG9" s="275">
        <f t="shared" ref="AG9" si="6">SUM(S9,U9,Y9,AC9,AE9)</f>
        <v>350963720</v>
      </c>
    </row>
    <row r="10" spans="1:33" s="578" customFormat="1" ht="12" customHeight="1">
      <c r="A10" s="568" t="s">
        <v>1270</v>
      </c>
      <c r="B10" s="569" t="s">
        <v>1793</v>
      </c>
      <c r="C10" s="238" t="s">
        <v>412</v>
      </c>
      <c r="D10" s="571">
        <v>100858</v>
      </c>
      <c r="E10" s="572">
        <v>1</v>
      </c>
      <c r="F10" s="573"/>
      <c r="G10" s="487"/>
      <c r="H10" s="573"/>
      <c r="I10" s="487"/>
      <c r="J10" s="573"/>
      <c r="K10" s="487"/>
      <c r="L10" s="455"/>
      <c r="M10" s="573"/>
      <c r="N10" s="456">
        <f t="shared" si="0"/>
        <v>0</v>
      </c>
      <c r="O10" s="487"/>
      <c r="P10" s="487"/>
      <c r="Q10" s="274">
        <f t="shared" ref="Q10:Q73" si="7">SUM(O10:P10)</f>
        <v>0</v>
      </c>
      <c r="R10" s="574">
        <f t="shared" ref="R10:R73" si="8">SUM(F10,H10,J10,L10)</f>
        <v>0</v>
      </c>
      <c r="S10" s="275">
        <f t="shared" ref="S10:S73" si="9">SUM(G10,I10,K10,O10)</f>
        <v>0</v>
      </c>
      <c r="T10" s="575"/>
      <c r="U10" s="487"/>
      <c r="V10" s="576"/>
      <c r="W10" s="573"/>
      <c r="X10" s="574">
        <f t="shared" si="3"/>
        <v>0</v>
      </c>
      <c r="Y10" s="487"/>
      <c r="Z10" s="487"/>
      <c r="AA10" s="276">
        <f t="shared" si="4"/>
        <v>0</v>
      </c>
      <c r="AB10" s="573"/>
      <c r="AC10" s="487"/>
      <c r="AD10" s="573"/>
      <c r="AE10" s="487"/>
      <c r="AF10" s="577">
        <f t="shared" ref="AF10:AF73" si="10">SUM(R10,T10,V10,AB10,AD10)</f>
        <v>0</v>
      </c>
      <c r="AG10" s="275">
        <f t="shared" ref="AG10:AG73" si="11">SUM(S10,U10,Y10,AC10,AE10)</f>
        <v>0</v>
      </c>
    </row>
    <row r="11" spans="1:33" s="578" customFormat="1" ht="12" customHeight="1">
      <c r="A11" s="568" t="s">
        <v>1270</v>
      </c>
      <c r="B11" s="569" t="s">
        <v>1793</v>
      </c>
      <c r="C11" s="579" t="s">
        <v>462</v>
      </c>
      <c r="D11" s="571">
        <v>100858</v>
      </c>
      <c r="E11" s="572">
        <v>1</v>
      </c>
      <c r="F11" s="573"/>
      <c r="G11" s="487"/>
      <c r="H11" s="573"/>
      <c r="I11" s="487"/>
      <c r="J11" s="573"/>
      <c r="K11" s="487"/>
      <c r="L11" s="573"/>
      <c r="M11" s="573"/>
      <c r="N11" s="456">
        <f t="shared" si="0"/>
        <v>0</v>
      </c>
      <c r="O11" s="487"/>
      <c r="P11" s="487"/>
      <c r="Q11" s="274">
        <f t="shared" si="7"/>
        <v>0</v>
      </c>
      <c r="R11" s="574">
        <f t="shared" si="8"/>
        <v>0</v>
      </c>
      <c r="S11" s="275">
        <f t="shared" si="9"/>
        <v>0</v>
      </c>
      <c r="T11" s="575"/>
      <c r="U11" s="487"/>
      <c r="V11" s="576"/>
      <c r="W11" s="573"/>
      <c r="X11" s="574">
        <f t="shared" si="3"/>
        <v>0</v>
      </c>
      <c r="Y11" s="487"/>
      <c r="Z11" s="487"/>
      <c r="AA11" s="276">
        <f t="shared" si="4"/>
        <v>0</v>
      </c>
      <c r="AB11" s="573">
        <v>24891340</v>
      </c>
      <c r="AC11" s="487">
        <v>19763102</v>
      </c>
      <c r="AD11" s="455">
        <v>9087453</v>
      </c>
      <c r="AE11" s="487">
        <v>10000000</v>
      </c>
      <c r="AF11" s="577">
        <f t="shared" si="10"/>
        <v>33978793</v>
      </c>
      <c r="AG11" s="275">
        <f t="shared" si="11"/>
        <v>29763102</v>
      </c>
    </row>
    <row r="12" spans="1:33" s="578" customFormat="1" ht="12" customHeight="1">
      <c r="A12" s="568" t="s">
        <v>1270</v>
      </c>
      <c r="B12" s="569" t="s">
        <v>1793</v>
      </c>
      <c r="C12" s="579" t="s">
        <v>1543</v>
      </c>
      <c r="D12" s="571">
        <v>100858</v>
      </c>
      <c r="E12" s="572">
        <v>1</v>
      </c>
      <c r="F12" s="573"/>
      <c r="G12" s="487"/>
      <c r="H12" s="573"/>
      <c r="I12" s="487"/>
      <c r="J12" s="573"/>
      <c r="K12" s="487"/>
      <c r="L12" s="573"/>
      <c r="M12" s="573"/>
      <c r="N12" s="456">
        <f t="shared" si="0"/>
        <v>0</v>
      </c>
      <c r="O12" s="487"/>
      <c r="P12" s="487"/>
      <c r="Q12" s="274">
        <f t="shared" si="7"/>
        <v>0</v>
      </c>
      <c r="R12" s="574">
        <f t="shared" si="8"/>
        <v>0</v>
      </c>
      <c r="S12" s="275">
        <f t="shared" si="9"/>
        <v>0</v>
      </c>
      <c r="T12" s="575"/>
      <c r="U12" s="487"/>
      <c r="V12" s="576"/>
      <c r="W12" s="573"/>
      <c r="X12" s="574">
        <f t="shared" si="3"/>
        <v>0</v>
      </c>
      <c r="Y12" s="487"/>
      <c r="Z12" s="487"/>
      <c r="AA12" s="276">
        <f t="shared" si="4"/>
        <v>0</v>
      </c>
      <c r="AB12" s="573">
        <v>50000</v>
      </c>
      <c r="AC12" s="487"/>
      <c r="AD12" s="573"/>
      <c r="AE12" s="487"/>
      <c r="AF12" s="577">
        <f t="shared" si="10"/>
        <v>50000</v>
      </c>
      <c r="AG12" s="275">
        <f t="shared" si="11"/>
        <v>0</v>
      </c>
    </row>
    <row r="13" spans="1:33" s="578" customFormat="1" ht="12" customHeight="1">
      <c r="A13" s="568" t="s">
        <v>1270</v>
      </c>
      <c r="B13" s="569" t="s">
        <v>1777</v>
      </c>
      <c r="C13" s="245" t="s">
        <v>1597</v>
      </c>
      <c r="D13" s="571">
        <v>100858</v>
      </c>
      <c r="E13" s="572">
        <v>1</v>
      </c>
      <c r="F13" s="573"/>
      <c r="G13" s="487"/>
      <c r="H13" s="573"/>
      <c r="I13" s="487"/>
      <c r="J13" s="573"/>
      <c r="K13" s="487"/>
      <c r="L13" s="573"/>
      <c r="M13" s="573"/>
      <c r="N13" s="456">
        <f t="shared" si="0"/>
        <v>0</v>
      </c>
      <c r="O13" s="487"/>
      <c r="P13" s="487"/>
      <c r="Q13" s="274">
        <f t="shared" si="7"/>
        <v>0</v>
      </c>
      <c r="R13" s="574">
        <f t="shared" si="8"/>
        <v>0</v>
      </c>
      <c r="S13" s="275">
        <f t="shared" si="9"/>
        <v>0</v>
      </c>
      <c r="T13" s="575"/>
      <c r="U13" s="487"/>
      <c r="V13" s="576"/>
      <c r="W13" s="573"/>
      <c r="X13" s="574">
        <f t="shared" si="3"/>
        <v>0</v>
      </c>
      <c r="Y13" s="487"/>
      <c r="Z13" s="487"/>
      <c r="AA13" s="276">
        <f t="shared" si="4"/>
        <v>0</v>
      </c>
      <c r="AB13" s="573"/>
      <c r="AC13" s="487"/>
      <c r="AD13" s="573"/>
      <c r="AE13" s="487"/>
      <c r="AF13" s="577">
        <f t="shared" si="10"/>
        <v>0</v>
      </c>
      <c r="AG13" s="275">
        <f t="shared" si="11"/>
        <v>0</v>
      </c>
    </row>
    <row r="14" spans="1:33" s="578" customFormat="1" ht="12" customHeight="1">
      <c r="A14" s="568" t="s">
        <v>1270</v>
      </c>
      <c r="B14" s="569" t="s">
        <v>1778</v>
      </c>
      <c r="C14" s="237" t="s">
        <v>1891</v>
      </c>
      <c r="D14" s="571">
        <v>100858</v>
      </c>
      <c r="E14" s="572">
        <v>1</v>
      </c>
      <c r="F14" s="573"/>
      <c r="G14" s="487"/>
      <c r="H14" s="573"/>
      <c r="I14" s="487"/>
      <c r="J14" s="573"/>
      <c r="K14" s="487"/>
      <c r="L14" s="573"/>
      <c r="M14" s="573"/>
      <c r="N14" s="456">
        <f t="shared" si="0"/>
        <v>0</v>
      </c>
      <c r="O14" s="487"/>
      <c r="P14" s="487"/>
      <c r="Q14" s="274">
        <f t="shared" si="7"/>
        <v>0</v>
      </c>
      <c r="R14" s="574">
        <f t="shared" si="8"/>
        <v>0</v>
      </c>
      <c r="S14" s="275">
        <f t="shared" si="9"/>
        <v>0</v>
      </c>
      <c r="T14" s="575"/>
      <c r="U14" s="487"/>
      <c r="V14" s="576"/>
      <c r="W14" s="573"/>
      <c r="X14" s="574">
        <f t="shared" si="3"/>
        <v>0</v>
      </c>
      <c r="Y14" s="487"/>
      <c r="Z14" s="487"/>
      <c r="AA14" s="276">
        <f t="shared" si="4"/>
        <v>0</v>
      </c>
      <c r="AB14" s="573"/>
      <c r="AC14" s="487"/>
      <c r="AD14" s="573"/>
      <c r="AE14" s="487"/>
      <c r="AF14" s="577">
        <f t="shared" si="10"/>
        <v>0</v>
      </c>
      <c r="AG14" s="275">
        <f t="shared" si="11"/>
        <v>0</v>
      </c>
    </row>
    <row r="15" spans="1:33" s="578" customFormat="1" ht="12" customHeight="1">
      <c r="A15" s="568" t="s">
        <v>1270</v>
      </c>
      <c r="B15" s="569" t="s">
        <v>1778</v>
      </c>
      <c r="C15" s="579" t="s">
        <v>460</v>
      </c>
      <c r="D15" s="571">
        <v>100858</v>
      </c>
      <c r="E15" s="572">
        <v>1</v>
      </c>
      <c r="F15" s="573"/>
      <c r="G15" s="487"/>
      <c r="H15" s="573">
        <v>150000</v>
      </c>
      <c r="I15" s="1208">
        <v>120150</v>
      </c>
      <c r="J15" s="573"/>
      <c r="K15" s="487"/>
      <c r="L15" s="573"/>
      <c r="M15" s="573"/>
      <c r="N15" s="456">
        <f t="shared" si="0"/>
        <v>0</v>
      </c>
      <c r="O15" s="487"/>
      <c r="P15" s="487"/>
      <c r="Q15" s="274">
        <f t="shared" si="7"/>
        <v>0</v>
      </c>
      <c r="R15" s="574">
        <f t="shared" si="8"/>
        <v>150000</v>
      </c>
      <c r="S15" s="275">
        <f t="shared" si="9"/>
        <v>120150</v>
      </c>
      <c r="T15" s="575"/>
      <c r="U15" s="487"/>
      <c r="V15" s="576"/>
      <c r="W15" s="573"/>
      <c r="X15" s="574">
        <f t="shared" si="3"/>
        <v>0</v>
      </c>
      <c r="Y15" s="487"/>
      <c r="Z15" s="487"/>
      <c r="AA15" s="276">
        <f t="shared" si="4"/>
        <v>0</v>
      </c>
      <c r="AB15" s="573"/>
      <c r="AC15" s="487"/>
      <c r="AD15" s="573"/>
      <c r="AE15" s="487"/>
      <c r="AF15" s="577">
        <f t="shared" si="10"/>
        <v>150000</v>
      </c>
      <c r="AG15" s="275">
        <f t="shared" si="11"/>
        <v>120150</v>
      </c>
    </row>
    <row r="16" spans="1:33" s="578" customFormat="1" ht="12" customHeight="1">
      <c r="A16" s="568" t="s">
        <v>1270</v>
      </c>
      <c r="B16" s="569" t="s">
        <v>1778</v>
      </c>
      <c r="C16" s="579" t="s">
        <v>1544</v>
      </c>
      <c r="D16" s="571">
        <v>100858</v>
      </c>
      <c r="E16" s="572">
        <v>1</v>
      </c>
      <c r="F16" s="573"/>
      <c r="G16" s="487"/>
      <c r="H16" s="573">
        <v>100000</v>
      </c>
      <c r="I16" s="1208">
        <v>66750</v>
      </c>
      <c r="J16" s="573"/>
      <c r="K16" s="487"/>
      <c r="L16" s="573"/>
      <c r="M16" s="573"/>
      <c r="N16" s="456">
        <f t="shared" si="0"/>
        <v>0</v>
      </c>
      <c r="O16" s="487"/>
      <c r="P16" s="487"/>
      <c r="Q16" s="274">
        <f t="shared" si="7"/>
        <v>0</v>
      </c>
      <c r="R16" s="574">
        <f t="shared" si="8"/>
        <v>100000</v>
      </c>
      <c r="S16" s="275">
        <f t="shared" si="9"/>
        <v>66750</v>
      </c>
      <c r="T16" s="575"/>
      <c r="U16" s="487"/>
      <c r="V16" s="576"/>
      <c r="W16" s="573"/>
      <c r="X16" s="574">
        <f t="shared" si="3"/>
        <v>0</v>
      </c>
      <c r="Y16" s="487"/>
      <c r="Z16" s="487"/>
      <c r="AA16" s="276">
        <f t="shared" si="4"/>
        <v>0</v>
      </c>
      <c r="AB16" s="573"/>
      <c r="AC16" s="487"/>
      <c r="AD16" s="573"/>
      <c r="AE16" s="487"/>
      <c r="AF16" s="577">
        <f t="shared" si="10"/>
        <v>100000</v>
      </c>
      <c r="AG16" s="275">
        <f t="shared" si="11"/>
        <v>66750</v>
      </c>
    </row>
    <row r="17" spans="1:33" s="578" customFormat="1" ht="12" customHeight="1">
      <c r="A17" s="568" t="s">
        <v>1270</v>
      </c>
      <c r="B17" s="569" t="s">
        <v>1779</v>
      </c>
      <c r="C17" s="238" t="s">
        <v>1770</v>
      </c>
      <c r="D17" s="571">
        <v>100858</v>
      </c>
      <c r="E17" s="572">
        <v>1</v>
      </c>
      <c r="F17" s="573"/>
      <c r="G17" s="487"/>
      <c r="H17" s="573"/>
      <c r="I17" s="487"/>
      <c r="J17" s="573"/>
      <c r="K17" s="487"/>
      <c r="L17" s="573"/>
      <c r="M17" s="573"/>
      <c r="N17" s="456">
        <f t="shared" si="0"/>
        <v>0</v>
      </c>
      <c r="O17" s="487"/>
      <c r="P17" s="487"/>
      <c r="Q17" s="274">
        <f t="shared" si="7"/>
        <v>0</v>
      </c>
      <c r="R17" s="574">
        <f t="shared" si="8"/>
        <v>0</v>
      </c>
      <c r="S17" s="275">
        <f t="shared" si="9"/>
        <v>0</v>
      </c>
      <c r="T17" s="575"/>
      <c r="U17" s="487"/>
      <c r="V17" s="576"/>
      <c r="W17" s="573"/>
      <c r="X17" s="574">
        <f t="shared" si="3"/>
        <v>0</v>
      </c>
      <c r="Y17" s="487"/>
      <c r="Z17" s="487"/>
      <c r="AA17" s="276">
        <f t="shared" si="4"/>
        <v>0</v>
      </c>
      <c r="AB17" s="573"/>
      <c r="AC17" s="487"/>
      <c r="AD17" s="573"/>
      <c r="AE17" s="487"/>
      <c r="AF17" s="577">
        <f t="shared" si="10"/>
        <v>0</v>
      </c>
      <c r="AG17" s="275">
        <f t="shared" si="11"/>
        <v>0</v>
      </c>
    </row>
    <row r="18" spans="1:33" s="578" customFormat="1" ht="12" customHeight="1">
      <c r="A18" s="568" t="s">
        <v>1270</v>
      </c>
      <c r="B18" s="569" t="s">
        <v>1779</v>
      </c>
      <c r="C18" s="579" t="s">
        <v>461</v>
      </c>
      <c r="D18" s="571">
        <v>100858</v>
      </c>
      <c r="E18" s="572">
        <v>1</v>
      </c>
      <c r="F18" s="573"/>
      <c r="G18" s="487"/>
      <c r="H18" s="573">
        <v>330577</v>
      </c>
      <c r="I18" s="1208">
        <v>294214</v>
      </c>
      <c r="J18" s="573"/>
      <c r="K18" s="487"/>
      <c r="L18" s="573"/>
      <c r="M18" s="573"/>
      <c r="N18" s="456">
        <f t="shared" si="0"/>
        <v>0</v>
      </c>
      <c r="O18" s="487"/>
      <c r="P18" s="487"/>
      <c r="Q18" s="274">
        <f t="shared" si="7"/>
        <v>0</v>
      </c>
      <c r="R18" s="574">
        <f t="shared" si="8"/>
        <v>330577</v>
      </c>
      <c r="S18" s="275">
        <f t="shared" si="9"/>
        <v>294214</v>
      </c>
      <c r="T18" s="575"/>
      <c r="U18" s="487"/>
      <c r="V18" s="576"/>
      <c r="W18" s="573"/>
      <c r="X18" s="574">
        <f t="shared" si="3"/>
        <v>0</v>
      </c>
      <c r="Y18" s="487"/>
      <c r="Z18" s="487"/>
      <c r="AA18" s="276">
        <f t="shared" si="4"/>
        <v>0</v>
      </c>
      <c r="AB18" s="573"/>
      <c r="AC18" s="487"/>
      <c r="AD18" s="573"/>
      <c r="AE18" s="487"/>
      <c r="AF18" s="577">
        <f t="shared" si="10"/>
        <v>330577</v>
      </c>
      <c r="AG18" s="275">
        <f t="shared" si="11"/>
        <v>294214</v>
      </c>
    </row>
    <row r="19" spans="1:33" s="578" customFormat="1" ht="12" customHeight="1">
      <c r="A19" s="568" t="s">
        <v>1270</v>
      </c>
      <c r="B19" s="569" t="s">
        <v>1780</v>
      </c>
      <c r="C19" s="238" t="s">
        <v>1769</v>
      </c>
      <c r="D19" s="571">
        <v>100858</v>
      </c>
      <c r="E19" s="572">
        <v>1</v>
      </c>
      <c r="F19" s="573"/>
      <c r="G19" s="487"/>
      <c r="H19" s="573">
        <v>44607934</v>
      </c>
      <c r="I19" s="1208">
        <v>34129784</v>
      </c>
      <c r="J19" s="573"/>
      <c r="K19" s="487"/>
      <c r="L19" s="573"/>
      <c r="M19" s="573"/>
      <c r="N19" s="456">
        <f t="shared" si="0"/>
        <v>0</v>
      </c>
      <c r="O19" s="487"/>
      <c r="P19" s="487"/>
      <c r="Q19" s="274">
        <f t="shared" si="7"/>
        <v>0</v>
      </c>
      <c r="R19" s="574">
        <f t="shared" si="8"/>
        <v>44607934</v>
      </c>
      <c r="S19" s="275">
        <f t="shared" si="9"/>
        <v>34129784</v>
      </c>
      <c r="T19" s="575"/>
      <c r="U19" s="487"/>
      <c r="V19" s="576"/>
      <c r="W19" s="573"/>
      <c r="X19" s="574">
        <f t="shared" si="3"/>
        <v>0</v>
      </c>
      <c r="Y19" s="487"/>
      <c r="Z19" s="487"/>
      <c r="AA19" s="276">
        <f t="shared" si="4"/>
        <v>0</v>
      </c>
      <c r="AB19" s="573"/>
      <c r="AC19" s="487"/>
      <c r="AD19" s="573"/>
      <c r="AE19" s="487"/>
      <c r="AF19" s="577">
        <f t="shared" si="10"/>
        <v>44607934</v>
      </c>
      <c r="AG19" s="275">
        <f t="shared" si="11"/>
        <v>34129784</v>
      </c>
    </row>
    <row r="20" spans="1:33" s="578" customFormat="1" ht="12" customHeight="1">
      <c r="A20" s="568" t="s">
        <v>1270</v>
      </c>
      <c r="B20" s="569" t="s">
        <v>1781</v>
      </c>
      <c r="C20" s="238" t="s">
        <v>1768</v>
      </c>
      <c r="D20" s="571">
        <v>100858</v>
      </c>
      <c r="E20" s="572">
        <v>1</v>
      </c>
      <c r="F20" s="573"/>
      <c r="G20" s="487"/>
      <c r="H20" s="573">
        <v>41192188</v>
      </c>
      <c r="I20" s="1208">
        <v>31768960</v>
      </c>
      <c r="J20" s="573"/>
      <c r="K20" s="487"/>
      <c r="L20" s="573"/>
      <c r="M20" s="573"/>
      <c r="N20" s="456">
        <f t="shared" si="0"/>
        <v>0</v>
      </c>
      <c r="O20" s="487"/>
      <c r="P20" s="487"/>
      <c r="Q20" s="274">
        <f t="shared" si="7"/>
        <v>0</v>
      </c>
      <c r="R20" s="574">
        <f t="shared" si="8"/>
        <v>41192188</v>
      </c>
      <c r="S20" s="275">
        <f t="shared" si="9"/>
        <v>31768960</v>
      </c>
      <c r="T20" s="575"/>
      <c r="U20" s="487"/>
      <c r="V20" s="576"/>
      <c r="W20" s="573"/>
      <c r="X20" s="574">
        <f t="shared" si="3"/>
        <v>0</v>
      </c>
      <c r="Y20" s="487"/>
      <c r="Z20" s="487"/>
      <c r="AA20" s="276">
        <f t="shared" si="4"/>
        <v>0</v>
      </c>
      <c r="AB20" s="573"/>
      <c r="AC20" s="487"/>
      <c r="AD20" s="573"/>
      <c r="AE20" s="487"/>
      <c r="AF20" s="577">
        <f t="shared" si="10"/>
        <v>41192188</v>
      </c>
      <c r="AG20" s="275">
        <f t="shared" si="11"/>
        <v>31768960</v>
      </c>
    </row>
    <row r="21" spans="1:33" s="578" customFormat="1" ht="12" customHeight="1">
      <c r="A21" s="568" t="s">
        <v>1270</v>
      </c>
      <c r="B21" s="569" t="s">
        <v>1783</v>
      </c>
      <c r="C21" s="238" t="s">
        <v>1881</v>
      </c>
      <c r="D21" s="571">
        <v>100858</v>
      </c>
      <c r="E21" s="572">
        <v>1</v>
      </c>
      <c r="F21" s="573"/>
      <c r="G21" s="487"/>
      <c r="H21" s="573"/>
      <c r="I21" s="487"/>
      <c r="J21" s="573"/>
      <c r="K21" s="487"/>
      <c r="L21" s="573"/>
      <c r="M21" s="573"/>
      <c r="N21" s="456">
        <f t="shared" si="0"/>
        <v>0</v>
      </c>
      <c r="O21" s="487"/>
      <c r="P21" s="487"/>
      <c r="Q21" s="274">
        <f t="shared" si="7"/>
        <v>0</v>
      </c>
      <c r="R21" s="574">
        <f t="shared" si="8"/>
        <v>0</v>
      </c>
      <c r="S21" s="275">
        <f t="shared" si="9"/>
        <v>0</v>
      </c>
      <c r="T21" s="575"/>
      <c r="U21" s="487"/>
      <c r="V21" s="576"/>
      <c r="W21" s="573"/>
      <c r="X21" s="574">
        <f t="shared" si="3"/>
        <v>0</v>
      </c>
      <c r="Y21" s="487"/>
      <c r="Z21" s="487"/>
      <c r="AA21" s="276">
        <f t="shared" si="4"/>
        <v>0</v>
      </c>
      <c r="AB21" s="573"/>
      <c r="AC21" s="487"/>
      <c r="AD21" s="573"/>
      <c r="AE21" s="487"/>
      <c r="AF21" s="577">
        <f t="shared" si="10"/>
        <v>0</v>
      </c>
      <c r="AG21" s="275">
        <f t="shared" si="11"/>
        <v>0</v>
      </c>
    </row>
    <row r="22" spans="1:33" s="578" customFormat="1" ht="12" customHeight="1">
      <c r="A22" s="568" t="s">
        <v>1270</v>
      </c>
      <c r="B22" s="569" t="s">
        <v>1783</v>
      </c>
      <c r="C22" s="579" t="s">
        <v>459</v>
      </c>
      <c r="D22" s="571">
        <v>100858</v>
      </c>
      <c r="E22" s="572">
        <v>1</v>
      </c>
      <c r="F22" s="573"/>
      <c r="G22" s="487"/>
      <c r="H22" s="573">
        <v>200000</v>
      </c>
      <c r="I22" s="487"/>
      <c r="J22" s="573"/>
      <c r="K22" s="487"/>
      <c r="L22" s="573"/>
      <c r="M22" s="573"/>
      <c r="N22" s="456">
        <f t="shared" si="0"/>
        <v>0</v>
      </c>
      <c r="O22" s="487"/>
      <c r="P22" s="487"/>
      <c r="Q22" s="274">
        <f t="shared" si="7"/>
        <v>0</v>
      </c>
      <c r="R22" s="574">
        <f t="shared" si="8"/>
        <v>200000</v>
      </c>
      <c r="S22" s="275">
        <f t="shared" si="9"/>
        <v>0</v>
      </c>
      <c r="T22" s="575"/>
      <c r="U22" s="487"/>
      <c r="V22" s="576"/>
      <c r="W22" s="573"/>
      <c r="X22" s="574">
        <f t="shared" si="3"/>
        <v>0</v>
      </c>
      <c r="Y22" s="487"/>
      <c r="Z22" s="487"/>
      <c r="AA22" s="276">
        <f t="shared" si="4"/>
        <v>0</v>
      </c>
      <c r="AB22" s="573"/>
      <c r="AC22" s="487"/>
      <c r="AD22" s="573"/>
      <c r="AE22" s="487"/>
      <c r="AF22" s="577">
        <f t="shared" si="10"/>
        <v>200000</v>
      </c>
      <c r="AG22" s="275">
        <f t="shared" si="11"/>
        <v>0</v>
      </c>
    </row>
    <row r="23" spans="1:33" s="578" customFormat="1" ht="12" customHeight="1">
      <c r="A23" s="568" t="s">
        <v>1270</v>
      </c>
      <c r="B23" s="569" t="s">
        <v>1776</v>
      </c>
      <c r="C23" s="570" t="s">
        <v>463</v>
      </c>
      <c r="D23" s="571">
        <v>100751</v>
      </c>
      <c r="E23" s="572">
        <v>1</v>
      </c>
      <c r="F23" s="573">
        <f>187247531+835951</f>
        <v>188083482</v>
      </c>
      <c r="G23" s="1208">
        <v>147378368</v>
      </c>
      <c r="H23" s="573"/>
      <c r="I23" s="487"/>
      <c r="J23" s="573"/>
      <c r="K23" s="487"/>
      <c r="L23" s="455">
        <v>235323219</v>
      </c>
      <c r="M23" s="573">
        <v>3029139</v>
      </c>
      <c r="N23" s="456">
        <f t="shared" si="0"/>
        <v>238352358</v>
      </c>
      <c r="O23" s="487">
        <v>233914008</v>
      </c>
      <c r="P23" s="487">
        <v>3029139</v>
      </c>
      <c r="Q23" s="274">
        <f t="shared" si="7"/>
        <v>236943147</v>
      </c>
      <c r="R23" s="574">
        <f t="shared" si="8"/>
        <v>423406701</v>
      </c>
      <c r="S23" s="275">
        <f t="shared" si="9"/>
        <v>381292376</v>
      </c>
      <c r="T23" s="575"/>
      <c r="U23" s="487"/>
      <c r="V23" s="576"/>
      <c r="W23" s="573"/>
      <c r="X23" s="574">
        <f t="shared" si="3"/>
        <v>0</v>
      </c>
      <c r="Y23" s="487"/>
      <c r="Z23" s="487"/>
      <c r="AA23" s="276">
        <f t="shared" si="4"/>
        <v>0</v>
      </c>
      <c r="AB23" s="573"/>
      <c r="AC23" s="487"/>
      <c r="AD23" s="573"/>
      <c r="AE23" s="487"/>
      <c r="AF23" s="577">
        <f t="shared" si="10"/>
        <v>423406701</v>
      </c>
      <c r="AG23" s="275">
        <f t="shared" si="11"/>
        <v>381292376</v>
      </c>
    </row>
    <row r="24" spans="1:33" s="578" customFormat="1" ht="12" customHeight="1">
      <c r="A24" s="568" t="s">
        <v>1270</v>
      </c>
      <c r="B24" s="569" t="s">
        <v>1793</v>
      </c>
      <c r="C24" s="238" t="s">
        <v>464</v>
      </c>
      <c r="D24" s="571">
        <v>100751</v>
      </c>
      <c r="E24" s="572">
        <v>1</v>
      </c>
      <c r="F24" s="573"/>
      <c r="G24" s="487"/>
      <c r="H24" s="573"/>
      <c r="I24" s="487"/>
      <c r="J24" s="573"/>
      <c r="K24" s="487"/>
      <c r="L24" s="573"/>
      <c r="M24" s="573"/>
      <c r="N24" s="456">
        <f t="shared" si="0"/>
        <v>0</v>
      </c>
      <c r="O24" s="487"/>
      <c r="P24" s="487"/>
      <c r="Q24" s="274">
        <f t="shared" si="7"/>
        <v>0</v>
      </c>
      <c r="R24" s="574">
        <f t="shared" si="8"/>
        <v>0</v>
      </c>
      <c r="S24" s="275">
        <f t="shared" si="9"/>
        <v>0</v>
      </c>
      <c r="T24" s="575"/>
      <c r="U24" s="487"/>
      <c r="V24" s="576"/>
      <c r="W24" s="573"/>
      <c r="X24" s="574">
        <f t="shared" si="3"/>
        <v>0</v>
      </c>
      <c r="Y24" s="487"/>
      <c r="Z24" s="487"/>
      <c r="AA24" s="276">
        <f t="shared" si="4"/>
        <v>0</v>
      </c>
      <c r="AB24" s="573">
        <v>10283891</v>
      </c>
      <c r="AC24" s="487">
        <v>8891625</v>
      </c>
      <c r="AD24" s="573">
        <v>895519</v>
      </c>
      <c r="AE24" s="487">
        <v>1128846</v>
      </c>
      <c r="AF24" s="577">
        <f t="shared" si="10"/>
        <v>11179410</v>
      </c>
      <c r="AG24" s="275">
        <f t="shared" si="11"/>
        <v>10020471</v>
      </c>
    </row>
    <row r="25" spans="1:33" s="578" customFormat="1" ht="12" customHeight="1">
      <c r="A25" s="568" t="s">
        <v>1270</v>
      </c>
      <c r="B25" s="569" t="s">
        <v>1778</v>
      </c>
      <c r="C25" s="237" t="s">
        <v>1891</v>
      </c>
      <c r="D25" s="571">
        <v>100751</v>
      </c>
      <c r="E25" s="572">
        <v>1</v>
      </c>
      <c r="F25" s="573"/>
      <c r="G25" s="487"/>
      <c r="H25" s="573"/>
      <c r="I25" s="487"/>
      <c r="J25" s="573"/>
      <c r="K25" s="487"/>
      <c r="L25" s="573"/>
      <c r="M25" s="573"/>
      <c r="N25" s="456">
        <f t="shared" si="0"/>
        <v>0</v>
      </c>
      <c r="O25" s="487"/>
      <c r="P25" s="487"/>
      <c r="Q25" s="274">
        <f t="shared" si="7"/>
        <v>0</v>
      </c>
      <c r="R25" s="574">
        <f t="shared" si="8"/>
        <v>0</v>
      </c>
      <c r="S25" s="275">
        <f t="shared" si="9"/>
        <v>0</v>
      </c>
      <c r="T25" s="575"/>
      <c r="U25" s="487"/>
      <c r="V25" s="576"/>
      <c r="W25" s="573"/>
      <c r="X25" s="574">
        <f t="shared" si="3"/>
        <v>0</v>
      </c>
      <c r="Y25" s="487"/>
      <c r="Z25" s="487"/>
      <c r="AA25" s="276">
        <f t="shared" si="4"/>
        <v>0</v>
      </c>
      <c r="AB25" s="573"/>
      <c r="AC25" s="487"/>
      <c r="AD25" s="573"/>
      <c r="AE25" s="487"/>
      <c r="AF25" s="577">
        <f t="shared" si="10"/>
        <v>0</v>
      </c>
      <c r="AG25" s="275">
        <f t="shared" si="11"/>
        <v>0</v>
      </c>
    </row>
    <row r="26" spans="1:33" s="578" customFormat="1" ht="12" customHeight="1">
      <c r="A26" s="568" t="s">
        <v>1270</v>
      </c>
      <c r="B26" s="569" t="s">
        <v>1778</v>
      </c>
      <c r="C26" s="579" t="s">
        <v>465</v>
      </c>
      <c r="D26" s="571">
        <v>100751</v>
      </c>
      <c r="E26" s="572">
        <v>1</v>
      </c>
      <c r="F26" s="573"/>
      <c r="G26" s="487"/>
      <c r="H26" s="573">
        <v>700000</v>
      </c>
      <c r="I26" s="487"/>
      <c r="J26" s="573"/>
      <c r="K26" s="487"/>
      <c r="L26" s="573"/>
      <c r="M26" s="573"/>
      <c r="N26" s="456">
        <f t="shared" si="0"/>
        <v>0</v>
      </c>
      <c r="O26" s="487"/>
      <c r="P26" s="487"/>
      <c r="Q26" s="274">
        <f t="shared" si="7"/>
        <v>0</v>
      </c>
      <c r="R26" s="574">
        <f t="shared" si="8"/>
        <v>700000</v>
      </c>
      <c r="S26" s="275">
        <f t="shared" si="9"/>
        <v>0</v>
      </c>
      <c r="T26" s="575"/>
      <c r="U26" s="487"/>
      <c r="V26" s="576"/>
      <c r="W26" s="573"/>
      <c r="X26" s="574">
        <f t="shared" si="3"/>
        <v>0</v>
      </c>
      <c r="Y26" s="487"/>
      <c r="Z26" s="487"/>
      <c r="AA26" s="276">
        <f t="shared" si="4"/>
        <v>0</v>
      </c>
      <c r="AB26" s="573"/>
      <c r="AC26" s="487"/>
      <c r="AD26" s="573"/>
      <c r="AE26" s="487"/>
      <c r="AF26" s="577">
        <f t="shared" si="10"/>
        <v>700000</v>
      </c>
      <c r="AG26" s="275">
        <f t="shared" si="11"/>
        <v>0</v>
      </c>
    </row>
    <row r="27" spans="1:33" s="578" customFormat="1" ht="12" customHeight="1">
      <c r="A27" s="568" t="s">
        <v>1270</v>
      </c>
      <c r="B27" s="569" t="s">
        <v>1778</v>
      </c>
      <c r="C27" s="579" t="s">
        <v>1545</v>
      </c>
      <c r="D27" s="571">
        <v>100751</v>
      </c>
      <c r="E27" s="572">
        <v>1</v>
      </c>
      <c r="F27" s="573"/>
      <c r="G27" s="487"/>
      <c r="H27" s="573">
        <v>250000</v>
      </c>
      <c r="I27" s="1208">
        <v>222500</v>
      </c>
      <c r="J27" s="573"/>
      <c r="K27" s="487"/>
      <c r="L27" s="573"/>
      <c r="M27" s="573"/>
      <c r="N27" s="456">
        <f t="shared" si="0"/>
        <v>0</v>
      </c>
      <c r="O27" s="487"/>
      <c r="P27" s="487"/>
      <c r="Q27" s="274">
        <f t="shared" si="7"/>
        <v>0</v>
      </c>
      <c r="R27" s="574">
        <f t="shared" si="8"/>
        <v>250000</v>
      </c>
      <c r="S27" s="275">
        <f t="shared" si="9"/>
        <v>222500</v>
      </c>
      <c r="T27" s="575"/>
      <c r="U27" s="487"/>
      <c r="V27" s="576"/>
      <c r="W27" s="573"/>
      <c r="X27" s="574">
        <f t="shared" si="3"/>
        <v>0</v>
      </c>
      <c r="Y27" s="487"/>
      <c r="Z27" s="487"/>
      <c r="AA27" s="276">
        <f t="shared" si="4"/>
        <v>0</v>
      </c>
      <c r="AB27" s="573"/>
      <c r="AC27" s="487"/>
      <c r="AD27" s="573"/>
      <c r="AE27" s="487"/>
      <c r="AF27" s="577">
        <f t="shared" si="10"/>
        <v>250000</v>
      </c>
      <c r="AG27" s="275">
        <f t="shared" si="11"/>
        <v>222500</v>
      </c>
    </row>
    <row r="28" spans="1:33" s="578" customFormat="1" ht="12" customHeight="1">
      <c r="A28" s="568" t="s">
        <v>1270</v>
      </c>
      <c r="B28" s="569" t="s">
        <v>1778</v>
      </c>
      <c r="C28" s="579" t="s">
        <v>466</v>
      </c>
      <c r="D28" s="571">
        <v>100751</v>
      </c>
      <c r="E28" s="572">
        <v>1</v>
      </c>
      <c r="F28" s="573"/>
      <c r="G28" s="487"/>
      <c r="H28" s="573">
        <v>100000</v>
      </c>
      <c r="I28" s="1208">
        <v>178000</v>
      </c>
      <c r="J28" s="573"/>
      <c r="K28" s="487"/>
      <c r="L28" s="573"/>
      <c r="M28" s="573"/>
      <c r="N28" s="456">
        <f t="shared" si="0"/>
        <v>0</v>
      </c>
      <c r="O28" s="487"/>
      <c r="P28" s="487"/>
      <c r="Q28" s="274">
        <f t="shared" si="7"/>
        <v>0</v>
      </c>
      <c r="R28" s="574">
        <f t="shared" si="8"/>
        <v>100000</v>
      </c>
      <c r="S28" s="275">
        <f t="shared" si="9"/>
        <v>178000</v>
      </c>
      <c r="T28" s="575"/>
      <c r="U28" s="487"/>
      <c r="V28" s="576"/>
      <c r="W28" s="573"/>
      <c r="X28" s="574">
        <f t="shared" si="3"/>
        <v>0</v>
      </c>
      <c r="Y28" s="487"/>
      <c r="Z28" s="487"/>
      <c r="AA28" s="276">
        <f t="shared" si="4"/>
        <v>0</v>
      </c>
      <c r="AB28" s="573"/>
      <c r="AC28" s="487"/>
      <c r="AD28" s="573"/>
      <c r="AE28" s="487"/>
      <c r="AF28" s="577">
        <f t="shared" si="10"/>
        <v>100000</v>
      </c>
      <c r="AG28" s="275">
        <f t="shared" si="11"/>
        <v>178000</v>
      </c>
    </row>
    <row r="29" spans="1:33" s="578" customFormat="1" ht="12" customHeight="1">
      <c r="A29" s="568" t="s">
        <v>1270</v>
      </c>
      <c r="B29" s="569" t="s">
        <v>1779</v>
      </c>
      <c r="C29" s="238" t="s">
        <v>1770</v>
      </c>
      <c r="D29" s="571">
        <v>100751</v>
      </c>
      <c r="E29" s="572">
        <v>1</v>
      </c>
      <c r="F29" s="573"/>
      <c r="G29" s="487"/>
      <c r="H29" s="573"/>
      <c r="I29" s="487"/>
      <c r="J29" s="573"/>
      <c r="K29" s="487"/>
      <c r="L29" s="573"/>
      <c r="M29" s="573"/>
      <c r="N29" s="456">
        <f t="shared" si="0"/>
        <v>0</v>
      </c>
      <c r="O29" s="487"/>
      <c r="P29" s="487"/>
      <c r="Q29" s="274">
        <f t="shared" si="7"/>
        <v>0</v>
      </c>
      <c r="R29" s="574">
        <f t="shared" si="8"/>
        <v>0</v>
      </c>
      <c r="S29" s="275">
        <f t="shared" si="9"/>
        <v>0</v>
      </c>
      <c r="T29" s="575"/>
      <c r="U29" s="487"/>
      <c r="V29" s="576"/>
      <c r="W29" s="573"/>
      <c r="X29" s="574">
        <f t="shared" si="3"/>
        <v>0</v>
      </c>
      <c r="Y29" s="487"/>
      <c r="Z29" s="487"/>
      <c r="AA29" s="276">
        <f t="shared" si="4"/>
        <v>0</v>
      </c>
      <c r="AB29" s="573"/>
      <c r="AC29" s="487"/>
      <c r="AD29" s="573"/>
      <c r="AE29" s="487"/>
      <c r="AF29" s="577">
        <f t="shared" si="10"/>
        <v>0</v>
      </c>
      <c r="AG29" s="275">
        <f t="shared" si="11"/>
        <v>0</v>
      </c>
    </row>
    <row r="30" spans="1:33" s="578" customFormat="1" ht="12" customHeight="1">
      <c r="A30" s="568" t="s">
        <v>1270</v>
      </c>
      <c r="B30" s="569" t="s">
        <v>1779</v>
      </c>
      <c r="C30" s="579" t="s">
        <v>461</v>
      </c>
      <c r="D30" s="571">
        <v>100751</v>
      </c>
      <c r="E30" s="572">
        <v>1</v>
      </c>
      <c r="F30" s="573"/>
      <c r="G30" s="487"/>
      <c r="H30" s="573">
        <v>301366</v>
      </c>
      <c r="I30" s="1208">
        <v>268216</v>
      </c>
      <c r="J30" s="573"/>
      <c r="K30" s="487"/>
      <c r="L30" s="573"/>
      <c r="M30" s="573"/>
      <c r="N30" s="456">
        <f t="shared" si="0"/>
        <v>0</v>
      </c>
      <c r="O30" s="487"/>
      <c r="P30" s="487"/>
      <c r="Q30" s="274">
        <f t="shared" si="7"/>
        <v>0</v>
      </c>
      <c r="R30" s="574">
        <f t="shared" si="8"/>
        <v>301366</v>
      </c>
      <c r="S30" s="275">
        <f t="shared" si="9"/>
        <v>268216</v>
      </c>
      <c r="T30" s="575"/>
      <c r="U30" s="487"/>
      <c r="V30" s="576"/>
      <c r="W30" s="573"/>
      <c r="X30" s="574">
        <f t="shared" si="3"/>
        <v>0</v>
      </c>
      <c r="Y30" s="487"/>
      <c r="Z30" s="487"/>
      <c r="AA30" s="276">
        <f t="shared" si="4"/>
        <v>0</v>
      </c>
      <c r="AB30" s="573"/>
      <c r="AC30" s="487"/>
      <c r="AD30" s="573"/>
      <c r="AE30" s="487"/>
      <c r="AF30" s="577">
        <f t="shared" si="10"/>
        <v>301366</v>
      </c>
      <c r="AG30" s="275">
        <f t="shared" si="11"/>
        <v>268216</v>
      </c>
    </row>
    <row r="31" spans="1:33" s="578" customFormat="1" ht="12" customHeight="1">
      <c r="A31" s="568" t="s">
        <v>1270</v>
      </c>
      <c r="B31" s="569" t="s">
        <v>1776</v>
      </c>
      <c r="C31" s="570" t="s">
        <v>467</v>
      </c>
      <c r="D31" s="571">
        <v>100663</v>
      </c>
      <c r="E31" s="572">
        <v>1</v>
      </c>
      <c r="F31" s="573">
        <f>70856950+4076065</f>
        <v>74933015</v>
      </c>
      <c r="G31" s="1208">
        <v>48136386</v>
      </c>
      <c r="H31" s="573"/>
      <c r="I31" s="487"/>
      <c r="J31" s="573"/>
      <c r="K31" s="487"/>
      <c r="L31" s="455">
        <v>56202932</v>
      </c>
      <c r="M31" s="573"/>
      <c r="N31" s="456">
        <f t="shared" si="0"/>
        <v>56202932</v>
      </c>
      <c r="O31" s="487">
        <v>61016302</v>
      </c>
      <c r="P31" s="487"/>
      <c r="Q31" s="274">
        <f t="shared" si="7"/>
        <v>61016302</v>
      </c>
      <c r="R31" s="574">
        <f t="shared" si="8"/>
        <v>131135947</v>
      </c>
      <c r="S31" s="275">
        <f t="shared" si="9"/>
        <v>109152688</v>
      </c>
      <c r="T31" s="575"/>
      <c r="U31" s="487"/>
      <c r="V31" s="576"/>
      <c r="W31" s="573"/>
      <c r="X31" s="574">
        <f t="shared" si="3"/>
        <v>0</v>
      </c>
      <c r="Y31" s="487"/>
      <c r="Z31" s="487"/>
      <c r="AA31" s="276">
        <f t="shared" si="4"/>
        <v>0</v>
      </c>
      <c r="AB31" s="573"/>
      <c r="AC31" s="487"/>
      <c r="AD31" s="573"/>
      <c r="AE31" s="487"/>
      <c r="AF31" s="577">
        <f t="shared" si="10"/>
        <v>131135947</v>
      </c>
      <c r="AG31" s="275">
        <f t="shared" si="11"/>
        <v>109152688</v>
      </c>
    </row>
    <row r="32" spans="1:33" s="578" customFormat="1" ht="12" customHeight="1">
      <c r="A32" s="568" t="s">
        <v>1270</v>
      </c>
      <c r="B32" s="569" t="s">
        <v>1793</v>
      </c>
      <c r="C32" s="238" t="s">
        <v>412</v>
      </c>
      <c r="D32" s="571">
        <v>100663</v>
      </c>
      <c r="E32" s="572">
        <v>1</v>
      </c>
      <c r="F32" s="573"/>
      <c r="G32" s="487"/>
      <c r="H32" s="573"/>
      <c r="I32" s="487"/>
      <c r="J32" s="573"/>
      <c r="K32" s="487"/>
      <c r="L32" s="455"/>
      <c r="M32" s="573"/>
      <c r="N32" s="456">
        <f t="shared" si="0"/>
        <v>0</v>
      </c>
      <c r="O32" s="487"/>
      <c r="P32" s="487"/>
      <c r="Q32" s="274">
        <f t="shared" si="7"/>
        <v>0</v>
      </c>
      <c r="R32" s="574">
        <f t="shared" si="8"/>
        <v>0</v>
      </c>
      <c r="S32" s="275">
        <f t="shared" si="9"/>
        <v>0</v>
      </c>
      <c r="T32" s="575"/>
      <c r="U32" s="487"/>
      <c r="V32" s="576"/>
      <c r="W32" s="573"/>
      <c r="X32" s="574">
        <f t="shared" si="3"/>
        <v>0</v>
      </c>
      <c r="Y32" s="487"/>
      <c r="Z32" s="487"/>
      <c r="AA32" s="276">
        <f t="shared" si="4"/>
        <v>0</v>
      </c>
      <c r="AB32" s="573"/>
      <c r="AC32" s="487"/>
      <c r="AD32" s="573"/>
      <c r="AE32" s="487"/>
      <c r="AF32" s="577">
        <f t="shared" si="10"/>
        <v>0</v>
      </c>
      <c r="AG32" s="275">
        <f t="shared" si="11"/>
        <v>0</v>
      </c>
    </row>
    <row r="33" spans="1:33" s="578" customFormat="1" ht="12" customHeight="1">
      <c r="A33" s="568" t="s">
        <v>1270</v>
      </c>
      <c r="B33" s="569" t="s">
        <v>1793</v>
      </c>
      <c r="C33" s="579" t="s">
        <v>468</v>
      </c>
      <c r="D33" s="571">
        <v>100663</v>
      </c>
      <c r="E33" s="572">
        <v>1</v>
      </c>
      <c r="F33" s="573"/>
      <c r="G33" s="487"/>
      <c r="H33" s="573"/>
      <c r="I33" s="487"/>
      <c r="J33" s="573"/>
      <c r="K33" s="487"/>
      <c r="L33" s="573"/>
      <c r="M33" s="573"/>
      <c r="N33" s="456">
        <f t="shared" si="0"/>
        <v>0</v>
      </c>
      <c r="O33" s="487"/>
      <c r="P33" s="487"/>
      <c r="Q33" s="274">
        <f t="shared" si="7"/>
        <v>0</v>
      </c>
      <c r="R33" s="574">
        <f t="shared" si="8"/>
        <v>0</v>
      </c>
      <c r="S33" s="275">
        <f t="shared" si="9"/>
        <v>0</v>
      </c>
      <c r="T33" s="575"/>
      <c r="U33" s="487"/>
      <c r="V33" s="576"/>
      <c r="W33" s="573"/>
      <c r="X33" s="574">
        <f t="shared" si="3"/>
        <v>0</v>
      </c>
      <c r="Y33" s="487"/>
      <c r="Z33" s="487"/>
      <c r="AA33" s="276">
        <f t="shared" si="4"/>
        <v>0</v>
      </c>
      <c r="AB33" s="573">
        <v>278072358</v>
      </c>
      <c r="AC33" s="487">
        <f>232295564+4550000</f>
        <v>236845564</v>
      </c>
      <c r="AD33" s="455">
        <v>43321813</v>
      </c>
      <c r="AE33" s="487">
        <v>47918698</v>
      </c>
      <c r="AF33" s="577">
        <f t="shared" si="10"/>
        <v>321394171</v>
      </c>
      <c r="AG33" s="275">
        <f t="shared" si="11"/>
        <v>284764262</v>
      </c>
    </row>
    <row r="34" spans="1:33" s="578" customFormat="1" ht="12" customHeight="1">
      <c r="A34" s="568" t="s">
        <v>1270</v>
      </c>
      <c r="B34" s="569" t="s">
        <v>1793</v>
      </c>
      <c r="C34" s="579" t="s">
        <v>469</v>
      </c>
      <c r="D34" s="571">
        <v>100663</v>
      </c>
      <c r="E34" s="572">
        <v>1</v>
      </c>
      <c r="F34" s="573"/>
      <c r="G34" s="487"/>
      <c r="H34" s="573"/>
      <c r="I34" s="487"/>
      <c r="J34" s="573"/>
      <c r="K34" s="487"/>
      <c r="L34" s="573"/>
      <c r="M34" s="573"/>
      <c r="N34" s="456">
        <f t="shared" si="0"/>
        <v>0</v>
      </c>
      <c r="O34" s="487"/>
      <c r="P34" s="487"/>
      <c r="Q34" s="274">
        <f t="shared" si="7"/>
        <v>0</v>
      </c>
      <c r="R34" s="574">
        <f t="shared" si="8"/>
        <v>0</v>
      </c>
      <c r="S34" s="275">
        <f t="shared" si="9"/>
        <v>0</v>
      </c>
      <c r="T34" s="575"/>
      <c r="U34" s="487"/>
      <c r="V34" s="576"/>
      <c r="W34" s="573"/>
      <c r="X34" s="574">
        <f t="shared" si="3"/>
        <v>0</v>
      </c>
      <c r="Y34" s="487"/>
      <c r="Z34" s="487"/>
      <c r="AA34" s="276">
        <f t="shared" si="4"/>
        <v>0</v>
      </c>
      <c r="AB34" s="573">
        <v>4132177</v>
      </c>
      <c r="AC34" s="487">
        <v>3911813</v>
      </c>
      <c r="AD34" s="573"/>
      <c r="AE34" s="487"/>
      <c r="AF34" s="577">
        <f t="shared" si="10"/>
        <v>4132177</v>
      </c>
      <c r="AG34" s="275">
        <f t="shared" si="11"/>
        <v>3911813</v>
      </c>
    </row>
    <row r="35" spans="1:33" s="578" customFormat="1" ht="12" customHeight="1">
      <c r="A35" s="568" t="s">
        <v>1270</v>
      </c>
      <c r="B35" s="569" t="s">
        <v>1793</v>
      </c>
      <c r="C35" s="579" t="s">
        <v>470</v>
      </c>
      <c r="D35" s="571">
        <v>100663</v>
      </c>
      <c r="E35" s="572">
        <v>1</v>
      </c>
      <c r="F35" s="573"/>
      <c r="G35" s="487"/>
      <c r="H35" s="573"/>
      <c r="I35" s="487"/>
      <c r="J35" s="573"/>
      <c r="K35" s="487"/>
      <c r="L35" s="573"/>
      <c r="M35" s="573"/>
      <c r="N35" s="456">
        <f t="shared" si="0"/>
        <v>0</v>
      </c>
      <c r="O35" s="487"/>
      <c r="P35" s="487"/>
      <c r="Q35" s="274">
        <f t="shared" si="7"/>
        <v>0</v>
      </c>
      <c r="R35" s="574">
        <f t="shared" si="8"/>
        <v>0</v>
      </c>
      <c r="S35" s="275">
        <f t="shared" si="9"/>
        <v>0</v>
      </c>
      <c r="T35" s="575"/>
      <c r="U35" s="487"/>
      <c r="V35" s="576"/>
      <c r="W35" s="573"/>
      <c r="X35" s="574">
        <f t="shared" si="3"/>
        <v>0</v>
      </c>
      <c r="Y35" s="487"/>
      <c r="Z35" s="487"/>
      <c r="AA35" s="276">
        <f t="shared" si="4"/>
        <v>0</v>
      </c>
      <c r="AB35" s="573">
        <v>150000</v>
      </c>
      <c r="AC35" s="487">
        <v>136500</v>
      </c>
      <c r="AD35" s="573"/>
      <c r="AE35" s="487"/>
      <c r="AF35" s="577">
        <f t="shared" si="10"/>
        <v>150000</v>
      </c>
      <c r="AG35" s="275">
        <f t="shared" si="11"/>
        <v>136500</v>
      </c>
    </row>
    <row r="36" spans="1:33" s="578" customFormat="1" ht="12" customHeight="1">
      <c r="A36" s="568" t="s">
        <v>1270</v>
      </c>
      <c r="B36" s="569" t="s">
        <v>1793</v>
      </c>
      <c r="C36" s="579" t="s">
        <v>471</v>
      </c>
      <c r="D36" s="571">
        <v>100663</v>
      </c>
      <c r="E36" s="572">
        <v>1</v>
      </c>
      <c r="F36" s="573"/>
      <c r="G36" s="487"/>
      <c r="H36" s="573"/>
      <c r="I36" s="487"/>
      <c r="J36" s="573"/>
      <c r="K36" s="487"/>
      <c r="L36" s="573"/>
      <c r="M36" s="573"/>
      <c r="N36" s="456">
        <f t="shared" si="0"/>
        <v>0</v>
      </c>
      <c r="O36" s="487"/>
      <c r="P36" s="487"/>
      <c r="Q36" s="274">
        <f t="shared" si="7"/>
        <v>0</v>
      </c>
      <c r="R36" s="574">
        <f t="shared" si="8"/>
        <v>0</v>
      </c>
      <c r="S36" s="275">
        <f t="shared" si="9"/>
        <v>0</v>
      </c>
      <c r="T36" s="575"/>
      <c r="U36" s="487"/>
      <c r="V36" s="576"/>
      <c r="W36" s="573"/>
      <c r="X36" s="574">
        <f t="shared" si="3"/>
        <v>0</v>
      </c>
      <c r="Y36" s="487"/>
      <c r="Z36" s="487"/>
      <c r="AA36" s="276">
        <f t="shared" si="4"/>
        <v>0</v>
      </c>
      <c r="AB36" s="573"/>
      <c r="AC36" s="487"/>
      <c r="AD36" s="573"/>
      <c r="AE36" s="487"/>
      <c r="AF36" s="577">
        <f t="shared" si="10"/>
        <v>0</v>
      </c>
      <c r="AG36" s="275">
        <f t="shared" si="11"/>
        <v>0</v>
      </c>
    </row>
    <row r="37" spans="1:33" s="578" customFormat="1" ht="12" customHeight="1">
      <c r="A37" s="568" t="s">
        <v>1270</v>
      </c>
      <c r="B37" s="569" t="s">
        <v>1793</v>
      </c>
      <c r="C37" s="579" t="s">
        <v>472</v>
      </c>
      <c r="D37" s="571">
        <v>100663</v>
      </c>
      <c r="E37" s="572">
        <v>1</v>
      </c>
      <c r="F37" s="573"/>
      <c r="G37" s="487"/>
      <c r="H37" s="573"/>
      <c r="I37" s="487"/>
      <c r="J37" s="573"/>
      <c r="K37" s="487"/>
      <c r="L37" s="573"/>
      <c r="M37" s="573"/>
      <c r="N37" s="456">
        <f t="shared" si="0"/>
        <v>0</v>
      </c>
      <c r="O37" s="487"/>
      <c r="P37" s="487"/>
      <c r="Q37" s="274">
        <f t="shared" si="7"/>
        <v>0</v>
      </c>
      <c r="R37" s="574">
        <f t="shared" si="8"/>
        <v>0</v>
      </c>
      <c r="S37" s="275">
        <f t="shared" si="9"/>
        <v>0</v>
      </c>
      <c r="T37" s="575"/>
      <c r="U37" s="487"/>
      <c r="V37" s="576"/>
      <c r="W37" s="573"/>
      <c r="X37" s="574">
        <f t="shared" si="3"/>
        <v>0</v>
      </c>
      <c r="Y37" s="487"/>
      <c r="Z37" s="487"/>
      <c r="AA37" s="276">
        <f t="shared" si="4"/>
        <v>0</v>
      </c>
      <c r="AB37" s="573"/>
      <c r="AC37" s="487"/>
      <c r="AD37" s="573"/>
      <c r="AE37" s="487"/>
      <c r="AF37" s="577">
        <f t="shared" si="10"/>
        <v>0</v>
      </c>
      <c r="AG37" s="275">
        <f t="shared" si="11"/>
        <v>0</v>
      </c>
    </row>
    <row r="38" spans="1:33" s="578" customFormat="1" ht="12" customHeight="1">
      <c r="A38" s="568" t="s">
        <v>1270</v>
      </c>
      <c r="B38" s="569" t="s">
        <v>1793</v>
      </c>
      <c r="C38" s="579" t="s">
        <v>473</v>
      </c>
      <c r="D38" s="571">
        <v>100663</v>
      </c>
      <c r="E38" s="572">
        <v>1</v>
      </c>
      <c r="F38" s="573"/>
      <c r="G38" s="487"/>
      <c r="H38" s="573"/>
      <c r="I38" s="487"/>
      <c r="J38" s="573"/>
      <c r="K38" s="487"/>
      <c r="L38" s="573"/>
      <c r="M38" s="573"/>
      <c r="N38" s="456">
        <f t="shared" si="0"/>
        <v>0</v>
      </c>
      <c r="O38" s="487"/>
      <c r="P38" s="487"/>
      <c r="Q38" s="274">
        <f t="shared" si="7"/>
        <v>0</v>
      </c>
      <c r="R38" s="574">
        <f t="shared" si="8"/>
        <v>0</v>
      </c>
      <c r="S38" s="275">
        <f t="shared" si="9"/>
        <v>0</v>
      </c>
      <c r="T38" s="575"/>
      <c r="U38" s="487"/>
      <c r="V38" s="576"/>
      <c r="W38" s="573"/>
      <c r="X38" s="574">
        <f t="shared" si="3"/>
        <v>0</v>
      </c>
      <c r="Y38" s="487"/>
      <c r="Z38" s="487"/>
      <c r="AA38" s="276">
        <f t="shared" si="4"/>
        <v>0</v>
      </c>
      <c r="AB38" s="573"/>
      <c r="AC38" s="487"/>
      <c r="AD38" s="573"/>
      <c r="AE38" s="487"/>
      <c r="AF38" s="577">
        <f t="shared" si="10"/>
        <v>0</v>
      </c>
      <c r="AG38" s="275">
        <f t="shared" si="11"/>
        <v>0</v>
      </c>
    </row>
    <row r="39" spans="1:33" s="578" customFormat="1" ht="12" customHeight="1">
      <c r="A39" s="568" t="s">
        <v>1270</v>
      </c>
      <c r="B39" s="569" t="s">
        <v>1778</v>
      </c>
      <c r="C39" s="237" t="s">
        <v>1891</v>
      </c>
      <c r="D39" s="571">
        <v>100663</v>
      </c>
      <c r="E39" s="572">
        <v>1</v>
      </c>
      <c r="F39" s="573"/>
      <c r="G39" s="487"/>
      <c r="H39" s="573"/>
      <c r="I39" s="487"/>
      <c r="J39" s="573"/>
      <c r="K39" s="487"/>
      <c r="L39" s="573"/>
      <c r="M39" s="573"/>
      <c r="N39" s="456">
        <f t="shared" si="0"/>
        <v>0</v>
      </c>
      <c r="O39" s="487"/>
      <c r="P39" s="487"/>
      <c r="Q39" s="274">
        <f t="shared" si="7"/>
        <v>0</v>
      </c>
      <c r="R39" s="574">
        <f t="shared" si="8"/>
        <v>0</v>
      </c>
      <c r="S39" s="275">
        <f t="shared" si="9"/>
        <v>0</v>
      </c>
      <c r="T39" s="575"/>
      <c r="U39" s="487"/>
      <c r="V39" s="576"/>
      <c r="W39" s="573"/>
      <c r="X39" s="574">
        <f t="shared" si="3"/>
        <v>0</v>
      </c>
      <c r="Y39" s="487"/>
      <c r="Z39" s="487"/>
      <c r="AA39" s="276">
        <f t="shared" si="4"/>
        <v>0</v>
      </c>
      <c r="AB39" s="573"/>
      <c r="AC39" s="487"/>
      <c r="AD39" s="573"/>
      <c r="AE39" s="487"/>
      <c r="AF39" s="577">
        <f t="shared" si="10"/>
        <v>0</v>
      </c>
      <c r="AG39" s="275">
        <f t="shared" si="11"/>
        <v>0</v>
      </c>
    </row>
    <row r="40" spans="1:33" s="578" customFormat="1" ht="12" customHeight="1">
      <c r="A40" s="568" t="s">
        <v>1270</v>
      </c>
      <c r="B40" s="569" t="s">
        <v>1778</v>
      </c>
      <c r="C40" s="579" t="s">
        <v>474</v>
      </c>
      <c r="D40" s="571">
        <v>100663</v>
      </c>
      <c r="E40" s="572">
        <v>1</v>
      </c>
      <c r="F40" s="573"/>
      <c r="G40" s="487"/>
      <c r="H40" s="573">
        <v>500000</v>
      </c>
      <c r="I40" s="1208">
        <v>445000</v>
      </c>
      <c r="J40" s="573"/>
      <c r="K40" s="487"/>
      <c r="L40" s="573"/>
      <c r="M40" s="573"/>
      <c r="N40" s="456">
        <f t="shared" si="0"/>
        <v>0</v>
      </c>
      <c r="O40" s="487"/>
      <c r="P40" s="487"/>
      <c r="Q40" s="274">
        <f t="shared" si="7"/>
        <v>0</v>
      </c>
      <c r="R40" s="574">
        <f t="shared" si="8"/>
        <v>500000</v>
      </c>
      <c r="S40" s="275">
        <f t="shared" si="9"/>
        <v>445000</v>
      </c>
      <c r="T40" s="575"/>
      <c r="U40" s="487"/>
      <c r="V40" s="576"/>
      <c r="W40" s="573"/>
      <c r="X40" s="574">
        <f t="shared" si="3"/>
        <v>0</v>
      </c>
      <c r="Y40" s="487"/>
      <c r="Z40" s="487"/>
      <c r="AA40" s="276">
        <f t="shared" si="4"/>
        <v>0</v>
      </c>
      <c r="AB40" s="573"/>
      <c r="AC40" s="487"/>
      <c r="AD40" s="573"/>
      <c r="AE40" s="487"/>
      <c r="AF40" s="577">
        <f t="shared" si="10"/>
        <v>500000</v>
      </c>
      <c r="AG40" s="275">
        <f t="shared" si="11"/>
        <v>445000</v>
      </c>
    </row>
    <row r="41" spans="1:33" s="578" customFormat="1" ht="12" customHeight="1">
      <c r="A41" s="568" t="s">
        <v>1270</v>
      </c>
      <c r="B41" s="569" t="s">
        <v>1778</v>
      </c>
      <c r="C41" s="579" t="s">
        <v>1546</v>
      </c>
      <c r="D41" s="571">
        <v>100663</v>
      </c>
      <c r="E41" s="572">
        <v>1</v>
      </c>
      <c r="F41" s="573"/>
      <c r="G41" s="487"/>
      <c r="H41" s="573">
        <v>250000</v>
      </c>
      <c r="I41" s="1208">
        <v>155750</v>
      </c>
      <c r="J41" s="573"/>
      <c r="K41" s="487"/>
      <c r="L41" s="573"/>
      <c r="M41" s="573"/>
      <c r="N41" s="456">
        <f t="shared" si="0"/>
        <v>0</v>
      </c>
      <c r="O41" s="487"/>
      <c r="P41" s="487"/>
      <c r="Q41" s="274">
        <f t="shared" si="7"/>
        <v>0</v>
      </c>
      <c r="R41" s="574">
        <f t="shared" si="8"/>
        <v>250000</v>
      </c>
      <c r="S41" s="275">
        <f t="shared" si="9"/>
        <v>155750</v>
      </c>
      <c r="T41" s="575"/>
      <c r="U41" s="487"/>
      <c r="V41" s="576"/>
      <c r="W41" s="573"/>
      <c r="X41" s="574">
        <f t="shared" si="3"/>
        <v>0</v>
      </c>
      <c r="Y41" s="487"/>
      <c r="Z41" s="487"/>
      <c r="AA41" s="276">
        <f t="shared" si="4"/>
        <v>0</v>
      </c>
      <c r="AB41" s="573"/>
      <c r="AC41" s="487"/>
      <c r="AD41" s="573"/>
      <c r="AE41" s="487"/>
      <c r="AF41" s="577">
        <f t="shared" si="10"/>
        <v>250000</v>
      </c>
      <c r="AG41" s="275">
        <f t="shared" si="11"/>
        <v>155750</v>
      </c>
    </row>
    <row r="42" spans="1:33" s="578" customFormat="1" ht="12" customHeight="1">
      <c r="A42" s="568" t="s">
        <v>1270</v>
      </c>
      <c r="B42" s="569" t="s">
        <v>1778</v>
      </c>
      <c r="C42" s="579" t="s">
        <v>141</v>
      </c>
      <c r="D42" s="571">
        <v>100663</v>
      </c>
      <c r="E42" s="572">
        <v>1</v>
      </c>
      <c r="F42" s="573"/>
      <c r="G42" s="487"/>
      <c r="H42" s="573"/>
      <c r="I42" s="1208">
        <v>562480</v>
      </c>
      <c r="J42" s="573"/>
      <c r="K42" s="487"/>
      <c r="L42" s="573"/>
      <c r="M42" s="573"/>
      <c r="N42" s="456">
        <f t="shared" si="0"/>
        <v>0</v>
      </c>
      <c r="O42" s="487"/>
      <c r="P42" s="487"/>
      <c r="Q42" s="274">
        <f t="shared" si="7"/>
        <v>0</v>
      </c>
      <c r="R42" s="574">
        <f t="shared" si="8"/>
        <v>0</v>
      </c>
      <c r="S42" s="275">
        <f t="shared" si="9"/>
        <v>562480</v>
      </c>
      <c r="T42" s="575"/>
      <c r="U42" s="487"/>
      <c r="V42" s="576"/>
      <c r="W42" s="573"/>
      <c r="X42" s="574">
        <f t="shared" si="3"/>
        <v>0</v>
      </c>
      <c r="Y42" s="487"/>
      <c r="Z42" s="487"/>
      <c r="AA42" s="276">
        <f t="shared" si="4"/>
        <v>0</v>
      </c>
      <c r="AB42" s="573"/>
      <c r="AC42" s="487"/>
      <c r="AD42" s="573"/>
      <c r="AE42" s="487"/>
      <c r="AF42" s="577">
        <f t="shared" si="10"/>
        <v>0</v>
      </c>
      <c r="AG42" s="275">
        <f t="shared" si="11"/>
        <v>562480</v>
      </c>
    </row>
    <row r="43" spans="1:33" s="578" customFormat="1" ht="12" customHeight="1">
      <c r="A43" s="568" t="s">
        <v>1270</v>
      </c>
      <c r="B43" s="569" t="s">
        <v>1779</v>
      </c>
      <c r="C43" s="238" t="s">
        <v>1770</v>
      </c>
      <c r="D43" s="571">
        <v>100663</v>
      </c>
      <c r="E43" s="572">
        <v>1</v>
      </c>
      <c r="F43" s="573"/>
      <c r="G43" s="487"/>
      <c r="H43" s="573"/>
      <c r="I43" s="487"/>
      <c r="J43" s="573"/>
      <c r="K43" s="487"/>
      <c r="L43" s="573"/>
      <c r="M43" s="573"/>
      <c r="N43" s="456">
        <f t="shared" si="0"/>
        <v>0</v>
      </c>
      <c r="O43" s="487"/>
      <c r="P43" s="487"/>
      <c r="Q43" s="274">
        <f t="shared" si="7"/>
        <v>0</v>
      </c>
      <c r="R43" s="574">
        <f t="shared" si="8"/>
        <v>0</v>
      </c>
      <c r="S43" s="275">
        <f t="shared" si="9"/>
        <v>0</v>
      </c>
      <c r="T43" s="575"/>
      <c r="U43" s="487"/>
      <c r="V43" s="576"/>
      <c r="W43" s="573"/>
      <c r="X43" s="574">
        <f t="shared" si="3"/>
        <v>0</v>
      </c>
      <c r="Y43" s="487"/>
      <c r="Z43" s="487"/>
      <c r="AA43" s="276">
        <f t="shared" si="4"/>
        <v>0</v>
      </c>
      <c r="AB43" s="573"/>
      <c r="AC43" s="487"/>
      <c r="AD43" s="573"/>
      <c r="AE43" s="487"/>
      <c r="AF43" s="577">
        <f t="shared" si="10"/>
        <v>0</v>
      </c>
      <c r="AG43" s="275">
        <f t="shared" si="11"/>
        <v>0</v>
      </c>
    </row>
    <row r="44" spans="1:33" s="578" customFormat="1" ht="12" customHeight="1">
      <c r="A44" s="568" t="s">
        <v>1270</v>
      </c>
      <c r="B44" s="569" t="s">
        <v>1779</v>
      </c>
      <c r="C44" s="579" t="s">
        <v>461</v>
      </c>
      <c r="D44" s="571">
        <v>100663</v>
      </c>
      <c r="E44" s="572">
        <v>1</v>
      </c>
      <c r="F44" s="573"/>
      <c r="G44" s="487"/>
      <c r="H44" s="573">
        <v>417142</v>
      </c>
      <c r="I44" s="1208">
        <v>371256</v>
      </c>
      <c r="J44" s="573"/>
      <c r="K44" s="487"/>
      <c r="L44" s="573"/>
      <c r="M44" s="573"/>
      <c r="N44" s="456">
        <f t="shared" si="0"/>
        <v>0</v>
      </c>
      <c r="O44" s="487"/>
      <c r="P44" s="487"/>
      <c r="Q44" s="274">
        <f t="shared" si="7"/>
        <v>0</v>
      </c>
      <c r="R44" s="574">
        <f t="shared" si="8"/>
        <v>417142</v>
      </c>
      <c r="S44" s="275">
        <f t="shared" si="9"/>
        <v>371256</v>
      </c>
      <c r="T44" s="575"/>
      <c r="U44" s="487"/>
      <c r="V44" s="576"/>
      <c r="W44" s="573"/>
      <c r="X44" s="574">
        <f t="shared" si="3"/>
        <v>0</v>
      </c>
      <c r="Y44" s="487"/>
      <c r="Z44" s="487"/>
      <c r="AA44" s="276">
        <f t="shared" si="4"/>
        <v>0</v>
      </c>
      <c r="AB44" s="573"/>
      <c r="AC44" s="487"/>
      <c r="AD44" s="573"/>
      <c r="AE44" s="487"/>
      <c r="AF44" s="577">
        <f t="shared" si="10"/>
        <v>417142</v>
      </c>
      <c r="AG44" s="275">
        <f t="shared" si="11"/>
        <v>371256</v>
      </c>
    </row>
    <row r="45" spans="1:33" s="578" customFormat="1" ht="12" customHeight="1">
      <c r="A45" s="568" t="s">
        <v>1270</v>
      </c>
      <c r="B45" s="569" t="s">
        <v>1776</v>
      </c>
      <c r="C45" s="570" t="s">
        <v>1415</v>
      </c>
      <c r="D45" s="571">
        <v>100706</v>
      </c>
      <c r="E45" s="572">
        <v>2</v>
      </c>
      <c r="F45" s="573">
        <f>57770064+330737</f>
        <v>58100801</v>
      </c>
      <c r="G45" s="1208">
        <v>45861449</v>
      </c>
      <c r="H45" s="573"/>
      <c r="I45" s="487"/>
      <c r="J45" s="573"/>
      <c r="K45" s="487"/>
      <c r="L45" s="455">
        <v>41856861</v>
      </c>
      <c r="M45" s="573"/>
      <c r="N45" s="456">
        <f t="shared" si="0"/>
        <v>41856861</v>
      </c>
      <c r="O45" s="487">
        <v>44909000</v>
      </c>
      <c r="P45" s="487"/>
      <c r="Q45" s="274">
        <f t="shared" si="7"/>
        <v>44909000</v>
      </c>
      <c r="R45" s="574">
        <f t="shared" si="8"/>
        <v>99957662</v>
      </c>
      <c r="S45" s="275">
        <f t="shared" si="9"/>
        <v>90770449</v>
      </c>
      <c r="T45" s="575"/>
      <c r="U45" s="487"/>
      <c r="V45" s="576"/>
      <c r="W45" s="573"/>
      <c r="X45" s="574">
        <f t="shared" si="3"/>
        <v>0</v>
      </c>
      <c r="Y45" s="487"/>
      <c r="Z45" s="487"/>
      <c r="AA45" s="276">
        <f t="shared" si="4"/>
        <v>0</v>
      </c>
      <c r="AB45" s="573"/>
      <c r="AC45" s="487"/>
      <c r="AD45" s="573"/>
      <c r="AE45" s="487"/>
      <c r="AF45" s="577">
        <f t="shared" si="10"/>
        <v>99957662</v>
      </c>
      <c r="AG45" s="275">
        <f t="shared" si="11"/>
        <v>90770449</v>
      </c>
    </row>
    <row r="46" spans="1:33" s="578" customFormat="1" ht="12" customHeight="1">
      <c r="A46" s="568" t="s">
        <v>1270</v>
      </c>
      <c r="B46" s="569" t="s">
        <v>1776</v>
      </c>
      <c r="C46" s="570" t="s">
        <v>1416</v>
      </c>
      <c r="D46" s="571">
        <v>100654</v>
      </c>
      <c r="E46" s="572">
        <v>3</v>
      </c>
      <c r="F46" s="573">
        <f>43642614+279489</f>
        <v>43922103</v>
      </c>
      <c r="G46" s="1208">
        <v>34703437</v>
      </c>
      <c r="H46" s="573"/>
      <c r="I46" s="487"/>
      <c r="J46" s="573"/>
      <c r="K46" s="487"/>
      <c r="L46" s="455">
        <v>35242885</v>
      </c>
      <c r="M46" s="455">
        <v>659445</v>
      </c>
      <c r="N46" s="456">
        <f t="shared" si="0"/>
        <v>35902330</v>
      </c>
      <c r="O46" s="487">
        <v>34989405</v>
      </c>
      <c r="P46" s="487">
        <v>634440</v>
      </c>
      <c r="Q46" s="274">
        <f t="shared" si="7"/>
        <v>35623845</v>
      </c>
      <c r="R46" s="574">
        <f t="shared" si="8"/>
        <v>79164988</v>
      </c>
      <c r="S46" s="275">
        <f t="shared" si="9"/>
        <v>69692842</v>
      </c>
      <c r="T46" s="575"/>
      <c r="U46" s="487"/>
      <c r="V46" s="576"/>
      <c r="W46" s="573"/>
      <c r="X46" s="574">
        <f t="shared" si="3"/>
        <v>0</v>
      </c>
      <c r="Y46" s="487"/>
      <c r="Z46" s="487"/>
      <c r="AA46" s="276">
        <f t="shared" si="4"/>
        <v>0</v>
      </c>
      <c r="AB46" s="573"/>
      <c r="AC46" s="487"/>
      <c r="AD46" s="573"/>
      <c r="AE46" s="487"/>
      <c r="AF46" s="577">
        <f t="shared" si="10"/>
        <v>79164988</v>
      </c>
      <c r="AG46" s="275">
        <f t="shared" si="11"/>
        <v>69692842</v>
      </c>
    </row>
    <row r="47" spans="1:33" s="578" customFormat="1" ht="12" customHeight="1">
      <c r="A47" s="568" t="s">
        <v>1270</v>
      </c>
      <c r="B47" s="569" t="s">
        <v>1778</v>
      </c>
      <c r="C47" s="237" t="s">
        <v>1891</v>
      </c>
      <c r="D47" s="571">
        <v>100654</v>
      </c>
      <c r="E47" s="572">
        <v>1</v>
      </c>
      <c r="F47" s="573"/>
      <c r="G47" s="487"/>
      <c r="H47" s="573"/>
      <c r="I47" s="487"/>
      <c r="J47" s="573"/>
      <c r="K47" s="487"/>
      <c r="L47" s="573"/>
      <c r="M47" s="573"/>
      <c r="N47" s="456">
        <f t="shared" si="0"/>
        <v>0</v>
      </c>
      <c r="O47" s="487"/>
      <c r="P47" s="487"/>
      <c r="Q47" s="274">
        <f t="shared" si="7"/>
        <v>0</v>
      </c>
      <c r="R47" s="574">
        <f t="shared" si="8"/>
        <v>0</v>
      </c>
      <c r="S47" s="275">
        <f t="shared" si="9"/>
        <v>0</v>
      </c>
      <c r="T47" s="575"/>
      <c r="U47" s="487"/>
      <c r="V47" s="576"/>
      <c r="W47" s="573"/>
      <c r="X47" s="574">
        <f t="shared" si="3"/>
        <v>0</v>
      </c>
      <c r="Y47" s="487"/>
      <c r="Z47" s="487"/>
      <c r="AA47" s="276">
        <f t="shared" si="4"/>
        <v>0</v>
      </c>
      <c r="AB47" s="573"/>
      <c r="AC47" s="487"/>
      <c r="AD47" s="573"/>
      <c r="AE47" s="487"/>
      <c r="AF47" s="577">
        <f t="shared" si="10"/>
        <v>0</v>
      </c>
      <c r="AG47" s="275">
        <f t="shared" si="11"/>
        <v>0</v>
      </c>
    </row>
    <row r="48" spans="1:33" s="578" customFormat="1" ht="12" customHeight="1">
      <c r="A48" s="568" t="s">
        <v>1270</v>
      </c>
      <c r="B48" s="569" t="s">
        <v>1778</v>
      </c>
      <c r="C48" s="237" t="s">
        <v>1419</v>
      </c>
      <c r="D48" s="571">
        <v>100654</v>
      </c>
      <c r="E48" s="572">
        <v>3</v>
      </c>
      <c r="F48" s="573"/>
      <c r="G48" s="487"/>
      <c r="H48" s="573">
        <v>100000</v>
      </c>
      <c r="I48" s="1208">
        <v>44500</v>
      </c>
      <c r="J48" s="573"/>
      <c r="K48" s="487"/>
      <c r="L48" s="573"/>
      <c r="M48" s="573"/>
      <c r="N48" s="456">
        <f t="shared" si="0"/>
        <v>0</v>
      </c>
      <c r="O48" s="487"/>
      <c r="P48" s="487"/>
      <c r="Q48" s="274">
        <f t="shared" si="7"/>
        <v>0</v>
      </c>
      <c r="R48" s="574">
        <f t="shared" si="8"/>
        <v>100000</v>
      </c>
      <c r="S48" s="275">
        <f t="shared" si="9"/>
        <v>44500</v>
      </c>
      <c r="T48" s="575"/>
      <c r="U48" s="487"/>
      <c r="V48" s="576"/>
      <c r="W48" s="573"/>
      <c r="X48" s="574">
        <f t="shared" si="3"/>
        <v>0</v>
      </c>
      <c r="Y48" s="487"/>
      <c r="Z48" s="487"/>
      <c r="AA48" s="276">
        <f t="shared" si="4"/>
        <v>0</v>
      </c>
      <c r="AB48" s="573"/>
      <c r="AC48" s="487"/>
      <c r="AD48" s="573"/>
      <c r="AE48" s="487"/>
      <c r="AF48" s="577">
        <f t="shared" si="10"/>
        <v>100000</v>
      </c>
      <c r="AG48" s="275">
        <f t="shared" si="11"/>
        <v>44500</v>
      </c>
    </row>
    <row r="49" spans="1:33" s="578" customFormat="1" ht="12" customHeight="1">
      <c r="A49" s="568" t="s">
        <v>1270</v>
      </c>
      <c r="B49" s="569" t="s">
        <v>1779</v>
      </c>
      <c r="C49" s="238" t="s">
        <v>1770</v>
      </c>
      <c r="D49" s="571">
        <v>100654</v>
      </c>
      <c r="E49" s="572">
        <v>3</v>
      </c>
      <c r="F49" s="573"/>
      <c r="G49" s="487"/>
      <c r="H49" s="573"/>
      <c r="I49" s="487"/>
      <c r="J49" s="573"/>
      <c r="K49" s="487"/>
      <c r="L49" s="573"/>
      <c r="M49" s="573"/>
      <c r="N49" s="456">
        <f t="shared" si="0"/>
        <v>0</v>
      </c>
      <c r="O49" s="487"/>
      <c r="P49" s="487"/>
      <c r="Q49" s="274">
        <f t="shared" si="7"/>
        <v>0</v>
      </c>
      <c r="R49" s="574">
        <f t="shared" si="8"/>
        <v>0</v>
      </c>
      <c r="S49" s="275">
        <f t="shared" si="9"/>
        <v>0</v>
      </c>
      <c r="T49" s="575"/>
      <c r="U49" s="487"/>
      <c r="V49" s="576"/>
      <c r="W49" s="573"/>
      <c r="X49" s="574">
        <f t="shared" si="3"/>
        <v>0</v>
      </c>
      <c r="Y49" s="487"/>
      <c r="Z49" s="487"/>
      <c r="AA49" s="276">
        <f t="shared" si="4"/>
        <v>0</v>
      </c>
      <c r="AB49" s="573"/>
      <c r="AC49" s="487"/>
      <c r="AD49" s="573"/>
      <c r="AE49" s="487"/>
      <c r="AF49" s="577">
        <f t="shared" si="10"/>
        <v>0</v>
      </c>
      <c r="AG49" s="275">
        <f t="shared" si="11"/>
        <v>0</v>
      </c>
    </row>
    <row r="50" spans="1:33" s="578" customFormat="1" ht="12" customHeight="1">
      <c r="A50" s="568" t="s">
        <v>1270</v>
      </c>
      <c r="B50" s="569" t="s">
        <v>1779</v>
      </c>
      <c r="C50" s="579" t="s">
        <v>461</v>
      </c>
      <c r="D50" s="571">
        <v>100654</v>
      </c>
      <c r="E50" s="572">
        <v>3</v>
      </c>
      <c r="F50" s="573"/>
      <c r="G50" s="487"/>
      <c r="H50" s="573">
        <v>380185</v>
      </c>
      <c r="I50" s="1208">
        <v>338365</v>
      </c>
      <c r="J50" s="573"/>
      <c r="K50" s="487"/>
      <c r="L50" s="573"/>
      <c r="M50" s="573"/>
      <c r="N50" s="456">
        <f t="shared" si="0"/>
        <v>0</v>
      </c>
      <c r="O50" s="487"/>
      <c r="P50" s="487"/>
      <c r="Q50" s="274">
        <f t="shared" si="7"/>
        <v>0</v>
      </c>
      <c r="R50" s="574">
        <f t="shared" si="8"/>
        <v>380185</v>
      </c>
      <c r="S50" s="275">
        <f t="shared" si="9"/>
        <v>338365</v>
      </c>
      <c r="T50" s="575"/>
      <c r="U50" s="487"/>
      <c r="V50" s="576"/>
      <c r="W50" s="573"/>
      <c r="X50" s="574">
        <f t="shared" si="3"/>
        <v>0</v>
      </c>
      <c r="Y50" s="487"/>
      <c r="Z50" s="487"/>
      <c r="AA50" s="276">
        <f t="shared" si="4"/>
        <v>0</v>
      </c>
      <c r="AB50" s="573"/>
      <c r="AC50" s="487"/>
      <c r="AD50" s="573"/>
      <c r="AE50" s="487"/>
      <c r="AF50" s="577">
        <f t="shared" si="10"/>
        <v>380185</v>
      </c>
      <c r="AG50" s="275">
        <f t="shared" si="11"/>
        <v>338365</v>
      </c>
    </row>
    <row r="51" spans="1:33" s="578" customFormat="1" ht="12" customHeight="1">
      <c r="A51" s="568" t="s">
        <v>1270</v>
      </c>
      <c r="B51" s="569" t="s">
        <v>1780</v>
      </c>
      <c r="C51" s="238" t="s">
        <v>1417</v>
      </c>
      <c r="D51" s="571">
        <v>100654</v>
      </c>
      <c r="E51" s="572">
        <v>3</v>
      </c>
      <c r="F51" s="573"/>
      <c r="G51" s="487"/>
      <c r="H51" s="573">
        <v>5714832</v>
      </c>
      <c r="I51" s="1208">
        <v>5092199</v>
      </c>
      <c r="J51" s="573"/>
      <c r="K51" s="487"/>
      <c r="L51" s="573"/>
      <c r="M51" s="573"/>
      <c r="N51" s="456">
        <f t="shared" si="0"/>
        <v>0</v>
      </c>
      <c r="O51" s="487"/>
      <c r="P51" s="487"/>
      <c r="Q51" s="274">
        <f t="shared" si="7"/>
        <v>0</v>
      </c>
      <c r="R51" s="574">
        <f t="shared" si="8"/>
        <v>5714832</v>
      </c>
      <c r="S51" s="275">
        <f t="shared" si="9"/>
        <v>5092199</v>
      </c>
      <c r="T51" s="575"/>
      <c r="U51" s="487"/>
      <c r="V51" s="576"/>
      <c r="W51" s="573"/>
      <c r="X51" s="574">
        <f t="shared" si="3"/>
        <v>0</v>
      </c>
      <c r="Y51" s="487"/>
      <c r="Z51" s="487"/>
      <c r="AA51" s="276">
        <f t="shared" si="4"/>
        <v>0</v>
      </c>
      <c r="AB51" s="573"/>
      <c r="AC51" s="487"/>
      <c r="AD51" s="573"/>
      <c r="AE51" s="487"/>
      <c r="AF51" s="577">
        <f t="shared" si="10"/>
        <v>5714832</v>
      </c>
      <c r="AG51" s="275">
        <f t="shared" si="11"/>
        <v>5092199</v>
      </c>
    </row>
    <row r="52" spans="1:33" s="578" customFormat="1" ht="12" customHeight="1">
      <c r="A52" s="568" t="s">
        <v>1270</v>
      </c>
      <c r="B52" s="569" t="s">
        <v>1780</v>
      </c>
      <c r="C52" s="580" t="s">
        <v>1418</v>
      </c>
      <c r="D52" s="571">
        <v>100654</v>
      </c>
      <c r="E52" s="572">
        <v>3</v>
      </c>
      <c r="F52" s="573"/>
      <c r="G52" s="487"/>
      <c r="H52" s="573">
        <v>2500000</v>
      </c>
      <c r="I52" s="1208">
        <v>2225000</v>
      </c>
      <c r="J52" s="573"/>
      <c r="K52" s="487"/>
      <c r="L52" s="573"/>
      <c r="M52" s="573"/>
      <c r="N52" s="456">
        <f t="shared" si="0"/>
        <v>0</v>
      </c>
      <c r="O52" s="487"/>
      <c r="P52" s="487"/>
      <c r="Q52" s="274">
        <f t="shared" si="7"/>
        <v>0</v>
      </c>
      <c r="R52" s="574">
        <f t="shared" si="8"/>
        <v>2500000</v>
      </c>
      <c r="S52" s="275">
        <f t="shared" si="9"/>
        <v>2225000</v>
      </c>
      <c r="T52" s="575"/>
      <c r="U52" s="487"/>
      <c r="V52" s="576"/>
      <c r="W52" s="573"/>
      <c r="X52" s="574">
        <f t="shared" si="3"/>
        <v>0</v>
      </c>
      <c r="Y52" s="487"/>
      <c r="Z52" s="487"/>
      <c r="AA52" s="276">
        <f t="shared" si="4"/>
        <v>0</v>
      </c>
      <c r="AB52" s="573"/>
      <c r="AC52" s="487"/>
      <c r="AD52" s="573"/>
      <c r="AE52" s="487"/>
      <c r="AF52" s="577">
        <f t="shared" si="10"/>
        <v>2500000</v>
      </c>
      <c r="AG52" s="275">
        <f t="shared" si="11"/>
        <v>2225000</v>
      </c>
    </row>
    <row r="53" spans="1:33" s="578" customFormat="1" ht="12" customHeight="1">
      <c r="A53" s="568" t="s">
        <v>1270</v>
      </c>
      <c r="B53" s="569" t="s">
        <v>1776</v>
      </c>
      <c r="C53" s="570" t="s">
        <v>1420</v>
      </c>
      <c r="D53" s="571">
        <v>101480</v>
      </c>
      <c r="E53" s="572">
        <v>3</v>
      </c>
      <c r="F53" s="573">
        <f>46770131+275969</f>
        <v>47046100</v>
      </c>
      <c r="G53" s="1208">
        <v>37681888</v>
      </c>
      <c r="H53" s="573"/>
      <c r="I53" s="487"/>
      <c r="J53" s="573"/>
      <c r="K53" s="487"/>
      <c r="L53" s="455">
        <v>38729751</v>
      </c>
      <c r="M53" s="455">
        <v>2583267</v>
      </c>
      <c r="N53" s="456">
        <f t="shared" si="0"/>
        <v>41313018</v>
      </c>
      <c r="O53" s="487">
        <v>42798038</v>
      </c>
      <c r="P53" s="487">
        <v>2586667</v>
      </c>
      <c r="Q53" s="274">
        <f t="shared" si="7"/>
        <v>45384705</v>
      </c>
      <c r="R53" s="574">
        <f t="shared" si="8"/>
        <v>85775851</v>
      </c>
      <c r="S53" s="275">
        <f t="shared" si="9"/>
        <v>80479926</v>
      </c>
      <c r="T53" s="575"/>
      <c r="U53" s="487"/>
      <c r="V53" s="576"/>
      <c r="W53" s="573"/>
      <c r="X53" s="574">
        <f t="shared" si="3"/>
        <v>0</v>
      </c>
      <c r="Y53" s="487"/>
      <c r="Z53" s="487"/>
      <c r="AA53" s="276">
        <f t="shared" si="4"/>
        <v>0</v>
      </c>
      <c r="AB53" s="573"/>
      <c r="AC53" s="487"/>
      <c r="AD53" s="573"/>
      <c r="AE53" s="487"/>
      <c r="AF53" s="577">
        <f t="shared" si="10"/>
        <v>85775851</v>
      </c>
      <c r="AG53" s="275">
        <f t="shared" si="11"/>
        <v>80479926</v>
      </c>
    </row>
    <row r="54" spans="1:33" s="578" customFormat="1" ht="12" customHeight="1">
      <c r="A54" s="568" t="s">
        <v>1270</v>
      </c>
      <c r="B54" s="569" t="s">
        <v>1778</v>
      </c>
      <c r="C54" s="237" t="s">
        <v>1891</v>
      </c>
      <c r="D54" s="571">
        <v>101480</v>
      </c>
      <c r="E54" s="572">
        <v>3</v>
      </c>
      <c r="F54" s="573"/>
      <c r="G54" s="487"/>
      <c r="H54" s="573"/>
      <c r="I54" s="487"/>
      <c r="J54" s="573"/>
      <c r="K54" s="487"/>
      <c r="L54" s="573"/>
      <c r="M54" s="573"/>
      <c r="N54" s="456">
        <f t="shared" si="0"/>
        <v>0</v>
      </c>
      <c r="O54" s="487"/>
      <c r="P54" s="487"/>
      <c r="Q54" s="274">
        <f t="shared" si="7"/>
        <v>0</v>
      </c>
      <c r="R54" s="574">
        <f t="shared" si="8"/>
        <v>0</v>
      </c>
      <c r="S54" s="275">
        <f t="shared" si="9"/>
        <v>0</v>
      </c>
      <c r="T54" s="575"/>
      <c r="U54" s="487"/>
      <c r="V54" s="576"/>
      <c r="W54" s="573"/>
      <c r="X54" s="574">
        <f t="shared" si="3"/>
        <v>0</v>
      </c>
      <c r="Y54" s="487"/>
      <c r="Z54" s="487"/>
      <c r="AA54" s="276">
        <f t="shared" si="4"/>
        <v>0</v>
      </c>
      <c r="AB54" s="573"/>
      <c r="AC54" s="487"/>
      <c r="AD54" s="573"/>
      <c r="AE54" s="487"/>
      <c r="AF54" s="577">
        <f t="shared" si="10"/>
        <v>0</v>
      </c>
      <c r="AG54" s="275">
        <f t="shared" si="11"/>
        <v>0</v>
      </c>
    </row>
    <row r="55" spans="1:33" s="578" customFormat="1" ht="12" customHeight="1">
      <c r="A55" s="568" t="s">
        <v>1270</v>
      </c>
      <c r="B55" s="569" t="s">
        <v>1778</v>
      </c>
      <c r="C55" s="579" t="s">
        <v>1421</v>
      </c>
      <c r="D55" s="571">
        <v>101480</v>
      </c>
      <c r="E55" s="572">
        <v>3</v>
      </c>
      <c r="F55" s="573"/>
      <c r="G55" s="487"/>
      <c r="H55" s="573">
        <v>1700000</v>
      </c>
      <c r="I55" s="1208">
        <v>1335000</v>
      </c>
      <c r="J55" s="573"/>
      <c r="K55" s="487"/>
      <c r="L55" s="573"/>
      <c r="M55" s="573"/>
      <c r="N55" s="456">
        <f t="shared" si="0"/>
        <v>0</v>
      </c>
      <c r="O55" s="487"/>
      <c r="P55" s="487"/>
      <c r="Q55" s="274">
        <f t="shared" si="7"/>
        <v>0</v>
      </c>
      <c r="R55" s="574">
        <f t="shared" si="8"/>
        <v>1700000</v>
      </c>
      <c r="S55" s="275">
        <f t="shared" si="9"/>
        <v>1335000</v>
      </c>
      <c r="T55" s="575"/>
      <c r="U55" s="487"/>
      <c r="V55" s="576"/>
      <c r="W55" s="573"/>
      <c r="X55" s="574">
        <f t="shared" si="3"/>
        <v>0</v>
      </c>
      <c r="Y55" s="487"/>
      <c r="Z55" s="487"/>
      <c r="AA55" s="276">
        <f t="shared" si="4"/>
        <v>0</v>
      </c>
      <c r="AB55" s="573"/>
      <c r="AC55" s="487"/>
      <c r="AD55" s="573"/>
      <c r="AE55" s="487"/>
      <c r="AF55" s="577">
        <f t="shared" si="10"/>
        <v>1700000</v>
      </c>
      <c r="AG55" s="275">
        <f t="shared" si="11"/>
        <v>1335000</v>
      </c>
    </row>
    <row r="56" spans="1:33" s="578" customFormat="1" ht="12" customHeight="1">
      <c r="A56" s="568" t="s">
        <v>1270</v>
      </c>
      <c r="B56" s="569" t="s">
        <v>1778</v>
      </c>
      <c r="C56" s="579" t="s">
        <v>1547</v>
      </c>
      <c r="D56" s="571">
        <v>101480</v>
      </c>
      <c r="E56" s="572">
        <v>3</v>
      </c>
      <c r="F56" s="573"/>
      <c r="G56" s="487"/>
      <c r="H56" s="573">
        <v>60000</v>
      </c>
      <c r="I56" s="487"/>
      <c r="J56" s="573"/>
      <c r="K56" s="487"/>
      <c r="L56" s="573"/>
      <c r="M56" s="573"/>
      <c r="N56" s="456">
        <f t="shared" si="0"/>
        <v>0</v>
      </c>
      <c r="O56" s="487"/>
      <c r="P56" s="487"/>
      <c r="Q56" s="274">
        <f t="shared" si="7"/>
        <v>0</v>
      </c>
      <c r="R56" s="574">
        <f t="shared" si="8"/>
        <v>60000</v>
      </c>
      <c r="S56" s="275">
        <f t="shared" si="9"/>
        <v>0</v>
      </c>
      <c r="T56" s="575"/>
      <c r="U56" s="487"/>
      <c r="V56" s="576"/>
      <c r="W56" s="573"/>
      <c r="X56" s="574">
        <f t="shared" si="3"/>
        <v>0</v>
      </c>
      <c r="Y56" s="487"/>
      <c r="Z56" s="487"/>
      <c r="AA56" s="276">
        <f t="shared" si="4"/>
        <v>0</v>
      </c>
      <c r="AB56" s="573"/>
      <c r="AC56" s="487"/>
      <c r="AD56" s="573"/>
      <c r="AE56" s="487"/>
      <c r="AF56" s="577">
        <f t="shared" si="10"/>
        <v>60000</v>
      </c>
      <c r="AG56" s="275">
        <f t="shared" si="11"/>
        <v>0</v>
      </c>
    </row>
    <row r="57" spans="1:33" s="578" customFormat="1" ht="12" customHeight="1">
      <c r="A57" s="568" t="s">
        <v>1270</v>
      </c>
      <c r="B57" s="569" t="s">
        <v>1778</v>
      </c>
      <c r="C57" s="579" t="s">
        <v>1548</v>
      </c>
      <c r="D57" s="571">
        <v>101480</v>
      </c>
      <c r="E57" s="572">
        <v>3</v>
      </c>
      <c r="F57" s="573"/>
      <c r="G57" s="487"/>
      <c r="H57" s="573">
        <v>500000</v>
      </c>
      <c r="I57" s="1208">
        <v>222500</v>
      </c>
      <c r="J57" s="573"/>
      <c r="K57" s="487"/>
      <c r="L57" s="573"/>
      <c r="M57" s="573"/>
      <c r="N57" s="456">
        <f t="shared" si="0"/>
        <v>0</v>
      </c>
      <c r="O57" s="487"/>
      <c r="P57" s="487"/>
      <c r="Q57" s="274">
        <f t="shared" si="7"/>
        <v>0</v>
      </c>
      <c r="R57" s="574">
        <f t="shared" si="8"/>
        <v>500000</v>
      </c>
      <c r="S57" s="275">
        <f t="shared" si="9"/>
        <v>222500</v>
      </c>
      <c r="T57" s="575"/>
      <c r="U57" s="487"/>
      <c r="V57" s="576"/>
      <c r="W57" s="573"/>
      <c r="X57" s="574">
        <f t="shared" si="3"/>
        <v>0</v>
      </c>
      <c r="Y57" s="487"/>
      <c r="Z57" s="487"/>
      <c r="AA57" s="276">
        <f t="shared" si="4"/>
        <v>0</v>
      </c>
      <c r="AB57" s="573"/>
      <c r="AC57" s="487"/>
      <c r="AD57" s="573"/>
      <c r="AE57" s="487"/>
      <c r="AF57" s="577">
        <f t="shared" si="10"/>
        <v>500000</v>
      </c>
      <c r="AG57" s="275">
        <f t="shared" si="11"/>
        <v>222500</v>
      </c>
    </row>
    <row r="58" spans="1:33" s="578" customFormat="1" ht="12" customHeight="1">
      <c r="A58" s="568" t="s">
        <v>1270</v>
      </c>
      <c r="B58" s="569" t="s">
        <v>1778</v>
      </c>
      <c r="C58" s="579" t="s">
        <v>142</v>
      </c>
      <c r="D58" s="571">
        <v>101480</v>
      </c>
      <c r="E58" s="572">
        <v>3</v>
      </c>
      <c r="F58" s="573"/>
      <c r="G58" s="487"/>
      <c r="H58" s="573"/>
      <c r="I58" s="1208">
        <v>222500</v>
      </c>
      <c r="J58" s="573"/>
      <c r="K58" s="487"/>
      <c r="L58" s="573"/>
      <c r="M58" s="573"/>
      <c r="N58" s="456">
        <f t="shared" si="0"/>
        <v>0</v>
      </c>
      <c r="O58" s="487"/>
      <c r="P58" s="487"/>
      <c r="Q58" s="274">
        <f t="shared" si="7"/>
        <v>0</v>
      </c>
      <c r="R58" s="574">
        <f t="shared" si="8"/>
        <v>0</v>
      </c>
      <c r="S58" s="275">
        <f t="shared" si="9"/>
        <v>222500</v>
      </c>
      <c r="T58" s="575"/>
      <c r="U58" s="487"/>
      <c r="V58" s="576"/>
      <c r="W58" s="573"/>
      <c r="X58" s="574">
        <f t="shared" si="3"/>
        <v>0</v>
      </c>
      <c r="Y58" s="487"/>
      <c r="Z58" s="487"/>
      <c r="AA58" s="276">
        <f t="shared" si="4"/>
        <v>0</v>
      </c>
      <c r="AB58" s="573"/>
      <c r="AC58" s="487"/>
      <c r="AD58" s="573"/>
      <c r="AE58" s="487"/>
      <c r="AF58" s="577">
        <f t="shared" si="10"/>
        <v>0</v>
      </c>
      <c r="AG58" s="275">
        <f t="shared" si="11"/>
        <v>222500</v>
      </c>
    </row>
    <row r="59" spans="1:33" s="578" customFormat="1" ht="12" customHeight="1">
      <c r="A59" s="568" t="s">
        <v>1270</v>
      </c>
      <c r="B59" s="569" t="s">
        <v>1779</v>
      </c>
      <c r="C59" s="238" t="s">
        <v>1770</v>
      </c>
      <c r="D59" s="571">
        <v>101480</v>
      </c>
      <c r="E59" s="572">
        <v>3</v>
      </c>
      <c r="F59" s="573"/>
      <c r="G59" s="487"/>
      <c r="H59" s="573"/>
      <c r="I59" s="487"/>
      <c r="J59" s="573"/>
      <c r="K59" s="487"/>
      <c r="L59" s="573"/>
      <c r="M59" s="573"/>
      <c r="N59" s="456">
        <f t="shared" si="0"/>
        <v>0</v>
      </c>
      <c r="O59" s="487"/>
      <c r="P59" s="487"/>
      <c r="Q59" s="274">
        <f t="shared" si="7"/>
        <v>0</v>
      </c>
      <c r="R59" s="574">
        <f t="shared" si="8"/>
        <v>0</v>
      </c>
      <c r="S59" s="275">
        <f t="shared" si="9"/>
        <v>0</v>
      </c>
      <c r="T59" s="575"/>
      <c r="U59" s="487"/>
      <c r="V59" s="576"/>
      <c r="W59" s="573"/>
      <c r="X59" s="574">
        <f t="shared" si="3"/>
        <v>0</v>
      </c>
      <c r="Y59" s="487"/>
      <c r="Z59" s="487"/>
      <c r="AA59" s="276">
        <f t="shared" si="4"/>
        <v>0</v>
      </c>
      <c r="AB59" s="573"/>
      <c r="AC59" s="487"/>
      <c r="AD59" s="573"/>
      <c r="AE59" s="487"/>
      <c r="AF59" s="577">
        <f t="shared" si="10"/>
        <v>0</v>
      </c>
      <c r="AG59" s="275">
        <f t="shared" si="11"/>
        <v>0</v>
      </c>
    </row>
    <row r="60" spans="1:33" s="578" customFormat="1" ht="12" customHeight="1">
      <c r="A60" s="568" t="s">
        <v>1270</v>
      </c>
      <c r="B60" s="569" t="s">
        <v>1779</v>
      </c>
      <c r="C60" s="579" t="s">
        <v>461</v>
      </c>
      <c r="D60" s="571">
        <v>101480</v>
      </c>
      <c r="E60" s="572">
        <v>3</v>
      </c>
      <c r="F60" s="573"/>
      <c r="G60" s="487"/>
      <c r="H60" s="573">
        <v>323731</v>
      </c>
      <c r="I60" s="1208">
        <v>288121</v>
      </c>
      <c r="J60" s="573"/>
      <c r="K60" s="487"/>
      <c r="L60" s="573"/>
      <c r="M60" s="573"/>
      <c r="N60" s="456">
        <f t="shared" si="0"/>
        <v>0</v>
      </c>
      <c r="O60" s="487"/>
      <c r="P60" s="487"/>
      <c r="Q60" s="274">
        <f t="shared" si="7"/>
        <v>0</v>
      </c>
      <c r="R60" s="574">
        <f t="shared" si="8"/>
        <v>323731</v>
      </c>
      <c r="S60" s="275">
        <f t="shared" si="9"/>
        <v>288121</v>
      </c>
      <c r="T60" s="575"/>
      <c r="U60" s="487"/>
      <c r="V60" s="576"/>
      <c r="W60" s="573"/>
      <c r="X60" s="574">
        <f t="shared" si="3"/>
        <v>0</v>
      </c>
      <c r="Y60" s="487"/>
      <c r="Z60" s="487"/>
      <c r="AA60" s="276">
        <f t="shared" si="4"/>
        <v>0</v>
      </c>
      <c r="AB60" s="573"/>
      <c r="AC60" s="487"/>
      <c r="AD60" s="573"/>
      <c r="AE60" s="487"/>
      <c r="AF60" s="577">
        <f t="shared" si="10"/>
        <v>323731</v>
      </c>
      <c r="AG60" s="275">
        <f t="shared" si="11"/>
        <v>288121</v>
      </c>
    </row>
    <row r="61" spans="1:33" s="578" customFormat="1" ht="12" customHeight="1">
      <c r="A61" s="568" t="s">
        <v>1270</v>
      </c>
      <c r="B61" s="569" t="s">
        <v>1776</v>
      </c>
      <c r="C61" s="570" t="s">
        <v>1422</v>
      </c>
      <c r="D61" s="571">
        <v>102094</v>
      </c>
      <c r="E61" s="572">
        <v>3</v>
      </c>
      <c r="F61" s="573">
        <f>52209359+1568892</f>
        <v>53778251</v>
      </c>
      <c r="G61" s="1208">
        <v>35848383</v>
      </c>
      <c r="H61" s="573"/>
      <c r="I61" s="487"/>
      <c r="J61" s="573"/>
      <c r="K61" s="487"/>
      <c r="L61" s="1099">
        <v>40190932</v>
      </c>
      <c r="M61" s="1099">
        <v>5294136</v>
      </c>
      <c r="N61" s="456">
        <f t="shared" si="0"/>
        <v>45485068</v>
      </c>
      <c r="O61" s="487">
        <v>44339001</v>
      </c>
      <c r="P61" s="487">
        <v>5840539</v>
      </c>
      <c r="Q61" s="274">
        <f t="shared" si="7"/>
        <v>50179540</v>
      </c>
      <c r="R61" s="574">
        <f t="shared" si="8"/>
        <v>93969183</v>
      </c>
      <c r="S61" s="275">
        <f t="shared" si="9"/>
        <v>80187384</v>
      </c>
      <c r="T61" s="575"/>
      <c r="U61" s="487"/>
      <c r="V61" s="576"/>
      <c r="W61" s="573"/>
      <c r="X61" s="574">
        <f t="shared" si="3"/>
        <v>0</v>
      </c>
      <c r="Y61" s="487"/>
      <c r="Z61" s="487"/>
      <c r="AA61" s="276">
        <f t="shared" si="4"/>
        <v>0</v>
      </c>
      <c r="AB61" s="573"/>
      <c r="AC61" s="487"/>
      <c r="AD61" s="573"/>
      <c r="AE61" s="487"/>
      <c r="AF61" s="577">
        <f t="shared" si="10"/>
        <v>93969183</v>
      </c>
      <c r="AG61" s="275">
        <f t="shared" si="11"/>
        <v>80187384</v>
      </c>
    </row>
    <row r="62" spans="1:33" s="578" customFormat="1" ht="12" customHeight="1">
      <c r="A62" s="568" t="s">
        <v>1270</v>
      </c>
      <c r="B62" s="569" t="s">
        <v>1793</v>
      </c>
      <c r="C62" s="238" t="s">
        <v>412</v>
      </c>
      <c r="D62" s="571">
        <v>102094</v>
      </c>
      <c r="E62" s="572">
        <v>3</v>
      </c>
      <c r="F62" s="573"/>
      <c r="G62" s="487"/>
      <c r="H62" s="573"/>
      <c r="I62" s="487"/>
      <c r="J62" s="573"/>
      <c r="K62" s="487"/>
      <c r="L62" s="455"/>
      <c r="M62" s="573"/>
      <c r="N62" s="456">
        <f t="shared" si="0"/>
        <v>0</v>
      </c>
      <c r="O62" s="487"/>
      <c r="P62" s="487"/>
      <c r="Q62" s="274">
        <f t="shared" si="7"/>
        <v>0</v>
      </c>
      <c r="R62" s="574">
        <f t="shared" si="8"/>
        <v>0</v>
      </c>
      <c r="S62" s="275">
        <f t="shared" si="9"/>
        <v>0</v>
      </c>
      <c r="T62" s="575"/>
      <c r="U62" s="487"/>
      <c r="V62" s="576"/>
      <c r="W62" s="573"/>
      <c r="X62" s="574">
        <f t="shared" si="3"/>
        <v>0</v>
      </c>
      <c r="Y62" s="487"/>
      <c r="Z62" s="487"/>
      <c r="AA62" s="276">
        <f t="shared" si="4"/>
        <v>0</v>
      </c>
      <c r="AB62" s="573"/>
      <c r="AC62" s="487"/>
      <c r="AD62" s="573"/>
      <c r="AE62" s="487"/>
      <c r="AF62" s="577">
        <f t="shared" si="10"/>
        <v>0</v>
      </c>
      <c r="AG62" s="275">
        <f t="shared" si="11"/>
        <v>0</v>
      </c>
    </row>
    <row r="63" spans="1:33" s="578" customFormat="1" ht="12" customHeight="1">
      <c r="A63" s="568" t="s">
        <v>1270</v>
      </c>
      <c r="B63" s="569" t="s">
        <v>1793</v>
      </c>
      <c r="C63" s="579" t="s">
        <v>468</v>
      </c>
      <c r="D63" s="571">
        <v>102094</v>
      </c>
      <c r="E63" s="572">
        <v>3</v>
      </c>
      <c r="F63" s="573"/>
      <c r="G63" s="487"/>
      <c r="H63" s="573"/>
      <c r="I63" s="487"/>
      <c r="J63" s="573"/>
      <c r="K63" s="487"/>
      <c r="L63" s="573"/>
      <c r="M63" s="573"/>
      <c r="N63" s="456">
        <f t="shared" si="0"/>
        <v>0</v>
      </c>
      <c r="O63" s="487"/>
      <c r="P63" s="487"/>
      <c r="Q63" s="274">
        <f t="shared" si="7"/>
        <v>0</v>
      </c>
      <c r="R63" s="574">
        <f t="shared" si="8"/>
        <v>0</v>
      </c>
      <c r="S63" s="275">
        <f t="shared" si="9"/>
        <v>0</v>
      </c>
      <c r="T63" s="575"/>
      <c r="U63" s="487"/>
      <c r="V63" s="576"/>
      <c r="W63" s="573"/>
      <c r="X63" s="574">
        <f t="shared" si="3"/>
        <v>0</v>
      </c>
      <c r="Y63" s="487"/>
      <c r="Z63" s="487"/>
      <c r="AA63" s="276">
        <f t="shared" si="4"/>
        <v>0</v>
      </c>
      <c r="AB63" s="573">
        <v>85958678</v>
      </c>
      <c r="AC63" s="487">
        <v>74234061</v>
      </c>
      <c r="AD63" s="455">
        <v>21561898</v>
      </c>
      <c r="AE63" s="487">
        <v>23787283</v>
      </c>
      <c r="AF63" s="577">
        <f t="shared" si="10"/>
        <v>107520576</v>
      </c>
      <c r="AG63" s="275">
        <f t="shared" si="11"/>
        <v>98021344</v>
      </c>
    </row>
    <row r="64" spans="1:33" s="578" customFormat="1" ht="12" customHeight="1">
      <c r="A64" s="568" t="s">
        <v>1270</v>
      </c>
      <c r="B64" s="569" t="s">
        <v>1793</v>
      </c>
      <c r="C64" s="579" t="s">
        <v>1423</v>
      </c>
      <c r="D64" s="571">
        <v>102094</v>
      </c>
      <c r="E64" s="572">
        <v>3</v>
      </c>
      <c r="F64" s="573"/>
      <c r="G64" s="487"/>
      <c r="H64" s="573"/>
      <c r="I64" s="487"/>
      <c r="J64" s="573"/>
      <c r="K64" s="487"/>
      <c r="L64" s="573"/>
      <c r="M64" s="573"/>
      <c r="N64" s="456">
        <f t="shared" si="0"/>
        <v>0</v>
      </c>
      <c r="O64" s="487"/>
      <c r="P64" s="487"/>
      <c r="Q64" s="274">
        <f t="shared" si="7"/>
        <v>0</v>
      </c>
      <c r="R64" s="574">
        <f t="shared" si="8"/>
        <v>0</v>
      </c>
      <c r="S64" s="275">
        <f t="shared" si="9"/>
        <v>0</v>
      </c>
      <c r="T64" s="575"/>
      <c r="U64" s="487"/>
      <c r="V64" s="576"/>
      <c r="W64" s="573"/>
      <c r="X64" s="574">
        <f t="shared" si="3"/>
        <v>0</v>
      </c>
      <c r="Y64" s="487"/>
      <c r="Z64" s="487"/>
      <c r="AA64" s="276">
        <f t="shared" si="4"/>
        <v>0</v>
      </c>
      <c r="AB64" s="573">
        <v>0</v>
      </c>
      <c r="AC64" s="487"/>
      <c r="AD64" s="573"/>
      <c r="AE64" s="487"/>
      <c r="AF64" s="577">
        <f t="shared" si="10"/>
        <v>0</v>
      </c>
      <c r="AG64" s="275">
        <f t="shared" si="11"/>
        <v>0</v>
      </c>
    </row>
    <row r="65" spans="1:33" s="578" customFormat="1" ht="12" customHeight="1">
      <c r="A65" s="568" t="s">
        <v>1270</v>
      </c>
      <c r="B65" s="569" t="s">
        <v>1793</v>
      </c>
      <c r="C65" s="579" t="s">
        <v>1424</v>
      </c>
      <c r="D65" s="571">
        <v>102094</v>
      </c>
      <c r="E65" s="572">
        <v>3</v>
      </c>
      <c r="F65" s="573"/>
      <c r="G65" s="487"/>
      <c r="H65" s="573"/>
      <c r="I65" s="487"/>
      <c r="J65" s="573"/>
      <c r="K65" s="487"/>
      <c r="L65" s="573"/>
      <c r="M65" s="573"/>
      <c r="N65" s="456">
        <f t="shared" si="0"/>
        <v>0</v>
      </c>
      <c r="O65" s="487"/>
      <c r="P65" s="487"/>
      <c r="Q65" s="274">
        <f t="shared" si="7"/>
        <v>0</v>
      </c>
      <c r="R65" s="574">
        <f t="shared" si="8"/>
        <v>0</v>
      </c>
      <c r="S65" s="275">
        <f t="shared" si="9"/>
        <v>0</v>
      </c>
      <c r="T65" s="575"/>
      <c r="U65" s="487"/>
      <c r="V65" s="576"/>
      <c r="W65" s="573"/>
      <c r="X65" s="574">
        <f t="shared" si="3"/>
        <v>0</v>
      </c>
      <c r="Y65" s="487"/>
      <c r="Z65" s="487"/>
      <c r="AA65" s="276">
        <f t="shared" si="4"/>
        <v>0</v>
      </c>
      <c r="AB65" s="573">
        <v>0</v>
      </c>
      <c r="AC65" s="487"/>
      <c r="AD65" s="573"/>
      <c r="AE65" s="487"/>
      <c r="AF65" s="577">
        <f t="shared" si="10"/>
        <v>0</v>
      </c>
      <c r="AG65" s="275">
        <f t="shared" si="11"/>
        <v>0</v>
      </c>
    </row>
    <row r="66" spans="1:33" s="578" customFormat="1" ht="12" customHeight="1">
      <c r="A66" s="568" t="s">
        <v>1270</v>
      </c>
      <c r="B66" s="569" t="s">
        <v>1779</v>
      </c>
      <c r="C66" s="238" t="s">
        <v>1770</v>
      </c>
      <c r="D66" s="571">
        <v>102094</v>
      </c>
      <c r="E66" s="572">
        <v>3</v>
      </c>
      <c r="F66" s="573"/>
      <c r="G66" s="487"/>
      <c r="H66" s="573"/>
      <c r="I66" s="487"/>
      <c r="J66" s="573"/>
      <c r="K66" s="487"/>
      <c r="L66" s="573"/>
      <c r="M66" s="573"/>
      <c r="N66" s="456">
        <f t="shared" si="0"/>
        <v>0</v>
      </c>
      <c r="O66" s="487"/>
      <c r="P66" s="487"/>
      <c r="Q66" s="274">
        <f t="shared" si="7"/>
        <v>0</v>
      </c>
      <c r="R66" s="574">
        <f t="shared" si="8"/>
        <v>0</v>
      </c>
      <c r="S66" s="275">
        <f t="shared" si="9"/>
        <v>0</v>
      </c>
      <c r="T66" s="575"/>
      <c r="U66" s="487"/>
      <c r="V66" s="576"/>
      <c r="W66" s="573"/>
      <c r="X66" s="574">
        <f t="shared" si="3"/>
        <v>0</v>
      </c>
      <c r="Y66" s="487"/>
      <c r="Z66" s="487"/>
      <c r="AA66" s="276">
        <f t="shared" si="4"/>
        <v>0</v>
      </c>
      <c r="AB66" s="573"/>
      <c r="AC66" s="487"/>
      <c r="AD66" s="573"/>
      <c r="AE66" s="487"/>
      <c r="AF66" s="577">
        <f t="shared" si="10"/>
        <v>0</v>
      </c>
      <c r="AG66" s="275">
        <f t="shared" si="11"/>
        <v>0</v>
      </c>
    </row>
    <row r="67" spans="1:33" s="578" customFormat="1" ht="12" customHeight="1">
      <c r="A67" s="568" t="s">
        <v>1270</v>
      </c>
      <c r="B67" s="569" t="s">
        <v>1779</v>
      </c>
      <c r="C67" s="579" t="s">
        <v>461</v>
      </c>
      <c r="D67" s="571">
        <v>102094</v>
      </c>
      <c r="E67" s="572">
        <v>3</v>
      </c>
      <c r="F67" s="573"/>
      <c r="G67" s="487"/>
      <c r="H67" s="573">
        <v>447378</v>
      </c>
      <c r="I67" s="1208">
        <v>398166</v>
      </c>
      <c r="J67" s="573"/>
      <c r="K67" s="487"/>
      <c r="L67" s="573"/>
      <c r="M67" s="573"/>
      <c r="N67" s="456">
        <f t="shared" si="0"/>
        <v>0</v>
      </c>
      <c r="O67" s="487"/>
      <c r="P67" s="487"/>
      <c r="Q67" s="274">
        <f t="shared" si="7"/>
        <v>0</v>
      </c>
      <c r="R67" s="574">
        <f t="shared" si="8"/>
        <v>447378</v>
      </c>
      <c r="S67" s="275">
        <f t="shared" si="9"/>
        <v>398166</v>
      </c>
      <c r="T67" s="575"/>
      <c r="U67" s="487"/>
      <c r="V67" s="576"/>
      <c r="W67" s="573"/>
      <c r="X67" s="574">
        <f t="shared" si="3"/>
        <v>0</v>
      </c>
      <c r="Y67" s="487"/>
      <c r="Z67" s="487"/>
      <c r="AA67" s="276">
        <f t="shared" si="4"/>
        <v>0</v>
      </c>
      <c r="AB67" s="573"/>
      <c r="AC67" s="487"/>
      <c r="AD67" s="573"/>
      <c r="AE67" s="487"/>
      <c r="AF67" s="577">
        <f t="shared" si="10"/>
        <v>447378</v>
      </c>
      <c r="AG67" s="275">
        <f t="shared" si="11"/>
        <v>398166</v>
      </c>
    </row>
    <row r="68" spans="1:33" s="578" customFormat="1" ht="12" customHeight="1">
      <c r="A68" s="568" t="s">
        <v>1270</v>
      </c>
      <c r="B68" s="569" t="s">
        <v>1776</v>
      </c>
      <c r="C68" s="570" t="s">
        <v>1827</v>
      </c>
      <c r="D68" s="571">
        <v>102368</v>
      </c>
      <c r="E68" s="572">
        <v>3</v>
      </c>
      <c r="F68" s="573">
        <f>62050763+307208</f>
        <v>62357971</v>
      </c>
      <c r="G68" s="1208">
        <v>48990413</v>
      </c>
      <c r="H68" s="573"/>
      <c r="I68" s="487"/>
      <c r="J68" s="573"/>
      <c r="K68" s="487"/>
      <c r="L68" s="455">
        <v>51708120</v>
      </c>
      <c r="M68" s="573">
        <v>5248000</v>
      </c>
      <c r="N68" s="456">
        <f t="shared" si="0"/>
        <v>56956120</v>
      </c>
      <c r="O68" s="487">
        <v>60775612</v>
      </c>
      <c r="P68" s="487">
        <v>5080000</v>
      </c>
      <c r="Q68" s="274">
        <f t="shared" si="7"/>
        <v>65855612</v>
      </c>
      <c r="R68" s="574">
        <f t="shared" si="8"/>
        <v>114066091</v>
      </c>
      <c r="S68" s="275">
        <f t="shared" si="9"/>
        <v>109766025</v>
      </c>
      <c r="T68" s="575"/>
      <c r="U68" s="487"/>
      <c r="V68" s="576"/>
      <c r="W68" s="573"/>
      <c r="X68" s="574">
        <f t="shared" si="3"/>
        <v>0</v>
      </c>
      <c r="Y68" s="487"/>
      <c r="Z68" s="487"/>
      <c r="AA68" s="276">
        <f t="shared" si="4"/>
        <v>0</v>
      </c>
      <c r="AB68" s="573"/>
      <c r="AC68" s="487"/>
      <c r="AD68" s="573"/>
      <c r="AE68" s="487"/>
      <c r="AF68" s="577">
        <f t="shared" si="10"/>
        <v>114066091</v>
      </c>
      <c r="AG68" s="275">
        <f t="shared" si="11"/>
        <v>109766025</v>
      </c>
    </row>
    <row r="69" spans="1:33" s="578" customFormat="1" ht="12" customHeight="1">
      <c r="A69" s="568" t="s">
        <v>1270</v>
      </c>
      <c r="B69" s="569" t="s">
        <v>1778</v>
      </c>
      <c r="C69" s="237" t="s">
        <v>1891</v>
      </c>
      <c r="D69" s="571">
        <v>102368</v>
      </c>
      <c r="E69" s="572">
        <v>3</v>
      </c>
      <c r="F69" s="573"/>
      <c r="G69" s="487"/>
      <c r="H69" s="573"/>
      <c r="I69" s="487"/>
      <c r="J69" s="573"/>
      <c r="K69" s="487"/>
      <c r="L69" s="573"/>
      <c r="M69" s="573"/>
      <c r="N69" s="456">
        <f t="shared" si="0"/>
        <v>0</v>
      </c>
      <c r="O69" s="487"/>
      <c r="P69" s="487"/>
      <c r="Q69" s="274">
        <f t="shared" si="7"/>
        <v>0</v>
      </c>
      <c r="R69" s="574">
        <f t="shared" si="8"/>
        <v>0</v>
      </c>
      <c r="S69" s="275">
        <f t="shared" si="9"/>
        <v>0</v>
      </c>
      <c r="T69" s="575"/>
      <c r="U69" s="487"/>
      <c r="V69" s="576"/>
      <c r="W69" s="573"/>
      <c r="X69" s="574">
        <f t="shared" si="3"/>
        <v>0</v>
      </c>
      <c r="Y69" s="487"/>
      <c r="Z69" s="487"/>
      <c r="AA69" s="276">
        <f t="shared" si="4"/>
        <v>0</v>
      </c>
      <c r="AB69" s="573"/>
      <c r="AC69" s="487"/>
      <c r="AD69" s="573"/>
      <c r="AE69" s="487"/>
      <c r="AF69" s="577">
        <f t="shared" si="10"/>
        <v>0</v>
      </c>
      <c r="AG69" s="275">
        <f t="shared" si="11"/>
        <v>0</v>
      </c>
    </row>
    <row r="70" spans="1:33" s="578" customFormat="1" ht="12" customHeight="1">
      <c r="A70" s="568" t="s">
        <v>1270</v>
      </c>
      <c r="B70" s="569" t="s">
        <v>1778</v>
      </c>
      <c r="C70" s="579" t="s">
        <v>1549</v>
      </c>
      <c r="D70" s="571">
        <v>102368</v>
      </c>
      <c r="E70" s="572">
        <v>3</v>
      </c>
      <c r="F70" s="573"/>
      <c r="G70" s="487"/>
      <c r="H70" s="573">
        <v>100000</v>
      </c>
      <c r="I70" s="1208">
        <v>44500</v>
      </c>
      <c r="J70" s="573"/>
      <c r="K70" s="487"/>
      <c r="L70" s="573"/>
      <c r="M70" s="573"/>
      <c r="N70" s="456">
        <f t="shared" si="0"/>
        <v>0</v>
      </c>
      <c r="O70" s="487"/>
      <c r="P70" s="487"/>
      <c r="Q70" s="274">
        <f t="shared" si="7"/>
        <v>0</v>
      </c>
      <c r="R70" s="574">
        <f t="shared" si="8"/>
        <v>100000</v>
      </c>
      <c r="S70" s="275">
        <f t="shared" si="9"/>
        <v>44500</v>
      </c>
      <c r="T70" s="575"/>
      <c r="U70" s="487"/>
      <c r="V70" s="576"/>
      <c r="W70" s="573"/>
      <c r="X70" s="574">
        <f t="shared" si="3"/>
        <v>0</v>
      </c>
      <c r="Y70" s="487"/>
      <c r="Z70" s="487"/>
      <c r="AA70" s="276">
        <f t="shared" si="4"/>
        <v>0</v>
      </c>
      <c r="AB70" s="573"/>
      <c r="AC70" s="487"/>
      <c r="AD70" s="573"/>
      <c r="AE70" s="487"/>
      <c r="AF70" s="577">
        <f t="shared" si="10"/>
        <v>100000</v>
      </c>
      <c r="AG70" s="275">
        <f t="shared" si="11"/>
        <v>44500</v>
      </c>
    </row>
    <row r="71" spans="1:33" s="578" customFormat="1" ht="12" customHeight="1">
      <c r="A71" s="568" t="s">
        <v>1270</v>
      </c>
      <c r="B71" s="569" t="s">
        <v>1779</v>
      </c>
      <c r="C71" s="238" t="s">
        <v>1770</v>
      </c>
      <c r="D71" s="571">
        <v>102368</v>
      </c>
      <c r="E71" s="572">
        <v>3</v>
      </c>
      <c r="F71" s="573"/>
      <c r="G71" s="487"/>
      <c r="H71" s="573"/>
      <c r="I71" s="487"/>
      <c r="J71" s="573"/>
      <c r="K71" s="487"/>
      <c r="L71" s="573"/>
      <c r="M71" s="573"/>
      <c r="N71" s="456">
        <f t="shared" si="0"/>
        <v>0</v>
      </c>
      <c r="O71" s="487"/>
      <c r="P71" s="487"/>
      <c r="Q71" s="274">
        <f t="shared" si="7"/>
        <v>0</v>
      </c>
      <c r="R71" s="574">
        <f t="shared" si="8"/>
        <v>0</v>
      </c>
      <c r="S71" s="275">
        <f t="shared" si="9"/>
        <v>0</v>
      </c>
      <c r="T71" s="575"/>
      <c r="U71" s="487"/>
      <c r="V71" s="576"/>
      <c r="W71" s="573"/>
      <c r="X71" s="574">
        <f t="shared" si="3"/>
        <v>0</v>
      </c>
      <c r="Y71" s="487"/>
      <c r="Z71" s="487"/>
      <c r="AA71" s="276">
        <f t="shared" si="4"/>
        <v>0</v>
      </c>
      <c r="AB71" s="573"/>
      <c r="AC71" s="487"/>
      <c r="AD71" s="573"/>
      <c r="AE71" s="487"/>
      <c r="AF71" s="577">
        <f t="shared" si="10"/>
        <v>0</v>
      </c>
      <c r="AG71" s="275">
        <f t="shared" si="11"/>
        <v>0</v>
      </c>
    </row>
    <row r="72" spans="1:33" s="578" customFormat="1" ht="12" customHeight="1">
      <c r="A72" s="568" t="s">
        <v>1270</v>
      </c>
      <c r="B72" s="569" t="s">
        <v>1779</v>
      </c>
      <c r="C72" s="579" t="s">
        <v>461</v>
      </c>
      <c r="D72" s="571">
        <v>102368</v>
      </c>
      <c r="E72" s="572">
        <v>3</v>
      </c>
      <c r="F72" s="573"/>
      <c r="G72" s="487"/>
      <c r="H72" s="573">
        <v>343881</v>
      </c>
      <c r="I72" s="1208">
        <v>306054</v>
      </c>
      <c r="J72" s="573"/>
      <c r="K72" s="487"/>
      <c r="L72" s="573"/>
      <c r="M72" s="573"/>
      <c r="N72" s="456">
        <f t="shared" si="0"/>
        <v>0</v>
      </c>
      <c r="O72" s="487"/>
      <c r="P72" s="487"/>
      <c r="Q72" s="274">
        <f t="shared" si="7"/>
        <v>0</v>
      </c>
      <c r="R72" s="574">
        <f t="shared" si="8"/>
        <v>343881</v>
      </c>
      <c r="S72" s="275">
        <f t="shared" si="9"/>
        <v>306054</v>
      </c>
      <c r="T72" s="575"/>
      <c r="U72" s="487"/>
      <c r="V72" s="576"/>
      <c r="W72" s="573"/>
      <c r="X72" s="574">
        <f t="shared" si="3"/>
        <v>0</v>
      </c>
      <c r="Y72" s="487"/>
      <c r="Z72" s="487"/>
      <c r="AA72" s="276">
        <f t="shared" si="4"/>
        <v>0</v>
      </c>
      <c r="AB72" s="573"/>
      <c r="AC72" s="487"/>
      <c r="AD72" s="573"/>
      <c r="AE72" s="487"/>
      <c r="AF72" s="577">
        <f t="shared" si="10"/>
        <v>343881</v>
      </c>
      <c r="AG72" s="275">
        <f t="shared" si="11"/>
        <v>306054</v>
      </c>
    </row>
    <row r="73" spans="1:33" s="578" customFormat="1" ht="12" customHeight="1">
      <c r="A73" s="568" t="s">
        <v>1270</v>
      </c>
      <c r="B73" s="569" t="s">
        <v>1776</v>
      </c>
      <c r="C73" s="570" t="s">
        <v>1425</v>
      </c>
      <c r="D73" s="571">
        <v>100724</v>
      </c>
      <c r="E73" s="572">
        <v>4</v>
      </c>
      <c r="F73" s="573">
        <f>46031108+243068</f>
        <v>46274176</v>
      </c>
      <c r="G73" s="1208">
        <v>40896146</v>
      </c>
      <c r="H73" s="573"/>
      <c r="I73" s="487"/>
      <c r="J73" s="573"/>
      <c r="K73" s="487"/>
      <c r="L73" s="455">
        <v>28984759</v>
      </c>
      <c r="M73" s="455">
        <v>6450724</v>
      </c>
      <c r="N73" s="456">
        <f t="shared" si="0"/>
        <v>35435483</v>
      </c>
      <c r="O73" s="487">
        <v>30160266</v>
      </c>
      <c r="P73" s="487">
        <v>8167770</v>
      </c>
      <c r="Q73" s="274">
        <f t="shared" si="7"/>
        <v>38328036</v>
      </c>
      <c r="R73" s="574">
        <f t="shared" si="8"/>
        <v>75258935</v>
      </c>
      <c r="S73" s="275">
        <f t="shared" si="9"/>
        <v>71056412</v>
      </c>
      <c r="T73" s="575"/>
      <c r="U73" s="487"/>
      <c r="V73" s="576"/>
      <c r="W73" s="573"/>
      <c r="X73" s="574">
        <f t="shared" si="3"/>
        <v>0</v>
      </c>
      <c r="Y73" s="487"/>
      <c r="Z73" s="487"/>
      <c r="AA73" s="276">
        <f t="shared" si="4"/>
        <v>0</v>
      </c>
      <c r="AB73" s="573"/>
      <c r="AC73" s="487"/>
      <c r="AD73" s="573"/>
      <c r="AE73" s="487"/>
      <c r="AF73" s="577">
        <f t="shared" si="10"/>
        <v>75258935</v>
      </c>
      <c r="AG73" s="275">
        <f t="shared" si="11"/>
        <v>71056412</v>
      </c>
    </row>
    <row r="74" spans="1:33" s="578" customFormat="1" ht="12" customHeight="1">
      <c r="A74" s="568" t="s">
        <v>1270</v>
      </c>
      <c r="B74" s="569" t="s">
        <v>1778</v>
      </c>
      <c r="C74" s="237" t="s">
        <v>1891</v>
      </c>
      <c r="D74" s="571">
        <v>100724</v>
      </c>
      <c r="E74" s="572">
        <v>4</v>
      </c>
      <c r="F74" s="573"/>
      <c r="G74" s="487"/>
      <c r="H74" s="573"/>
      <c r="I74" s="487"/>
      <c r="J74" s="573"/>
      <c r="K74" s="487"/>
      <c r="L74" s="573"/>
      <c r="M74" s="573"/>
      <c r="N74" s="456">
        <f t="shared" si="0"/>
        <v>0</v>
      </c>
      <c r="O74" s="487"/>
      <c r="P74" s="487"/>
      <c r="Q74" s="274">
        <f t="shared" ref="Q74:Q137" si="12">SUM(O74:P74)</f>
        <v>0</v>
      </c>
      <c r="R74" s="574">
        <f t="shared" ref="R74:R137" si="13">SUM(F74,H74,J74,L74)</f>
        <v>0</v>
      </c>
      <c r="S74" s="275">
        <f t="shared" ref="S74:S137" si="14">SUM(G74,I74,K74,O74)</f>
        <v>0</v>
      </c>
      <c r="T74" s="575"/>
      <c r="U74" s="487"/>
      <c r="V74" s="576"/>
      <c r="W74" s="573"/>
      <c r="X74" s="574">
        <f t="shared" si="3"/>
        <v>0</v>
      </c>
      <c r="Y74" s="487"/>
      <c r="Z74" s="487"/>
      <c r="AA74" s="276">
        <f t="shared" si="4"/>
        <v>0</v>
      </c>
      <c r="AB74" s="573"/>
      <c r="AC74" s="487"/>
      <c r="AD74" s="573"/>
      <c r="AE74" s="487"/>
      <c r="AF74" s="577">
        <f t="shared" ref="AF74:AF137" si="15">SUM(R74,T74,V74,AB74,AD74)</f>
        <v>0</v>
      </c>
      <c r="AG74" s="275">
        <f t="shared" ref="AG74:AG137" si="16">SUM(S74,U74,Y74,AC74,AE74)</f>
        <v>0</v>
      </c>
    </row>
    <row r="75" spans="1:33" s="578" customFormat="1" ht="12" customHeight="1">
      <c r="A75" s="568" t="s">
        <v>1270</v>
      </c>
      <c r="B75" s="569" t="s">
        <v>1778</v>
      </c>
      <c r="C75" s="579" t="s">
        <v>1427</v>
      </c>
      <c r="D75" s="571">
        <v>100724</v>
      </c>
      <c r="E75" s="572">
        <v>4</v>
      </c>
      <c r="F75" s="573"/>
      <c r="G75" s="487"/>
      <c r="H75" s="573">
        <v>1150000</v>
      </c>
      <c r="I75" s="1208">
        <v>1023500</v>
      </c>
      <c r="J75" s="573"/>
      <c r="K75" s="487"/>
      <c r="L75" s="573"/>
      <c r="M75" s="573"/>
      <c r="N75" s="456">
        <f t="shared" si="0"/>
        <v>0</v>
      </c>
      <c r="O75" s="487"/>
      <c r="P75" s="487"/>
      <c r="Q75" s="274">
        <f t="shared" si="12"/>
        <v>0</v>
      </c>
      <c r="R75" s="574">
        <f t="shared" si="13"/>
        <v>1150000</v>
      </c>
      <c r="S75" s="275">
        <f t="shared" si="14"/>
        <v>1023500</v>
      </c>
      <c r="T75" s="575"/>
      <c r="U75" s="487"/>
      <c r="V75" s="576"/>
      <c r="W75" s="573"/>
      <c r="X75" s="574">
        <f t="shared" si="3"/>
        <v>0</v>
      </c>
      <c r="Y75" s="487"/>
      <c r="Z75" s="487"/>
      <c r="AA75" s="276">
        <f t="shared" si="4"/>
        <v>0</v>
      </c>
      <c r="AB75" s="573"/>
      <c r="AC75" s="487"/>
      <c r="AD75" s="573"/>
      <c r="AE75" s="487"/>
      <c r="AF75" s="577">
        <f t="shared" si="15"/>
        <v>1150000</v>
      </c>
      <c r="AG75" s="275">
        <f t="shared" si="16"/>
        <v>1023500</v>
      </c>
    </row>
    <row r="76" spans="1:33" s="578" customFormat="1" ht="12" customHeight="1">
      <c r="A76" s="568" t="s">
        <v>1270</v>
      </c>
      <c r="B76" s="569" t="s">
        <v>1778</v>
      </c>
      <c r="C76" s="579" t="s">
        <v>465</v>
      </c>
      <c r="D76" s="571">
        <v>100724</v>
      </c>
      <c r="E76" s="572">
        <v>4</v>
      </c>
      <c r="F76" s="573"/>
      <c r="G76" s="487"/>
      <c r="H76" s="573"/>
      <c r="I76" s="1208">
        <v>445000</v>
      </c>
      <c r="J76" s="573"/>
      <c r="K76" s="487"/>
      <c r="L76" s="573"/>
      <c r="M76" s="573"/>
      <c r="N76" s="456">
        <f t="shared" si="0"/>
        <v>0</v>
      </c>
      <c r="O76" s="487"/>
      <c r="P76" s="487"/>
      <c r="Q76" s="274">
        <f t="shared" si="12"/>
        <v>0</v>
      </c>
      <c r="R76" s="574">
        <f t="shared" si="13"/>
        <v>0</v>
      </c>
      <c r="S76" s="275">
        <f t="shared" si="14"/>
        <v>445000</v>
      </c>
      <c r="T76" s="575"/>
      <c r="U76" s="487"/>
      <c r="V76" s="576"/>
      <c r="W76" s="573"/>
      <c r="X76" s="574">
        <f t="shared" si="3"/>
        <v>0</v>
      </c>
      <c r="Y76" s="487"/>
      <c r="Z76" s="487"/>
      <c r="AA76" s="276">
        <f t="shared" si="4"/>
        <v>0</v>
      </c>
      <c r="AB76" s="573"/>
      <c r="AC76" s="487"/>
      <c r="AD76" s="573"/>
      <c r="AE76" s="487"/>
      <c r="AF76" s="577">
        <f t="shared" si="15"/>
        <v>0</v>
      </c>
      <c r="AG76" s="275">
        <f t="shared" si="16"/>
        <v>445000</v>
      </c>
    </row>
    <row r="77" spans="1:33" s="578" customFormat="1" ht="12" customHeight="1">
      <c r="A77" s="568" t="s">
        <v>1270</v>
      </c>
      <c r="B77" s="569" t="s">
        <v>1779</v>
      </c>
      <c r="C77" s="238" t="s">
        <v>1770</v>
      </c>
      <c r="D77" s="571">
        <v>100724</v>
      </c>
      <c r="E77" s="572">
        <v>4</v>
      </c>
      <c r="F77" s="573"/>
      <c r="G77" s="487"/>
      <c r="H77" s="573"/>
      <c r="I77" s="487"/>
      <c r="J77" s="573"/>
      <c r="K77" s="487"/>
      <c r="L77" s="573"/>
      <c r="M77" s="573"/>
      <c r="N77" s="456">
        <f t="shared" si="0"/>
        <v>0</v>
      </c>
      <c r="O77" s="487"/>
      <c r="P77" s="487"/>
      <c r="Q77" s="274">
        <f t="shared" si="12"/>
        <v>0</v>
      </c>
      <c r="R77" s="574">
        <f t="shared" si="13"/>
        <v>0</v>
      </c>
      <c r="S77" s="275">
        <f t="shared" si="14"/>
        <v>0</v>
      </c>
      <c r="T77" s="575"/>
      <c r="U77" s="487"/>
      <c r="V77" s="576"/>
      <c r="W77" s="573"/>
      <c r="X77" s="574">
        <f t="shared" si="3"/>
        <v>0</v>
      </c>
      <c r="Y77" s="487"/>
      <c r="Z77" s="487"/>
      <c r="AA77" s="276">
        <f t="shared" si="4"/>
        <v>0</v>
      </c>
      <c r="AB77" s="573"/>
      <c r="AC77" s="487"/>
      <c r="AD77" s="573"/>
      <c r="AE77" s="487"/>
      <c r="AF77" s="577">
        <f t="shared" si="15"/>
        <v>0</v>
      </c>
      <c r="AG77" s="275">
        <f t="shared" si="16"/>
        <v>0</v>
      </c>
    </row>
    <row r="78" spans="1:33" s="578" customFormat="1" ht="12" customHeight="1">
      <c r="A78" s="568" t="s">
        <v>1270</v>
      </c>
      <c r="B78" s="569" t="s">
        <v>1779</v>
      </c>
      <c r="C78" s="579" t="s">
        <v>461</v>
      </c>
      <c r="D78" s="571">
        <v>100724</v>
      </c>
      <c r="E78" s="572">
        <v>4</v>
      </c>
      <c r="F78" s="573"/>
      <c r="G78" s="487"/>
      <c r="H78" s="573">
        <v>327636</v>
      </c>
      <c r="I78" s="1208">
        <v>291596</v>
      </c>
      <c r="J78" s="573"/>
      <c r="K78" s="487"/>
      <c r="L78" s="573"/>
      <c r="M78" s="573"/>
      <c r="N78" s="456">
        <f t="shared" si="0"/>
        <v>0</v>
      </c>
      <c r="O78" s="487"/>
      <c r="P78" s="487"/>
      <c r="Q78" s="274">
        <f t="shared" si="12"/>
        <v>0</v>
      </c>
      <c r="R78" s="574">
        <f t="shared" si="13"/>
        <v>327636</v>
      </c>
      <c r="S78" s="275">
        <f t="shared" si="14"/>
        <v>291596</v>
      </c>
      <c r="T78" s="575"/>
      <c r="U78" s="487"/>
      <c r="V78" s="576"/>
      <c r="W78" s="573"/>
      <c r="X78" s="574">
        <f t="shared" si="3"/>
        <v>0</v>
      </c>
      <c r="Y78" s="487"/>
      <c r="Z78" s="487"/>
      <c r="AA78" s="276">
        <f t="shared" si="4"/>
        <v>0</v>
      </c>
      <c r="AB78" s="573"/>
      <c r="AC78" s="487"/>
      <c r="AD78" s="573"/>
      <c r="AE78" s="487"/>
      <c r="AF78" s="577">
        <f t="shared" si="15"/>
        <v>327636</v>
      </c>
      <c r="AG78" s="275">
        <f t="shared" si="16"/>
        <v>291596</v>
      </c>
    </row>
    <row r="79" spans="1:33" s="578" customFormat="1" ht="12" customHeight="1">
      <c r="A79" s="568" t="s">
        <v>1270</v>
      </c>
      <c r="B79" s="569" t="s">
        <v>1779</v>
      </c>
      <c r="C79" s="579" t="s">
        <v>1426</v>
      </c>
      <c r="D79" s="571">
        <v>100724</v>
      </c>
      <c r="E79" s="572">
        <v>4</v>
      </c>
      <c r="F79" s="573"/>
      <c r="G79" s="487"/>
      <c r="H79" s="573">
        <v>1842383</v>
      </c>
      <c r="I79" s="487"/>
      <c r="J79" s="573"/>
      <c r="K79" s="487"/>
      <c r="L79" s="573"/>
      <c r="M79" s="573"/>
      <c r="N79" s="456">
        <f t="shared" si="0"/>
        <v>0</v>
      </c>
      <c r="O79" s="487"/>
      <c r="P79" s="487"/>
      <c r="Q79" s="274">
        <f t="shared" si="12"/>
        <v>0</v>
      </c>
      <c r="R79" s="574">
        <f t="shared" si="13"/>
        <v>1842383</v>
      </c>
      <c r="S79" s="275">
        <f t="shared" si="14"/>
        <v>0</v>
      </c>
      <c r="T79" s="575"/>
      <c r="U79" s="487"/>
      <c r="V79" s="576"/>
      <c r="W79" s="573"/>
      <c r="X79" s="574">
        <f t="shared" si="3"/>
        <v>0</v>
      </c>
      <c r="Y79" s="487"/>
      <c r="Z79" s="487"/>
      <c r="AA79" s="276">
        <f t="shared" si="4"/>
        <v>0</v>
      </c>
      <c r="AB79" s="573"/>
      <c r="AC79" s="487"/>
      <c r="AD79" s="573"/>
      <c r="AE79" s="487"/>
      <c r="AF79" s="577">
        <f t="shared" si="15"/>
        <v>1842383</v>
      </c>
      <c r="AG79" s="275">
        <f t="shared" si="16"/>
        <v>0</v>
      </c>
    </row>
    <row r="80" spans="1:33" s="578" customFormat="1" ht="12" customHeight="1">
      <c r="A80" s="568" t="s">
        <v>1270</v>
      </c>
      <c r="B80" s="569" t="s">
        <v>1776</v>
      </c>
      <c r="C80" s="570" t="s">
        <v>1428</v>
      </c>
      <c r="D80" s="571">
        <v>100830</v>
      </c>
      <c r="E80" s="572">
        <v>4</v>
      </c>
      <c r="F80" s="573">
        <f>30230105+159088</f>
        <v>30389193</v>
      </c>
      <c r="G80" s="1208">
        <v>24120895</v>
      </c>
      <c r="H80" s="573"/>
      <c r="I80" s="487"/>
      <c r="J80" s="573"/>
      <c r="K80" s="487"/>
      <c r="L80" s="455">
        <v>22931141</v>
      </c>
      <c r="M80" s="573">
        <v>147075</v>
      </c>
      <c r="N80" s="456">
        <f t="shared" si="0"/>
        <v>23078216</v>
      </c>
      <c r="O80" s="487">
        <v>20947623</v>
      </c>
      <c r="P80" s="487">
        <v>147075</v>
      </c>
      <c r="Q80" s="274">
        <f t="shared" si="12"/>
        <v>21094698</v>
      </c>
      <c r="R80" s="574">
        <f t="shared" si="13"/>
        <v>53320334</v>
      </c>
      <c r="S80" s="275">
        <f t="shared" si="14"/>
        <v>45068518</v>
      </c>
      <c r="T80" s="575"/>
      <c r="U80" s="487"/>
      <c r="V80" s="576"/>
      <c r="W80" s="573"/>
      <c r="X80" s="574">
        <f t="shared" si="3"/>
        <v>0</v>
      </c>
      <c r="Y80" s="487"/>
      <c r="Z80" s="487"/>
      <c r="AA80" s="276">
        <f t="shared" si="4"/>
        <v>0</v>
      </c>
      <c r="AB80" s="573"/>
      <c r="AC80" s="487"/>
      <c r="AD80" s="573"/>
      <c r="AE80" s="487"/>
      <c r="AF80" s="577">
        <f t="shared" si="15"/>
        <v>53320334</v>
      </c>
      <c r="AG80" s="275">
        <f t="shared" si="16"/>
        <v>45068518</v>
      </c>
    </row>
    <row r="81" spans="1:33" s="578" customFormat="1" ht="12" customHeight="1">
      <c r="A81" s="568" t="s">
        <v>1270</v>
      </c>
      <c r="B81" s="569" t="s">
        <v>1778</v>
      </c>
      <c r="C81" s="237" t="s">
        <v>1891</v>
      </c>
      <c r="D81" s="571">
        <v>100830</v>
      </c>
      <c r="E81" s="572">
        <v>4</v>
      </c>
      <c r="F81" s="573"/>
      <c r="G81" s="487"/>
      <c r="H81" s="573"/>
      <c r="I81" s="487"/>
      <c r="J81" s="573"/>
      <c r="K81" s="487"/>
      <c r="L81" s="573"/>
      <c r="M81" s="573"/>
      <c r="N81" s="456">
        <f t="shared" si="0"/>
        <v>0</v>
      </c>
      <c r="O81" s="487"/>
      <c r="P81" s="487"/>
      <c r="Q81" s="274">
        <f t="shared" si="12"/>
        <v>0</v>
      </c>
      <c r="R81" s="574">
        <f t="shared" si="13"/>
        <v>0</v>
      </c>
      <c r="S81" s="275">
        <f t="shared" si="14"/>
        <v>0</v>
      </c>
      <c r="T81" s="575"/>
      <c r="U81" s="487"/>
      <c r="V81" s="576"/>
      <c r="W81" s="573"/>
      <c r="X81" s="574">
        <f t="shared" si="3"/>
        <v>0</v>
      </c>
      <c r="Y81" s="487"/>
      <c r="Z81" s="487"/>
      <c r="AA81" s="276">
        <f t="shared" si="4"/>
        <v>0</v>
      </c>
      <c r="AB81" s="573"/>
      <c r="AC81" s="487"/>
      <c r="AD81" s="573"/>
      <c r="AE81" s="487"/>
      <c r="AF81" s="577">
        <f t="shared" si="15"/>
        <v>0</v>
      </c>
      <c r="AG81" s="275">
        <f t="shared" si="16"/>
        <v>0</v>
      </c>
    </row>
    <row r="82" spans="1:33" s="578" customFormat="1" ht="12" customHeight="1">
      <c r="A82" s="568" t="s">
        <v>1270</v>
      </c>
      <c r="B82" s="569" t="s">
        <v>1778</v>
      </c>
      <c r="C82" s="579" t="s">
        <v>1824</v>
      </c>
      <c r="D82" s="571">
        <v>100830</v>
      </c>
      <c r="E82" s="572">
        <v>4</v>
      </c>
      <c r="F82" s="573"/>
      <c r="G82" s="487"/>
      <c r="H82" s="573">
        <v>337500</v>
      </c>
      <c r="I82" s="1208">
        <v>291475</v>
      </c>
      <c r="J82" s="573"/>
      <c r="K82" s="487"/>
      <c r="L82" s="573"/>
      <c r="M82" s="573"/>
      <c r="N82" s="456">
        <f t="shared" si="0"/>
        <v>0</v>
      </c>
      <c r="O82" s="487"/>
      <c r="P82" s="487"/>
      <c r="Q82" s="274">
        <f t="shared" si="12"/>
        <v>0</v>
      </c>
      <c r="R82" s="574">
        <f t="shared" si="13"/>
        <v>337500</v>
      </c>
      <c r="S82" s="275">
        <f t="shared" si="14"/>
        <v>291475</v>
      </c>
      <c r="T82" s="575"/>
      <c r="U82" s="487"/>
      <c r="V82" s="576"/>
      <c r="W82" s="573"/>
      <c r="X82" s="574">
        <f t="shared" si="3"/>
        <v>0</v>
      </c>
      <c r="Y82" s="487"/>
      <c r="Z82" s="487"/>
      <c r="AA82" s="276">
        <f t="shared" si="4"/>
        <v>0</v>
      </c>
      <c r="AB82" s="573"/>
      <c r="AC82" s="487"/>
      <c r="AD82" s="573"/>
      <c r="AE82" s="487"/>
      <c r="AF82" s="577">
        <f t="shared" si="15"/>
        <v>337500</v>
      </c>
      <c r="AG82" s="275">
        <f t="shared" si="16"/>
        <v>291475</v>
      </c>
    </row>
    <row r="83" spans="1:33" s="578" customFormat="1" ht="12" customHeight="1">
      <c r="A83" s="568" t="s">
        <v>1270</v>
      </c>
      <c r="B83" s="569" t="s">
        <v>1778</v>
      </c>
      <c r="C83" s="579" t="s">
        <v>1825</v>
      </c>
      <c r="D83" s="571">
        <v>100830</v>
      </c>
      <c r="E83" s="572">
        <v>4</v>
      </c>
      <c r="F83" s="573"/>
      <c r="G83" s="487"/>
      <c r="H83" s="573">
        <v>150000</v>
      </c>
      <c r="I83" s="1208">
        <v>120150</v>
      </c>
      <c r="J83" s="573"/>
      <c r="K83" s="487"/>
      <c r="L83" s="573"/>
      <c r="M83" s="573"/>
      <c r="N83" s="456">
        <f t="shared" ref="N83:N146" si="17">SUM(L83:M83)</f>
        <v>0</v>
      </c>
      <c r="O83" s="487"/>
      <c r="P83" s="487"/>
      <c r="Q83" s="274">
        <f t="shared" si="12"/>
        <v>0</v>
      </c>
      <c r="R83" s="574">
        <f t="shared" si="13"/>
        <v>150000</v>
      </c>
      <c r="S83" s="275">
        <f t="shared" si="14"/>
        <v>120150</v>
      </c>
      <c r="T83" s="575"/>
      <c r="U83" s="487"/>
      <c r="V83" s="576"/>
      <c r="W83" s="573"/>
      <c r="X83" s="574">
        <f t="shared" ref="X83:X146" si="18">SUM(V83:W83)</f>
        <v>0</v>
      </c>
      <c r="Y83" s="487"/>
      <c r="Z83" s="487"/>
      <c r="AA83" s="276">
        <f t="shared" ref="AA83:AA146" si="19">SUM(Y83:Z83)</f>
        <v>0</v>
      </c>
      <c r="AB83" s="573"/>
      <c r="AC83" s="487"/>
      <c r="AD83" s="573"/>
      <c r="AE83" s="487"/>
      <c r="AF83" s="577">
        <f t="shared" si="15"/>
        <v>150000</v>
      </c>
      <c r="AG83" s="275">
        <f t="shared" si="16"/>
        <v>120150</v>
      </c>
    </row>
    <row r="84" spans="1:33" s="578" customFormat="1" ht="12" customHeight="1">
      <c r="A84" s="568" t="s">
        <v>1270</v>
      </c>
      <c r="B84" s="569" t="s">
        <v>1778</v>
      </c>
      <c r="C84" s="579" t="s">
        <v>1826</v>
      </c>
      <c r="D84" s="571">
        <v>100830</v>
      </c>
      <c r="E84" s="572">
        <v>4</v>
      </c>
      <c r="F84" s="573"/>
      <c r="G84" s="487"/>
      <c r="H84" s="573">
        <v>150000</v>
      </c>
      <c r="I84" s="1208">
        <v>120150</v>
      </c>
      <c r="J84" s="573"/>
      <c r="K84" s="487"/>
      <c r="L84" s="573"/>
      <c r="M84" s="573"/>
      <c r="N84" s="456">
        <f t="shared" si="17"/>
        <v>0</v>
      </c>
      <c r="O84" s="487"/>
      <c r="P84" s="487"/>
      <c r="Q84" s="274">
        <f t="shared" si="12"/>
        <v>0</v>
      </c>
      <c r="R84" s="574">
        <f t="shared" si="13"/>
        <v>150000</v>
      </c>
      <c r="S84" s="275">
        <f t="shared" si="14"/>
        <v>120150</v>
      </c>
      <c r="T84" s="575"/>
      <c r="U84" s="487"/>
      <c r="V84" s="576"/>
      <c r="W84" s="573"/>
      <c r="X84" s="574">
        <f t="shared" si="18"/>
        <v>0</v>
      </c>
      <c r="Y84" s="487"/>
      <c r="Z84" s="487"/>
      <c r="AA84" s="276">
        <f t="shared" si="19"/>
        <v>0</v>
      </c>
      <c r="AB84" s="573"/>
      <c r="AC84" s="487"/>
      <c r="AD84" s="573"/>
      <c r="AE84" s="487"/>
      <c r="AF84" s="577">
        <f t="shared" si="15"/>
        <v>150000</v>
      </c>
      <c r="AG84" s="275">
        <f t="shared" si="16"/>
        <v>120150</v>
      </c>
    </row>
    <row r="85" spans="1:33" s="578" customFormat="1" ht="12" customHeight="1">
      <c r="A85" s="568" t="s">
        <v>1270</v>
      </c>
      <c r="B85" s="569" t="s">
        <v>1778</v>
      </c>
      <c r="C85" s="579" t="s">
        <v>143</v>
      </c>
      <c r="D85" s="571">
        <v>100830</v>
      </c>
      <c r="E85" s="572">
        <v>4</v>
      </c>
      <c r="F85" s="573"/>
      <c r="G85" s="487"/>
      <c r="H85" s="573"/>
      <c r="I85" s="1208">
        <v>178000</v>
      </c>
      <c r="J85" s="573"/>
      <c r="K85" s="487"/>
      <c r="L85" s="573"/>
      <c r="M85" s="573"/>
      <c r="N85" s="456">
        <f t="shared" si="17"/>
        <v>0</v>
      </c>
      <c r="O85" s="487"/>
      <c r="P85" s="487"/>
      <c r="Q85" s="274">
        <f t="shared" si="12"/>
        <v>0</v>
      </c>
      <c r="R85" s="574">
        <f t="shared" si="13"/>
        <v>0</v>
      </c>
      <c r="S85" s="275">
        <f t="shared" si="14"/>
        <v>178000</v>
      </c>
      <c r="T85" s="575"/>
      <c r="U85" s="487"/>
      <c r="V85" s="576"/>
      <c r="W85" s="573"/>
      <c r="X85" s="574">
        <f t="shared" si="18"/>
        <v>0</v>
      </c>
      <c r="Y85" s="487"/>
      <c r="Z85" s="487"/>
      <c r="AA85" s="276">
        <f t="shared" si="19"/>
        <v>0</v>
      </c>
      <c r="AB85" s="573"/>
      <c r="AC85" s="487"/>
      <c r="AD85" s="573"/>
      <c r="AE85" s="487"/>
      <c r="AF85" s="577">
        <f t="shared" si="15"/>
        <v>0</v>
      </c>
      <c r="AG85" s="275">
        <f t="shared" si="16"/>
        <v>178000</v>
      </c>
    </row>
    <row r="86" spans="1:33" s="578" customFormat="1" ht="12" customHeight="1">
      <c r="A86" s="568" t="s">
        <v>1270</v>
      </c>
      <c r="B86" s="569" t="s">
        <v>1776</v>
      </c>
      <c r="C86" s="1023" t="s">
        <v>2050</v>
      </c>
      <c r="D86" s="571">
        <v>101879</v>
      </c>
      <c r="E86" s="572">
        <v>4</v>
      </c>
      <c r="F86" s="573"/>
      <c r="G86" s="1208">
        <v>27359888</v>
      </c>
      <c r="H86" s="573"/>
      <c r="I86" s="487"/>
      <c r="J86" s="573"/>
      <c r="K86" s="487"/>
      <c r="L86" s="573"/>
      <c r="M86" s="573"/>
      <c r="N86" s="456">
        <f t="shared" si="17"/>
        <v>0</v>
      </c>
      <c r="O86" s="487"/>
      <c r="P86" s="487"/>
      <c r="Q86" s="274">
        <f t="shared" si="12"/>
        <v>0</v>
      </c>
      <c r="R86" s="574">
        <f t="shared" si="13"/>
        <v>0</v>
      </c>
      <c r="S86" s="275">
        <f t="shared" si="14"/>
        <v>27359888</v>
      </c>
      <c r="T86" s="575"/>
      <c r="U86" s="487"/>
      <c r="V86" s="576"/>
      <c r="W86" s="573"/>
      <c r="X86" s="574">
        <f t="shared" si="18"/>
        <v>0</v>
      </c>
      <c r="Y86" s="487"/>
      <c r="Z86" s="487"/>
      <c r="AA86" s="276">
        <f t="shared" si="19"/>
        <v>0</v>
      </c>
      <c r="AB86" s="573"/>
      <c r="AC86" s="487"/>
      <c r="AD86" s="573"/>
      <c r="AE86" s="487"/>
      <c r="AF86" s="577">
        <f t="shared" si="15"/>
        <v>0</v>
      </c>
      <c r="AG86" s="275">
        <f t="shared" si="16"/>
        <v>27359888</v>
      </c>
    </row>
    <row r="87" spans="1:33" s="578" customFormat="1" ht="12" customHeight="1">
      <c r="A87" s="568" t="s">
        <v>1270</v>
      </c>
      <c r="B87" s="569" t="s">
        <v>1779</v>
      </c>
      <c r="C87" s="238" t="s">
        <v>1770</v>
      </c>
      <c r="D87" s="571">
        <v>101879</v>
      </c>
      <c r="E87" s="572">
        <v>4</v>
      </c>
      <c r="F87" s="573"/>
      <c r="G87" s="487"/>
      <c r="H87" s="573"/>
      <c r="I87" s="487"/>
      <c r="J87" s="573"/>
      <c r="K87" s="487"/>
      <c r="L87" s="573"/>
      <c r="M87" s="573"/>
      <c r="N87" s="456">
        <f t="shared" si="17"/>
        <v>0</v>
      </c>
      <c r="O87" s="487"/>
      <c r="P87" s="487"/>
      <c r="Q87" s="274">
        <f t="shared" si="12"/>
        <v>0</v>
      </c>
      <c r="R87" s="574">
        <f t="shared" si="13"/>
        <v>0</v>
      </c>
      <c r="S87" s="275">
        <f t="shared" si="14"/>
        <v>0</v>
      </c>
      <c r="T87" s="575"/>
      <c r="U87" s="487"/>
      <c r="V87" s="576"/>
      <c r="W87" s="573"/>
      <c r="X87" s="574">
        <f t="shared" si="18"/>
        <v>0</v>
      </c>
      <c r="Y87" s="487"/>
      <c r="Z87" s="487"/>
      <c r="AA87" s="276">
        <f t="shared" si="19"/>
        <v>0</v>
      </c>
      <c r="AB87" s="573"/>
      <c r="AC87" s="487"/>
      <c r="AD87" s="573"/>
      <c r="AE87" s="487"/>
      <c r="AF87" s="577">
        <f t="shared" si="15"/>
        <v>0</v>
      </c>
      <c r="AG87" s="275">
        <f t="shared" si="16"/>
        <v>0</v>
      </c>
    </row>
    <row r="88" spans="1:33" s="578" customFormat="1" ht="12" customHeight="1">
      <c r="A88" s="568" t="s">
        <v>1270</v>
      </c>
      <c r="B88" s="569" t="s">
        <v>1779</v>
      </c>
      <c r="C88" s="579" t="s">
        <v>461</v>
      </c>
      <c r="D88" s="571">
        <v>101879</v>
      </c>
      <c r="E88" s="572">
        <v>4</v>
      </c>
      <c r="F88" s="573"/>
      <c r="G88" s="487"/>
      <c r="H88" s="573">
        <v>294564</v>
      </c>
      <c r="I88" s="1208">
        <v>262162</v>
      </c>
      <c r="J88" s="573"/>
      <c r="K88" s="487"/>
      <c r="L88" s="573"/>
      <c r="M88" s="573"/>
      <c r="N88" s="456">
        <f t="shared" si="17"/>
        <v>0</v>
      </c>
      <c r="O88" s="487"/>
      <c r="P88" s="487"/>
      <c r="Q88" s="274">
        <f t="shared" si="12"/>
        <v>0</v>
      </c>
      <c r="R88" s="574">
        <f t="shared" si="13"/>
        <v>294564</v>
      </c>
      <c r="S88" s="275">
        <f t="shared" si="14"/>
        <v>262162</v>
      </c>
      <c r="T88" s="575"/>
      <c r="U88" s="487"/>
      <c r="V88" s="576"/>
      <c r="W88" s="573"/>
      <c r="X88" s="574">
        <f t="shared" si="18"/>
        <v>0</v>
      </c>
      <c r="Y88" s="487"/>
      <c r="Z88" s="487"/>
      <c r="AA88" s="276">
        <f t="shared" si="19"/>
        <v>0</v>
      </c>
      <c r="AB88" s="573"/>
      <c r="AC88" s="487"/>
      <c r="AD88" s="573"/>
      <c r="AE88" s="487"/>
      <c r="AF88" s="577">
        <f t="shared" si="15"/>
        <v>294564</v>
      </c>
      <c r="AG88" s="275">
        <f t="shared" si="16"/>
        <v>262162</v>
      </c>
    </row>
    <row r="89" spans="1:33" s="578" customFormat="1" ht="12" customHeight="1">
      <c r="A89" s="568" t="s">
        <v>1270</v>
      </c>
      <c r="B89" s="569" t="s">
        <v>1776</v>
      </c>
      <c r="C89" s="570" t="s">
        <v>1727</v>
      </c>
      <c r="D89" s="571">
        <v>101709</v>
      </c>
      <c r="E89" s="572">
        <v>5</v>
      </c>
      <c r="F89" s="573">
        <f>24040295+113253</f>
        <v>24153548</v>
      </c>
      <c r="G89" s="1208">
        <v>19390898</v>
      </c>
      <c r="H89" s="573"/>
      <c r="I89" s="487"/>
      <c r="J89" s="573"/>
      <c r="K89" s="487"/>
      <c r="L89" s="455">
        <v>17318236</v>
      </c>
      <c r="M89" s="455">
        <v>378651</v>
      </c>
      <c r="N89" s="456">
        <f t="shared" si="17"/>
        <v>17696887</v>
      </c>
      <c r="O89" s="487">
        <v>18489288</v>
      </c>
      <c r="P89" s="487"/>
      <c r="Q89" s="274">
        <f t="shared" si="12"/>
        <v>18489288</v>
      </c>
      <c r="R89" s="574">
        <f t="shared" si="13"/>
        <v>41471784</v>
      </c>
      <c r="S89" s="275">
        <f t="shared" si="14"/>
        <v>37880186</v>
      </c>
      <c r="T89" s="575"/>
      <c r="U89" s="487"/>
      <c r="V89" s="576"/>
      <c r="W89" s="573"/>
      <c r="X89" s="574">
        <f t="shared" si="18"/>
        <v>0</v>
      </c>
      <c r="Y89" s="487"/>
      <c r="Z89" s="487"/>
      <c r="AA89" s="276">
        <f t="shared" si="19"/>
        <v>0</v>
      </c>
      <c r="AB89" s="573"/>
      <c r="AC89" s="487"/>
      <c r="AD89" s="573"/>
      <c r="AE89" s="487"/>
      <c r="AF89" s="577">
        <f t="shared" si="15"/>
        <v>41471784</v>
      </c>
      <c r="AG89" s="275">
        <f t="shared" si="16"/>
        <v>37880186</v>
      </c>
    </row>
    <row r="90" spans="1:33" s="578" customFormat="1" ht="12" customHeight="1">
      <c r="A90" s="568" t="s">
        <v>1270</v>
      </c>
      <c r="B90" s="569" t="s">
        <v>1779</v>
      </c>
      <c r="C90" s="238" t="s">
        <v>1770</v>
      </c>
      <c r="D90" s="571">
        <v>101709</v>
      </c>
      <c r="E90" s="572">
        <v>5</v>
      </c>
      <c r="F90" s="573"/>
      <c r="G90" s="487"/>
      <c r="H90" s="573"/>
      <c r="I90" s="487"/>
      <c r="J90" s="573"/>
      <c r="K90" s="487"/>
      <c r="L90" s="573"/>
      <c r="M90" s="573"/>
      <c r="N90" s="456">
        <f t="shared" si="17"/>
        <v>0</v>
      </c>
      <c r="O90" s="487"/>
      <c r="P90" s="487"/>
      <c r="Q90" s="274">
        <f t="shared" si="12"/>
        <v>0</v>
      </c>
      <c r="R90" s="574">
        <f t="shared" si="13"/>
        <v>0</v>
      </c>
      <c r="S90" s="275">
        <f t="shared" si="14"/>
        <v>0</v>
      </c>
      <c r="T90" s="575"/>
      <c r="U90" s="487"/>
      <c r="V90" s="576"/>
      <c r="W90" s="573"/>
      <c r="X90" s="574">
        <f t="shared" si="18"/>
        <v>0</v>
      </c>
      <c r="Y90" s="487"/>
      <c r="Z90" s="487"/>
      <c r="AA90" s="276">
        <f t="shared" si="19"/>
        <v>0</v>
      </c>
      <c r="AB90" s="573"/>
      <c r="AC90" s="487"/>
      <c r="AD90" s="573"/>
      <c r="AE90" s="487"/>
      <c r="AF90" s="577">
        <f t="shared" si="15"/>
        <v>0</v>
      </c>
      <c r="AG90" s="275">
        <f t="shared" si="16"/>
        <v>0</v>
      </c>
    </row>
    <row r="91" spans="1:33" s="578" customFormat="1" ht="12" customHeight="1">
      <c r="A91" s="568" t="s">
        <v>1270</v>
      </c>
      <c r="B91" s="569" t="s">
        <v>1779</v>
      </c>
      <c r="C91" s="579" t="s">
        <v>461</v>
      </c>
      <c r="D91" s="571">
        <v>101709</v>
      </c>
      <c r="E91" s="572">
        <v>5</v>
      </c>
      <c r="F91" s="573"/>
      <c r="G91" s="487"/>
      <c r="H91" s="573">
        <v>340224</v>
      </c>
      <c r="I91" s="1208">
        <v>302799</v>
      </c>
      <c r="J91" s="573"/>
      <c r="K91" s="487"/>
      <c r="L91" s="573"/>
      <c r="M91" s="573"/>
      <c r="N91" s="456">
        <f t="shared" si="17"/>
        <v>0</v>
      </c>
      <c r="O91" s="487"/>
      <c r="P91" s="487"/>
      <c r="Q91" s="274">
        <f t="shared" si="12"/>
        <v>0</v>
      </c>
      <c r="R91" s="574">
        <f t="shared" si="13"/>
        <v>340224</v>
      </c>
      <c r="S91" s="275">
        <f t="shared" si="14"/>
        <v>302799</v>
      </c>
      <c r="T91" s="575"/>
      <c r="U91" s="487"/>
      <c r="V91" s="576"/>
      <c r="W91" s="573"/>
      <c r="X91" s="574">
        <f t="shared" si="18"/>
        <v>0</v>
      </c>
      <c r="Y91" s="487"/>
      <c r="Z91" s="487"/>
      <c r="AA91" s="276">
        <f t="shared" si="19"/>
        <v>0</v>
      </c>
      <c r="AB91" s="573"/>
      <c r="AC91" s="487"/>
      <c r="AD91" s="573"/>
      <c r="AE91" s="487"/>
      <c r="AF91" s="577">
        <f t="shared" si="15"/>
        <v>340224</v>
      </c>
      <c r="AG91" s="275">
        <f t="shared" si="16"/>
        <v>302799</v>
      </c>
    </row>
    <row r="92" spans="1:33" s="578" customFormat="1" ht="12" customHeight="1">
      <c r="A92" s="568" t="s">
        <v>1270</v>
      </c>
      <c r="B92" s="569" t="s">
        <v>1776</v>
      </c>
      <c r="C92" s="568" t="s">
        <v>1728</v>
      </c>
      <c r="D92" s="581">
        <v>101587</v>
      </c>
      <c r="E92" s="572">
        <v>5</v>
      </c>
      <c r="F92" s="573">
        <f>15392622+90076</f>
        <v>15482698</v>
      </c>
      <c r="G92" s="1208">
        <v>12381215</v>
      </c>
      <c r="H92" s="573"/>
      <c r="I92" s="487"/>
      <c r="J92" s="573"/>
      <c r="K92" s="487"/>
      <c r="L92" s="573">
        <v>8493358</v>
      </c>
      <c r="M92" s="573"/>
      <c r="N92" s="456">
        <f t="shared" si="17"/>
        <v>8493358</v>
      </c>
      <c r="O92" s="487">
        <v>9229583</v>
      </c>
      <c r="P92" s="487"/>
      <c r="Q92" s="274">
        <f t="shared" si="12"/>
        <v>9229583</v>
      </c>
      <c r="R92" s="574">
        <f t="shared" si="13"/>
        <v>23976056</v>
      </c>
      <c r="S92" s="275">
        <f t="shared" si="14"/>
        <v>21610798</v>
      </c>
      <c r="T92" s="575"/>
      <c r="U92" s="487"/>
      <c r="V92" s="576"/>
      <c r="W92" s="573"/>
      <c r="X92" s="574">
        <f t="shared" si="18"/>
        <v>0</v>
      </c>
      <c r="Y92" s="487"/>
      <c r="Z92" s="487"/>
      <c r="AA92" s="276">
        <f t="shared" si="19"/>
        <v>0</v>
      </c>
      <c r="AB92" s="573"/>
      <c r="AC92" s="487"/>
      <c r="AD92" s="573"/>
      <c r="AE92" s="487"/>
      <c r="AF92" s="577">
        <f t="shared" si="15"/>
        <v>23976056</v>
      </c>
      <c r="AG92" s="275">
        <f t="shared" si="16"/>
        <v>21610798</v>
      </c>
    </row>
    <row r="93" spans="1:33" s="578" customFormat="1" ht="12" customHeight="1">
      <c r="A93" s="568" t="s">
        <v>1270</v>
      </c>
      <c r="B93" s="569" t="s">
        <v>1778</v>
      </c>
      <c r="C93" s="237" t="s">
        <v>1891</v>
      </c>
      <c r="D93" s="581">
        <v>101587</v>
      </c>
      <c r="E93" s="572">
        <v>5</v>
      </c>
      <c r="F93" s="573"/>
      <c r="G93" s="487"/>
      <c r="H93" s="573"/>
      <c r="I93" s="487"/>
      <c r="J93" s="573"/>
      <c r="K93" s="487"/>
      <c r="L93" s="573"/>
      <c r="M93" s="573"/>
      <c r="N93" s="456">
        <f t="shared" si="17"/>
        <v>0</v>
      </c>
      <c r="O93" s="487"/>
      <c r="P93" s="487"/>
      <c r="Q93" s="274">
        <f t="shared" si="12"/>
        <v>0</v>
      </c>
      <c r="R93" s="574">
        <f t="shared" si="13"/>
        <v>0</v>
      </c>
      <c r="S93" s="275">
        <f t="shared" si="14"/>
        <v>0</v>
      </c>
      <c r="T93" s="575"/>
      <c r="U93" s="487"/>
      <c r="V93" s="576"/>
      <c r="W93" s="573"/>
      <c r="X93" s="574">
        <f t="shared" si="18"/>
        <v>0</v>
      </c>
      <c r="Y93" s="487"/>
      <c r="Z93" s="487"/>
      <c r="AA93" s="276">
        <f t="shared" si="19"/>
        <v>0</v>
      </c>
      <c r="AB93" s="573"/>
      <c r="AC93" s="487"/>
      <c r="AD93" s="573"/>
      <c r="AE93" s="487"/>
      <c r="AF93" s="577">
        <f t="shared" si="15"/>
        <v>0</v>
      </c>
      <c r="AG93" s="275">
        <f t="shared" si="16"/>
        <v>0</v>
      </c>
    </row>
    <row r="94" spans="1:33" s="578" customFormat="1" ht="12" customHeight="1">
      <c r="A94" s="568" t="s">
        <v>1270</v>
      </c>
      <c r="B94" s="569" t="s">
        <v>1778</v>
      </c>
      <c r="C94" s="579" t="s">
        <v>1729</v>
      </c>
      <c r="D94" s="581">
        <v>101587</v>
      </c>
      <c r="E94" s="572">
        <v>5</v>
      </c>
      <c r="F94" s="573"/>
      <c r="G94" s="487"/>
      <c r="H94" s="573">
        <v>876000</v>
      </c>
      <c r="I94" s="1208">
        <v>574050</v>
      </c>
      <c r="J94" s="573"/>
      <c r="K94" s="487"/>
      <c r="L94" s="573"/>
      <c r="M94" s="573"/>
      <c r="N94" s="456">
        <f t="shared" si="17"/>
        <v>0</v>
      </c>
      <c r="O94" s="487"/>
      <c r="P94" s="487"/>
      <c r="Q94" s="274">
        <f t="shared" si="12"/>
        <v>0</v>
      </c>
      <c r="R94" s="574">
        <f t="shared" si="13"/>
        <v>876000</v>
      </c>
      <c r="S94" s="275">
        <f t="shared" si="14"/>
        <v>574050</v>
      </c>
      <c r="T94" s="575"/>
      <c r="U94" s="487"/>
      <c r="V94" s="576"/>
      <c r="W94" s="573"/>
      <c r="X94" s="574">
        <f t="shared" si="18"/>
        <v>0</v>
      </c>
      <c r="Y94" s="487"/>
      <c r="Z94" s="487"/>
      <c r="AA94" s="276">
        <f t="shared" si="19"/>
        <v>0</v>
      </c>
      <c r="AB94" s="573"/>
      <c r="AC94" s="487"/>
      <c r="AD94" s="573"/>
      <c r="AE94" s="487"/>
      <c r="AF94" s="577">
        <f t="shared" si="15"/>
        <v>876000</v>
      </c>
      <c r="AG94" s="275">
        <f t="shared" si="16"/>
        <v>574050</v>
      </c>
    </row>
    <row r="95" spans="1:33" s="578" customFormat="1" ht="12" customHeight="1">
      <c r="A95" s="568" t="s">
        <v>1270</v>
      </c>
      <c r="B95" s="569" t="s">
        <v>1778</v>
      </c>
      <c r="C95" s="580" t="s">
        <v>1730</v>
      </c>
      <c r="D95" s="581">
        <v>101587</v>
      </c>
      <c r="E95" s="572">
        <v>5</v>
      </c>
      <c r="F95" s="573"/>
      <c r="G95" s="487"/>
      <c r="H95" s="573">
        <v>250000</v>
      </c>
      <c r="I95" s="1208">
        <v>222500</v>
      </c>
      <c r="J95" s="573"/>
      <c r="K95" s="487"/>
      <c r="L95" s="573"/>
      <c r="M95" s="573"/>
      <c r="N95" s="456">
        <f t="shared" si="17"/>
        <v>0</v>
      </c>
      <c r="O95" s="487"/>
      <c r="P95" s="487"/>
      <c r="Q95" s="274">
        <f t="shared" si="12"/>
        <v>0</v>
      </c>
      <c r="R95" s="574">
        <f t="shared" si="13"/>
        <v>250000</v>
      </c>
      <c r="S95" s="275">
        <f t="shared" si="14"/>
        <v>222500</v>
      </c>
      <c r="T95" s="575"/>
      <c r="U95" s="487"/>
      <c r="V95" s="576"/>
      <c r="W95" s="573"/>
      <c r="X95" s="574">
        <f t="shared" si="18"/>
        <v>0</v>
      </c>
      <c r="Y95" s="487"/>
      <c r="Z95" s="487"/>
      <c r="AA95" s="276">
        <f t="shared" si="19"/>
        <v>0</v>
      </c>
      <c r="AB95" s="573"/>
      <c r="AC95" s="487"/>
      <c r="AD95" s="573"/>
      <c r="AE95" s="487"/>
      <c r="AF95" s="577">
        <f t="shared" si="15"/>
        <v>250000</v>
      </c>
      <c r="AG95" s="275">
        <f t="shared" si="16"/>
        <v>222500</v>
      </c>
    </row>
    <row r="96" spans="1:33" s="578" customFormat="1" ht="12" customHeight="1">
      <c r="A96" s="568" t="s">
        <v>1270</v>
      </c>
      <c r="B96" s="569" t="s">
        <v>1778</v>
      </c>
      <c r="C96" s="580" t="s">
        <v>1550</v>
      </c>
      <c r="D96" s="581">
        <v>101587</v>
      </c>
      <c r="E96" s="572">
        <v>5</v>
      </c>
      <c r="F96" s="573"/>
      <c r="G96" s="487"/>
      <c r="H96" s="573">
        <v>150000</v>
      </c>
      <c r="I96" s="1208">
        <v>111250</v>
      </c>
      <c r="J96" s="573"/>
      <c r="K96" s="487"/>
      <c r="L96" s="573"/>
      <c r="M96" s="573"/>
      <c r="N96" s="456">
        <f t="shared" si="17"/>
        <v>0</v>
      </c>
      <c r="O96" s="487"/>
      <c r="P96" s="487"/>
      <c r="Q96" s="274">
        <f t="shared" si="12"/>
        <v>0</v>
      </c>
      <c r="R96" s="574">
        <f t="shared" si="13"/>
        <v>150000</v>
      </c>
      <c r="S96" s="275">
        <f t="shared" si="14"/>
        <v>111250</v>
      </c>
      <c r="T96" s="575"/>
      <c r="U96" s="487"/>
      <c r="V96" s="576"/>
      <c r="W96" s="573"/>
      <c r="X96" s="574">
        <f t="shared" si="18"/>
        <v>0</v>
      </c>
      <c r="Y96" s="487"/>
      <c r="Z96" s="487"/>
      <c r="AA96" s="276">
        <f t="shared" si="19"/>
        <v>0</v>
      </c>
      <c r="AB96" s="573"/>
      <c r="AC96" s="487"/>
      <c r="AD96" s="573"/>
      <c r="AE96" s="487"/>
      <c r="AF96" s="577">
        <f t="shared" si="15"/>
        <v>150000</v>
      </c>
      <c r="AG96" s="275">
        <f t="shared" si="16"/>
        <v>111250</v>
      </c>
    </row>
    <row r="97" spans="1:33" s="578" customFormat="1" ht="12" customHeight="1">
      <c r="A97" s="568" t="s">
        <v>1270</v>
      </c>
      <c r="B97" s="569" t="s">
        <v>1778</v>
      </c>
      <c r="C97" s="580" t="s">
        <v>1551</v>
      </c>
      <c r="D97" s="581">
        <v>101587</v>
      </c>
      <c r="E97" s="572">
        <v>5</v>
      </c>
      <c r="F97" s="573"/>
      <c r="G97" s="487"/>
      <c r="H97" s="573">
        <v>250000</v>
      </c>
      <c r="I97" s="1208">
        <v>200250</v>
      </c>
      <c r="J97" s="573"/>
      <c r="K97" s="487"/>
      <c r="L97" s="573"/>
      <c r="M97" s="573"/>
      <c r="N97" s="456">
        <f t="shared" si="17"/>
        <v>0</v>
      </c>
      <c r="O97" s="487"/>
      <c r="P97" s="487"/>
      <c r="Q97" s="274">
        <f t="shared" si="12"/>
        <v>0</v>
      </c>
      <c r="R97" s="574">
        <f t="shared" si="13"/>
        <v>250000</v>
      </c>
      <c r="S97" s="275">
        <f t="shared" si="14"/>
        <v>200250</v>
      </c>
      <c r="T97" s="575"/>
      <c r="U97" s="487"/>
      <c r="V97" s="576"/>
      <c r="W97" s="573"/>
      <c r="X97" s="574">
        <f t="shared" si="18"/>
        <v>0</v>
      </c>
      <c r="Y97" s="487"/>
      <c r="Z97" s="487"/>
      <c r="AA97" s="276">
        <f t="shared" si="19"/>
        <v>0</v>
      </c>
      <c r="AB97" s="573"/>
      <c r="AC97" s="487"/>
      <c r="AD97" s="573"/>
      <c r="AE97" s="487"/>
      <c r="AF97" s="577">
        <f t="shared" si="15"/>
        <v>250000</v>
      </c>
      <c r="AG97" s="275">
        <f t="shared" si="16"/>
        <v>200250</v>
      </c>
    </row>
    <row r="98" spans="1:33" s="578" customFormat="1" ht="12" customHeight="1">
      <c r="A98" s="568" t="s">
        <v>1270</v>
      </c>
      <c r="B98" s="569" t="s">
        <v>1778</v>
      </c>
      <c r="C98" s="580" t="s">
        <v>1552</v>
      </c>
      <c r="D98" s="581">
        <v>101587</v>
      </c>
      <c r="E98" s="572">
        <v>5</v>
      </c>
      <c r="F98" s="573"/>
      <c r="G98" s="487"/>
      <c r="H98" s="573">
        <v>50000</v>
      </c>
      <c r="I98" s="1208">
        <v>40050</v>
      </c>
      <c r="J98" s="573"/>
      <c r="K98" s="487"/>
      <c r="L98" s="573"/>
      <c r="M98" s="573"/>
      <c r="N98" s="456">
        <f t="shared" si="17"/>
        <v>0</v>
      </c>
      <c r="O98" s="487"/>
      <c r="P98" s="487"/>
      <c r="Q98" s="274">
        <f t="shared" si="12"/>
        <v>0</v>
      </c>
      <c r="R98" s="574">
        <f t="shared" si="13"/>
        <v>50000</v>
      </c>
      <c r="S98" s="275">
        <f t="shared" si="14"/>
        <v>40050</v>
      </c>
      <c r="T98" s="575"/>
      <c r="U98" s="487"/>
      <c r="V98" s="576"/>
      <c r="W98" s="573"/>
      <c r="X98" s="574">
        <f t="shared" si="18"/>
        <v>0</v>
      </c>
      <c r="Y98" s="487"/>
      <c r="Z98" s="487"/>
      <c r="AA98" s="276">
        <f t="shared" si="19"/>
        <v>0</v>
      </c>
      <c r="AB98" s="573"/>
      <c r="AC98" s="487"/>
      <c r="AD98" s="573"/>
      <c r="AE98" s="487"/>
      <c r="AF98" s="577">
        <f t="shared" si="15"/>
        <v>50000</v>
      </c>
      <c r="AG98" s="275">
        <f t="shared" si="16"/>
        <v>40050</v>
      </c>
    </row>
    <row r="99" spans="1:33" s="578" customFormat="1" ht="12" customHeight="1">
      <c r="A99" s="568" t="s">
        <v>1270</v>
      </c>
      <c r="B99" s="569" t="s">
        <v>1776</v>
      </c>
      <c r="C99" s="570" t="s">
        <v>1731</v>
      </c>
      <c r="D99" s="571">
        <v>100812</v>
      </c>
      <c r="E99" s="572">
        <v>6</v>
      </c>
      <c r="F99" s="573">
        <f>15059802+88791</f>
        <v>15148593</v>
      </c>
      <c r="G99" s="1208">
        <v>12288445</v>
      </c>
      <c r="H99" s="573"/>
      <c r="I99" s="487"/>
      <c r="J99" s="573"/>
      <c r="K99" s="487"/>
      <c r="L99" s="455">
        <v>10511177</v>
      </c>
      <c r="M99" s="573">
        <v>1040000</v>
      </c>
      <c r="N99" s="456">
        <f t="shared" si="17"/>
        <v>11551177</v>
      </c>
      <c r="O99" s="487">
        <v>10963799</v>
      </c>
      <c r="P99" s="487">
        <v>1040000</v>
      </c>
      <c r="Q99" s="274">
        <f t="shared" si="12"/>
        <v>12003799</v>
      </c>
      <c r="R99" s="574">
        <f t="shared" si="13"/>
        <v>25659770</v>
      </c>
      <c r="S99" s="275">
        <f t="shared" si="14"/>
        <v>23252244</v>
      </c>
      <c r="T99" s="575"/>
      <c r="U99" s="487"/>
      <c r="V99" s="576"/>
      <c r="W99" s="573"/>
      <c r="X99" s="574">
        <f t="shared" si="18"/>
        <v>0</v>
      </c>
      <c r="Y99" s="487"/>
      <c r="Z99" s="487"/>
      <c r="AA99" s="276">
        <f t="shared" si="19"/>
        <v>0</v>
      </c>
      <c r="AB99" s="573"/>
      <c r="AC99" s="487"/>
      <c r="AD99" s="573"/>
      <c r="AE99" s="487"/>
      <c r="AF99" s="577">
        <f t="shared" si="15"/>
        <v>25659770</v>
      </c>
      <c r="AG99" s="275">
        <f t="shared" si="16"/>
        <v>23252244</v>
      </c>
    </row>
    <row r="100" spans="1:33" s="578" customFormat="1" ht="12" customHeight="1">
      <c r="A100" s="568" t="s">
        <v>1270</v>
      </c>
      <c r="B100" s="569" t="s">
        <v>1779</v>
      </c>
      <c r="C100" s="238" t="s">
        <v>1770</v>
      </c>
      <c r="D100" s="571">
        <v>100812</v>
      </c>
      <c r="E100" s="572">
        <v>6</v>
      </c>
      <c r="F100" s="573"/>
      <c r="G100" s="487"/>
      <c r="H100" s="573"/>
      <c r="I100" s="487"/>
      <c r="J100" s="573"/>
      <c r="K100" s="487"/>
      <c r="L100" s="573"/>
      <c r="M100" s="573"/>
      <c r="N100" s="456">
        <f t="shared" si="17"/>
        <v>0</v>
      </c>
      <c r="O100" s="487"/>
      <c r="P100" s="487"/>
      <c r="Q100" s="274">
        <f t="shared" si="12"/>
        <v>0</v>
      </c>
      <c r="R100" s="574">
        <f t="shared" si="13"/>
        <v>0</v>
      </c>
      <c r="S100" s="275">
        <f t="shared" si="14"/>
        <v>0</v>
      </c>
      <c r="T100" s="575"/>
      <c r="U100" s="487"/>
      <c r="V100" s="576"/>
      <c r="W100" s="573"/>
      <c r="X100" s="574">
        <f t="shared" si="18"/>
        <v>0</v>
      </c>
      <c r="Y100" s="487"/>
      <c r="Z100" s="487"/>
      <c r="AA100" s="276">
        <f t="shared" si="19"/>
        <v>0</v>
      </c>
      <c r="AB100" s="573"/>
      <c r="AC100" s="487"/>
      <c r="AD100" s="573"/>
      <c r="AE100" s="487"/>
      <c r="AF100" s="577">
        <f t="shared" si="15"/>
        <v>0</v>
      </c>
      <c r="AG100" s="275">
        <f t="shared" si="16"/>
        <v>0</v>
      </c>
    </row>
    <row r="101" spans="1:33" s="578" customFormat="1" ht="12" customHeight="1">
      <c r="A101" s="568" t="s">
        <v>1270</v>
      </c>
      <c r="B101" s="569" t="s">
        <v>1779</v>
      </c>
      <c r="C101" s="579" t="s">
        <v>461</v>
      </c>
      <c r="D101" s="571">
        <v>100812</v>
      </c>
      <c r="E101" s="572">
        <v>6</v>
      </c>
      <c r="F101" s="573"/>
      <c r="G101" s="487"/>
      <c r="H101" s="573">
        <v>317602</v>
      </c>
      <c r="I101" s="1208">
        <v>282666</v>
      </c>
      <c r="J101" s="573"/>
      <c r="K101" s="487"/>
      <c r="L101" s="573"/>
      <c r="M101" s="573"/>
      <c r="N101" s="456">
        <f t="shared" si="17"/>
        <v>0</v>
      </c>
      <c r="O101" s="487"/>
      <c r="P101" s="487"/>
      <c r="Q101" s="274">
        <f t="shared" si="12"/>
        <v>0</v>
      </c>
      <c r="R101" s="574">
        <f t="shared" si="13"/>
        <v>317602</v>
      </c>
      <c r="S101" s="275">
        <f t="shared" si="14"/>
        <v>282666</v>
      </c>
      <c r="T101" s="575"/>
      <c r="U101" s="487"/>
      <c r="V101" s="576"/>
      <c r="W101" s="573"/>
      <c r="X101" s="574">
        <f t="shared" si="18"/>
        <v>0</v>
      </c>
      <c r="Y101" s="487"/>
      <c r="Z101" s="487"/>
      <c r="AA101" s="276">
        <f t="shared" si="19"/>
        <v>0</v>
      </c>
      <c r="AB101" s="573"/>
      <c r="AC101" s="487"/>
      <c r="AD101" s="573"/>
      <c r="AE101" s="487"/>
      <c r="AF101" s="577">
        <f t="shared" si="15"/>
        <v>317602</v>
      </c>
      <c r="AG101" s="275">
        <f t="shared" si="16"/>
        <v>282666</v>
      </c>
    </row>
    <row r="102" spans="1:33" s="578" customFormat="1" ht="12" customHeight="1">
      <c r="A102" s="568" t="s">
        <v>1270</v>
      </c>
      <c r="B102" s="569" t="s">
        <v>1776</v>
      </c>
      <c r="C102" s="570" t="s">
        <v>1732</v>
      </c>
      <c r="D102" s="571">
        <v>101514</v>
      </c>
      <c r="E102" s="572">
        <v>8</v>
      </c>
      <c r="F102" s="573">
        <f>26484556+91184</f>
        <v>26575740</v>
      </c>
      <c r="G102" s="1208">
        <v>22562675</v>
      </c>
      <c r="H102" s="573"/>
      <c r="I102" s="487"/>
      <c r="J102" s="573"/>
      <c r="K102" s="487"/>
      <c r="L102" s="455">
        <v>17050409.129999999</v>
      </c>
      <c r="M102" s="455">
        <v>2926580.5</v>
      </c>
      <c r="N102" s="456">
        <f t="shared" si="17"/>
        <v>19976989.629999999</v>
      </c>
      <c r="O102" s="487">
        <v>15148797</v>
      </c>
      <c r="P102" s="487">
        <v>2925313</v>
      </c>
      <c r="Q102" s="274">
        <f t="shared" si="12"/>
        <v>18074110</v>
      </c>
      <c r="R102" s="574">
        <f t="shared" si="13"/>
        <v>43626149.129999995</v>
      </c>
      <c r="S102" s="275">
        <f t="shared" si="14"/>
        <v>37711472</v>
      </c>
      <c r="T102" s="575"/>
      <c r="U102" s="487"/>
      <c r="V102" s="576"/>
      <c r="W102" s="573"/>
      <c r="X102" s="574">
        <f t="shared" si="18"/>
        <v>0</v>
      </c>
      <c r="Y102" s="487"/>
      <c r="Z102" s="487"/>
      <c r="AA102" s="276">
        <f t="shared" si="19"/>
        <v>0</v>
      </c>
      <c r="AB102" s="573"/>
      <c r="AC102" s="487"/>
      <c r="AD102" s="573"/>
      <c r="AE102" s="487"/>
      <c r="AF102" s="577">
        <f t="shared" si="15"/>
        <v>43626149.129999995</v>
      </c>
      <c r="AG102" s="275">
        <f t="shared" si="16"/>
        <v>37711472</v>
      </c>
    </row>
    <row r="103" spans="1:33" s="578" customFormat="1" ht="12" customHeight="1">
      <c r="A103" s="582" t="s">
        <v>1270</v>
      </c>
      <c r="B103" s="569" t="s">
        <v>1784</v>
      </c>
      <c r="C103" s="238" t="s">
        <v>2039</v>
      </c>
      <c r="D103" s="571">
        <v>101514</v>
      </c>
      <c r="E103" s="572">
        <v>8</v>
      </c>
      <c r="F103" s="573"/>
      <c r="G103" s="487"/>
      <c r="H103" s="573"/>
      <c r="I103" s="487"/>
      <c r="J103" s="573"/>
      <c r="K103" s="487"/>
      <c r="L103" s="455"/>
      <c r="M103" s="455"/>
      <c r="N103" s="456">
        <f t="shared" si="17"/>
        <v>0</v>
      </c>
      <c r="O103" s="487"/>
      <c r="P103" s="487"/>
      <c r="Q103" s="274">
        <f t="shared" si="12"/>
        <v>0</v>
      </c>
      <c r="R103" s="574">
        <f t="shared" si="13"/>
        <v>0</v>
      </c>
      <c r="S103" s="275">
        <f t="shared" si="14"/>
        <v>0</v>
      </c>
      <c r="T103" s="575"/>
      <c r="U103" s="487"/>
      <c r="V103" s="576"/>
      <c r="W103" s="573"/>
      <c r="X103" s="574">
        <f t="shared" si="18"/>
        <v>0</v>
      </c>
      <c r="Y103" s="487"/>
      <c r="Z103" s="487"/>
      <c r="AA103" s="276">
        <f t="shared" si="19"/>
        <v>0</v>
      </c>
      <c r="AB103" s="573"/>
      <c r="AC103" s="487"/>
      <c r="AD103" s="573"/>
      <c r="AE103" s="487"/>
      <c r="AF103" s="577">
        <f t="shared" si="15"/>
        <v>0</v>
      </c>
      <c r="AG103" s="275">
        <f t="shared" si="16"/>
        <v>0</v>
      </c>
    </row>
    <row r="104" spans="1:33" s="578" customFormat="1" ht="12" customHeight="1">
      <c r="A104" s="568" t="s">
        <v>1270</v>
      </c>
      <c r="B104" s="569" t="s">
        <v>1784</v>
      </c>
      <c r="C104" s="580" t="s">
        <v>1734</v>
      </c>
      <c r="D104" s="571">
        <v>101514</v>
      </c>
      <c r="E104" s="572">
        <v>8</v>
      </c>
      <c r="F104" s="573"/>
      <c r="G104" s="487"/>
      <c r="H104" s="573">
        <v>250000</v>
      </c>
      <c r="I104" s="1208">
        <v>49857</v>
      </c>
      <c r="J104" s="573"/>
      <c r="K104" s="487"/>
      <c r="L104" s="573"/>
      <c r="M104" s="573"/>
      <c r="N104" s="456">
        <f t="shared" si="17"/>
        <v>0</v>
      </c>
      <c r="O104" s="487"/>
      <c r="P104" s="487"/>
      <c r="Q104" s="274">
        <f t="shared" si="12"/>
        <v>0</v>
      </c>
      <c r="R104" s="574">
        <f t="shared" si="13"/>
        <v>250000</v>
      </c>
      <c r="S104" s="275">
        <f t="shared" si="14"/>
        <v>49857</v>
      </c>
      <c r="T104" s="575"/>
      <c r="U104" s="487"/>
      <c r="V104" s="576"/>
      <c r="W104" s="573"/>
      <c r="X104" s="574">
        <f t="shared" si="18"/>
        <v>0</v>
      </c>
      <c r="Y104" s="487"/>
      <c r="Z104" s="487"/>
      <c r="AA104" s="276">
        <f t="shared" si="19"/>
        <v>0</v>
      </c>
      <c r="AB104" s="573"/>
      <c r="AC104" s="487"/>
      <c r="AD104" s="573"/>
      <c r="AE104" s="487"/>
      <c r="AF104" s="577">
        <f t="shared" si="15"/>
        <v>250000</v>
      </c>
      <c r="AG104" s="275">
        <f t="shared" si="16"/>
        <v>49857</v>
      </c>
    </row>
    <row r="105" spans="1:33" s="578" customFormat="1" ht="12" customHeight="1">
      <c r="A105" s="568" t="s">
        <v>1270</v>
      </c>
      <c r="B105" s="569" t="s">
        <v>1776</v>
      </c>
      <c r="C105" s="570" t="s">
        <v>1735</v>
      </c>
      <c r="D105" s="571">
        <v>101505</v>
      </c>
      <c r="E105" s="572">
        <v>8</v>
      </c>
      <c r="F105" s="573">
        <f>25617068+86868</f>
        <v>25703936</v>
      </c>
      <c r="G105" s="1208">
        <v>21808052</v>
      </c>
      <c r="H105" s="573"/>
      <c r="I105" s="487"/>
      <c r="J105" s="455">
        <v>0</v>
      </c>
      <c r="K105" s="487">
        <v>51650</v>
      </c>
      <c r="L105" s="455">
        <v>14232099.550000001</v>
      </c>
      <c r="M105" s="455">
        <v>4069701.95</v>
      </c>
      <c r="N105" s="456">
        <f t="shared" si="17"/>
        <v>18301801.5</v>
      </c>
      <c r="O105" s="487">
        <v>13496368</v>
      </c>
      <c r="P105" s="487">
        <v>4809002</v>
      </c>
      <c r="Q105" s="274">
        <f t="shared" si="12"/>
        <v>18305370</v>
      </c>
      <c r="R105" s="574">
        <f t="shared" si="13"/>
        <v>39936035.549999997</v>
      </c>
      <c r="S105" s="275">
        <f t="shared" si="14"/>
        <v>35356070</v>
      </c>
      <c r="T105" s="575"/>
      <c r="U105" s="487"/>
      <c r="V105" s="576"/>
      <c r="W105" s="573"/>
      <c r="X105" s="574">
        <f t="shared" si="18"/>
        <v>0</v>
      </c>
      <c r="Y105" s="487"/>
      <c r="Z105" s="487"/>
      <c r="AA105" s="276">
        <f t="shared" si="19"/>
        <v>0</v>
      </c>
      <c r="AB105" s="573"/>
      <c r="AC105" s="487"/>
      <c r="AD105" s="573"/>
      <c r="AE105" s="487"/>
      <c r="AF105" s="577">
        <f t="shared" si="15"/>
        <v>39936035.549999997</v>
      </c>
      <c r="AG105" s="275">
        <f t="shared" si="16"/>
        <v>35356070</v>
      </c>
    </row>
    <row r="106" spans="1:33" s="578" customFormat="1" ht="12" customHeight="1">
      <c r="A106" s="568" t="s">
        <v>1270</v>
      </c>
      <c r="B106" s="569" t="s">
        <v>1784</v>
      </c>
      <c r="C106" s="580" t="s">
        <v>1734</v>
      </c>
      <c r="D106" s="571">
        <v>101505</v>
      </c>
      <c r="E106" s="572">
        <v>8</v>
      </c>
      <c r="F106" s="573"/>
      <c r="G106" s="487"/>
      <c r="H106" s="573">
        <v>50000</v>
      </c>
      <c r="I106" s="1208">
        <v>42601</v>
      </c>
      <c r="J106" s="573"/>
      <c r="K106" s="487"/>
      <c r="L106" s="573"/>
      <c r="M106" s="573"/>
      <c r="N106" s="456">
        <f t="shared" si="17"/>
        <v>0</v>
      </c>
      <c r="O106" s="487"/>
      <c r="P106" s="487"/>
      <c r="Q106" s="274">
        <f t="shared" si="12"/>
        <v>0</v>
      </c>
      <c r="R106" s="574">
        <f t="shared" si="13"/>
        <v>50000</v>
      </c>
      <c r="S106" s="275">
        <f t="shared" si="14"/>
        <v>42601</v>
      </c>
      <c r="T106" s="575"/>
      <c r="U106" s="487"/>
      <c r="V106" s="576"/>
      <c r="W106" s="573"/>
      <c r="X106" s="574">
        <f t="shared" si="18"/>
        <v>0</v>
      </c>
      <c r="Y106" s="487"/>
      <c r="Z106" s="487"/>
      <c r="AA106" s="276">
        <f t="shared" si="19"/>
        <v>0</v>
      </c>
      <c r="AB106" s="573"/>
      <c r="AC106" s="487"/>
      <c r="AD106" s="573"/>
      <c r="AE106" s="487"/>
      <c r="AF106" s="577">
        <f t="shared" si="15"/>
        <v>50000</v>
      </c>
      <c r="AG106" s="275">
        <f t="shared" si="16"/>
        <v>42601</v>
      </c>
    </row>
    <row r="107" spans="1:33" s="578" customFormat="1" ht="12" customHeight="1">
      <c r="A107" s="568" t="s">
        <v>1270</v>
      </c>
      <c r="B107" s="569" t="s">
        <v>1778</v>
      </c>
      <c r="C107" s="237" t="s">
        <v>1891</v>
      </c>
      <c r="D107" s="571">
        <v>101505</v>
      </c>
      <c r="E107" s="572">
        <v>8</v>
      </c>
      <c r="F107" s="573"/>
      <c r="G107" s="487"/>
      <c r="H107" s="573"/>
      <c r="I107" s="487"/>
      <c r="J107" s="573"/>
      <c r="K107" s="487"/>
      <c r="L107" s="573"/>
      <c r="M107" s="573"/>
      <c r="N107" s="456">
        <f t="shared" si="17"/>
        <v>0</v>
      </c>
      <c r="O107" s="487"/>
      <c r="P107" s="487"/>
      <c r="Q107" s="274">
        <f t="shared" si="12"/>
        <v>0</v>
      </c>
      <c r="R107" s="574">
        <f t="shared" si="13"/>
        <v>0</v>
      </c>
      <c r="S107" s="275">
        <f t="shared" si="14"/>
        <v>0</v>
      </c>
      <c r="T107" s="575"/>
      <c r="U107" s="487"/>
      <c r="V107" s="576"/>
      <c r="W107" s="573"/>
      <c r="X107" s="574">
        <f t="shared" si="18"/>
        <v>0</v>
      </c>
      <c r="Y107" s="487"/>
      <c r="Z107" s="487"/>
      <c r="AA107" s="276">
        <f t="shared" si="19"/>
        <v>0</v>
      </c>
      <c r="AB107" s="573"/>
      <c r="AC107" s="487"/>
      <c r="AD107" s="573"/>
      <c r="AE107" s="487"/>
      <c r="AF107" s="577">
        <f t="shared" si="15"/>
        <v>0</v>
      </c>
      <c r="AG107" s="275">
        <f t="shared" si="16"/>
        <v>0</v>
      </c>
    </row>
    <row r="108" spans="1:33" s="578" customFormat="1" ht="12" customHeight="1">
      <c r="A108" s="568" t="s">
        <v>1270</v>
      </c>
      <c r="B108" s="569" t="s">
        <v>1778</v>
      </c>
      <c r="C108" s="580" t="s">
        <v>144</v>
      </c>
      <c r="D108" s="571">
        <v>101505</v>
      </c>
      <c r="E108" s="572">
        <v>8</v>
      </c>
      <c r="F108" s="573"/>
      <c r="G108" s="487"/>
      <c r="H108" s="573"/>
      <c r="I108" s="1208">
        <v>178000</v>
      </c>
      <c r="J108" s="573"/>
      <c r="K108" s="487"/>
      <c r="L108" s="573"/>
      <c r="M108" s="573"/>
      <c r="N108" s="456">
        <f t="shared" si="17"/>
        <v>0</v>
      </c>
      <c r="O108" s="487"/>
      <c r="P108" s="487"/>
      <c r="Q108" s="274">
        <f t="shared" si="12"/>
        <v>0</v>
      </c>
      <c r="R108" s="574">
        <f t="shared" si="13"/>
        <v>0</v>
      </c>
      <c r="S108" s="275">
        <f t="shared" si="14"/>
        <v>178000</v>
      </c>
      <c r="T108" s="575"/>
      <c r="U108" s="487"/>
      <c r="V108" s="576"/>
      <c r="W108" s="573"/>
      <c r="X108" s="574">
        <f t="shared" si="18"/>
        <v>0</v>
      </c>
      <c r="Y108" s="487"/>
      <c r="Z108" s="487"/>
      <c r="AA108" s="276">
        <f t="shared" si="19"/>
        <v>0</v>
      </c>
      <c r="AB108" s="573"/>
      <c r="AC108" s="487"/>
      <c r="AD108" s="573"/>
      <c r="AE108" s="487"/>
      <c r="AF108" s="577">
        <f t="shared" si="15"/>
        <v>0</v>
      </c>
      <c r="AG108" s="275">
        <f t="shared" si="16"/>
        <v>178000</v>
      </c>
    </row>
    <row r="109" spans="1:33" s="578" customFormat="1" ht="12" customHeight="1">
      <c r="A109" s="582" t="s">
        <v>1270</v>
      </c>
      <c r="B109" s="569" t="s">
        <v>1776</v>
      </c>
      <c r="C109" s="570" t="s">
        <v>1733</v>
      </c>
      <c r="D109" s="571">
        <v>102429</v>
      </c>
      <c r="E109" s="572">
        <v>9</v>
      </c>
      <c r="F109" s="573">
        <f>21565692+60097</f>
        <v>21625789</v>
      </c>
      <c r="G109" s="1208">
        <v>18331623</v>
      </c>
      <c r="H109" s="573"/>
      <c r="I109" s="487"/>
      <c r="J109" s="573"/>
      <c r="K109" s="487"/>
      <c r="L109" s="455">
        <v>7508212.1600000001</v>
      </c>
      <c r="M109" s="455">
        <v>1950762.67</v>
      </c>
      <c r="N109" s="456">
        <f t="shared" si="17"/>
        <v>9458974.8300000001</v>
      </c>
      <c r="O109" s="487">
        <v>7157000</v>
      </c>
      <c r="P109" s="487">
        <v>1997000</v>
      </c>
      <c r="Q109" s="274">
        <f t="shared" si="12"/>
        <v>9154000</v>
      </c>
      <c r="R109" s="574">
        <f t="shared" si="13"/>
        <v>29134001.16</v>
      </c>
      <c r="S109" s="275">
        <f t="shared" si="14"/>
        <v>25488623</v>
      </c>
      <c r="T109" s="575"/>
      <c r="U109" s="487"/>
      <c r="V109" s="576"/>
      <c r="W109" s="573"/>
      <c r="X109" s="574">
        <f t="shared" si="18"/>
        <v>0</v>
      </c>
      <c r="Y109" s="487"/>
      <c r="Z109" s="487"/>
      <c r="AA109" s="276">
        <f t="shared" si="19"/>
        <v>0</v>
      </c>
      <c r="AB109" s="573"/>
      <c r="AC109" s="487"/>
      <c r="AD109" s="573"/>
      <c r="AE109" s="487"/>
      <c r="AF109" s="577">
        <f t="shared" si="15"/>
        <v>29134001.16</v>
      </c>
      <c r="AG109" s="275">
        <f t="shared" si="16"/>
        <v>25488623</v>
      </c>
    </row>
    <row r="110" spans="1:33" s="578" customFormat="1" ht="12" customHeight="1">
      <c r="A110" s="582" t="s">
        <v>1270</v>
      </c>
      <c r="B110" s="569" t="s">
        <v>1784</v>
      </c>
      <c r="C110" s="238" t="s">
        <v>2039</v>
      </c>
      <c r="D110" s="571">
        <v>102429</v>
      </c>
      <c r="E110" s="572">
        <v>9</v>
      </c>
      <c r="F110" s="573"/>
      <c r="G110" s="487"/>
      <c r="H110" s="573"/>
      <c r="I110" s="487"/>
      <c r="J110" s="573"/>
      <c r="K110" s="487"/>
      <c r="L110" s="455"/>
      <c r="M110" s="455"/>
      <c r="N110" s="456">
        <f t="shared" si="17"/>
        <v>0</v>
      </c>
      <c r="O110" s="487"/>
      <c r="P110" s="487"/>
      <c r="Q110" s="274">
        <f t="shared" si="12"/>
        <v>0</v>
      </c>
      <c r="R110" s="574">
        <f t="shared" si="13"/>
        <v>0</v>
      </c>
      <c r="S110" s="275">
        <f t="shared" si="14"/>
        <v>0</v>
      </c>
      <c r="T110" s="575"/>
      <c r="U110" s="487"/>
      <c r="V110" s="576"/>
      <c r="W110" s="573"/>
      <c r="X110" s="574">
        <f t="shared" si="18"/>
        <v>0</v>
      </c>
      <c r="Y110" s="487"/>
      <c r="Z110" s="487"/>
      <c r="AA110" s="276">
        <f t="shared" si="19"/>
        <v>0</v>
      </c>
      <c r="AB110" s="573"/>
      <c r="AC110" s="487"/>
      <c r="AD110" s="573"/>
      <c r="AE110" s="487"/>
      <c r="AF110" s="577">
        <f t="shared" si="15"/>
        <v>0</v>
      </c>
      <c r="AG110" s="275">
        <f t="shared" si="16"/>
        <v>0</v>
      </c>
    </row>
    <row r="111" spans="1:33" s="578" customFormat="1" ht="12" customHeight="1">
      <c r="A111" s="582" t="s">
        <v>1270</v>
      </c>
      <c r="B111" s="569" t="s">
        <v>1784</v>
      </c>
      <c r="C111" s="580" t="s">
        <v>1734</v>
      </c>
      <c r="D111" s="571">
        <v>102429</v>
      </c>
      <c r="E111" s="572">
        <v>9</v>
      </c>
      <c r="F111" s="573"/>
      <c r="G111" s="487"/>
      <c r="H111" s="573">
        <v>100000</v>
      </c>
      <c r="I111" s="1208">
        <v>96500</v>
      </c>
      <c r="J111" s="573"/>
      <c r="K111" s="487"/>
      <c r="L111" s="573"/>
      <c r="M111" s="573"/>
      <c r="N111" s="456">
        <f t="shared" si="17"/>
        <v>0</v>
      </c>
      <c r="O111" s="487"/>
      <c r="P111" s="487"/>
      <c r="Q111" s="274">
        <f t="shared" si="12"/>
        <v>0</v>
      </c>
      <c r="R111" s="574">
        <f t="shared" si="13"/>
        <v>100000</v>
      </c>
      <c r="S111" s="275">
        <f t="shared" si="14"/>
        <v>96500</v>
      </c>
      <c r="T111" s="575"/>
      <c r="U111" s="487"/>
      <c r="V111" s="576"/>
      <c r="W111" s="573"/>
      <c r="X111" s="574">
        <f t="shared" si="18"/>
        <v>0</v>
      </c>
      <c r="Y111" s="487"/>
      <c r="Z111" s="487"/>
      <c r="AA111" s="276">
        <f t="shared" si="19"/>
        <v>0</v>
      </c>
      <c r="AB111" s="573"/>
      <c r="AC111" s="487"/>
      <c r="AD111" s="573"/>
      <c r="AE111" s="487"/>
      <c r="AF111" s="577">
        <f t="shared" si="15"/>
        <v>100000</v>
      </c>
      <c r="AG111" s="275">
        <f t="shared" si="16"/>
        <v>96500</v>
      </c>
    </row>
    <row r="112" spans="1:33" s="578" customFormat="1" ht="12" customHeight="1">
      <c r="A112" s="568" t="s">
        <v>1270</v>
      </c>
      <c r="B112" s="569" t="s">
        <v>1776</v>
      </c>
      <c r="C112" s="570" t="s">
        <v>1736</v>
      </c>
      <c r="D112" s="571">
        <v>102030</v>
      </c>
      <c r="E112" s="572">
        <v>9</v>
      </c>
      <c r="F112" s="573">
        <f>19331799+69278</f>
        <v>19401077</v>
      </c>
      <c r="G112" s="1208">
        <v>16448743</v>
      </c>
      <c r="H112" s="573"/>
      <c r="I112" s="487"/>
      <c r="J112" s="455">
        <v>159700.32999999999</v>
      </c>
      <c r="K112" s="487">
        <v>160000</v>
      </c>
      <c r="L112" s="455">
        <v>4816685.17</v>
      </c>
      <c r="M112" s="455">
        <v>798105.36</v>
      </c>
      <c r="N112" s="456">
        <f t="shared" si="17"/>
        <v>5614790.5300000003</v>
      </c>
      <c r="O112" s="487">
        <v>4910714</v>
      </c>
      <c r="P112" s="487">
        <v>752065</v>
      </c>
      <c r="Q112" s="274">
        <f t="shared" si="12"/>
        <v>5662779</v>
      </c>
      <c r="R112" s="574">
        <f t="shared" si="13"/>
        <v>24377462.5</v>
      </c>
      <c r="S112" s="275">
        <f t="shared" si="14"/>
        <v>21519457</v>
      </c>
      <c r="T112" s="575"/>
      <c r="U112" s="487"/>
      <c r="V112" s="576"/>
      <c r="W112" s="573"/>
      <c r="X112" s="574">
        <f t="shared" si="18"/>
        <v>0</v>
      </c>
      <c r="Y112" s="487"/>
      <c r="Z112" s="487"/>
      <c r="AA112" s="276">
        <f t="shared" si="19"/>
        <v>0</v>
      </c>
      <c r="AB112" s="573"/>
      <c r="AC112" s="487"/>
      <c r="AD112" s="573"/>
      <c r="AE112" s="487"/>
      <c r="AF112" s="577">
        <f t="shared" si="15"/>
        <v>24377462.5</v>
      </c>
      <c r="AG112" s="275">
        <f t="shared" si="16"/>
        <v>21519457</v>
      </c>
    </row>
    <row r="113" spans="1:33" s="578" customFormat="1" ht="12" customHeight="1">
      <c r="A113" s="582" t="s">
        <v>1270</v>
      </c>
      <c r="B113" s="569" t="s">
        <v>1784</v>
      </c>
      <c r="C113" s="238" t="s">
        <v>2039</v>
      </c>
      <c r="D113" s="571">
        <v>102030</v>
      </c>
      <c r="E113" s="572">
        <v>9</v>
      </c>
      <c r="F113" s="573"/>
      <c r="G113" s="487"/>
      <c r="H113" s="573"/>
      <c r="I113" s="487"/>
      <c r="J113" s="573"/>
      <c r="K113" s="487"/>
      <c r="L113" s="455"/>
      <c r="M113" s="455"/>
      <c r="N113" s="456">
        <f t="shared" si="17"/>
        <v>0</v>
      </c>
      <c r="O113" s="487"/>
      <c r="P113" s="487"/>
      <c r="Q113" s="274">
        <f t="shared" si="12"/>
        <v>0</v>
      </c>
      <c r="R113" s="574">
        <f t="shared" si="13"/>
        <v>0</v>
      </c>
      <c r="S113" s="275">
        <f t="shared" si="14"/>
        <v>0</v>
      </c>
      <c r="T113" s="575"/>
      <c r="U113" s="487"/>
      <c r="V113" s="576"/>
      <c r="W113" s="573"/>
      <c r="X113" s="574">
        <f t="shared" si="18"/>
        <v>0</v>
      </c>
      <c r="Y113" s="487"/>
      <c r="Z113" s="487"/>
      <c r="AA113" s="276">
        <f t="shared" si="19"/>
        <v>0</v>
      </c>
      <c r="AB113" s="573"/>
      <c r="AC113" s="487"/>
      <c r="AD113" s="573"/>
      <c r="AE113" s="487"/>
      <c r="AF113" s="577">
        <f t="shared" si="15"/>
        <v>0</v>
      </c>
      <c r="AG113" s="275">
        <f t="shared" si="16"/>
        <v>0</v>
      </c>
    </row>
    <row r="114" spans="1:33" s="578" customFormat="1" ht="12" customHeight="1">
      <c r="A114" s="568" t="s">
        <v>1270</v>
      </c>
      <c r="B114" s="569" t="s">
        <v>1784</v>
      </c>
      <c r="C114" s="580" t="s">
        <v>1734</v>
      </c>
      <c r="D114" s="571">
        <v>102030</v>
      </c>
      <c r="E114" s="572">
        <v>9</v>
      </c>
      <c r="F114" s="573"/>
      <c r="G114" s="487"/>
      <c r="H114" s="573">
        <v>50000</v>
      </c>
      <c r="I114" s="487">
        <v>50000</v>
      </c>
      <c r="J114" s="573"/>
      <c r="K114" s="487"/>
      <c r="L114" s="573"/>
      <c r="M114" s="573"/>
      <c r="N114" s="456">
        <f t="shared" si="17"/>
        <v>0</v>
      </c>
      <c r="O114" s="487"/>
      <c r="P114" s="487"/>
      <c r="Q114" s="274">
        <f t="shared" si="12"/>
        <v>0</v>
      </c>
      <c r="R114" s="574">
        <f t="shared" si="13"/>
        <v>50000</v>
      </c>
      <c r="S114" s="275">
        <f t="shared" si="14"/>
        <v>50000</v>
      </c>
      <c r="T114" s="575"/>
      <c r="U114" s="487"/>
      <c r="V114" s="576"/>
      <c r="W114" s="573"/>
      <c r="X114" s="574">
        <f t="shared" si="18"/>
        <v>0</v>
      </c>
      <c r="Y114" s="487"/>
      <c r="Z114" s="487"/>
      <c r="AA114" s="276">
        <f t="shared" si="19"/>
        <v>0</v>
      </c>
      <c r="AB114" s="573"/>
      <c r="AC114" s="487"/>
      <c r="AD114" s="573"/>
      <c r="AE114" s="487"/>
      <c r="AF114" s="577">
        <f t="shared" si="15"/>
        <v>50000</v>
      </c>
      <c r="AG114" s="275">
        <f t="shared" si="16"/>
        <v>50000</v>
      </c>
    </row>
    <row r="115" spans="1:33" s="578" customFormat="1" ht="12" customHeight="1">
      <c r="A115" s="568" t="s">
        <v>1270</v>
      </c>
      <c r="B115" s="569" t="s">
        <v>1776</v>
      </c>
      <c r="C115" s="570" t="s">
        <v>1737</v>
      </c>
      <c r="D115" s="571">
        <v>101240</v>
      </c>
      <c r="E115" s="572">
        <v>9</v>
      </c>
      <c r="F115" s="573">
        <f>30454519+111745</f>
        <v>30566264</v>
      </c>
      <c r="G115" s="1208">
        <v>25950827</v>
      </c>
      <c r="H115" s="573"/>
      <c r="I115" s="487"/>
      <c r="J115" s="455">
        <v>746530.43</v>
      </c>
      <c r="K115" s="487">
        <v>700000</v>
      </c>
      <c r="L115" s="455">
        <v>10689440.75</v>
      </c>
      <c r="M115" s="455">
        <v>2571948.19</v>
      </c>
      <c r="N115" s="456">
        <f t="shared" si="17"/>
        <v>13261388.939999999</v>
      </c>
      <c r="O115" s="487">
        <v>10423239</v>
      </c>
      <c r="P115" s="487">
        <v>2131951</v>
      </c>
      <c r="Q115" s="274">
        <f t="shared" si="12"/>
        <v>12555190</v>
      </c>
      <c r="R115" s="574">
        <f t="shared" si="13"/>
        <v>42002235.18</v>
      </c>
      <c r="S115" s="275">
        <f t="shared" si="14"/>
        <v>37074066</v>
      </c>
      <c r="T115" s="575"/>
      <c r="U115" s="487"/>
      <c r="V115" s="576"/>
      <c r="W115" s="573"/>
      <c r="X115" s="574">
        <f t="shared" si="18"/>
        <v>0</v>
      </c>
      <c r="Y115" s="487"/>
      <c r="Z115" s="487"/>
      <c r="AA115" s="276">
        <f t="shared" si="19"/>
        <v>0</v>
      </c>
      <c r="AB115" s="573"/>
      <c r="AC115" s="487"/>
      <c r="AD115" s="573"/>
      <c r="AE115" s="487"/>
      <c r="AF115" s="577">
        <f t="shared" si="15"/>
        <v>42002235.18</v>
      </c>
      <c r="AG115" s="275">
        <f t="shared" si="16"/>
        <v>37074066</v>
      </c>
    </row>
    <row r="116" spans="1:33" s="578" customFormat="1" ht="12" customHeight="1">
      <c r="A116" s="582" t="s">
        <v>1270</v>
      </c>
      <c r="B116" s="569" t="s">
        <v>1784</v>
      </c>
      <c r="C116" s="238" t="s">
        <v>2039</v>
      </c>
      <c r="D116" s="571">
        <v>101240</v>
      </c>
      <c r="E116" s="572">
        <v>9</v>
      </c>
      <c r="F116" s="573"/>
      <c r="G116" s="487"/>
      <c r="H116" s="573"/>
      <c r="I116" s="487"/>
      <c r="J116" s="573"/>
      <c r="K116" s="487"/>
      <c r="L116" s="455"/>
      <c r="M116" s="455"/>
      <c r="N116" s="456">
        <f t="shared" si="17"/>
        <v>0</v>
      </c>
      <c r="O116" s="487"/>
      <c r="P116" s="487"/>
      <c r="Q116" s="274">
        <f t="shared" si="12"/>
        <v>0</v>
      </c>
      <c r="R116" s="574">
        <f t="shared" si="13"/>
        <v>0</v>
      </c>
      <c r="S116" s="275">
        <f t="shared" si="14"/>
        <v>0</v>
      </c>
      <c r="T116" s="575"/>
      <c r="U116" s="487"/>
      <c r="V116" s="576"/>
      <c r="W116" s="573"/>
      <c r="X116" s="574">
        <f t="shared" si="18"/>
        <v>0</v>
      </c>
      <c r="Y116" s="487"/>
      <c r="Z116" s="487"/>
      <c r="AA116" s="276">
        <f t="shared" si="19"/>
        <v>0</v>
      </c>
      <c r="AB116" s="573"/>
      <c r="AC116" s="487"/>
      <c r="AD116" s="573"/>
      <c r="AE116" s="487"/>
      <c r="AF116" s="577">
        <f t="shared" si="15"/>
        <v>0</v>
      </c>
      <c r="AG116" s="275">
        <f t="shared" si="16"/>
        <v>0</v>
      </c>
    </row>
    <row r="117" spans="1:33" s="578" customFormat="1" ht="12" customHeight="1">
      <c r="A117" s="568" t="s">
        <v>1270</v>
      </c>
      <c r="B117" s="569" t="s">
        <v>1784</v>
      </c>
      <c r="C117" s="580" t="s">
        <v>1734</v>
      </c>
      <c r="D117" s="571">
        <v>101240</v>
      </c>
      <c r="E117" s="572">
        <v>9</v>
      </c>
      <c r="F117" s="573"/>
      <c r="G117" s="487"/>
      <c r="H117" s="573">
        <v>330000</v>
      </c>
      <c r="I117" s="1208">
        <v>7379</v>
      </c>
      <c r="J117" s="573"/>
      <c r="K117" s="487"/>
      <c r="L117" s="573"/>
      <c r="M117" s="573"/>
      <c r="N117" s="456">
        <f t="shared" si="17"/>
        <v>0</v>
      </c>
      <c r="O117" s="487"/>
      <c r="P117" s="487"/>
      <c r="Q117" s="274">
        <f t="shared" si="12"/>
        <v>0</v>
      </c>
      <c r="R117" s="574">
        <f t="shared" si="13"/>
        <v>330000</v>
      </c>
      <c r="S117" s="275">
        <f t="shared" si="14"/>
        <v>7379</v>
      </c>
      <c r="T117" s="575"/>
      <c r="U117" s="487"/>
      <c r="V117" s="576"/>
      <c r="W117" s="573"/>
      <c r="X117" s="574">
        <f t="shared" si="18"/>
        <v>0</v>
      </c>
      <c r="Y117" s="487"/>
      <c r="Z117" s="487"/>
      <c r="AA117" s="276">
        <f t="shared" si="19"/>
        <v>0</v>
      </c>
      <c r="AB117" s="573"/>
      <c r="AC117" s="487"/>
      <c r="AD117" s="573"/>
      <c r="AE117" s="487"/>
      <c r="AF117" s="577">
        <f t="shared" si="15"/>
        <v>330000</v>
      </c>
      <c r="AG117" s="275">
        <f t="shared" si="16"/>
        <v>7379</v>
      </c>
    </row>
    <row r="118" spans="1:33" s="578" customFormat="1" ht="12" customHeight="1">
      <c r="A118" s="568" t="s">
        <v>1270</v>
      </c>
      <c r="B118" s="569" t="s">
        <v>1776</v>
      </c>
      <c r="C118" s="570" t="s">
        <v>1738</v>
      </c>
      <c r="D118" s="571">
        <v>101286</v>
      </c>
      <c r="E118" s="572">
        <v>9</v>
      </c>
      <c r="F118" s="573">
        <f>19949905+67304</f>
        <v>20017209</v>
      </c>
      <c r="G118" s="1208">
        <v>17000322</v>
      </c>
      <c r="H118" s="573"/>
      <c r="I118" s="487"/>
      <c r="J118" s="573"/>
      <c r="K118" s="487"/>
      <c r="L118" s="455">
        <v>7780161.8399999999</v>
      </c>
      <c r="M118" s="455">
        <v>1071003.8400000001</v>
      </c>
      <c r="N118" s="456">
        <f t="shared" si="17"/>
        <v>8851165.6799999997</v>
      </c>
      <c r="O118" s="487">
        <v>7539670</v>
      </c>
      <c r="P118" s="487">
        <v>833069</v>
      </c>
      <c r="Q118" s="274">
        <f t="shared" si="12"/>
        <v>8372739</v>
      </c>
      <c r="R118" s="574">
        <f t="shared" si="13"/>
        <v>27797370.84</v>
      </c>
      <c r="S118" s="275">
        <f t="shared" si="14"/>
        <v>24539992</v>
      </c>
      <c r="T118" s="575"/>
      <c r="U118" s="487"/>
      <c r="V118" s="576"/>
      <c r="W118" s="573"/>
      <c r="X118" s="574">
        <f t="shared" si="18"/>
        <v>0</v>
      </c>
      <c r="Y118" s="487"/>
      <c r="Z118" s="487"/>
      <c r="AA118" s="276">
        <f t="shared" si="19"/>
        <v>0</v>
      </c>
      <c r="AB118" s="573"/>
      <c r="AC118" s="487"/>
      <c r="AD118" s="573"/>
      <c r="AE118" s="487"/>
      <c r="AF118" s="577">
        <f t="shared" si="15"/>
        <v>27797370.84</v>
      </c>
      <c r="AG118" s="275">
        <f t="shared" si="16"/>
        <v>24539992</v>
      </c>
    </row>
    <row r="119" spans="1:33" s="578" customFormat="1" ht="12" customHeight="1">
      <c r="A119" s="582" t="s">
        <v>1270</v>
      </c>
      <c r="B119" s="569" t="s">
        <v>1784</v>
      </c>
      <c r="C119" s="238" t="s">
        <v>2039</v>
      </c>
      <c r="D119" s="571">
        <v>101286</v>
      </c>
      <c r="E119" s="572">
        <v>9</v>
      </c>
      <c r="F119" s="573"/>
      <c r="G119" s="487"/>
      <c r="H119" s="573"/>
      <c r="I119" s="487"/>
      <c r="J119" s="573"/>
      <c r="K119" s="487"/>
      <c r="L119" s="455"/>
      <c r="M119" s="455"/>
      <c r="N119" s="456">
        <f t="shared" si="17"/>
        <v>0</v>
      </c>
      <c r="O119" s="487"/>
      <c r="P119" s="487"/>
      <c r="Q119" s="274">
        <f t="shared" si="12"/>
        <v>0</v>
      </c>
      <c r="R119" s="574">
        <f t="shared" si="13"/>
        <v>0</v>
      </c>
      <c r="S119" s="275">
        <f t="shared" si="14"/>
        <v>0</v>
      </c>
      <c r="T119" s="575"/>
      <c r="U119" s="487"/>
      <c r="V119" s="576"/>
      <c r="W119" s="573"/>
      <c r="X119" s="574">
        <f t="shared" si="18"/>
        <v>0</v>
      </c>
      <c r="Y119" s="487"/>
      <c r="Z119" s="487"/>
      <c r="AA119" s="276">
        <f t="shared" si="19"/>
        <v>0</v>
      </c>
      <c r="AB119" s="573"/>
      <c r="AC119" s="487"/>
      <c r="AD119" s="573"/>
      <c r="AE119" s="487"/>
      <c r="AF119" s="577">
        <f t="shared" si="15"/>
        <v>0</v>
      </c>
      <c r="AG119" s="275">
        <f t="shared" si="16"/>
        <v>0</v>
      </c>
    </row>
    <row r="120" spans="1:33" s="578" customFormat="1" ht="12" customHeight="1">
      <c r="A120" s="568" t="s">
        <v>1270</v>
      </c>
      <c r="B120" s="569" t="s">
        <v>1784</v>
      </c>
      <c r="C120" s="580" t="s">
        <v>1734</v>
      </c>
      <c r="D120" s="571">
        <v>101286</v>
      </c>
      <c r="E120" s="572">
        <v>9</v>
      </c>
      <c r="F120" s="573"/>
      <c r="G120" s="487"/>
      <c r="H120" s="573">
        <v>105000</v>
      </c>
      <c r="I120" s="1208">
        <v>58700</v>
      </c>
      <c r="J120" s="573"/>
      <c r="K120" s="487"/>
      <c r="L120" s="573"/>
      <c r="M120" s="573"/>
      <c r="N120" s="456">
        <f t="shared" si="17"/>
        <v>0</v>
      </c>
      <c r="O120" s="487"/>
      <c r="P120" s="487"/>
      <c r="Q120" s="274">
        <f t="shared" si="12"/>
        <v>0</v>
      </c>
      <c r="R120" s="574">
        <f t="shared" si="13"/>
        <v>105000</v>
      </c>
      <c r="S120" s="275">
        <f t="shared" si="14"/>
        <v>58700</v>
      </c>
      <c r="T120" s="575"/>
      <c r="U120" s="487"/>
      <c r="V120" s="576"/>
      <c r="W120" s="573"/>
      <c r="X120" s="574">
        <f t="shared" si="18"/>
        <v>0</v>
      </c>
      <c r="Y120" s="487"/>
      <c r="Z120" s="487"/>
      <c r="AA120" s="276">
        <f t="shared" si="19"/>
        <v>0</v>
      </c>
      <c r="AB120" s="573"/>
      <c r="AC120" s="487"/>
      <c r="AD120" s="573"/>
      <c r="AE120" s="487"/>
      <c r="AF120" s="577">
        <f t="shared" si="15"/>
        <v>105000</v>
      </c>
      <c r="AG120" s="275">
        <f t="shared" si="16"/>
        <v>58700</v>
      </c>
    </row>
    <row r="121" spans="1:33" s="578" customFormat="1" ht="12" customHeight="1">
      <c r="A121" s="568" t="s">
        <v>1270</v>
      </c>
      <c r="B121" s="569" t="s">
        <v>1776</v>
      </c>
      <c r="C121" s="570" t="s">
        <v>1739</v>
      </c>
      <c r="D121" s="571">
        <v>101161</v>
      </c>
      <c r="E121" s="572">
        <v>9</v>
      </c>
      <c r="F121" s="573">
        <f>12641532+36226</f>
        <v>12677758</v>
      </c>
      <c r="G121" s="1208">
        <v>10739592</v>
      </c>
      <c r="H121" s="573"/>
      <c r="I121" s="487"/>
      <c r="J121" s="455">
        <v>1216047.57</v>
      </c>
      <c r="K121" s="487">
        <v>800000</v>
      </c>
      <c r="L121" s="455">
        <v>6675019.2400000002</v>
      </c>
      <c r="M121" s="455">
        <v>1301702.0900000001</v>
      </c>
      <c r="N121" s="456">
        <f t="shared" si="17"/>
        <v>7976721.3300000001</v>
      </c>
      <c r="O121" s="487">
        <v>7236700</v>
      </c>
      <c r="P121" s="487">
        <v>1320718</v>
      </c>
      <c r="Q121" s="274">
        <f t="shared" si="12"/>
        <v>8557418</v>
      </c>
      <c r="R121" s="574">
        <f t="shared" si="13"/>
        <v>20568824.810000002</v>
      </c>
      <c r="S121" s="275">
        <f t="shared" si="14"/>
        <v>18776292</v>
      </c>
      <c r="T121" s="575"/>
      <c r="U121" s="487"/>
      <c r="V121" s="576"/>
      <c r="W121" s="573"/>
      <c r="X121" s="574">
        <f t="shared" si="18"/>
        <v>0</v>
      </c>
      <c r="Y121" s="487"/>
      <c r="Z121" s="487"/>
      <c r="AA121" s="276">
        <f t="shared" si="19"/>
        <v>0</v>
      </c>
      <c r="AB121" s="573"/>
      <c r="AC121" s="487"/>
      <c r="AD121" s="573"/>
      <c r="AE121" s="487"/>
      <c r="AF121" s="577">
        <f t="shared" si="15"/>
        <v>20568824.810000002</v>
      </c>
      <c r="AG121" s="275">
        <f t="shared" si="16"/>
        <v>18776292</v>
      </c>
    </row>
    <row r="122" spans="1:33" s="578" customFormat="1" ht="12" customHeight="1">
      <c r="A122" s="582" t="s">
        <v>1270</v>
      </c>
      <c r="B122" s="569" t="s">
        <v>1784</v>
      </c>
      <c r="C122" s="238" t="s">
        <v>2039</v>
      </c>
      <c r="D122" s="571">
        <v>101161</v>
      </c>
      <c r="E122" s="572">
        <v>9</v>
      </c>
      <c r="F122" s="573"/>
      <c r="G122" s="487"/>
      <c r="H122" s="573"/>
      <c r="I122" s="487"/>
      <c r="J122" s="573"/>
      <c r="K122" s="487"/>
      <c r="L122" s="455"/>
      <c r="M122" s="455"/>
      <c r="N122" s="456">
        <f t="shared" si="17"/>
        <v>0</v>
      </c>
      <c r="O122" s="487"/>
      <c r="P122" s="487"/>
      <c r="Q122" s="274">
        <f t="shared" si="12"/>
        <v>0</v>
      </c>
      <c r="R122" s="574">
        <f t="shared" si="13"/>
        <v>0</v>
      </c>
      <c r="S122" s="275">
        <f t="shared" si="14"/>
        <v>0</v>
      </c>
      <c r="T122" s="575"/>
      <c r="U122" s="487"/>
      <c r="V122" s="576"/>
      <c r="W122" s="573"/>
      <c r="X122" s="574">
        <f t="shared" si="18"/>
        <v>0</v>
      </c>
      <c r="Y122" s="487"/>
      <c r="Z122" s="487"/>
      <c r="AA122" s="276">
        <f t="shared" si="19"/>
        <v>0</v>
      </c>
      <c r="AB122" s="573"/>
      <c r="AC122" s="487"/>
      <c r="AD122" s="573"/>
      <c r="AE122" s="487"/>
      <c r="AF122" s="577">
        <f t="shared" si="15"/>
        <v>0</v>
      </c>
      <c r="AG122" s="275">
        <f t="shared" si="16"/>
        <v>0</v>
      </c>
    </row>
    <row r="123" spans="1:33" s="578" customFormat="1" ht="12" customHeight="1">
      <c r="A123" s="568" t="s">
        <v>1270</v>
      </c>
      <c r="B123" s="569" t="s">
        <v>1784</v>
      </c>
      <c r="C123" s="580" t="s">
        <v>1734</v>
      </c>
      <c r="D123" s="571">
        <v>101161</v>
      </c>
      <c r="E123" s="572">
        <v>9</v>
      </c>
      <c r="F123" s="573"/>
      <c r="G123" s="487"/>
      <c r="H123" s="573"/>
      <c r="I123" s="487">
        <v>50000</v>
      </c>
      <c r="J123" s="455"/>
      <c r="K123" s="487"/>
      <c r="L123" s="455"/>
      <c r="M123" s="455"/>
      <c r="N123" s="456">
        <f t="shared" si="17"/>
        <v>0</v>
      </c>
      <c r="O123" s="487"/>
      <c r="P123" s="487"/>
      <c r="Q123" s="274">
        <f t="shared" si="12"/>
        <v>0</v>
      </c>
      <c r="R123" s="574">
        <f t="shared" si="13"/>
        <v>0</v>
      </c>
      <c r="S123" s="275">
        <f t="shared" si="14"/>
        <v>50000</v>
      </c>
      <c r="T123" s="575"/>
      <c r="U123" s="487"/>
      <c r="V123" s="576"/>
      <c r="W123" s="573"/>
      <c r="X123" s="574">
        <f t="shared" si="18"/>
        <v>0</v>
      </c>
      <c r="Y123" s="487"/>
      <c r="Z123" s="487"/>
      <c r="AA123" s="276">
        <f t="shared" si="19"/>
        <v>0</v>
      </c>
      <c r="AB123" s="573"/>
      <c r="AC123" s="487"/>
      <c r="AD123" s="573"/>
      <c r="AE123" s="487"/>
      <c r="AF123" s="577">
        <f t="shared" si="15"/>
        <v>0</v>
      </c>
      <c r="AG123" s="275">
        <f t="shared" si="16"/>
        <v>50000</v>
      </c>
    </row>
    <row r="124" spans="1:33" s="578" customFormat="1" ht="12" customHeight="1">
      <c r="A124" s="568" t="s">
        <v>1270</v>
      </c>
      <c r="B124" s="569" t="s">
        <v>1776</v>
      </c>
      <c r="C124" s="570" t="s">
        <v>1745</v>
      </c>
      <c r="D124" s="571">
        <v>101569</v>
      </c>
      <c r="E124" s="1024">
        <v>9</v>
      </c>
      <c r="F124" s="573">
        <f>19544102+62040</f>
        <v>19606142</v>
      </c>
      <c r="G124" s="1208">
        <v>16642077</v>
      </c>
      <c r="H124" s="573"/>
      <c r="I124" s="487"/>
      <c r="J124" s="455">
        <v>86083.5</v>
      </c>
      <c r="K124" s="487">
        <v>96000</v>
      </c>
      <c r="L124" s="455">
        <v>8042782.3200000003</v>
      </c>
      <c r="M124" s="455">
        <v>1195894.33</v>
      </c>
      <c r="N124" s="456">
        <f t="shared" si="17"/>
        <v>9238676.6500000004</v>
      </c>
      <c r="O124" s="487">
        <v>6898957</v>
      </c>
      <c r="P124" s="487">
        <v>1181383</v>
      </c>
      <c r="Q124" s="274">
        <f t="shared" si="12"/>
        <v>8080340</v>
      </c>
      <c r="R124" s="574">
        <f t="shared" si="13"/>
        <v>27735007.82</v>
      </c>
      <c r="S124" s="275">
        <f t="shared" si="14"/>
        <v>23637034</v>
      </c>
      <c r="T124" s="575"/>
      <c r="U124" s="487"/>
      <c r="V124" s="576"/>
      <c r="W124" s="573"/>
      <c r="X124" s="574">
        <f t="shared" si="18"/>
        <v>0</v>
      </c>
      <c r="Y124" s="487"/>
      <c r="Z124" s="487"/>
      <c r="AA124" s="276">
        <f t="shared" si="19"/>
        <v>0</v>
      </c>
      <c r="AB124" s="573"/>
      <c r="AC124" s="487"/>
      <c r="AD124" s="573"/>
      <c r="AE124" s="487"/>
      <c r="AF124" s="577">
        <f t="shared" si="15"/>
        <v>27735007.82</v>
      </c>
      <c r="AG124" s="275">
        <f t="shared" si="16"/>
        <v>23637034</v>
      </c>
    </row>
    <row r="125" spans="1:33" s="578" customFormat="1" ht="12" customHeight="1">
      <c r="A125" s="582" t="s">
        <v>1270</v>
      </c>
      <c r="B125" s="569" t="s">
        <v>1784</v>
      </c>
      <c r="C125" s="238" t="s">
        <v>2039</v>
      </c>
      <c r="D125" s="571">
        <v>101569</v>
      </c>
      <c r="E125" s="1024">
        <v>9</v>
      </c>
      <c r="F125" s="573"/>
      <c r="G125" s="487"/>
      <c r="H125" s="573"/>
      <c r="I125" s="487"/>
      <c r="J125" s="573"/>
      <c r="K125" s="487"/>
      <c r="L125" s="455"/>
      <c r="M125" s="455"/>
      <c r="N125" s="456">
        <f t="shared" si="17"/>
        <v>0</v>
      </c>
      <c r="O125" s="487"/>
      <c r="P125" s="487"/>
      <c r="Q125" s="274">
        <f t="shared" si="12"/>
        <v>0</v>
      </c>
      <c r="R125" s="574">
        <f t="shared" si="13"/>
        <v>0</v>
      </c>
      <c r="S125" s="275">
        <f t="shared" si="14"/>
        <v>0</v>
      </c>
      <c r="T125" s="575"/>
      <c r="U125" s="487"/>
      <c r="V125" s="576"/>
      <c r="W125" s="573"/>
      <c r="X125" s="574">
        <f t="shared" si="18"/>
        <v>0</v>
      </c>
      <c r="Y125" s="487"/>
      <c r="Z125" s="487"/>
      <c r="AA125" s="276">
        <f t="shared" si="19"/>
        <v>0</v>
      </c>
      <c r="AB125" s="573"/>
      <c r="AC125" s="487"/>
      <c r="AD125" s="573"/>
      <c r="AE125" s="487"/>
      <c r="AF125" s="577">
        <f t="shared" si="15"/>
        <v>0</v>
      </c>
      <c r="AG125" s="275">
        <f t="shared" si="16"/>
        <v>0</v>
      </c>
    </row>
    <row r="126" spans="1:33" s="578" customFormat="1" ht="12" customHeight="1">
      <c r="A126" s="568" t="s">
        <v>1270</v>
      </c>
      <c r="B126" s="569" t="s">
        <v>1784</v>
      </c>
      <c r="C126" s="580" t="s">
        <v>1734</v>
      </c>
      <c r="D126" s="571">
        <v>101569</v>
      </c>
      <c r="E126" s="1024">
        <v>9</v>
      </c>
      <c r="F126" s="573"/>
      <c r="G126" s="487"/>
      <c r="H126" s="573">
        <v>50000</v>
      </c>
      <c r="I126" s="487">
        <v>35000</v>
      </c>
      <c r="J126" s="573"/>
      <c r="K126" s="487"/>
      <c r="L126" s="573"/>
      <c r="M126" s="573"/>
      <c r="N126" s="456">
        <f t="shared" si="17"/>
        <v>0</v>
      </c>
      <c r="O126" s="487"/>
      <c r="P126" s="487"/>
      <c r="Q126" s="274">
        <f t="shared" si="12"/>
        <v>0</v>
      </c>
      <c r="R126" s="574">
        <f t="shared" si="13"/>
        <v>50000</v>
      </c>
      <c r="S126" s="275">
        <f t="shared" si="14"/>
        <v>35000</v>
      </c>
      <c r="T126" s="575"/>
      <c r="U126" s="487"/>
      <c r="V126" s="576"/>
      <c r="W126" s="573"/>
      <c r="X126" s="574">
        <f t="shared" si="18"/>
        <v>0</v>
      </c>
      <c r="Y126" s="487"/>
      <c r="Z126" s="487"/>
      <c r="AA126" s="276">
        <f t="shared" si="19"/>
        <v>0</v>
      </c>
      <c r="AB126" s="573"/>
      <c r="AC126" s="487"/>
      <c r="AD126" s="573"/>
      <c r="AE126" s="487"/>
      <c r="AF126" s="577">
        <f t="shared" si="15"/>
        <v>50000</v>
      </c>
      <c r="AG126" s="275">
        <f t="shared" si="16"/>
        <v>35000</v>
      </c>
    </row>
    <row r="127" spans="1:33" s="578" customFormat="1" ht="12" customHeight="1">
      <c r="A127" s="568" t="s">
        <v>1270</v>
      </c>
      <c r="B127" s="569" t="s">
        <v>1776</v>
      </c>
      <c r="C127" s="570" t="s">
        <v>277</v>
      </c>
      <c r="D127" s="571">
        <v>101736</v>
      </c>
      <c r="E127" s="572">
        <v>9</v>
      </c>
      <c r="F127" s="573">
        <f>14591191+57391</f>
        <v>14648582</v>
      </c>
      <c r="G127" s="1208">
        <v>12429422</v>
      </c>
      <c r="H127" s="573"/>
      <c r="I127" s="487"/>
      <c r="J127" s="573"/>
      <c r="K127" s="487"/>
      <c r="L127" s="455">
        <v>7609493.8600000003</v>
      </c>
      <c r="M127" s="455">
        <v>989543.55</v>
      </c>
      <c r="N127" s="456">
        <f t="shared" si="17"/>
        <v>8599037.4100000001</v>
      </c>
      <c r="O127" s="487">
        <v>7217929</v>
      </c>
      <c r="P127" s="487">
        <v>989863</v>
      </c>
      <c r="Q127" s="274">
        <f t="shared" si="12"/>
        <v>8207792</v>
      </c>
      <c r="R127" s="574">
        <f t="shared" si="13"/>
        <v>22258075.859999999</v>
      </c>
      <c r="S127" s="275">
        <f t="shared" si="14"/>
        <v>19647351</v>
      </c>
      <c r="T127" s="575"/>
      <c r="U127" s="487"/>
      <c r="V127" s="576"/>
      <c r="W127" s="573"/>
      <c r="X127" s="574">
        <f t="shared" si="18"/>
        <v>0</v>
      </c>
      <c r="Y127" s="487"/>
      <c r="Z127" s="487"/>
      <c r="AA127" s="276">
        <f t="shared" si="19"/>
        <v>0</v>
      </c>
      <c r="AB127" s="573"/>
      <c r="AC127" s="487"/>
      <c r="AD127" s="573"/>
      <c r="AE127" s="487"/>
      <c r="AF127" s="577">
        <f t="shared" si="15"/>
        <v>22258075.859999999</v>
      </c>
      <c r="AG127" s="275">
        <f t="shared" si="16"/>
        <v>19647351</v>
      </c>
    </row>
    <row r="128" spans="1:33" s="578" customFormat="1" ht="12" customHeight="1">
      <c r="A128" s="582" t="s">
        <v>1270</v>
      </c>
      <c r="B128" s="569" t="s">
        <v>1784</v>
      </c>
      <c r="C128" s="238" t="s">
        <v>2039</v>
      </c>
      <c r="D128" s="571">
        <v>101736</v>
      </c>
      <c r="E128" s="572">
        <v>9</v>
      </c>
      <c r="F128" s="573"/>
      <c r="G128" s="487"/>
      <c r="H128" s="573"/>
      <c r="I128" s="487"/>
      <c r="J128" s="573"/>
      <c r="K128" s="487"/>
      <c r="L128" s="455"/>
      <c r="M128" s="455"/>
      <c r="N128" s="456">
        <f t="shared" si="17"/>
        <v>0</v>
      </c>
      <c r="O128" s="487"/>
      <c r="P128" s="487"/>
      <c r="Q128" s="274">
        <f t="shared" si="12"/>
        <v>0</v>
      </c>
      <c r="R128" s="574">
        <f t="shared" si="13"/>
        <v>0</v>
      </c>
      <c r="S128" s="275">
        <f t="shared" si="14"/>
        <v>0</v>
      </c>
      <c r="T128" s="575"/>
      <c r="U128" s="487"/>
      <c r="V128" s="576"/>
      <c r="W128" s="573"/>
      <c r="X128" s="574">
        <f t="shared" si="18"/>
        <v>0</v>
      </c>
      <c r="Y128" s="487"/>
      <c r="Z128" s="487"/>
      <c r="AA128" s="276">
        <f t="shared" si="19"/>
        <v>0</v>
      </c>
      <c r="AB128" s="573"/>
      <c r="AC128" s="487"/>
      <c r="AD128" s="573"/>
      <c r="AE128" s="487"/>
      <c r="AF128" s="577">
        <f t="shared" si="15"/>
        <v>0</v>
      </c>
      <c r="AG128" s="275">
        <f t="shared" si="16"/>
        <v>0</v>
      </c>
    </row>
    <row r="129" spans="1:33" s="578" customFormat="1" ht="12" customHeight="1">
      <c r="A129" s="568" t="s">
        <v>1270</v>
      </c>
      <c r="B129" s="569" t="s">
        <v>1784</v>
      </c>
      <c r="C129" s="580" t="s">
        <v>1734</v>
      </c>
      <c r="D129" s="571">
        <v>101736</v>
      </c>
      <c r="E129" s="572">
        <v>9</v>
      </c>
      <c r="F129" s="573"/>
      <c r="G129" s="487"/>
      <c r="H129" s="573">
        <v>100000</v>
      </c>
      <c r="I129" s="1208">
        <v>134167</v>
      </c>
      <c r="J129" s="573"/>
      <c r="K129" s="487"/>
      <c r="L129" s="573"/>
      <c r="M129" s="573"/>
      <c r="N129" s="456">
        <f t="shared" si="17"/>
        <v>0</v>
      </c>
      <c r="O129" s="487"/>
      <c r="P129" s="487"/>
      <c r="Q129" s="274">
        <f t="shared" si="12"/>
        <v>0</v>
      </c>
      <c r="R129" s="574">
        <f t="shared" si="13"/>
        <v>100000</v>
      </c>
      <c r="S129" s="275">
        <f t="shared" si="14"/>
        <v>134167</v>
      </c>
      <c r="T129" s="575"/>
      <c r="U129" s="487"/>
      <c r="V129" s="576"/>
      <c r="W129" s="573"/>
      <c r="X129" s="574">
        <f t="shared" si="18"/>
        <v>0</v>
      </c>
      <c r="Y129" s="487"/>
      <c r="Z129" s="487"/>
      <c r="AA129" s="276">
        <f t="shared" si="19"/>
        <v>0</v>
      </c>
      <c r="AB129" s="573"/>
      <c r="AC129" s="487"/>
      <c r="AD129" s="573"/>
      <c r="AE129" s="487"/>
      <c r="AF129" s="577">
        <f t="shared" si="15"/>
        <v>100000</v>
      </c>
      <c r="AG129" s="275">
        <f t="shared" si="16"/>
        <v>134167</v>
      </c>
    </row>
    <row r="130" spans="1:33" s="578" customFormat="1" ht="12" customHeight="1">
      <c r="A130" s="568" t="s">
        <v>1270</v>
      </c>
      <c r="B130" s="569" t="s">
        <v>1776</v>
      </c>
      <c r="C130" s="570" t="s">
        <v>343</v>
      </c>
      <c r="D130" s="571">
        <v>102067</v>
      </c>
      <c r="E130" s="572">
        <v>9</v>
      </c>
      <c r="F130" s="573">
        <f>23166257+114569</f>
        <v>23280826</v>
      </c>
      <c r="G130" s="1208">
        <v>19697087</v>
      </c>
      <c r="H130" s="573"/>
      <c r="I130" s="487"/>
      <c r="J130" s="573"/>
      <c r="K130" s="487"/>
      <c r="L130" s="455">
        <v>8606693.3300000001</v>
      </c>
      <c r="M130" s="455">
        <v>3433143.75</v>
      </c>
      <c r="N130" s="456">
        <f t="shared" si="17"/>
        <v>12039837.08</v>
      </c>
      <c r="O130" s="487">
        <v>9019832</v>
      </c>
      <c r="P130" s="487">
        <v>2553968</v>
      </c>
      <c r="Q130" s="274">
        <f t="shared" si="12"/>
        <v>11573800</v>
      </c>
      <c r="R130" s="574">
        <f t="shared" si="13"/>
        <v>31887519.329999998</v>
      </c>
      <c r="S130" s="275">
        <f t="shared" si="14"/>
        <v>28716919</v>
      </c>
      <c r="T130" s="575"/>
      <c r="U130" s="487"/>
      <c r="V130" s="576"/>
      <c r="W130" s="573"/>
      <c r="X130" s="574">
        <f t="shared" si="18"/>
        <v>0</v>
      </c>
      <c r="Y130" s="487"/>
      <c r="Z130" s="487"/>
      <c r="AA130" s="276">
        <f t="shared" si="19"/>
        <v>0</v>
      </c>
      <c r="AB130" s="573"/>
      <c r="AC130" s="487"/>
      <c r="AD130" s="573"/>
      <c r="AE130" s="487"/>
      <c r="AF130" s="577">
        <f t="shared" si="15"/>
        <v>31887519.329999998</v>
      </c>
      <c r="AG130" s="275">
        <f t="shared" si="16"/>
        <v>28716919</v>
      </c>
    </row>
    <row r="131" spans="1:33" s="578" customFormat="1" ht="12" customHeight="1">
      <c r="A131" s="568" t="s">
        <v>1270</v>
      </c>
      <c r="B131" s="569" t="s">
        <v>1778</v>
      </c>
      <c r="C131" s="237" t="s">
        <v>1891</v>
      </c>
      <c r="D131" s="571">
        <v>102067</v>
      </c>
      <c r="E131" s="572">
        <v>9</v>
      </c>
      <c r="F131" s="573"/>
      <c r="G131" s="487"/>
      <c r="H131" s="573"/>
      <c r="I131" s="487"/>
      <c r="J131" s="573"/>
      <c r="K131" s="487"/>
      <c r="L131" s="573"/>
      <c r="M131" s="573"/>
      <c r="N131" s="456">
        <f t="shared" si="17"/>
        <v>0</v>
      </c>
      <c r="O131" s="487"/>
      <c r="P131" s="487"/>
      <c r="Q131" s="274">
        <f t="shared" si="12"/>
        <v>0</v>
      </c>
      <c r="R131" s="574">
        <f t="shared" si="13"/>
        <v>0</v>
      </c>
      <c r="S131" s="275">
        <f t="shared" si="14"/>
        <v>0</v>
      </c>
      <c r="T131" s="575"/>
      <c r="U131" s="487"/>
      <c r="V131" s="576"/>
      <c r="W131" s="573"/>
      <c r="X131" s="574">
        <f t="shared" si="18"/>
        <v>0</v>
      </c>
      <c r="Y131" s="487"/>
      <c r="Z131" s="487"/>
      <c r="AA131" s="276">
        <f t="shared" si="19"/>
        <v>0</v>
      </c>
      <c r="AB131" s="573"/>
      <c r="AC131" s="487"/>
      <c r="AD131" s="573"/>
      <c r="AE131" s="487"/>
      <c r="AF131" s="577">
        <f t="shared" si="15"/>
        <v>0</v>
      </c>
      <c r="AG131" s="275">
        <f t="shared" si="16"/>
        <v>0</v>
      </c>
    </row>
    <row r="132" spans="1:33" s="578" customFormat="1" ht="12" customHeight="1">
      <c r="A132" s="568" t="s">
        <v>1270</v>
      </c>
      <c r="B132" s="569" t="s">
        <v>1778</v>
      </c>
      <c r="C132" s="580" t="s">
        <v>344</v>
      </c>
      <c r="D132" s="571">
        <v>102067</v>
      </c>
      <c r="E132" s="572">
        <v>9</v>
      </c>
      <c r="F132" s="573"/>
      <c r="G132" s="487"/>
      <c r="H132" s="573">
        <v>6294000</v>
      </c>
      <c r="I132" s="1208">
        <v>4011769</v>
      </c>
      <c r="J132" s="573"/>
      <c r="K132" s="487"/>
      <c r="L132" s="573"/>
      <c r="M132" s="573"/>
      <c r="N132" s="456">
        <f t="shared" si="17"/>
        <v>0</v>
      </c>
      <c r="O132" s="487"/>
      <c r="P132" s="487"/>
      <c r="Q132" s="274">
        <f t="shared" si="12"/>
        <v>0</v>
      </c>
      <c r="R132" s="574">
        <f t="shared" si="13"/>
        <v>6294000</v>
      </c>
      <c r="S132" s="275">
        <f t="shared" si="14"/>
        <v>4011769</v>
      </c>
      <c r="T132" s="575"/>
      <c r="U132" s="487"/>
      <c r="V132" s="576"/>
      <c r="W132" s="573"/>
      <c r="X132" s="574">
        <f t="shared" si="18"/>
        <v>0</v>
      </c>
      <c r="Y132" s="487"/>
      <c r="Z132" s="487"/>
      <c r="AA132" s="276">
        <f t="shared" si="19"/>
        <v>0</v>
      </c>
      <c r="AB132" s="573"/>
      <c r="AC132" s="487"/>
      <c r="AD132" s="573"/>
      <c r="AE132" s="487"/>
      <c r="AF132" s="577">
        <f t="shared" si="15"/>
        <v>6294000</v>
      </c>
      <c r="AG132" s="275">
        <f t="shared" si="16"/>
        <v>4011769</v>
      </c>
    </row>
    <row r="133" spans="1:33" s="578" customFormat="1" ht="12" customHeight="1">
      <c r="A133" s="568" t="s">
        <v>1270</v>
      </c>
      <c r="B133" s="569" t="s">
        <v>1778</v>
      </c>
      <c r="C133" s="580" t="s">
        <v>145</v>
      </c>
      <c r="D133" s="571">
        <v>102067</v>
      </c>
      <c r="E133" s="572">
        <v>9</v>
      </c>
      <c r="F133" s="573"/>
      <c r="G133" s="487"/>
      <c r="H133" s="573"/>
      <c r="I133" s="1208">
        <v>1157000</v>
      </c>
      <c r="J133" s="573"/>
      <c r="K133" s="487"/>
      <c r="L133" s="573"/>
      <c r="M133" s="573"/>
      <c r="N133" s="456">
        <f t="shared" si="17"/>
        <v>0</v>
      </c>
      <c r="O133" s="487"/>
      <c r="P133" s="487"/>
      <c r="Q133" s="274">
        <f t="shared" si="12"/>
        <v>0</v>
      </c>
      <c r="R133" s="574">
        <f t="shared" si="13"/>
        <v>0</v>
      </c>
      <c r="S133" s="275">
        <f t="shared" si="14"/>
        <v>1157000</v>
      </c>
      <c r="T133" s="575"/>
      <c r="U133" s="487"/>
      <c r="V133" s="576"/>
      <c r="W133" s="573"/>
      <c r="X133" s="574">
        <f t="shared" si="18"/>
        <v>0</v>
      </c>
      <c r="Y133" s="487"/>
      <c r="Z133" s="487"/>
      <c r="AA133" s="276">
        <f t="shared" si="19"/>
        <v>0</v>
      </c>
      <c r="AB133" s="573"/>
      <c r="AC133" s="487"/>
      <c r="AD133" s="573"/>
      <c r="AE133" s="487"/>
      <c r="AF133" s="577">
        <f t="shared" si="15"/>
        <v>0</v>
      </c>
      <c r="AG133" s="275">
        <f t="shared" si="16"/>
        <v>1157000</v>
      </c>
    </row>
    <row r="134" spans="1:33" s="578" customFormat="1" ht="12" customHeight="1">
      <c r="A134" s="582" t="s">
        <v>1270</v>
      </c>
      <c r="B134" s="569" t="s">
        <v>1784</v>
      </c>
      <c r="C134" s="238" t="s">
        <v>2039</v>
      </c>
      <c r="D134" s="571">
        <v>102067</v>
      </c>
      <c r="E134" s="572">
        <v>9</v>
      </c>
      <c r="F134" s="573"/>
      <c r="G134" s="487"/>
      <c r="H134" s="573"/>
      <c r="I134" s="487"/>
      <c r="J134" s="573"/>
      <c r="K134" s="487"/>
      <c r="L134" s="455"/>
      <c r="M134" s="455"/>
      <c r="N134" s="456">
        <f t="shared" si="17"/>
        <v>0</v>
      </c>
      <c r="O134" s="487"/>
      <c r="P134" s="487"/>
      <c r="Q134" s="274">
        <f t="shared" si="12"/>
        <v>0</v>
      </c>
      <c r="R134" s="574">
        <f t="shared" si="13"/>
        <v>0</v>
      </c>
      <c r="S134" s="275">
        <f t="shared" si="14"/>
        <v>0</v>
      </c>
      <c r="T134" s="575"/>
      <c r="U134" s="487"/>
      <c r="V134" s="576"/>
      <c r="W134" s="573"/>
      <c r="X134" s="574">
        <f t="shared" si="18"/>
        <v>0</v>
      </c>
      <c r="Y134" s="487"/>
      <c r="Z134" s="487"/>
      <c r="AA134" s="276">
        <f t="shared" si="19"/>
        <v>0</v>
      </c>
      <c r="AB134" s="573"/>
      <c r="AC134" s="487"/>
      <c r="AD134" s="573"/>
      <c r="AE134" s="487"/>
      <c r="AF134" s="577">
        <f t="shared" si="15"/>
        <v>0</v>
      </c>
      <c r="AG134" s="275">
        <f t="shared" si="16"/>
        <v>0</v>
      </c>
    </row>
    <row r="135" spans="1:33" s="578" customFormat="1" ht="12" customHeight="1">
      <c r="A135" s="568" t="s">
        <v>1270</v>
      </c>
      <c r="B135" s="569" t="s">
        <v>1784</v>
      </c>
      <c r="C135" s="580" t="s">
        <v>1734</v>
      </c>
      <c r="D135" s="571">
        <v>102067</v>
      </c>
      <c r="E135" s="572">
        <v>9</v>
      </c>
      <c r="F135" s="573"/>
      <c r="G135" s="487"/>
      <c r="H135" s="573">
        <v>144180</v>
      </c>
      <c r="I135" s="1208">
        <v>135300</v>
      </c>
      <c r="J135" s="573"/>
      <c r="K135" s="487"/>
      <c r="L135" s="573"/>
      <c r="M135" s="573"/>
      <c r="N135" s="456">
        <f t="shared" si="17"/>
        <v>0</v>
      </c>
      <c r="O135" s="487"/>
      <c r="P135" s="487"/>
      <c r="Q135" s="274">
        <f t="shared" si="12"/>
        <v>0</v>
      </c>
      <c r="R135" s="574">
        <f t="shared" si="13"/>
        <v>144180</v>
      </c>
      <c r="S135" s="275">
        <f t="shared" si="14"/>
        <v>135300</v>
      </c>
      <c r="T135" s="575"/>
      <c r="U135" s="487"/>
      <c r="V135" s="576"/>
      <c r="W135" s="573"/>
      <c r="X135" s="574">
        <f t="shared" si="18"/>
        <v>0</v>
      </c>
      <c r="Y135" s="487"/>
      <c r="Z135" s="487"/>
      <c r="AA135" s="276">
        <f t="shared" si="19"/>
        <v>0</v>
      </c>
      <c r="AB135" s="573"/>
      <c r="AC135" s="487"/>
      <c r="AD135" s="573"/>
      <c r="AE135" s="487"/>
      <c r="AF135" s="577">
        <f t="shared" si="15"/>
        <v>144180</v>
      </c>
      <c r="AG135" s="275">
        <f t="shared" si="16"/>
        <v>135300</v>
      </c>
    </row>
    <row r="136" spans="1:33" s="578" customFormat="1" ht="12" customHeight="1">
      <c r="A136" s="568" t="s">
        <v>1270</v>
      </c>
      <c r="B136" s="569" t="s">
        <v>1776</v>
      </c>
      <c r="C136" s="570" t="s">
        <v>345</v>
      </c>
      <c r="D136" s="571">
        <v>251260</v>
      </c>
      <c r="E136" s="572">
        <v>9</v>
      </c>
      <c r="F136" s="573">
        <f>17879886+51268</f>
        <v>17931154</v>
      </c>
      <c r="G136" s="1208">
        <v>15187546</v>
      </c>
      <c r="H136" s="573"/>
      <c r="I136" s="487"/>
      <c r="J136" s="573"/>
      <c r="K136" s="487"/>
      <c r="L136" s="455">
        <v>10185569.810000001</v>
      </c>
      <c r="M136" s="573">
        <v>2262520</v>
      </c>
      <c r="N136" s="456">
        <f t="shared" si="17"/>
        <v>12448089.810000001</v>
      </c>
      <c r="O136" s="487">
        <v>9453800</v>
      </c>
      <c r="P136" s="487">
        <v>2260520</v>
      </c>
      <c r="Q136" s="274">
        <f t="shared" si="12"/>
        <v>11714320</v>
      </c>
      <c r="R136" s="574">
        <f t="shared" si="13"/>
        <v>28116723.810000002</v>
      </c>
      <c r="S136" s="275">
        <f t="shared" si="14"/>
        <v>24641346</v>
      </c>
      <c r="T136" s="575"/>
      <c r="U136" s="487"/>
      <c r="V136" s="576"/>
      <c r="W136" s="573"/>
      <c r="X136" s="574">
        <f t="shared" si="18"/>
        <v>0</v>
      </c>
      <c r="Y136" s="487"/>
      <c r="Z136" s="487"/>
      <c r="AA136" s="276">
        <f t="shared" si="19"/>
        <v>0</v>
      </c>
      <c r="AB136" s="573"/>
      <c r="AC136" s="487"/>
      <c r="AD136" s="573"/>
      <c r="AE136" s="487"/>
      <c r="AF136" s="577">
        <f t="shared" si="15"/>
        <v>28116723.810000002</v>
      </c>
      <c r="AG136" s="275">
        <f t="shared" si="16"/>
        <v>24641346</v>
      </c>
    </row>
    <row r="137" spans="1:33" s="578" customFormat="1" ht="12" customHeight="1">
      <c r="A137" s="582" t="s">
        <v>1270</v>
      </c>
      <c r="B137" s="569" t="s">
        <v>1784</v>
      </c>
      <c r="C137" s="238" t="s">
        <v>2039</v>
      </c>
      <c r="D137" s="571">
        <v>251260</v>
      </c>
      <c r="E137" s="572">
        <v>9</v>
      </c>
      <c r="F137" s="573"/>
      <c r="G137" s="487"/>
      <c r="H137" s="573"/>
      <c r="I137" s="487"/>
      <c r="J137" s="573"/>
      <c r="K137" s="487"/>
      <c r="L137" s="455"/>
      <c r="M137" s="455"/>
      <c r="N137" s="456">
        <f t="shared" si="17"/>
        <v>0</v>
      </c>
      <c r="O137" s="487"/>
      <c r="P137" s="487"/>
      <c r="Q137" s="274">
        <f t="shared" si="12"/>
        <v>0</v>
      </c>
      <c r="R137" s="574">
        <f t="shared" si="13"/>
        <v>0</v>
      </c>
      <c r="S137" s="275">
        <f t="shared" si="14"/>
        <v>0</v>
      </c>
      <c r="T137" s="575"/>
      <c r="U137" s="487"/>
      <c r="V137" s="576"/>
      <c r="W137" s="573"/>
      <c r="X137" s="574">
        <f t="shared" si="18"/>
        <v>0</v>
      </c>
      <c r="Y137" s="487"/>
      <c r="Z137" s="487"/>
      <c r="AA137" s="276">
        <f t="shared" si="19"/>
        <v>0</v>
      </c>
      <c r="AB137" s="573"/>
      <c r="AC137" s="487"/>
      <c r="AD137" s="573"/>
      <c r="AE137" s="487"/>
      <c r="AF137" s="577">
        <f t="shared" si="15"/>
        <v>0</v>
      </c>
      <c r="AG137" s="275">
        <f t="shared" si="16"/>
        <v>0</v>
      </c>
    </row>
    <row r="138" spans="1:33" s="578" customFormat="1" ht="12" customHeight="1">
      <c r="A138" s="568" t="s">
        <v>1270</v>
      </c>
      <c r="B138" s="569" t="s">
        <v>1784</v>
      </c>
      <c r="C138" s="580" t="s">
        <v>1734</v>
      </c>
      <c r="D138" s="571">
        <v>251260</v>
      </c>
      <c r="E138" s="572">
        <v>9</v>
      </c>
      <c r="F138" s="573"/>
      <c r="G138" s="487"/>
      <c r="H138" s="573">
        <v>55000</v>
      </c>
      <c r="I138" s="1208">
        <v>28040</v>
      </c>
      <c r="J138" s="573"/>
      <c r="K138" s="487"/>
      <c r="L138" s="573"/>
      <c r="M138" s="573"/>
      <c r="N138" s="456">
        <f t="shared" si="17"/>
        <v>0</v>
      </c>
      <c r="O138" s="487"/>
      <c r="P138" s="487"/>
      <c r="Q138" s="274">
        <f t="shared" ref="Q138:Q201" si="20">SUM(O138:P138)</f>
        <v>0</v>
      </c>
      <c r="R138" s="574">
        <f t="shared" ref="R138:R201" si="21">SUM(F138,H138,J138,L138)</f>
        <v>55000</v>
      </c>
      <c r="S138" s="275">
        <f t="shared" ref="S138:S201" si="22">SUM(G138,I138,K138,O138)</f>
        <v>28040</v>
      </c>
      <c r="T138" s="575"/>
      <c r="U138" s="487"/>
      <c r="V138" s="576"/>
      <c r="W138" s="573"/>
      <c r="X138" s="574">
        <f t="shared" si="18"/>
        <v>0</v>
      </c>
      <c r="Y138" s="487"/>
      <c r="Z138" s="487"/>
      <c r="AA138" s="276">
        <f t="shared" si="19"/>
        <v>0</v>
      </c>
      <c r="AB138" s="573"/>
      <c r="AC138" s="487"/>
      <c r="AD138" s="573"/>
      <c r="AE138" s="487"/>
      <c r="AF138" s="577">
        <f t="shared" ref="AF138:AF201" si="23">SUM(R138,T138,V138,AB138,AD138)</f>
        <v>55000</v>
      </c>
      <c r="AG138" s="275">
        <f t="shared" ref="AG138:AG201" si="24">SUM(S138,U138,Y138,AC138,AE138)</f>
        <v>28040</v>
      </c>
    </row>
    <row r="139" spans="1:33" s="578" customFormat="1" ht="12" customHeight="1">
      <c r="A139" s="568" t="s">
        <v>1270</v>
      </c>
      <c r="B139" s="569" t="s">
        <v>1776</v>
      </c>
      <c r="C139" s="570" t="s">
        <v>346</v>
      </c>
      <c r="D139" s="571">
        <v>101295</v>
      </c>
      <c r="E139" s="572">
        <v>9</v>
      </c>
      <c r="F139" s="573">
        <f>19913743+56330</f>
        <v>19970073</v>
      </c>
      <c r="G139" s="1208">
        <v>16930130</v>
      </c>
      <c r="H139" s="573"/>
      <c r="I139" s="487"/>
      <c r="J139" s="573"/>
      <c r="K139" s="487"/>
      <c r="L139" s="455">
        <v>12267553.41</v>
      </c>
      <c r="M139" s="455">
        <v>781726.64</v>
      </c>
      <c r="N139" s="456">
        <f t="shared" si="17"/>
        <v>13049280.050000001</v>
      </c>
      <c r="O139" s="487">
        <v>10651921</v>
      </c>
      <c r="P139" s="487">
        <v>788001</v>
      </c>
      <c r="Q139" s="274">
        <f t="shared" si="20"/>
        <v>11439922</v>
      </c>
      <c r="R139" s="574">
        <f t="shared" si="21"/>
        <v>32237626.41</v>
      </c>
      <c r="S139" s="275">
        <f t="shared" si="22"/>
        <v>27582051</v>
      </c>
      <c r="T139" s="575"/>
      <c r="U139" s="487"/>
      <c r="V139" s="576"/>
      <c r="W139" s="573"/>
      <c r="X139" s="574">
        <f t="shared" si="18"/>
        <v>0</v>
      </c>
      <c r="Y139" s="487"/>
      <c r="Z139" s="487"/>
      <c r="AA139" s="276">
        <f t="shared" si="19"/>
        <v>0</v>
      </c>
      <c r="AB139" s="573"/>
      <c r="AC139" s="487"/>
      <c r="AD139" s="573"/>
      <c r="AE139" s="487"/>
      <c r="AF139" s="577">
        <f t="shared" si="23"/>
        <v>32237626.41</v>
      </c>
      <c r="AG139" s="275">
        <f t="shared" si="24"/>
        <v>27582051</v>
      </c>
    </row>
    <row r="140" spans="1:33" s="578" customFormat="1" ht="12" customHeight="1">
      <c r="A140" s="582" t="s">
        <v>1270</v>
      </c>
      <c r="B140" s="569" t="s">
        <v>1784</v>
      </c>
      <c r="C140" s="238" t="s">
        <v>2039</v>
      </c>
      <c r="D140" s="571">
        <v>101295</v>
      </c>
      <c r="E140" s="572">
        <v>9</v>
      </c>
      <c r="F140" s="573"/>
      <c r="G140" s="487"/>
      <c r="H140" s="573"/>
      <c r="I140" s="487"/>
      <c r="J140" s="573"/>
      <c r="K140" s="487"/>
      <c r="L140" s="455"/>
      <c r="M140" s="455"/>
      <c r="N140" s="456">
        <f t="shared" si="17"/>
        <v>0</v>
      </c>
      <c r="O140" s="487"/>
      <c r="P140" s="487"/>
      <c r="Q140" s="274">
        <f t="shared" si="20"/>
        <v>0</v>
      </c>
      <c r="R140" s="574">
        <f t="shared" si="21"/>
        <v>0</v>
      </c>
      <c r="S140" s="275">
        <f t="shared" si="22"/>
        <v>0</v>
      </c>
      <c r="T140" s="575"/>
      <c r="U140" s="487"/>
      <c r="V140" s="576"/>
      <c r="W140" s="573"/>
      <c r="X140" s="574">
        <f t="shared" si="18"/>
        <v>0</v>
      </c>
      <c r="Y140" s="487"/>
      <c r="Z140" s="487"/>
      <c r="AA140" s="276">
        <f t="shared" si="19"/>
        <v>0</v>
      </c>
      <c r="AB140" s="573"/>
      <c r="AC140" s="487"/>
      <c r="AD140" s="573"/>
      <c r="AE140" s="487"/>
      <c r="AF140" s="577">
        <f t="shared" si="23"/>
        <v>0</v>
      </c>
      <c r="AG140" s="275">
        <f t="shared" si="24"/>
        <v>0</v>
      </c>
    </row>
    <row r="141" spans="1:33" s="578" customFormat="1" ht="12" customHeight="1">
      <c r="A141" s="568" t="s">
        <v>1270</v>
      </c>
      <c r="B141" s="569" t="s">
        <v>1784</v>
      </c>
      <c r="C141" s="580" t="s">
        <v>1734</v>
      </c>
      <c r="D141" s="571">
        <v>101295</v>
      </c>
      <c r="E141" s="572">
        <v>9</v>
      </c>
      <c r="F141" s="573"/>
      <c r="G141" s="487"/>
      <c r="H141" s="573">
        <v>58402</v>
      </c>
      <c r="I141" s="1208">
        <v>120000</v>
      </c>
      <c r="J141" s="573"/>
      <c r="K141" s="487"/>
      <c r="L141" s="573"/>
      <c r="M141" s="573"/>
      <c r="N141" s="456">
        <f t="shared" si="17"/>
        <v>0</v>
      </c>
      <c r="O141" s="487"/>
      <c r="P141" s="487"/>
      <c r="Q141" s="274">
        <f t="shared" si="20"/>
        <v>0</v>
      </c>
      <c r="R141" s="574">
        <f t="shared" si="21"/>
        <v>58402</v>
      </c>
      <c r="S141" s="275">
        <f t="shared" si="22"/>
        <v>120000</v>
      </c>
      <c r="T141" s="575"/>
      <c r="U141" s="487"/>
      <c r="V141" s="576"/>
      <c r="W141" s="573"/>
      <c r="X141" s="574">
        <f t="shared" si="18"/>
        <v>0</v>
      </c>
      <c r="Y141" s="487"/>
      <c r="Z141" s="487"/>
      <c r="AA141" s="276">
        <f t="shared" si="19"/>
        <v>0</v>
      </c>
      <c r="AB141" s="573"/>
      <c r="AC141" s="487"/>
      <c r="AD141" s="573"/>
      <c r="AE141" s="487"/>
      <c r="AF141" s="577">
        <f t="shared" si="23"/>
        <v>58402</v>
      </c>
      <c r="AG141" s="275">
        <f t="shared" si="24"/>
        <v>120000</v>
      </c>
    </row>
    <row r="142" spans="1:33" s="578" customFormat="1" ht="12" customHeight="1">
      <c r="A142" s="568" t="s">
        <v>1270</v>
      </c>
      <c r="B142" s="569" t="s">
        <v>1776</v>
      </c>
      <c r="C142" s="570" t="s">
        <v>347</v>
      </c>
      <c r="D142" s="571">
        <v>101949</v>
      </c>
      <c r="E142" s="572">
        <v>10</v>
      </c>
      <c r="F142" s="573">
        <f>8782534+30790</f>
        <v>8813324</v>
      </c>
      <c r="G142" s="1208">
        <v>7470183</v>
      </c>
      <c r="H142" s="573"/>
      <c r="I142" s="487"/>
      <c r="J142" s="455">
        <v>0</v>
      </c>
      <c r="K142" s="487"/>
      <c r="L142" s="455">
        <v>1510460.56</v>
      </c>
      <c r="M142" s="455">
        <v>1490575.51</v>
      </c>
      <c r="N142" s="456">
        <f t="shared" si="17"/>
        <v>3001036.0700000003</v>
      </c>
      <c r="O142" s="487">
        <v>1615538</v>
      </c>
      <c r="P142" s="487">
        <v>1394338</v>
      </c>
      <c r="Q142" s="274">
        <f t="shared" si="20"/>
        <v>3009876</v>
      </c>
      <c r="R142" s="574">
        <f t="shared" si="21"/>
        <v>10323784.560000001</v>
      </c>
      <c r="S142" s="275">
        <f t="shared" si="22"/>
        <v>9085721</v>
      </c>
      <c r="T142" s="575"/>
      <c r="U142" s="487"/>
      <c r="V142" s="576"/>
      <c r="W142" s="573"/>
      <c r="X142" s="574">
        <f t="shared" si="18"/>
        <v>0</v>
      </c>
      <c r="Y142" s="487"/>
      <c r="Z142" s="487"/>
      <c r="AA142" s="276">
        <f t="shared" si="19"/>
        <v>0</v>
      </c>
      <c r="AB142" s="573"/>
      <c r="AC142" s="487"/>
      <c r="AD142" s="573"/>
      <c r="AE142" s="487"/>
      <c r="AF142" s="577">
        <f t="shared" si="23"/>
        <v>10323784.560000001</v>
      </c>
      <c r="AG142" s="275">
        <f t="shared" si="24"/>
        <v>9085721</v>
      </c>
    </row>
    <row r="143" spans="1:33" s="578" customFormat="1" ht="12" customHeight="1">
      <c r="A143" s="582" t="s">
        <v>1270</v>
      </c>
      <c r="B143" s="569" t="s">
        <v>1784</v>
      </c>
      <c r="C143" s="238" t="s">
        <v>2039</v>
      </c>
      <c r="D143" s="571">
        <v>101949</v>
      </c>
      <c r="E143" s="572">
        <v>10</v>
      </c>
      <c r="F143" s="573"/>
      <c r="G143" s="487"/>
      <c r="H143" s="573"/>
      <c r="I143" s="487"/>
      <c r="J143" s="573"/>
      <c r="K143" s="487"/>
      <c r="L143" s="455"/>
      <c r="M143" s="455"/>
      <c r="N143" s="456">
        <f t="shared" si="17"/>
        <v>0</v>
      </c>
      <c r="O143" s="487"/>
      <c r="P143" s="487"/>
      <c r="Q143" s="274">
        <f t="shared" si="20"/>
        <v>0</v>
      </c>
      <c r="R143" s="574">
        <f t="shared" si="21"/>
        <v>0</v>
      </c>
      <c r="S143" s="275">
        <f t="shared" si="22"/>
        <v>0</v>
      </c>
      <c r="T143" s="575"/>
      <c r="U143" s="487"/>
      <c r="V143" s="576"/>
      <c r="W143" s="573"/>
      <c r="X143" s="574">
        <f t="shared" si="18"/>
        <v>0</v>
      </c>
      <c r="Y143" s="487"/>
      <c r="Z143" s="487"/>
      <c r="AA143" s="276">
        <f t="shared" si="19"/>
        <v>0</v>
      </c>
      <c r="AB143" s="573"/>
      <c r="AC143" s="487"/>
      <c r="AD143" s="573"/>
      <c r="AE143" s="487"/>
      <c r="AF143" s="577">
        <f t="shared" si="23"/>
        <v>0</v>
      </c>
      <c r="AG143" s="275">
        <f t="shared" si="24"/>
        <v>0</v>
      </c>
    </row>
    <row r="144" spans="1:33" s="578" customFormat="1" ht="12" customHeight="1">
      <c r="A144" s="568" t="s">
        <v>1270</v>
      </c>
      <c r="B144" s="569" t="s">
        <v>1784</v>
      </c>
      <c r="C144" s="580" t="s">
        <v>1734</v>
      </c>
      <c r="D144" s="571">
        <v>101949</v>
      </c>
      <c r="E144" s="572">
        <v>10</v>
      </c>
      <c r="F144" s="573"/>
      <c r="G144" s="487"/>
      <c r="H144" s="573">
        <v>1608700</v>
      </c>
      <c r="I144" s="1208">
        <v>2838378</v>
      </c>
      <c r="J144" s="573"/>
      <c r="K144" s="487"/>
      <c r="L144" s="573"/>
      <c r="M144" s="573"/>
      <c r="N144" s="456">
        <f t="shared" si="17"/>
        <v>0</v>
      </c>
      <c r="O144" s="487"/>
      <c r="P144" s="487"/>
      <c r="Q144" s="274">
        <f t="shared" si="20"/>
        <v>0</v>
      </c>
      <c r="R144" s="574">
        <f t="shared" si="21"/>
        <v>1608700</v>
      </c>
      <c r="S144" s="275">
        <f t="shared" si="22"/>
        <v>2838378</v>
      </c>
      <c r="T144" s="575"/>
      <c r="U144" s="487"/>
      <c r="V144" s="576"/>
      <c r="W144" s="573"/>
      <c r="X144" s="574">
        <f t="shared" si="18"/>
        <v>0</v>
      </c>
      <c r="Y144" s="487"/>
      <c r="Z144" s="487"/>
      <c r="AA144" s="276">
        <f t="shared" si="19"/>
        <v>0</v>
      </c>
      <c r="AB144" s="573"/>
      <c r="AC144" s="487"/>
      <c r="AD144" s="573"/>
      <c r="AE144" s="487"/>
      <c r="AF144" s="577">
        <f t="shared" si="23"/>
        <v>1608700</v>
      </c>
      <c r="AG144" s="275">
        <f t="shared" si="24"/>
        <v>2838378</v>
      </c>
    </row>
    <row r="145" spans="1:33" s="578" customFormat="1" ht="12" customHeight="1">
      <c r="A145" s="568" t="s">
        <v>1270</v>
      </c>
      <c r="B145" s="569" t="s">
        <v>1776</v>
      </c>
      <c r="C145" s="570" t="s">
        <v>348</v>
      </c>
      <c r="D145" s="571">
        <v>100760</v>
      </c>
      <c r="E145" s="572">
        <v>10</v>
      </c>
      <c r="F145" s="573">
        <f>10693344+33659+350000</f>
        <v>11077003</v>
      </c>
      <c r="G145" s="1208">
        <f>9095538+178000</f>
        <v>9273538</v>
      </c>
      <c r="H145" s="573"/>
      <c r="I145" s="487"/>
      <c r="J145" s="573"/>
      <c r="K145" s="487">
        <v>10000</v>
      </c>
      <c r="L145" s="455">
        <v>4461825.22</v>
      </c>
      <c r="M145" s="573">
        <v>708930</v>
      </c>
      <c r="N145" s="456">
        <f t="shared" si="17"/>
        <v>5170755.22</v>
      </c>
      <c r="O145" s="487">
        <v>4401140</v>
      </c>
      <c r="P145" s="487">
        <v>705730</v>
      </c>
      <c r="Q145" s="274">
        <f t="shared" si="20"/>
        <v>5106870</v>
      </c>
      <c r="R145" s="574">
        <f t="shared" si="21"/>
        <v>15538828.219999999</v>
      </c>
      <c r="S145" s="275">
        <f t="shared" si="22"/>
        <v>13684678</v>
      </c>
      <c r="T145" s="575"/>
      <c r="U145" s="487"/>
      <c r="V145" s="576"/>
      <c r="W145" s="573"/>
      <c r="X145" s="574">
        <f t="shared" si="18"/>
        <v>0</v>
      </c>
      <c r="Y145" s="487"/>
      <c r="Z145" s="487"/>
      <c r="AA145" s="276">
        <f t="shared" si="19"/>
        <v>0</v>
      </c>
      <c r="AB145" s="573"/>
      <c r="AC145" s="487"/>
      <c r="AD145" s="573"/>
      <c r="AE145" s="487"/>
      <c r="AF145" s="577">
        <f t="shared" si="23"/>
        <v>15538828.219999999</v>
      </c>
      <c r="AG145" s="275">
        <f t="shared" si="24"/>
        <v>13684678</v>
      </c>
    </row>
    <row r="146" spans="1:33" s="578" customFormat="1" ht="12" customHeight="1">
      <c r="A146" s="582" t="s">
        <v>1270</v>
      </c>
      <c r="B146" s="569" t="s">
        <v>1784</v>
      </c>
      <c r="C146" s="238" t="s">
        <v>2039</v>
      </c>
      <c r="D146" s="571">
        <v>100760</v>
      </c>
      <c r="E146" s="572">
        <v>10</v>
      </c>
      <c r="F146" s="573"/>
      <c r="G146" s="487"/>
      <c r="H146" s="573"/>
      <c r="I146" s="487"/>
      <c r="J146" s="573"/>
      <c r="K146" s="487"/>
      <c r="L146" s="455"/>
      <c r="M146" s="455"/>
      <c r="N146" s="456">
        <f t="shared" si="17"/>
        <v>0</v>
      </c>
      <c r="O146" s="487"/>
      <c r="P146" s="487"/>
      <c r="Q146" s="274">
        <f t="shared" si="20"/>
        <v>0</v>
      </c>
      <c r="R146" s="574">
        <f t="shared" si="21"/>
        <v>0</v>
      </c>
      <c r="S146" s="275">
        <f t="shared" si="22"/>
        <v>0</v>
      </c>
      <c r="T146" s="575"/>
      <c r="U146" s="487"/>
      <c r="V146" s="576"/>
      <c r="W146" s="573"/>
      <c r="X146" s="574">
        <f t="shared" si="18"/>
        <v>0</v>
      </c>
      <c r="Y146" s="487"/>
      <c r="Z146" s="487"/>
      <c r="AA146" s="276">
        <f t="shared" si="19"/>
        <v>0</v>
      </c>
      <c r="AB146" s="573"/>
      <c r="AC146" s="487"/>
      <c r="AD146" s="573"/>
      <c r="AE146" s="487"/>
      <c r="AF146" s="577">
        <f t="shared" si="23"/>
        <v>0</v>
      </c>
      <c r="AG146" s="275">
        <f t="shared" si="24"/>
        <v>0</v>
      </c>
    </row>
    <row r="147" spans="1:33" s="578" customFormat="1" ht="12" customHeight="1">
      <c r="A147" s="568" t="s">
        <v>1270</v>
      </c>
      <c r="B147" s="569" t="s">
        <v>1784</v>
      </c>
      <c r="C147" s="580" t="s">
        <v>1734</v>
      </c>
      <c r="D147" s="571">
        <v>100760</v>
      </c>
      <c r="E147" s="572">
        <v>10</v>
      </c>
      <c r="F147" s="573"/>
      <c r="G147" s="487"/>
      <c r="H147" s="573">
        <v>50000</v>
      </c>
      <c r="I147" s="1208">
        <v>37753</v>
      </c>
      <c r="J147" s="573"/>
      <c r="K147" s="487"/>
      <c r="L147" s="573"/>
      <c r="M147" s="573"/>
      <c r="N147" s="456">
        <f t="shared" ref="N147:N210" si="25">SUM(L147:M147)</f>
        <v>0</v>
      </c>
      <c r="O147" s="487"/>
      <c r="P147" s="487"/>
      <c r="Q147" s="274">
        <f t="shared" si="20"/>
        <v>0</v>
      </c>
      <c r="R147" s="574">
        <f t="shared" si="21"/>
        <v>50000</v>
      </c>
      <c r="S147" s="275">
        <f t="shared" si="22"/>
        <v>37753</v>
      </c>
      <c r="T147" s="575"/>
      <c r="U147" s="487"/>
      <c r="V147" s="576"/>
      <c r="W147" s="573"/>
      <c r="X147" s="574">
        <f t="shared" ref="X147:X210" si="26">SUM(V147:W147)</f>
        <v>0</v>
      </c>
      <c r="Y147" s="487"/>
      <c r="Z147" s="487"/>
      <c r="AA147" s="276">
        <f t="shared" ref="AA147:AA210" si="27">SUM(Y147:Z147)</f>
        <v>0</v>
      </c>
      <c r="AB147" s="573"/>
      <c r="AC147" s="487"/>
      <c r="AD147" s="573"/>
      <c r="AE147" s="487"/>
      <c r="AF147" s="577">
        <f t="shared" si="23"/>
        <v>50000</v>
      </c>
      <c r="AG147" s="275">
        <f t="shared" si="24"/>
        <v>37753</v>
      </c>
    </row>
    <row r="148" spans="1:33" s="578" customFormat="1" ht="12" customHeight="1">
      <c r="A148" s="568" t="s">
        <v>1270</v>
      </c>
      <c r="B148" s="569" t="s">
        <v>1776</v>
      </c>
      <c r="C148" s="570" t="s">
        <v>349</v>
      </c>
      <c r="D148" s="571">
        <v>101028</v>
      </c>
      <c r="E148" s="572">
        <v>10</v>
      </c>
      <c r="F148" s="573">
        <f>6896124+21648</f>
        <v>6917772</v>
      </c>
      <c r="G148" s="1208">
        <v>5863698</v>
      </c>
      <c r="H148" s="573"/>
      <c r="I148" s="487"/>
      <c r="J148" s="573"/>
      <c r="K148" s="487"/>
      <c r="L148" s="455">
        <v>3738267.61</v>
      </c>
      <c r="M148" s="455">
        <v>127673.76</v>
      </c>
      <c r="N148" s="456">
        <f t="shared" si="25"/>
        <v>3865941.3699999996</v>
      </c>
      <c r="O148" s="487">
        <v>3670626</v>
      </c>
      <c r="P148" s="487">
        <v>131174</v>
      </c>
      <c r="Q148" s="274">
        <f t="shared" si="20"/>
        <v>3801800</v>
      </c>
      <c r="R148" s="574">
        <f t="shared" si="21"/>
        <v>10656039.609999999</v>
      </c>
      <c r="S148" s="275">
        <f t="shared" si="22"/>
        <v>9534324</v>
      </c>
      <c r="T148" s="575"/>
      <c r="U148" s="487"/>
      <c r="V148" s="576"/>
      <c r="W148" s="573"/>
      <c r="X148" s="574">
        <f t="shared" si="26"/>
        <v>0</v>
      </c>
      <c r="Y148" s="487"/>
      <c r="Z148" s="487"/>
      <c r="AA148" s="276">
        <f t="shared" si="27"/>
        <v>0</v>
      </c>
      <c r="AB148" s="573"/>
      <c r="AC148" s="487"/>
      <c r="AD148" s="573"/>
      <c r="AE148" s="487"/>
      <c r="AF148" s="577">
        <f t="shared" si="23"/>
        <v>10656039.609999999</v>
      </c>
      <c r="AG148" s="275">
        <f t="shared" si="24"/>
        <v>9534324</v>
      </c>
    </row>
    <row r="149" spans="1:33" s="578" customFormat="1" ht="12" customHeight="1">
      <c r="A149" s="582" t="s">
        <v>1270</v>
      </c>
      <c r="B149" s="569" t="s">
        <v>1784</v>
      </c>
      <c r="C149" s="238" t="s">
        <v>2039</v>
      </c>
      <c r="D149" s="571">
        <v>101028</v>
      </c>
      <c r="E149" s="572">
        <v>10</v>
      </c>
      <c r="F149" s="573"/>
      <c r="G149" s="487"/>
      <c r="H149" s="573"/>
      <c r="I149" s="487"/>
      <c r="J149" s="573"/>
      <c r="K149" s="487"/>
      <c r="L149" s="455"/>
      <c r="M149" s="455"/>
      <c r="N149" s="456">
        <f t="shared" si="25"/>
        <v>0</v>
      </c>
      <c r="O149" s="487"/>
      <c r="P149" s="487"/>
      <c r="Q149" s="274">
        <f t="shared" si="20"/>
        <v>0</v>
      </c>
      <c r="R149" s="574">
        <f t="shared" si="21"/>
        <v>0</v>
      </c>
      <c r="S149" s="275">
        <f t="shared" si="22"/>
        <v>0</v>
      </c>
      <c r="T149" s="575"/>
      <c r="U149" s="487"/>
      <c r="V149" s="576"/>
      <c r="W149" s="573"/>
      <c r="X149" s="574">
        <f t="shared" si="26"/>
        <v>0</v>
      </c>
      <c r="Y149" s="487"/>
      <c r="Z149" s="487"/>
      <c r="AA149" s="276">
        <f t="shared" si="27"/>
        <v>0</v>
      </c>
      <c r="AB149" s="573"/>
      <c r="AC149" s="487"/>
      <c r="AD149" s="573"/>
      <c r="AE149" s="487"/>
      <c r="AF149" s="577">
        <f t="shared" si="23"/>
        <v>0</v>
      </c>
      <c r="AG149" s="275">
        <f t="shared" si="24"/>
        <v>0</v>
      </c>
    </row>
    <row r="150" spans="1:33" s="578" customFormat="1" ht="12" customHeight="1">
      <c r="A150" s="568" t="s">
        <v>1270</v>
      </c>
      <c r="B150" s="569" t="s">
        <v>1784</v>
      </c>
      <c r="C150" s="580" t="s">
        <v>1734</v>
      </c>
      <c r="D150" s="571">
        <v>101028</v>
      </c>
      <c r="E150" s="572">
        <v>10</v>
      </c>
      <c r="F150" s="573"/>
      <c r="G150" s="487"/>
      <c r="H150" s="573">
        <v>37500</v>
      </c>
      <c r="I150" s="1208">
        <v>56842</v>
      </c>
      <c r="J150" s="573"/>
      <c r="K150" s="487"/>
      <c r="L150" s="573"/>
      <c r="M150" s="573"/>
      <c r="N150" s="456">
        <f t="shared" si="25"/>
        <v>0</v>
      </c>
      <c r="O150" s="487"/>
      <c r="P150" s="487"/>
      <c r="Q150" s="274">
        <f t="shared" si="20"/>
        <v>0</v>
      </c>
      <c r="R150" s="574">
        <f t="shared" si="21"/>
        <v>37500</v>
      </c>
      <c r="S150" s="275">
        <f t="shared" si="22"/>
        <v>56842</v>
      </c>
      <c r="T150" s="575"/>
      <c r="U150" s="487"/>
      <c r="V150" s="576"/>
      <c r="W150" s="573"/>
      <c r="X150" s="574">
        <f t="shared" si="26"/>
        <v>0</v>
      </c>
      <c r="Y150" s="487"/>
      <c r="Z150" s="487"/>
      <c r="AA150" s="276">
        <f t="shared" si="27"/>
        <v>0</v>
      </c>
      <c r="AB150" s="573"/>
      <c r="AC150" s="487"/>
      <c r="AD150" s="573"/>
      <c r="AE150" s="487"/>
      <c r="AF150" s="577">
        <f t="shared" si="23"/>
        <v>37500</v>
      </c>
      <c r="AG150" s="275">
        <f t="shared" si="24"/>
        <v>56842</v>
      </c>
    </row>
    <row r="151" spans="1:33" s="578" customFormat="1" ht="12" customHeight="1">
      <c r="A151" s="568" t="s">
        <v>1270</v>
      </c>
      <c r="B151" s="569" t="s">
        <v>1776</v>
      </c>
      <c r="C151" s="570" t="s">
        <v>350</v>
      </c>
      <c r="D151" s="571">
        <v>101143</v>
      </c>
      <c r="E151" s="572">
        <v>10</v>
      </c>
      <c r="F151" s="573">
        <f>11127619+40151</f>
        <v>11167770</v>
      </c>
      <c r="G151" s="1208">
        <v>9466802</v>
      </c>
      <c r="H151" s="573"/>
      <c r="I151" s="487"/>
      <c r="J151" s="573"/>
      <c r="K151" s="487"/>
      <c r="L151" s="455">
        <v>4582556.54</v>
      </c>
      <c r="M151" s="455">
        <v>680251.14</v>
      </c>
      <c r="N151" s="456">
        <f t="shared" si="25"/>
        <v>5262807.68</v>
      </c>
      <c r="O151" s="487">
        <v>4964952</v>
      </c>
      <c r="P151" s="487">
        <v>215265</v>
      </c>
      <c r="Q151" s="274">
        <f t="shared" si="20"/>
        <v>5180217</v>
      </c>
      <c r="R151" s="574">
        <f t="shared" si="21"/>
        <v>15750326.539999999</v>
      </c>
      <c r="S151" s="275">
        <f t="shared" si="22"/>
        <v>14431754</v>
      </c>
      <c r="T151" s="575"/>
      <c r="U151" s="487"/>
      <c r="V151" s="576"/>
      <c r="W151" s="573"/>
      <c r="X151" s="574">
        <f t="shared" si="26"/>
        <v>0</v>
      </c>
      <c r="Y151" s="487"/>
      <c r="Z151" s="487"/>
      <c r="AA151" s="276">
        <f t="shared" si="27"/>
        <v>0</v>
      </c>
      <c r="AB151" s="573"/>
      <c r="AC151" s="487"/>
      <c r="AD151" s="573"/>
      <c r="AE151" s="487"/>
      <c r="AF151" s="577">
        <f t="shared" si="23"/>
        <v>15750326.539999999</v>
      </c>
      <c r="AG151" s="275">
        <f t="shared" si="24"/>
        <v>14431754</v>
      </c>
    </row>
    <row r="152" spans="1:33" s="578" customFormat="1" ht="12" customHeight="1">
      <c r="A152" s="582" t="s">
        <v>1270</v>
      </c>
      <c r="B152" s="569" t="s">
        <v>1784</v>
      </c>
      <c r="C152" s="238" t="s">
        <v>2039</v>
      </c>
      <c r="D152" s="571">
        <v>101143</v>
      </c>
      <c r="E152" s="572">
        <v>10</v>
      </c>
      <c r="F152" s="573"/>
      <c r="G152" s="487"/>
      <c r="H152" s="573"/>
      <c r="I152" s="487"/>
      <c r="J152" s="573"/>
      <c r="K152" s="487"/>
      <c r="L152" s="455"/>
      <c r="M152" s="455"/>
      <c r="N152" s="456">
        <f t="shared" si="25"/>
        <v>0</v>
      </c>
      <c r="O152" s="487"/>
      <c r="P152" s="487"/>
      <c r="Q152" s="274">
        <f t="shared" si="20"/>
        <v>0</v>
      </c>
      <c r="R152" s="574">
        <f t="shared" si="21"/>
        <v>0</v>
      </c>
      <c r="S152" s="275">
        <f t="shared" si="22"/>
        <v>0</v>
      </c>
      <c r="T152" s="575"/>
      <c r="U152" s="487"/>
      <c r="V152" s="576"/>
      <c r="W152" s="573"/>
      <c r="X152" s="574">
        <f t="shared" si="26"/>
        <v>0</v>
      </c>
      <c r="Y152" s="487"/>
      <c r="Z152" s="487"/>
      <c r="AA152" s="276">
        <f t="shared" si="27"/>
        <v>0</v>
      </c>
      <c r="AB152" s="573"/>
      <c r="AC152" s="487"/>
      <c r="AD152" s="573"/>
      <c r="AE152" s="487"/>
      <c r="AF152" s="577">
        <f t="shared" si="23"/>
        <v>0</v>
      </c>
      <c r="AG152" s="275">
        <f t="shared" si="24"/>
        <v>0</v>
      </c>
    </row>
    <row r="153" spans="1:33" s="578" customFormat="1" ht="12" customHeight="1">
      <c r="A153" s="582" t="s">
        <v>1270</v>
      </c>
      <c r="B153" s="569" t="s">
        <v>1784</v>
      </c>
      <c r="C153" s="238" t="s">
        <v>1734</v>
      </c>
      <c r="D153" s="571">
        <v>101143</v>
      </c>
      <c r="E153" s="572">
        <v>10</v>
      </c>
      <c r="F153" s="573"/>
      <c r="G153" s="487"/>
      <c r="H153" s="573">
        <v>649285</v>
      </c>
      <c r="I153" s="487"/>
      <c r="J153" s="573"/>
      <c r="K153" s="487"/>
      <c r="L153" s="455"/>
      <c r="M153" s="455"/>
      <c r="N153" s="456">
        <f t="shared" si="25"/>
        <v>0</v>
      </c>
      <c r="O153" s="487"/>
      <c r="P153" s="487"/>
      <c r="Q153" s="274">
        <f t="shared" si="20"/>
        <v>0</v>
      </c>
      <c r="R153" s="574">
        <f t="shared" si="21"/>
        <v>649285</v>
      </c>
      <c r="S153" s="275">
        <f t="shared" si="22"/>
        <v>0</v>
      </c>
      <c r="T153" s="575"/>
      <c r="U153" s="487"/>
      <c r="V153" s="576"/>
      <c r="W153" s="573"/>
      <c r="X153" s="574">
        <f t="shared" si="26"/>
        <v>0</v>
      </c>
      <c r="Y153" s="487"/>
      <c r="Z153" s="487"/>
      <c r="AA153" s="276">
        <f t="shared" si="27"/>
        <v>0</v>
      </c>
      <c r="AB153" s="573"/>
      <c r="AC153" s="487"/>
      <c r="AD153" s="573"/>
      <c r="AE153" s="487"/>
      <c r="AF153" s="577">
        <f t="shared" si="23"/>
        <v>649285</v>
      </c>
      <c r="AG153" s="275">
        <f t="shared" si="24"/>
        <v>0</v>
      </c>
    </row>
    <row r="154" spans="1:33" s="578" customFormat="1" ht="12" customHeight="1">
      <c r="A154" s="568" t="s">
        <v>1270</v>
      </c>
      <c r="B154" s="569" t="s">
        <v>1776</v>
      </c>
      <c r="C154" s="570" t="s">
        <v>1740</v>
      </c>
      <c r="D154" s="571">
        <v>101301</v>
      </c>
      <c r="E154" s="572">
        <v>10</v>
      </c>
      <c r="F154" s="573">
        <f>10717358+27831</f>
        <v>10745189</v>
      </c>
      <c r="G154" s="1208">
        <v>9096995</v>
      </c>
      <c r="H154" s="573"/>
      <c r="I154" s="487"/>
      <c r="J154" s="573"/>
      <c r="K154" s="487"/>
      <c r="L154" s="455">
        <v>4735718.5199999996</v>
      </c>
      <c r="M154" s="455">
        <v>0</v>
      </c>
      <c r="N154" s="456">
        <f t="shared" si="25"/>
        <v>4735718.5199999996</v>
      </c>
      <c r="O154" s="487">
        <v>4183390</v>
      </c>
      <c r="P154" s="487"/>
      <c r="Q154" s="274">
        <f t="shared" si="20"/>
        <v>4183390</v>
      </c>
      <c r="R154" s="574">
        <f t="shared" si="21"/>
        <v>15480907.52</v>
      </c>
      <c r="S154" s="275">
        <f t="shared" si="22"/>
        <v>13280385</v>
      </c>
      <c r="T154" s="575"/>
      <c r="U154" s="487"/>
      <c r="V154" s="576"/>
      <c r="W154" s="573"/>
      <c r="X154" s="574">
        <f t="shared" si="26"/>
        <v>0</v>
      </c>
      <c r="Y154" s="487"/>
      <c r="Z154" s="487"/>
      <c r="AA154" s="276">
        <f t="shared" si="27"/>
        <v>0</v>
      </c>
      <c r="AB154" s="573"/>
      <c r="AC154" s="487"/>
      <c r="AD154" s="573"/>
      <c r="AE154" s="487"/>
      <c r="AF154" s="577">
        <f t="shared" si="23"/>
        <v>15480907.52</v>
      </c>
      <c r="AG154" s="275">
        <f t="shared" si="24"/>
        <v>13280385</v>
      </c>
    </row>
    <row r="155" spans="1:33" s="578" customFormat="1" ht="12" customHeight="1">
      <c r="A155" s="582" t="s">
        <v>1270</v>
      </c>
      <c r="B155" s="569" t="s">
        <v>1784</v>
      </c>
      <c r="C155" s="238" t="s">
        <v>2039</v>
      </c>
      <c r="D155" s="571">
        <v>101301</v>
      </c>
      <c r="E155" s="572">
        <v>10</v>
      </c>
      <c r="F155" s="573"/>
      <c r="G155" s="487"/>
      <c r="H155" s="573"/>
      <c r="I155" s="487"/>
      <c r="J155" s="573"/>
      <c r="K155" s="487"/>
      <c r="L155" s="455"/>
      <c r="M155" s="455"/>
      <c r="N155" s="456">
        <f t="shared" si="25"/>
        <v>0</v>
      </c>
      <c r="O155" s="487"/>
      <c r="P155" s="487"/>
      <c r="Q155" s="274">
        <f t="shared" si="20"/>
        <v>0</v>
      </c>
      <c r="R155" s="574">
        <f t="shared" si="21"/>
        <v>0</v>
      </c>
      <c r="S155" s="275">
        <f t="shared" si="22"/>
        <v>0</v>
      </c>
      <c r="T155" s="575"/>
      <c r="U155" s="487"/>
      <c r="V155" s="576"/>
      <c r="W155" s="573"/>
      <c r="X155" s="574">
        <f t="shared" si="26"/>
        <v>0</v>
      </c>
      <c r="Y155" s="487"/>
      <c r="Z155" s="487"/>
      <c r="AA155" s="276">
        <f t="shared" si="27"/>
        <v>0</v>
      </c>
      <c r="AB155" s="573"/>
      <c r="AC155" s="487"/>
      <c r="AD155" s="573"/>
      <c r="AE155" s="487"/>
      <c r="AF155" s="577">
        <f t="shared" si="23"/>
        <v>0</v>
      </c>
      <c r="AG155" s="275">
        <f t="shared" si="24"/>
        <v>0</v>
      </c>
    </row>
    <row r="156" spans="1:33" s="578" customFormat="1" ht="12" customHeight="1">
      <c r="A156" s="568" t="s">
        <v>1270</v>
      </c>
      <c r="B156" s="569" t="s">
        <v>1784</v>
      </c>
      <c r="C156" s="580" t="s">
        <v>1734</v>
      </c>
      <c r="D156" s="571">
        <v>101301</v>
      </c>
      <c r="E156" s="572">
        <v>10</v>
      </c>
      <c r="F156" s="573"/>
      <c r="G156" s="487"/>
      <c r="H156" s="573">
        <v>191650</v>
      </c>
      <c r="I156" s="1208">
        <v>27500</v>
      </c>
      <c r="J156" s="573"/>
      <c r="K156" s="487"/>
      <c r="L156" s="573"/>
      <c r="M156" s="573"/>
      <c r="N156" s="456">
        <f t="shared" si="25"/>
        <v>0</v>
      </c>
      <c r="O156" s="487"/>
      <c r="P156" s="487"/>
      <c r="Q156" s="274">
        <f t="shared" si="20"/>
        <v>0</v>
      </c>
      <c r="R156" s="574">
        <f t="shared" si="21"/>
        <v>191650</v>
      </c>
      <c r="S156" s="275">
        <f t="shared" si="22"/>
        <v>27500</v>
      </c>
      <c r="T156" s="575"/>
      <c r="U156" s="487"/>
      <c r="V156" s="576"/>
      <c r="W156" s="573"/>
      <c r="X156" s="574">
        <f t="shared" si="26"/>
        <v>0</v>
      </c>
      <c r="Y156" s="487"/>
      <c r="Z156" s="487"/>
      <c r="AA156" s="276">
        <f t="shared" si="27"/>
        <v>0</v>
      </c>
      <c r="AB156" s="573"/>
      <c r="AC156" s="487"/>
      <c r="AD156" s="573"/>
      <c r="AE156" s="487"/>
      <c r="AF156" s="577">
        <f t="shared" si="23"/>
        <v>191650</v>
      </c>
      <c r="AG156" s="275">
        <f t="shared" si="24"/>
        <v>27500</v>
      </c>
    </row>
    <row r="157" spans="1:33" s="578" customFormat="1" ht="12" customHeight="1">
      <c r="A157" s="568" t="s">
        <v>1270</v>
      </c>
      <c r="B157" s="569" t="s">
        <v>1776</v>
      </c>
      <c r="C157" s="570" t="s">
        <v>1741</v>
      </c>
      <c r="D157" s="571">
        <v>101499</v>
      </c>
      <c r="E157" s="572">
        <v>10</v>
      </c>
      <c r="F157" s="573">
        <f>7689563+23175</f>
        <v>7712738</v>
      </c>
      <c r="G157" s="1208">
        <v>6590575</v>
      </c>
      <c r="H157" s="573"/>
      <c r="I157" s="487"/>
      <c r="J157" s="573"/>
      <c r="K157" s="487"/>
      <c r="L157" s="455">
        <v>2633033.19</v>
      </c>
      <c r="M157" s="573">
        <v>175160</v>
      </c>
      <c r="N157" s="456">
        <f t="shared" si="25"/>
        <v>2808193.19</v>
      </c>
      <c r="O157" s="487">
        <v>2765050</v>
      </c>
      <c r="P157" s="487">
        <v>174490</v>
      </c>
      <c r="Q157" s="274">
        <f t="shared" si="20"/>
        <v>2939540</v>
      </c>
      <c r="R157" s="574">
        <f t="shared" si="21"/>
        <v>10345771.189999999</v>
      </c>
      <c r="S157" s="275">
        <f t="shared" si="22"/>
        <v>9355625</v>
      </c>
      <c r="T157" s="575"/>
      <c r="U157" s="487"/>
      <c r="V157" s="576"/>
      <c r="W157" s="573"/>
      <c r="X157" s="574">
        <f t="shared" si="26"/>
        <v>0</v>
      </c>
      <c r="Y157" s="487"/>
      <c r="Z157" s="487"/>
      <c r="AA157" s="276">
        <f t="shared" si="27"/>
        <v>0</v>
      </c>
      <c r="AB157" s="573"/>
      <c r="AC157" s="487"/>
      <c r="AD157" s="573"/>
      <c r="AE157" s="487"/>
      <c r="AF157" s="577">
        <f t="shared" si="23"/>
        <v>10345771.189999999</v>
      </c>
      <c r="AG157" s="275">
        <f t="shared" si="24"/>
        <v>9355625</v>
      </c>
    </row>
    <row r="158" spans="1:33" s="578" customFormat="1" ht="12" customHeight="1">
      <c r="A158" s="582" t="s">
        <v>1270</v>
      </c>
      <c r="B158" s="569" t="s">
        <v>1784</v>
      </c>
      <c r="C158" s="238" t="s">
        <v>2039</v>
      </c>
      <c r="D158" s="571">
        <v>101499</v>
      </c>
      <c r="E158" s="572">
        <v>10</v>
      </c>
      <c r="F158" s="573"/>
      <c r="G158" s="487"/>
      <c r="H158" s="573"/>
      <c r="I158" s="487"/>
      <c r="J158" s="573"/>
      <c r="K158" s="487"/>
      <c r="L158" s="455"/>
      <c r="M158" s="455"/>
      <c r="N158" s="456">
        <f t="shared" si="25"/>
        <v>0</v>
      </c>
      <c r="O158" s="487"/>
      <c r="P158" s="487"/>
      <c r="Q158" s="274">
        <f t="shared" si="20"/>
        <v>0</v>
      </c>
      <c r="R158" s="574">
        <f t="shared" si="21"/>
        <v>0</v>
      </c>
      <c r="S158" s="275">
        <f t="shared" si="22"/>
        <v>0</v>
      </c>
      <c r="T158" s="575"/>
      <c r="U158" s="487"/>
      <c r="V158" s="576"/>
      <c r="W158" s="573"/>
      <c r="X158" s="574">
        <f t="shared" si="26"/>
        <v>0</v>
      </c>
      <c r="Y158" s="487"/>
      <c r="Z158" s="487"/>
      <c r="AA158" s="276">
        <f t="shared" si="27"/>
        <v>0</v>
      </c>
      <c r="AB158" s="573"/>
      <c r="AC158" s="487"/>
      <c r="AD158" s="573"/>
      <c r="AE158" s="487"/>
      <c r="AF158" s="577">
        <f t="shared" si="23"/>
        <v>0</v>
      </c>
      <c r="AG158" s="275">
        <f t="shared" si="24"/>
        <v>0</v>
      </c>
    </row>
    <row r="159" spans="1:33" s="578" customFormat="1" ht="12" customHeight="1">
      <c r="A159" s="568" t="s">
        <v>1270</v>
      </c>
      <c r="B159" s="569" t="s">
        <v>1784</v>
      </c>
      <c r="C159" s="580" t="s">
        <v>1734</v>
      </c>
      <c r="D159" s="571">
        <v>101499</v>
      </c>
      <c r="E159" s="572">
        <v>10</v>
      </c>
      <c r="F159" s="573"/>
      <c r="G159" s="487"/>
      <c r="H159" s="573">
        <v>431000</v>
      </c>
      <c r="I159" s="487"/>
      <c r="J159" s="573"/>
      <c r="K159" s="487"/>
      <c r="L159" s="573"/>
      <c r="M159" s="573"/>
      <c r="N159" s="456">
        <f t="shared" si="25"/>
        <v>0</v>
      </c>
      <c r="O159" s="487"/>
      <c r="P159" s="487"/>
      <c r="Q159" s="274">
        <f t="shared" si="20"/>
        <v>0</v>
      </c>
      <c r="R159" s="574">
        <f t="shared" si="21"/>
        <v>431000</v>
      </c>
      <c r="S159" s="275">
        <f t="shared" si="22"/>
        <v>0</v>
      </c>
      <c r="T159" s="575"/>
      <c r="U159" s="487"/>
      <c r="V159" s="576"/>
      <c r="W159" s="573"/>
      <c r="X159" s="574">
        <f t="shared" si="26"/>
        <v>0</v>
      </c>
      <c r="Y159" s="487"/>
      <c r="Z159" s="487"/>
      <c r="AA159" s="276">
        <f t="shared" si="27"/>
        <v>0</v>
      </c>
      <c r="AB159" s="573"/>
      <c r="AC159" s="487"/>
      <c r="AD159" s="573"/>
      <c r="AE159" s="487"/>
      <c r="AF159" s="577">
        <f t="shared" si="23"/>
        <v>431000</v>
      </c>
      <c r="AG159" s="275">
        <f t="shared" si="24"/>
        <v>0</v>
      </c>
    </row>
    <row r="160" spans="1:33" s="578" customFormat="1" ht="12" customHeight="1">
      <c r="A160" s="568" t="s">
        <v>1270</v>
      </c>
      <c r="B160" s="569" t="s">
        <v>1776</v>
      </c>
      <c r="C160" s="570" t="s">
        <v>1746</v>
      </c>
      <c r="D160" s="571">
        <v>101602</v>
      </c>
      <c r="E160" s="572">
        <v>10</v>
      </c>
      <c r="F160" s="573">
        <f>9291882+31322</f>
        <v>9323204</v>
      </c>
      <c r="G160" s="1208">
        <v>7903291</v>
      </c>
      <c r="H160" s="573"/>
      <c r="I160" s="487"/>
      <c r="J160" s="455">
        <v>201399.78</v>
      </c>
      <c r="K160" s="487">
        <v>160000</v>
      </c>
      <c r="L160" s="455">
        <v>3428910.79</v>
      </c>
      <c r="M160" s="455">
        <v>462371.56</v>
      </c>
      <c r="N160" s="456">
        <f t="shared" si="25"/>
        <v>3891282.35</v>
      </c>
      <c r="O160" s="487">
        <v>3360335</v>
      </c>
      <c r="P160" s="487">
        <v>365405</v>
      </c>
      <c r="Q160" s="274">
        <f t="shared" si="20"/>
        <v>3725740</v>
      </c>
      <c r="R160" s="574">
        <f t="shared" si="21"/>
        <v>12953514.57</v>
      </c>
      <c r="S160" s="275">
        <f t="shared" si="22"/>
        <v>11423626</v>
      </c>
      <c r="T160" s="575"/>
      <c r="U160" s="487"/>
      <c r="V160" s="576"/>
      <c r="W160" s="573"/>
      <c r="X160" s="574">
        <f t="shared" si="26"/>
        <v>0</v>
      </c>
      <c r="Y160" s="487"/>
      <c r="Z160" s="487"/>
      <c r="AA160" s="276">
        <f t="shared" si="27"/>
        <v>0</v>
      </c>
      <c r="AB160" s="573"/>
      <c r="AC160" s="487"/>
      <c r="AD160" s="573"/>
      <c r="AE160" s="487"/>
      <c r="AF160" s="577">
        <f t="shared" si="23"/>
        <v>12953514.57</v>
      </c>
      <c r="AG160" s="275">
        <f t="shared" si="24"/>
        <v>11423626</v>
      </c>
    </row>
    <row r="161" spans="1:33" s="578" customFormat="1" ht="12" customHeight="1">
      <c r="A161" s="582" t="s">
        <v>1270</v>
      </c>
      <c r="B161" s="569" t="s">
        <v>1784</v>
      </c>
      <c r="C161" s="238" t="s">
        <v>2039</v>
      </c>
      <c r="D161" s="571">
        <v>101602</v>
      </c>
      <c r="E161" s="572">
        <v>10</v>
      </c>
      <c r="F161" s="573"/>
      <c r="G161" s="487"/>
      <c r="H161" s="573"/>
      <c r="I161" s="487"/>
      <c r="J161" s="573"/>
      <c r="K161" s="487"/>
      <c r="L161" s="455"/>
      <c r="M161" s="455"/>
      <c r="N161" s="456">
        <f t="shared" si="25"/>
        <v>0</v>
      </c>
      <c r="O161" s="487"/>
      <c r="P161" s="487"/>
      <c r="Q161" s="274">
        <f t="shared" si="20"/>
        <v>0</v>
      </c>
      <c r="R161" s="574">
        <f t="shared" si="21"/>
        <v>0</v>
      </c>
      <c r="S161" s="275">
        <f t="shared" si="22"/>
        <v>0</v>
      </c>
      <c r="T161" s="575"/>
      <c r="U161" s="487"/>
      <c r="V161" s="576"/>
      <c r="W161" s="573"/>
      <c r="X161" s="574">
        <f t="shared" si="26"/>
        <v>0</v>
      </c>
      <c r="Y161" s="487"/>
      <c r="Z161" s="487"/>
      <c r="AA161" s="276">
        <f t="shared" si="27"/>
        <v>0</v>
      </c>
      <c r="AB161" s="573"/>
      <c r="AC161" s="487"/>
      <c r="AD161" s="573"/>
      <c r="AE161" s="487"/>
      <c r="AF161" s="577">
        <f t="shared" si="23"/>
        <v>0</v>
      </c>
      <c r="AG161" s="275">
        <f t="shared" si="24"/>
        <v>0</v>
      </c>
    </row>
    <row r="162" spans="1:33" s="578" customFormat="1" ht="12" customHeight="1">
      <c r="A162" s="568" t="s">
        <v>1270</v>
      </c>
      <c r="B162" s="569" t="s">
        <v>1784</v>
      </c>
      <c r="C162" s="580" t="s">
        <v>1734</v>
      </c>
      <c r="D162" s="571">
        <v>101602</v>
      </c>
      <c r="E162" s="572">
        <v>10</v>
      </c>
      <c r="F162" s="573"/>
      <c r="G162" s="487"/>
      <c r="H162" s="573">
        <v>50000</v>
      </c>
      <c r="I162" s="1208">
        <v>45548</v>
      </c>
      <c r="J162" s="573"/>
      <c r="K162" s="487"/>
      <c r="L162" s="573"/>
      <c r="M162" s="573"/>
      <c r="N162" s="456">
        <f t="shared" si="25"/>
        <v>0</v>
      </c>
      <c r="O162" s="487"/>
      <c r="P162" s="487"/>
      <c r="Q162" s="274">
        <f t="shared" si="20"/>
        <v>0</v>
      </c>
      <c r="R162" s="574">
        <f t="shared" si="21"/>
        <v>50000</v>
      </c>
      <c r="S162" s="275">
        <f t="shared" si="22"/>
        <v>45548</v>
      </c>
      <c r="T162" s="575"/>
      <c r="U162" s="487"/>
      <c r="V162" s="576"/>
      <c r="W162" s="573"/>
      <c r="X162" s="574">
        <f t="shared" si="26"/>
        <v>0</v>
      </c>
      <c r="Y162" s="487"/>
      <c r="Z162" s="487"/>
      <c r="AA162" s="276">
        <f t="shared" si="27"/>
        <v>0</v>
      </c>
      <c r="AB162" s="573"/>
      <c r="AC162" s="487"/>
      <c r="AD162" s="573"/>
      <c r="AE162" s="487"/>
      <c r="AF162" s="577">
        <f t="shared" si="23"/>
        <v>50000</v>
      </c>
      <c r="AG162" s="275">
        <f t="shared" si="24"/>
        <v>45548</v>
      </c>
    </row>
    <row r="163" spans="1:33" s="578" customFormat="1" ht="12" customHeight="1">
      <c r="A163" s="568" t="s">
        <v>1270</v>
      </c>
      <c r="B163" s="569" t="s">
        <v>1776</v>
      </c>
      <c r="C163" s="570" t="s">
        <v>1747</v>
      </c>
      <c r="D163" s="571">
        <v>101897</v>
      </c>
      <c r="E163" s="572">
        <v>10</v>
      </c>
      <c r="F163" s="573">
        <f>7982930+26899</f>
        <v>8009829</v>
      </c>
      <c r="G163" s="1208">
        <v>6791167</v>
      </c>
      <c r="H163" s="573"/>
      <c r="I163" s="487"/>
      <c r="J163" s="573"/>
      <c r="K163" s="487"/>
      <c r="L163" s="455">
        <v>5235742.67</v>
      </c>
      <c r="M163" s="573">
        <v>471367</v>
      </c>
      <c r="N163" s="456">
        <f t="shared" si="25"/>
        <v>5707109.6699999999</v>
      </c>
      <c r="O163" s="487">
        <v>5191013</v>
      </c>
      <c r="P163" s="487">
        <v>463866</v>
      </c>
      <c r="Q163" s="274">
        <f t="shared" si="20"/>
        <v>5654879</v>
      </c>
      <c r="R163" s="574">
        <f t="shared" si="21"/>
        <v>13245571.67</v>
      </c>
      <c r="S163" s="275">
        <f t="shared" si="22"/>
        <v>11982180</v>
      </c>
      <c r="T163" s="575"/>
      <c r="U163" s="487"/>
      <c r="V163" s="576"/>
      <c r="W163" s="573"/>
      <c r="X163" s="574">
        <f t="shared" si="26"/>
        <v>0</v>
      </c>
      <c r="Y163" s="487"/>
      <c r="Z163" s="487"/>
      <c r="AA163" s="276">
        <f t="shared" si="27"/>
        <v>0</v>
      </c>
      <c r="AB163" s="573"/>
      <c r="AC163" s="487"/>
      <c r="AD163" s="573"/>
      <c r="AE163" s="487"/>
      <c r="AF163" s="577">
        <f t="shared" si="23"/>
        <v>13245571.67</v>
      </c>
      <c r="AG163" s="275">
        <f t="shared" si="24"/>
        <v>11982180</v>
      </c>
    </row>
    <row r="164" spans="1:33" s="578" customFormat="1" ht="12" customHeight="1">
      <c r="A164" s="582" t="s">
        <v>1270</v>
      </c>
      <c r="B164" s="569" t="s">
        <v>1784</v>
      </c>
      <c r="C164" s="238" t="s">
        <v>2039</v>
      </c>
      <c r="D164" s="571">
        <v>101897</v>
      </c>
      <c r="E164" s="572">
        <v>10</v>
      </c>
      <c r="F164" s="573"/>
      <c r="G164" s="487"/>
      <c r="H164" s="573"/>
      <c r="I164" s="487"/>
      <c r="J164" s="573"/>
      <c r="K164" s="487"/>
      <c r="L164" s="455"/>
      <c r="M164" s="455"/>
      <c r="N164" s="456">
        <f t="shared" si="25"/>
        <v>0</v>
      </c>
      <c r="O164" s="487"/>
      <c r="P164" s="487"/>
      <c r="Q164" s="274">
        <f t="shared" si="20"/>
        <v>0</v>
      </c>
      <c r="R164" s="574">
        <f t="shared" si="21"/>
        <v>0</v>
      </c>
      <c r="S164" s="275">
        <f t="shared" si="22"/>
        <v>0</v>
      </c>
      <c r="T164" s="575"/>
      <c r="U164" s="487"/>
      <c r="V164" s="576"/>
      <c r="W164" s="573"/>
      <c r="X164" s="574">
        <f t="shared" si="26"/>
        <v>0</v>
      </c>
      <c r="Y164" s="487"/>
      <c r="Z164" s="487"/>
      <c r="AA164" s="276">
        <f t="shared" si="27"/>
        <v>0</v>
      </c>
      <c r="AB164" s="573"/>
      <c r="AC164" s="487"/>
      <c r="AD164" s="573"/>
      <c r="AE164" s="487"/>
      <c r="AF164" s="577">
        <f t="shared" si="23"/>
        <v>0</v>
      </c>
      <c r="AG164" s="275">
        <f t="shared" si="24"/>
        <v>0</v>
      </c>
    </row>
    <row r="165" spans="1:33" s="578" customFormat="1" ht="12" customHeight="1">
      <c r="A165" s="568" t="s">
        <v>1270</v>
      </c>
      <c r="B165" s="569" t="s">
        <v>1784</v>
      </c>
      <c r="C165" s="580" t="s">
        <v>1734</v>
      </c>
      <c r="D165" s="571">
        <v>101897</v>
      </c>
      <c r="E165" s="572">
        <v>10</v>
      </c>
      <c r="F165" s="573"/>
      <c r="G165" s="487"/>
      <c r="H165" s="573">
        <v>50000</v>
      </c>
      <c r="I165" s="1208">
        <v>24778</v>
      </c>
      <c r="J165" s="573"/>
      <c r="K165" s="487"/>
      <c r="L165" s="573"/>
      <c r="M165" s="573"/>
      <c r="N165" s="456">
        <f t="shared" si="25"/>
        <v>0</v>
      </c>
      <c r="O165" s="487"/>
      <c r="P165" s="487"/>
      <c r="Q165" s="274">
        <f t="shared" si="20"/>
        <v>0</v>
      </c>
      <c r="R165" s="574">
        <f t="shared" si="21"/>
        <v>50000</v>
      </c>
      <c r="S165" s="275">
        <f t="shared" si="22"/>
        <v>24778</v>
      </c>
      <c r="T165" s="575"/>
      <c r="U165" s="487"/>
      <c r="V165" s="576"/>
      <c r="W165" s="573"/>
      <c r="X165" s="574">
        <f t="shared" si="26"/>
        <v>0</v>
      </c>
      <c r="Y165" s="487"/>
      <c r="Z165" s="487"/>
      <c r="AA165" s="276">
        <f t="shared" si="27"/>
        <v>0</v>
      </c>
      <c r="AB165" s="573"/>
      <c r="AC165" s="487"/>
      <c r="AD165" s="573"/>
      <c r="AE165" s="487"/>
      <c r="AF165" s="577">
        <f t="shared" si="23"/>
        <v>50000</v>
      </c>
      <c r="AG165" s="275">
        <f t="shared" si="24"/>
        <v>24778</v>
      </c>
    </row>
    <row r="166" spans="1:33" s="578" customFormat="1" ht="12" customHeight="1">
      <c r="A166" s="568" t="s">
        <v>1270</v>
      </c>
      <c r="B166" s="569" t="s">
        <v>1776</v>
      </c>
      <c r="C166" s="570" t="s">
        <v>1748</v>
      </c>
      <c r="D166" s="571">
        <v>102076</v>
      </c>
      <c r="E166" s="572">
        <v>10</v>
      </c>
      <c r="F166" s="573">
        <f>7503078+18709</f>
        <v>7521787</v>
      </c>
      <c r="G166" s="1208">
        <v>6367922</v>
      </c>
      <c r="H166" s="573"/>
      <c r="I166" s="487"/>
      <c r="J166" s="573"/>
      <c r="K166" s="487"/>
      <c r="L166" s="455">
        <v>4564961.3099999996</v>
      </c>
      <c r="M166" s="455">
        <v>505523</v>
      </c>
      <c r="N166" s="456">
        <f t="shared" si="25"/>
        <v>5070484.3099999996</v>
      </c>
      <c r="O166" s="487">
        <v>4361444</v>
      </c>
      <c r="P166" s="487">
        <v>511090</v>
      </c>
      <c r="Q166" s="274">
        <f t="shared" si="20"/>
        <v>4872534</v>
      </c>
      <c r="R166" s="574">
        <f t="shared" si="21"/>
        <v>12086748.309999999</v>
      </c>
      <c r="S166" s="275">
        <f t="shared" si="22"/>
        <v>10729366</v>
      </c>
      <c r="T166" s="575"/>
      <c r="U166" s="487"/>
      <c r="V166" s="576"/>
      <c r="W166" s="573"/>
      <c r="X166" s="574">
        <f t="shared" si="26"/>
        <v>0</v>
      </c>
      <c r="Y166" s="487"/>
      <c r="Z166" s="487"/>
      <c r="AA166" s="276">
        <f t="shared" si="27"/>
        <v>0</v>
      </c>
      <c r="AB166" s="573"/>
      <c r="AC166" s="487"/>
      <c r="AD166" s="573"/>
      <c r="AE166" s="487"/>
      <c r="AF166" s="577">
        <f t="shared" si="23"/>
        <v>12086748.309999999</v>
      </c>
      <c r="AG166" s="275">
        <f t="shared" si="24"/>
        <v>10729366</v>
      </c>
    </row>
    <row r="167" spans="1:33" s="578" customFormat="1" ht="12" customHeight="1">
      <c r="A167" s="582" t="s">
        <v>1270</v>
      </c>
      <c r="B167" s="569" t="s">
        <v>1784</v>
      </c>
      <c r="C167" s="238" t="s">
        <v>2039</v>
      </c>
      <c r="D167" s="571">
        <v>102076</v>
      </c>
      <c r="E167" s="572">
        <v>10</v>
      </c>
      <c r="F167" s="573"/>
      <c r="G167" s="487"/>
      <c r="H167" s="573"/>
      <c r="I167" s="487"/>
      <c r="J167" s="573"/>
      <c r="K167" s="487"/>
      <c r="L167" s="455"/>
      <c r="M167" s="455"/>
      <c r="N167" s="456">
        <f t="shared" si="25"/>
        <v>0</v>
      </c>
      <c r="O167" s="487"/>
      <c r="P167" s="487"/>
      <c r="Q167" s="274">
        <f t="shared" si="20"/>
        <v>0</v>
      </c>
      <c r="R167" s="574">
        <f t="shared" si="21"/>
        <v>0</v>
      </c>
      <c r="S167" s="275">
        <f t="shared" si="22"/>
        <v>0</v>
      </c>
      <c r="T167" s="575"/>
      <c r="U167" s="487"/>
      <c r="V167" s="576"/>
      <c r="W167" s="573"/>
      <c r="X167" s="574">
        <f t="shared" si="26"/>
        <v>0</v>
      </c>
      <c r="Y167" s="487"/>
      <c r="Z167" s="487"/>
      <c r="AA167" s="276">
        <f t="shared" si="27"/>
        <v>0</v>
      </c>
      <c r="AB167" s="573"/>
      <c r="AC167" s="487"/>
      <c r="AD167" s="573"/>
      <c r="AE167" s="487"/>
      <c r="AF167" s="577">
        <f t="shared" si="23"/>
        <v>0</v>
      </c>
      <c r="AG167" s="275">
        <f t="shared" si="24"/>
        <v>0</v>
      </c>
    </row>
    <row r="168" spans="1:33" s="578" customFormat="1" ht="12" customHeight="1">
      <c r="A168" s="568" t="s">
        <v>1270</v>
      </c>
      <c r="B168" s="569" t="s">
        <v>1784</v>
      </c>
      <c r="C168" s="580" t="s">
        <v>1734</v>
      </c>
      <c r="D168" s="571">
        <v>102076</v>
      </c>
      <c r="E168" s="572">
        <v>10</v>
      </c>
      <c r="F168" s="573"/>
      <c r="G168" s="487"/>
      <c r="H168" s="573">
        <v>55000</v>
      </c>
      <c r="I168" s="1208">
        <v>43500</v>
      </c>
      <c r="J168" s="573"/>
      <c r="K168" s="487"/>
      <c r="L168" s="573"/>
      <c r="M168" s="573"/>
      <c r="N168" s="456">
        <f t="shared" si="25"/>
        <v>0</v>
      </c>
      <c r="O168" s="487"/>
      <c r="P168" s="487"/>
      <c r="Q168" s="274">
        <f t="shared" si="20"/>
        <v>0</v>
      </c>
      <c r="R168" s="574">
        <f t="shared" si="21"/>
        <v>55000</v>
      </c>
      <c r="S168" s="275">
        <f t="shared" si="22"/>
        <v>43500</v>
      </c>
      <c r="T168" s="575"/>
      <c r="U168" s="487"/>
      <c r="V168" s="576"/>
      <c r="W168" s="573"/>
      <c r="X168" s="574">
        <f t="shared" si="26"/>
        <v>0</v>
      </c>
      <c r="Y168" s="487"/>
      <c r="Z168" s="487"/>
      <c r="AA168" s="276">
        <f t="shared" si="27"/>
        <v>0</v>
      </c>
      <c r="AB168" s="573"/>
      <c r="AC168" s="487"/>
      <c r="AD168" s="573"/>
      <c r="AE168" s="487"/>
      <c r="AF168" s="577">
        <f t="shared" si="23"/>
        <v>55000</v>
      </c>
      <c r="AG168" s="275">
        <f t="shared" si="24"/>
        <v>43500</v>
      </c>
    </row>
    <row r="169" spans="1:33" s="578" customFormat="1" ht="12" customHeight="1">
      <c r="A169" s="568" t="s">
        <v>1270</v>
      </c>
      <c r="B169" s="569" t="s">
        <v>1776</v>
      </c>
      <c r="C169" s="570" t="s">
        <v>1749</v>
      </c>
      <c r="D169" s="571">
        <v>102313</v>
      </c>
      <c r="E169" s="583">
        <v>12</v>
      </c>
      <c r="F169" s="573">
        <f>12827709+38899</f>
        <v>12866608</v>
      </c>
      <c r="G169" s="1208">
        <v>10901739</v>
      </c>
      <c r="H169" s="573"/>
      <c r="I169" s="487"/>
      <c r="J169" s="573"/>
      <c r="K169" s="487"/>
      <c r="L169" s="455">
        <v>2552385.7000000002</v>
      </c>
      <c r="M169" s="573">
        <v>397982</v>
      </c>
      <c r="N169" s="456">
        <f t="shared" si="25"/>
        <v>2950367.7</v>
      </c>
      <c r="O169" s="487">
        <v>2708510</v>
      </c>
      <c r="P169" s="487">
        <v>394958</v>
      </c>
      <c r="Q169" s="274">
        <f t="shared" si="20"/>
        <v>3103468</v>
      </c>
      <c r="R169" s="574">
        <f t="shared" si="21"/>
        <v>15418993.699999999</v>
      </c>
      <c r="S169" s="275">
        <f t="shared" si="22"/>
        <v>13610249</v>
      </c>
      <c r="T169" s="575"/>
      <c r="U169" s="487"/>
      <c r="V169" s="576"/>
      <c r="W169" s="573"/>
      <c r="X169" s="574">
        <f t="shared" si="26"/>
        <v>0</v>
      </c>
      <c r="Y169" s="487"/>
      <c r="Z169" s="487"/>
      <c r="AA169" s="276">
        <f t="shared" si="27"/>
        <v>0</v>
      </c>
      <c r="AB169" s="573"/>
      <c r="AC169" s="487"/>
      <c r="AD169" s="573"/>
      <c r="AE169" s="487"/>
      <c r="AF169" s="577">
        <f t="shared" si="23"/>
        <v>15418993.699999999</v>
      </c>
      <c r="AG169" s="275">
        <f t="shared" si="24"/>
        <v>13610249</v>
      </c>
    </row>
    <row r="170" spans="1:33" s="578" customFormat="1" ht="12" customHeight="1">
      <c r="A170" s="582" t="s">
        <v>1270</v>
      </c>
      <c r="B170" s="569" t="s">
        <v>1784</v>
      </c>
      <c r="C170" s="238" t="s">
        <v>2039</v>
      </c>
      <c r="D170" s="571">
        <v>102313</v>
      </c>
      <c r="E170" s="583">
        <v>12</v>
      </c>
      <c r="F170" s="573"/>
      <c r="G170" s="487"/>
      <c r="H170" s="573"/>
      <c r="I170" s="487"/>
      <c r="J170" s="573"/>
      <c r="K170" s="487"/>
      <c r="L170" s="455"/>
      <c r="M170" s="455"/>
      <c r="N170" s="456">
        <f t="shared" si="25"/>
        <v>0</v>
      </c>
      <c r="O170" s="487"/>
      <c r="P170" s="487"/>
      <c r="Q170" s="274">
        <f t="shared" si="20"/>
        <v>0</v>
      </c>
      <c r="R170" s="574">
        <f t="shared" si="21"/>
        <v>0</v>
      </c>
      <c r="S170" s="275">
        <f t="shared" si="22"/>
        <v>0</v>
      </c>
      <c r="T170" s="575"/>
      <c r="U170" s="487"/>
      <c r="V170" s="576"/>
      <c r="W170" s="573"/>
      <c r="X170" s="574">
        <f t="shared" si="26"/>
        <v>0</v>
      </c>
      <c r="Y170" s="487"/>
      <c r="Z170" s="487"/>
      <c r="AA170" s="276">
        <f t="shared" si="27"/>
        <v>0</v>
      </c>
      <c r="AB170" s="573"/>
      <c r="AC170" s="487"/>
      <c r="AD170" s="573"/>
      <c r="AE170" s="487"/>
      <c r="AF170" s="577">
        <f t="shared" si="23"/>
        <v>0</v>
      </c>
      <c r="AG170" s="275">
        <f t="shared" si="24"/>
        <v>0</v>
      </c>
    </row>
    <row r="171" spans="1:33" s="578" customFormat="1" ht="12" customHeight="1">
      <c r="A171" s="568" t="s">
        <v>1270</v>
      </c>
      <c r="B171" s="569" t="s">
        <v>1784</v>
      </c>
      <c r="C171" s="580" t="s">
        <v>1734</v>
      </c>
      <c r="D171" s="571">
        <v>102313</v>
      </c>
      <c r="E171" s="583">
        <v>12</v>
      </c>
      <c r="F171" s="573"/>
      <c r="G171" s="487"/>
      <c r="H171" s="573">
        <v>100000</v>
      </c>
      <c r="I171" s="487">
        <v>50000</v>
      </c>
      <c r="J171" s="573"/>
      <c r="K171" s="487"/>
      <c r="L171" s="573"/>
      <c r="M171" s="573"/>
      <c r="N171" s="456">
        <f t="shared" si="25"/>
        <v>0</v>
      </c>
      <c r="O171" s="487"/>
      <c r="P171" s="487"/>
      <c r="Q171" s="274">
        <f t="shared" si="20"/>
        <v>0</v>
      </c>
      <c r="R171" s="574">
        <f t="shared" si="21"/>
        <v>100000</v>
      </c>
      <c r="S171" s="275">
        <f t="shared" si="22"/>
        <v>50000</v>
      </c>
      <c r="T171" s="575"/>
      <c r="U171" s="487"/>
      <c r="V171" s="576"/>
      <c r="W171" s="573"/>
      <c r="X171" s="574">
        <f t="shared" si="26"/>
        <v>0</v>
      </c>
      <c r="Y171" s="487"/>
      <c r="Z171" s="487"/>
      <c r="AA171" s="276">
        <f t="shared" si="27"/>
        <v>0</v>
      </c>
      <c r="AB171" s="573"/>
      <c r="AC171" s="487"/>
      <c r="AD171" s="573"/>
      <c r="AE171" s="487"/>
      <c r="AF171" s="577">
        <f t="shared" si="23"/>
        <v>100000</v>
      </c>
      <c r="AG171" s="275">
        <f t="shared" si="24"/>
        <v>50000</v>
      </c>
    </row>
    <row r="172" spans="1:33" s="578" customFormat="1" ht="12" customHeight="1">
      <c r="A172" s="568" t="s">
        <v>1270</v>
      </c>
      <c r="B172" s="569" t="s">
        <v>1776</v>
      </c>
      <c r="C172" s="570" t="s">
        <v>1750</v>
      </c>
      <c r="D172" s="571">
        <v>101462</v>
      </c>
      <c r="E172" s="583">
        <v>13</v>
      </c>
      <c r="F172" s="573">
        <f>4859615+15568</f>
        <v>4875183</v>
      </c>
      <c r="G172" s="1208">
        <v>4128434</v>
      </c>
      <c r="H172" s="573"/>
      <c r="I172" s="487"/>
      <c r="J172" s="573"/>
      <c r="K172" s="487"/>
      <c r="L172" s="455">
        <v>1455477.58</v>
      </c>
      <c r="M172" s="573">
        <v>293920</v>
      </c>
      <c r="N172" s="456">
        <f t="shared" si="25"/>
        <v>1749397.58</v>
      </c>
      <c r="O172" s="487">
        <v>1380069</v>
      </c>
      <c r="P172" s="487">
        <v>294920</v>
      </c>
      <c r="Q172" s="274">
        <f t="shared" si="20"/>
        <v>1674989</v>
      </c>
      <c r="R172" s="574">
        <f t="shared" si="21"/>
        <v>6330660.5800000001</v>
      </c>
      <c r="S172" s="275">
        <f t="shared" si="22"/>
        <v>5508503</v>
      </c>
      <c r="T172" s="575"/>
      <c r="U172" s="487"/>
      <c r="V172" s="576"/>
      <c r="W172" s="573"/>
      <c r="X172" s="574">
        <f t="shared" si="26"/>
        <v>0</v>
      </c>
      <c r="Y172" s="487"/>
      <c r="Z172" s="487"/>
      <c r="AA172" s="276">
        <f t="shared" si="27"/>
        <v>0</v>
      </c>
      <c r="AB172" s="573"/>
      <c r="AC172" s="487"/>
      <c r="AD172" s="573"/>
      <c r="AE172" s="487"/>
      <c r="AF172" s="577">
        <f t="shared" si="23"/>
        <v>6330660.5800000001</v>
      </c>
      <c r="AG172" s="275">
        <f t="shared" si="24"/>
        <v>5508503</v>
      </c>
    </row>
    <row r="173" spans="1:33" s="578" customFormat="1" ht="12" customHeight="1">
      <c r="A173" s="582" t="s">
        <v>1270</v>
      </c>
      <c r="B173" s="569" t="s">
        <v>1784</v>
      </c>
      <c r="C173" s="238" t="s">
        <v>2039</v>
      </c>
      <c r="D173" s="571">
        <v>101462</v>
      </c>
      <c r="E173" s="583">
        <v>13</v>
      </c>
      <c r="F173" s="573"/>
      <c r="G173" s="487"/>
      <c r="H173" s="573"/>
      <c r="I173" s="487"/>
      <c r="J173" s="573"/>
      <c r="K173" s="487"/>
      <c r="L173" s="455"/>
      <c r="M173" s="455"/>
      <c r="N173" s="456">
        <f t="shared" si="25"/>
        <v>0</v>
      </c>
      <c r="O173" s="487"/>
      <c r="P173" s="487"/>
      <c r="Q173" s="274">
        <f t="shared" si="20"/>
        <v>0</v>
      </c>
      <c r="R173" s="574">
        <f t="shared" si="21"/>
        <v>0</v>
      </c>
      <c r="S173" s="275">
        <f t="shared" si="22"/>
        <v>0</v>
      </c>
      <c r="T173" s="575"/>
      <c r="U173" s="487"/>
      <c r="V173" s="576"/>
      <c r="W173" s="573"/>
      <c r="X173" s="574">
        <f t="shared" si="26"/>
        <v>0</v>
      </c>
      <c r="Y173" s="487"/>
      <c r="Z173" s="487"/>
      <c r="AA173" s="276">
        <f t="shared" si="27"/>
        <v>0</v>
      </c>
      <c r="AB173" s="573"/>
      <c r="AC173" s="487"/>
      <c r="AD173" s="573"/>
      <c r="AE173" s="487"/>
      <c r="AF173" s="577">
        <f t="shared" si="23"/>
        <v>0</v>
      </c>
      <c r="AG173" s="275">
        <f t="shared" si="24"/>
        <v>0</v>
      </c>
    </row>
    <row r="174" spans="1:33" s="578" customFormat="1" ht="12" customHeight="1">
      <c r="A174" s="568" t="s">
        <v>1270</v>
      </c>
      <c r="B174" s="569" t="s">
        <v>1784</v>
      </c>
      <c r="C174" s="580" t="s">
        <v>1734</v>
      </c>
      <c r="D174" s="571">
        <v>101462</v>
      </c>
      <c r="E174" s="583">
        <v>13</v>
      </c>
      <c r="F174" s="573"/>
      <c r="G174" s="487"/>
      <c r="H174" s="573">
        <v>250000</v>
      </c>
      <c r="I174" s="487">
        <v>25000</v>
      </c>
      <c r="J174" s="573"/>
      <c r="K174" s="487"/>
      <c r="L174" s="573"/>
      <c r="M174" s="573"/>
      <c r="N174" s="456">
        <f t="shared" si="25"/>
        <v>0</v>
      </c>
      <c r="O174" s="487"/>
      <c r="P174" s="487"/>
      <c r="Q174" s="274">
        <f t="shared" si="20"/>
        <v>0</v>
      </c>
      <c r="R174" s="574">
        <f t="shared" si="21"/>
        <v>250000</v>
      </c>
      <c r="S174" s="275">
        <f t="shared" si="22"/>
        <v>25000</v>
      </c>
      <c r="T174" s="575"/>
      <c r="U174" s="487"/>
      <c r="V174" s="576"/>
      <c r="W174" s="573"/>
      <c r="X174" s="574">
        <f t="shared" si="26"/>
        <v>0</v>
      </c>
      <c r="Y174" s="487"/>
      <c r="Z174" s="487"/>
      <c r="AA174" s="276">
        <f t="shared" si="27"/>
        <v>0</v>
      </c>
      <c r="AB174" s="573"/>
      <c r="AC174" s="487"/>
      <c r="AD174" s="573"/>
      <c r="AE174" s="487"/>
      <c r="AF174" s="577">
        <f t="shared" si="23"/>
        <v>250000</v>
      </c>
      <c r="AG174" s="275">
        <f t="shared" si="24"/>
        <v>25000</v>
      </c>
    </row>
    <row r="175" spans="1:33" s="578" customFormat="1" ht="12" customHeight="1">
      <c r="A175" s="568" t="s">
        <v>1270</v>
      </c>
      <c r="B175" s="569" t="s">
        <v>1776</v>
      </c>
      <c r="C175" s="570" t="s">
        <v>1751</v>
      </c>
      <c r="D175" s="571">
        <v>101471</v>
      </c>
      <c r="E175" s="583">
        <v>13</v>
      </c>
      <c r="F175" s="573">
        <f>7912011+20993</f>
        <v>7933004</v>
      </c>
      <c r="G175" s="1208">
        <v>6896713</v>
      </c>
      <c r="H175" s="573"/>
      <c r="I175" s="487"/>
      <c r="J175" s="573"/>
      <c r="K175" s="487"/>
      <c r="L175" s="455">
        <v>1862994.53</v>
      </c>
      <c r="M175" s="573"/>
      <c r="N175" s="456">
        <f t="shared" si="25"/>
        <v>1862994.53</v>
      </c>
      <c r="O175" s="487">
        <v>2105910</v>
      </c>
      <c r="P175" s="487"/>
      <c r="Q175" s="274">
        <f t="shared" si="20"/>
        <v>2105910</v>
      </c>
      <c r="R175" s="574">
        <f t="shared" si="21"/>
        <v>9795998.5299999993</v>
      </c>
      <c r="S175" s="275">
        <f t="shared" si="22"/>
        <v>9002623</v>
      </c>
      <c r="T175" s="575"/>
      <c r="U175" s="487"/>
      <c r="V175" s="576"/>
      <c r="W175" s="573"/>
      <c r="X175" s="574">
        <f t="shared" si="26"/>
        <v>0</v>
      </c>
      <c r="Y175" s="487"/>
      <c r="Z175" s="487"/>
      <c r="AA175" s="276">
        <f t="shared" si="27"/>
        <v>0</v>
      </c>
      <c r="AB175" s="573"/>
      <c r="AC175" s="487"/>
      <c r="AD175" s="573"/>
      <c r="AE175" s="487"/>
      <c r="AF175" s="577">
        <f t="shared" si="23"/>
        <v>9795998.5299999993</v>
      </c>
      <c r="AG175" s="275">
        <f t="shared" si="24"/>
        <v>9002623</v>
      </c>
    </row>
    <row r="176" spans="1:33" s="578" customFormat="1" ht="12" customHeight="1">
      <c r="A176" s="582" t="s">
        <v>1270</v>
      </c>
      <c r="B176" s="569" t="s">
        <v>1784</v>
      </c>
      <c r="C176" s="238" t="s">
        <v>2039</v>
      </c>
      <c r="D176" s="571">
        <v>101471</v>
      </c>
      <c r="E176" s="583">
        <v>13</v>
      </c>
      <c r="F176" s="573"/>
      <c r="G176" s="487"/>
      <c r="H176" s="573"/>
      <c r="I176" s="487"/>
      <c r="J176" s="573"/>
      <c r="K176" s="487"/>
      <c r="L176" s="455"/>
      <c r="M176" s="455"/>
      <c r="N176" s="456">
        <f t="shared" si="25"/>
        <v>0</v>
      </c>
      <c r="O176" s="487"/>
      <c r="P176" s="487"/>
      <c r="Q176" s="274">
        <f t="shared" si="20"/>
        <v>0</v>
      </c>
      <c r="R176" s="574">
        <f t="shared" si="21"/>
        <v>0</v>
      </c>
      <c r="S176" s="275">
        <f t="shared" si="22"/>
        <v>0</v>
      </c>
      <c r="T176" s="575"/>
      <c r="U176" s="487"/>
      <c r="V176" s="576"/>
      <c r="W176" s="573"/>
      <c r="X176" s="574">
        <f t="shared" si="26"/>
        <v>0</v>
      </c>
      <c r="Y176" s="487"/>
      <c r="Z176" s="487"/>
      <c r="AA176" s="276">
        <f t="shared" si="27"/>
        <v>0</v>
      </c>
      <c r="AB176" s="573"/>
      <c r="AC176" s="487"/>
      <c r="AD176" s="573"/>
      <c r="AE176" s="487"/>
      <c r="AF176" s="577">
        <f t="shared" si="23"/>
        <v>0</v>
      </c>
      <c r="AG176" s="275">
        <f t="shared" si="24"/>
        <v>0</v>
      </c>
    </row>
    <row r="177" spans="1:33" s="578" customFormat="1" ht="12" customHeight="1">
      <c r="A177" s="568" t="s">
        <v>1270</v>
      </c>
      <c r="B177" s="569" t="s">
        <v>1784</v>
      </c>
      <c r="C177" s="580" t="s">
        <v>1734</v>
      </c>
      <c r="D177" s="571">
        <v>101471</v>
      </c>
      <c r="E177" s="583">
        <v>13</v>
      </c>
      <c r="F177" s="573"/>
      <c r="G177" s="487"/>
      <c r="H177" s="573">
        <v>219000</v>
      </c>
      <c r="I177" s="487">
        <v>35000</v>
      </c>
      <c r="J177" s="573"/>
      <c r="K177" s="487"/>
      <c r="L177" s="573"/>
      <c r="M177" s="573"/>
      <c r="N177" s="456">
        <f t="shared" si="25"/>
        <v>0</v>
      </c>
      <c r="O177" s="487"/>
      <c r="P177" s="487"/>
      <c r="Q177" s="274">
        <f t="shared" si="20"/>
        <v>0</v>
      </c>
      <c r="R177" s="574">
        <f t="shared" si="21"/>
        <v>219000</v>
      </c>
      <c r="S177" s="275">
        <f t="shared" si="22"/>
        <v>35000</v>
      </c>
      <c r="T177" s="575"/>
      <c r="U177" s="487"/>
      <c r="V177" s="576"/>
      <c r="W177" s="573"/>
      <c r="X177" s="574">
        <f t="shared" si="26"/>
        <v>0</v>
      </c>
      <c r="Y177" s="487"/>
      <c r="Z177" s="487"/>
      <c r="AA177" s="276">
        <f t="shared" si="27"/>
        <v>0</v>
      </c>
      <c r="AB177" s="573"/>
      <c r="AC177" s="487"/>
      <c r="AD177" s="573"/>
      <c r="AE177" s="487"/>
      <c r="AF177" s="577">
        <f t="shared" si="23"/>
        <v>219000</v>
      </c>
      <c r="AG177" s="275">
        <f t="shared" si="24"/>
        <v>35000</v>
      </c>
    </row>
    <row r="178" spans="1:33" s="578" customFormat="1" ht="12" customHeight="1">
      <c r="A178" s="568" t="s">
        <v>1270</v>
      </c>
      <c r="B178" s="569" t="s">
        <v>1776</v>
      </c>
      <c r="C178" s="570" t="s">
        <v>1752</v>
      </c>
      <c r="D178" s="571">
        <v>101994</v>
      </c>
      <c r="E178" s="583">
        <v>13</v>
      </c>
      <c r="F178" s="573">
        <f>5532844+19396</f>
        <v>5552240</v>
      </c>
      <c r="G178" s="1208">
        <v>4706026</v>
      </c>
      <c r="H178" s="573"/>
      <c r="I178" s="487"/>
      <c r="J178" s="573"/>
      <c r="K178" s="487"/>
      <c r="L178" s="455">
        <v>1285701.8999999999</v>
      </c>
      <c r="M178" s="455">
        <v>250816.66</v>
      </c>
      <c r="N178" s="456">
        <f t="shared" si="25"/>
        <v>1536518.5599999998</v>
      </c>
      <c r="O178" s="487">
        <v>1134303</v>
      </c>
      <c r="P178" s="487">
        <v>252871</v>
      </c>
      <c r="Q178" s="274">
        <f t="shared" si="20"/>
        <v>1387174</v>
      </c>
      <c r="R178" s="574">
        <f t="shared" si="21"/>
        <v>6837941.9000000004</v>
      </c>
      <c r="S178" s="275">
        <f t="shared" si="22"/>
        <v>5840329</v>
      </c>
      <c r="T178" s="575"/>
      <c r="U178" s="487"/>
      <c r="V178" s="576"/>
      <c r="W178" s="573"/>
      <c r="X178" s="574">
        <f t="shared" si="26"/>
        <v>0</v>
      </c>
      <c r="Y178" s="487"/>
      <c r="Z178" s="487"/>
      <c r="AA178" s="276">
        <f t="shared" si="27"/>
        <v>0</v>
      </c>
      <c r="AB178" s="573"/>
      <c r="AC178" s="487"/>
      <c r="AD178" s="573"/>
      <c r="AE178" s="487"/>
      <c r="AF178" s="577">
        <f t="shared" si="23"/>
        <v>6837941.9000000004</v>
      </c>
      <c r="AG178" s="275">
        <f t="shared" si="24"/>
        <v>5840329</v>
      </c>
    </row>
    <row r="179" spans="1:33" s="578" customFormat="1" ht="12" customHeight="1">
      <c r="A179" s="582" t="s">
        <v>1270</v>
      </c>
      <c r="B179" s="569" t="s">
        <v>1784</v>
      </c>
      <c r="C179" s="238" t="s">
        <v>2039</v>
      </c>
      <c r="D179" s="571">
        <v>101994</v>
      </c>
      <c r="E179" s="583">
        <v>13</v>
      </c>
      <c r="F179" s="573"/>
      <c r="G179" s="487"/>
      <c r="H179" s="573"/>
      <c r="I179" s="487"/>
      <c r="J179" s="573"/>
      <c r="K179" s="487"/>
      <c r="L179" s="455"/>
      <c r="M179" s="455"/>
      <c r="N179" s="456">
        <f t="shared" si="25"/>
        <v>0</v>
      </c>
      <c r="O179" s="487"/>
      <c r="P179" s="487"/>
      <c r="Q179" s="274">
        <f t="shared" si="20"/>
        <v>0</v>
      </c>
      <c r="R179" s="574">
        <f t="shared" si="21"/>
        <v>0</v>
      </c>
      <c r="S179" s="275">
        <f t="shared" si="22"/>
        <v>0</v>
      </c>
      <c r="T179" s="575"/>
      <c r="U179" s="487"/>
      <c r="V179" s="576"/>
      <c r="W179" s="573"/>
      <c r="X179" s="574">
        <f t="shared" si="26"/>
        <v>0</v>
      </c>
      <c r="Y179" s="487"/>
      <c r="Z179" s="487"/>
      <c r="AA179" s="276">
        <f t="shared" si="27"/>
        <v>0</v>
      </c>
      <c r="AB179" s="573"/>
      <c r="AC179" s="487"/>
      <c r="AD179" s="573"/>
      <c r="AE179" s="487"/>
      <c r="AF179" s="577">
        <f t="shared" si="23"/>
        <v>0</v>
      </c>
      <c r="AG179" s="275">
        <f t="shared" si="24"/>
        <v>0</v>
      </c>
    </row>
    <row r="180" spans="1:33" s="578" customFormat="1" ht="12" customHeight="1">
      <c r="A180" s="568" t="s">
        <v>1270</v>
      </c>
      <c r="B180" s="569" t="s">
        <v>1784</v>
      </c>
      <c r="C180" s="580" t="s">
        <v>1734</v>
      </c>
      <c r="D180" s="571">
        <v>101994</v>
      </c>
      <c r="E180" s="583">
        <v>13</v>
      </c>
      <c r="F180" s="573"/>
      <c r="G180" s="487"/>
      <c r="H180" s="573">
        <v>100000</v>
      </c>
      <c r="I180" s="487">
        <v>65000</v>
      </c>
      <c r="J180" s="573"/>
      <c r="K180" s="487"/>
      <c r="L180" s="573"/>
      <c r="M180" s="573"/>
      <c r="N180" s="456">
        <f t="shared" si="25"/>
        <v>0</v>
      </c>
      <c r="O180" s="487"/>
      <c r="P180" s="487"/>
      <c r="Q180" s="274">
        <f t="shared" si="20"/>
        <v>0</v>
      </c>
      <c r="R180" s="574">
        <f t="shared" si="21"/>
        <v>100000</v>
      </c>
      <c r="S180" s="275">
        <f t="shared" si="22"/>
        <v>65000</v>
      </c>
      <c r="T180" s="575"/>
      <c r="U180" s="487"/>
      <c r="V180" s="576"/>
      <c r="W180" s="573"/>
      <c r="X180" s="574">
        <f t="shared" si="26"/>
        <v>0</v>
      </c>
      <c r="Y180" s="487"/>
      <c r="Z180" s="487"/>
      <c r="AA180" s="276">
        <f t="shared" si="27"/>
        <v>0</v>
      </c>
      <c r="AB180" s="573"/>
      <c r="AC180" s="487"/>
      <c r="AD180" s="573"/>
      <c r="AE180" s="487"/>
      <c r="AF180" s="577">
        <f t="shared" si="23"/>
        <v>100000</v>
      </c>
      <c r="AG180" s="275">
        <f t="shared" si="24"/>
        <v>65000</v>
      </c>
    </row>
    <row r="181" spans="1:33" s="578" customFormat="1" ht="12" customHeight="1">
      <c r="A181" s="568" t="s">
        <v>1270</v>
      </c>
      <c r="B181" s="569" t="s">
        <v>1820</v>
      </c>
      <c r="C181" s="584" t="s">
        <v>1553</v>
      </c>
      <c r="D181" s="571">
        <v>101648</v>
      </c>
      <c r="E181" s="583">
        <v>15</v>
      </c>
      <c r="F181" s="573">
        <v>7403879</v>
      </c>
      <c r="G181" s="1208">
        <v>6597503</v>
      </c>
      <c r="H181" s="573"/>
      <c r="I181" s="487"/>
      <c r="J181" s="573"/>
      <c r="K181" s="487"/>
      <c r="L181" s="455">
        <v>2333445</v>
      </c>
      <c r="M181" s="455">
        <v>2228138</v>
      </c>
      <c r="N181" s="456">
        <f t="shared" si="25"/>
        <v>4561583</v>
      </c>
      <c r="O181" s="487">
        <v>2405583</v>
      </c>
      <c r="P181" s="487">
        <v>2198532</v>
      </c>
      <c r="Q181" s="274">
        <f t="shared" si="20"/>
        <v>4604115</v>
      </c>
      <c r="R181" s="574">
        <f t="shared" si="21"/>
        <v>9737324</v>
      </c>
      <c r="S181" s="275">
        <f t="shared" si="22"/>
        <v>9003086</v>
      </c>
      <c r="T181" s="575"/>
      <c r="U181" s="487"/>
      <c r="V181" s="576"/>
      <c r="W181" s="573"/>
      <c r="X181" s="574">
        <f t="shared" si="26"/>
        <v>0</v>
      </c>
      <c r="Y181" s="487"/>
      <c r="Z181" s="487"/>
      <c r="AA181" s="276">
        <f t="shared" si="27"/>
        <v>0</v>
      </c>
      <c r="AB181" s="573"/>
      <c r="AC181" s="487"/>
      <c r="AD181" s="573"/>
      <c r="AE181" s="487"/>
      <c r="AF181" s="577">
        <f t="shared" si="23"/>
        <v>9737324</v>
      </c>
      <c r="AG181" s="275">
        <f t="shared" si="24"/>
        <v>9003086</v>
      </c>
    </row>
    <row r="182" spans="1:33" s="578" customFormat="1" ht="12" customHeight="1">
      <c r="A182" s="568" t="s">
        <v>1270</v>
      </c>
      <c r="B182" s="569" t="s">
        <v>1785</v>
      </c>
      <c r="C182" s="245" t="s">
        <v>1431</v>
      </c>
      <c r="D182" s="571"/>
      <c r="E182" s="572"/>
      <c r="F182" s="573"/>
      <c r="G182" s="487"/>
      <c r="H182" s="573"/>
      <c r="I182" s="487"/>
      <c r="J182" s="573"/>
      <c r="K182" s="487"/>
      <c r="L182" s="573"/>
      <c r="M182" s="573"/>
      <c r="N182" s="456">
        <f t="shared" si="25"/>
        <v>0</v>
      </c>
      <c r="O182" s="487"/>
      <c r="P182" s="487"/>
      <c r="Q182" s="274">
        <f t="shared" si="20"/>
        <v>0</v>
      </c>
      <c r="R182" s="574">
        <f t="shared" si="21"/>
        <v>0</v>
      </c>
      <c r="S182" s="275">
        <f t="shared" si="22"/>
        <v>0</v>
      </c>
      <c r="T182" s="575"/>
      <c r="U182" s="487"/>
      <c r="V182" s="576"/>
      <c r="W182" s="573"/>
      <c r="X182" s="574">
        <f t="shared" si="26"/>
        <v>0</v>
      </c>
      <c r="Y182" s="487"/>
      <c r="Z182" s="487"/>
      <c r="AA182" s="276">
        <f t="shared" si="27"/>
        <v>0</v>
      </c>
      <c r="AB182" s="573"/>
      <c r="AC182" s="487"/>
      <c r="AD182" s="573"/>
      <c r="AE182" s="487"/>
      <c r="AF182" s="577">
        <f t="shared" si="23"/>
        <v>0</v>
      </c>
      <c r="AG182" s="275">
        <f t="shared" si="24"/>
        <v>0</v>
      </c>
    </row>
    <row r="183" spans="1:33" s="578" customFormat="1" ht="12" customHeight="1" thickBot="1">
      <c r="A183" s="568" t="s">
        <v>1270</v>
      </c>
      <c r="B183" s="569" t="s">
        <v>1791</v>
      </c>
      <c r="C183" s="238" t="s">
        <v>1881</v>
      </c>
      <c r="D183" s="585"/>
      <c r="E183" s="586"/>
      <c r="F183" s="573"/>
      <c r="G183" s="487"/>
      <c r="H183" s="573"/>
      <c r="I183" s="487"/>
      <c r="J183" s="573"/>
      <c r="K183" s="487"/>
      <c r="L183" s="573"/>
      <c r="M183" s="573"/>
      <c r="N183" s="456">
        <f t="shared" si="25"/>
        <v>0</v>
      </c>
      <c r="O183" s="487"/>
      <c r="P183" s="487"/>
      <c r="Q183" s="274">
        <f t="shared" si="20"/>
        <v>0</v>
      </c>
      <c r="R183" s="574">
        <f t="shared" si="21"/>
        <v>0</v>
      </c>
      <c r="S183" s="275">
        <f t="shared" si="22"/>
        <v>0</v>
      </c>
      <c r="T183" s="575"/>
      <c r="U183" s="487"/>
      <c r="V183" s="576"/>
      <c r="W183" s="573"/>
      <c r="X183" s="574">
        <f t="shared" si="26"/>
        <v>0</v>
      </c>
      <c r="Y183" s="487"/>
      <c r="Z183" s="487"/>
      <c r="AA183" s="276">
        <f t="shared" si="27"/>
        <v>0</v>
      </c>
      <c r="AB183" s="573"/>
      <c r="AC183" s="487"/>
      <c r="AD183" s="573"/>
      <c r="AE183" s="487"/>
      <c r="AF183" s="577">
        <f t="shared" si="23"/>
        <v>0</v>
      </c>
      <c r="AG183" s="275">
        <f t="shared" si="24"/>
        <v>0</v>
      </c>
    </row>
    <row r="184" spans="1:33" s="578" customFormat="1" ht="12" customHeight="1">
      <c r="A184" s="568" t="s">
        <v>1270</v>
      </c>
      <c r="B184" s="569" t="s">
        <v>1791</v>
      </c>
      <c r="C184" s="580" t="s">
        <v>1754</v>
      </c>
      <c r="D184" s="585"/>
      <c r="E184" s="586"/>
      <c r="F184" s="573"/>
      <c r="G184" s="487"/>
      <c r="H184" s="587">
        <v>1450000</v>
      </c>
      <c r="I184" s="622">
        <v>1337107</v>
      </c>
      <c r="J184" s="573"/>
      <c r="K184" s="487"/>
      <c r="L184" s="573"/>
      <c r="M184" s="573"/>
      <c r="N184" s="456">
        <f t="shared" si="25"/>
        <v>0</v>
      </c>
      <c r="O184" s="487"/>
      <c r="P184" s="487"/>
      <c r="Q184" s="274">
        <f t="shared" si="20"/>
        <v>0</v>
      </c>
      <c r="R184" s="574">
        <f t="shared" si="21"/>
        <v>1450000</v>
      </c>
      <c r="S184" s="275">
        <f t="shared" si="22"/>
        <v>1337107</v>
      </c>
      <c r="T184" s="575"/>
      <c r="U184" s="487"/>
      <c r="V184" s="576"/>
      <c r="W184" s="573"/>
      <c r="X184" s="574">
        <f t="shared" si="26"/>
        <v>0</v>
      </c>
      <c r="Y184" s="487"/>
      <c r="Z184" s="487"/>
      <c r="AA184" s="276">
        <f t="shared" si="27"/>
        <v>0</v>
      </c>
      <c r="AB184" s="573"/>
      <c r="AC184" s="487"/>
      <c r="AD184" s="573"/>
      <c r="AE184" s="487"/>
      <c r="AF184" s="577">
        <f t="shared" si="23"/>
        <v>1450000</v>
      </c>
      <c r="AG184" s="275">
        <f t="shared" si="24"/>
        <v>1337107</v>
      </c>
    </row>
    <row r="185" spans="1:33" s="578" customFormat="1" ht="12" customHeight="1">
      <c r="A185" s="568" t="s">
        <v>1270</v>
      </c>
      <c r="B185" s="569" t="s">
        <v>1791</v>
      </c>
      <c r="C185" s="580" t="s">
        <v>1554</v>
      </c>
      <c r="D185" s="585"/>
      <c r="E185" s="586"/>
      <c r="F185" s="573"/>
      <c r="G185" s="487"/>
      <c r="H185" s="576">
        <f>5010737+13567</f>
        <v>5024304</v>
      </c>
      <c r="I185" s="622">
        <v>3896004</v>
      </c>
      <c r="J185" s="573"/>
      <c r="K185" s="487"/>
      <c r="L185" s="573"/>
      <c r="M185" s="573"/>
      <c r="N185" s="456">
        <f t="shared" si="25"/>
        <v>0</v>
      </c>
      <c r="O185" s="487"/>
      <c r="P185" s="487"/>
      <c r="Q185" s="274">
        <f t="shared" si="20"/>
        <v>0</v>
      </c>
      <c r="R185" s="574">
        <f t="shared" si="21"/>
        <v>5024304</v>
      </c>
      <c r="S185" s="275">
        <f t="shared" si="22"/>
        <v>3896004</v>
      </c>
      <c r="T185" s="575"/>
      <c r="U185" s="487"/>
      <c r="V185" s="576"/>
      <c r="W185" s="573"/>
      <c r="X185" s="574">
        <f t="shared" si="26"/>
        <v>0</v>
      </c>
      <c r="Y185" s="487"/>
      <c r="Z185" s="487"/>
      <c r="AA185" s="276">
        <f t="shared" si="27"/>
        <v>0</v>
      </c>
      <c r="AB185" s="573"/>
      <c r="AC185" s="487"/>
      <c r="AD185" s="573"/>
      <c r="AE185" s="487"/>
      <c r="AF185" s="577">
        <f t="shared" si="23"/>
        <v>5024304</v>
      </c>
      <c r="AG185" s="275">
        <f t="shared" si="24"/>
        <v>3896004</v>
      </c>
    </row>
    <row r="186" spans="1:33" s="578" customFormat="1" ht="12" customHeight="1">
      <c r="A186" s="568" t="s">
        <v>1270</v>
      </c>
      <c r="B186" s="569" t="s">
        <v>1792</v>
      </c>
      <c r="C186" s="238" t="s">
        <v>2039</v>
      </c>
      <c r="D186" s="585"/>
      <c r="E186" s="586"/>
      <c r="F186" s="573"/>
      <c r="G186" s="487"/>
      <c r="H186" s="576"/>
      <c r="I186" s="948"/>
      <c r="J186" s="573"/>
      <c r="K186" s="487"/>
      <c r="L186" s="573"/>
      <c r="M186" s="573"/>
      <c r="N186" s="456">
        <f t="shared" si="25"/>
        <v>0</v>
      </c>
      <c r="O186" s="487"/>
      <c r="P186" s="487"/>
      <c r="Q186" s="274">
        <f t="shared" si="20"/>
        <v>0</v>
      </c>
      <c r="R186" s="574">
        <f t="shared" si="21"/>
        <v>0</v>
      </c>
      <c r="S186" s="275">
        <f t="shared" si="22"/>
        <v>0</v>
      </c>
      <c r="T186" s="575"/>
      <c r="U186" s="487"/>
      <c r="V186" s="576"/>
      <c r="W186" s="573"/>
      <c r="X186" s="574">
        <f t="shared" si="26"/>
        <v>0</v>
      </c>
      <c r="Y186" s="487"/>
      <c r="Z186" s="487"/>
      <c r="AA186" s="276">
        <f t="shared" si="27"/>
        <v>0</v>
      </c>
      <c r="AB186" s="573"/>
      <c r="AC186" s="487"/>
      <c r="AD186" s="573"/>
      <c r="AE186" s="487"/>
      <c r="AF186" s="577">
        <f t="shared" si="23"/>
        <v>0</v>
      </c>
      <c r="AG186" s="275">
        <f t="shared" si="24"/>
        <v>0</v>
      </c>
    </row>
    <row r="187" spans="1:33" s="578" customFormat="1" ht="12" customHeight="1">
      <c r="A187" s="568" t="s">
        <v>1270</v>
      </c>
      <c r="B187" s="569" t="s">
        <v>1792</v>
      </c>
      <c r="C187" s="580" t="s">
        <v>1755</v>
      </c>
      <c r="D187" s="585"/>
      <c r="E187" s="586"/>
      <c r="F187" s="573"/>
      <c r="G187" s="487"/>
      <c r="H187" s="576">
        <v>754000</v>
      </c>
      <c r="I187" s="622">
        <v>352379</v>
      </c>
      <c r="J187" s="573"/>
      <c r="K187" s="487"/>
      <c r="L187" s="573"/>
      <c r="M187" s="573"/>
      <c r="N187" s="456">
        <f t="shared" si="25"/>
        <v>0</v>
      </c>
      <c r="O187" s="487"/>
      <c r="P187" s="487"/>
      <c r="Q187" s="274">
        <f t="shared" si="20"/>
        <v>0</v>
      </c>
      <c r="R187" s="574">
        <f t="shared" si="21"/>
        <v>754000</v>
      </c>
      <c r="S187" s="275">
        <f t="shared" si="22"/>
        <v>352379</v>
      </c>
      <c r="T187" s="575"/>
      <c r="U187" s="487"/>
      <c r="V187" s="576"/>
      <c r="W187" s="573"/>
      <c r="X187" s="574">
        <f t="shared" si="26"/>
        <v>0</v>
      </c>
      <c r="Y187" s="487"/>
      <c r="Z187" s="487"/>
      <c r="AA187" s="276">
        <f t="shared" si="27"/>
        <v>0</v>
      </c>
      <c r="AB187" s="573"/>
      <c r="AC187" s="487"/>
      <c r="AD187" s="573"/>
      <c r="AE187" s="487"/>
      <c r="AF187" s="577">
        <f t="shared" si="23"/>
        <v>754000</v>
      </c>
      <c r="AG187" s="275">
        <f t="shared" si="24"/>
        <v>352379</v>
      </c>
    </row>
    <row r="188" spans="1:33" s="578" customFormat="1" ht="12" customHeight="1">
      <c r="A188" s="568" t="s">
        <v>1270</v>
      </c>
      <c r="B188" s="569" t="s">
        <v>1792</v>
      </c>
      <c r="C188" s="457" t="s">
        <v>1418</v>
      </c>
      <c r="D188" s="585"/>
      <c r="E188" s="586"/>
      <c r="F188" s="573"/>
      <c r="G188" s="487"/>
      <c r="H188" s="576">
        <f>7850000-5000000</f>
        <v>2850000</v>
      </c>
      <c r="I188" s="622">
        <v>979000</v>
      </c>
      <c r="J188" s="573"/>
      <c r="K188" s="487"/>
      <c r="L188" s="573"/>
      <c r="M188" s="573"/>
      <c r="N188" s="456">
        <f t="shared" si="25"/>
        <v>0</v>
      </c>
      <c r="O188" s="487"/>
      <c r="P188" s="487"/>
      <c r="Q188" s="274">
        <f t="shared" si="20"/>
        <v>0</v>
      </c>
      <c r="R188" s="574">
        <f t="shared" si="21"/>
        <v>2850000</v>
      </c>
      <c r="S188" s="275">
        <f t="shared" si="22"/>
        <v>979000</v>
      </c>
      <c r="T188" s="575"/>
      <c r="U188" s="487"/>
      <c r="V188" s="576"/>
      <c r="W188" s="573"/>
      <c r="X188" s="574">
        <f t="shared" si="26"/>
        <v>0</v>
      </c>
      <c r="Y188" s="487"/>
      <c r="Z188" s="487"/>
      <c r="AA188" s="276">
        <f t="shared" si="27"/>
        <v>0</v>
      </c>
      <c r="AB188" s="573"/>
      <c r="AC188" s="487"/>
      <c r="AD188" s="573"/>
      <c r="AE188" s="487"/>
      <c r="AF188" s="577">
        <f t="shared" si="23"/>
        <v>2850000</v>
      </c>
      <c r="AG188" s="275">
        <f t="shared" si="24"/>
        <v>979000</v>
      </c>
    </row>
    <row r="189" spans="1:33" s="578" customFormat="1" ht="12" customHeight="1">
      <c r="A189" s="568" t="s">
        <v>1270</v>
      </c>
      <c r="B189" s="569" t="s">
        <v>1792</v>
      </c>
      <c r="C189" s="580" t="s">
        <v>1756</v>
      </c>
      <c r="D189" s="585"/>
      <c r="E189" s="586"/>
      <c r="F189" s="573"/>
      <c r="G189" s="487"/>
      <c r="H189" s="576">
        <f>7100947+12256</f>
        <v>7113203</v>
      </c>
      <c r="I189" s="622">
        <v>6082834</v>
      </c>
      <c r="J189" s="573"/>
      <c r="K189" s="487"/>
      <c r="L189" s="573"/>
      <c r="M189" s="573"/>
      <c r="N189" s="456">
        <f t="shared" si="25"/>
        <v>0</v>
      </c>
      <c r="O189" s="487"/>
      <c r="P189" s="487"/>
      <c r="Q189" s="274">
        <f t="shared" si="20"/>
        <v>0</v>
      </c>
      <c r="R189" s="574">
        <f t="shared" si="21"/>
        <v>7113203</v>
      </c>
      <c r="S189" s="275">
        <f t="shared" si="22"/>
        <v>6082834</v>
      </c>
      <c r="T189" s="575"/>
      <c r="U189" s="487"/>
      <c r="V189" s="576"/>
      <c r="W189" s="573"/>
      <c r="X189" s="574">
        <f t="shared" si="26"/>
        <v>0</v>
      </c>
      <c r="Y189" s="487"/>
      <c r="Z189" s="487"/>
      <c r="AA189" s="276">
        <f t="shared" si="27"/>
        <v>0</v>
      </c>
      <c r="AB189" s="573"/>
      <c r="AC189" s="487"/>
      <c r="AD189" s="573"/>
      <c r="AE189" s="487"/>
      <c r="AF189" s="577">
        <f t="shared" si="23"/>
        <v>7113203</v>
      </c>
      <c r="AG189" s="275">
        <f t="shared" si="24"/>
        <v>6082834</v>
      </c>
    </row>
    <row r="190" spans="1:33" s="578" customFormat="1" ht="12" customHeight="1">
      <c r="A190" s="568" t="s">
        <v>1270</v>
      </c>
      <c r="B190" s="569" t="s">
        <v>1792</v>
      </c>
      <c r="C190" s="580" t="s">
        <v>1757</v>
      </c>
      <c r="D190" s="585"/>
      <c r="E190" s="586"/>
      <c r="F190" s="573"/>
      <c r="G190" s="487"/>
      <c r="H190" s="1097">
        <f>18862891+2329-95882</f>
        <v>18769338</v>
      </c>
      <c r="I190" s="622">
        <v>13420516</v>
      </c>
      <c r="J190" s="573"/>
      <c r="K190" s="487"/>
      <c r="L190" s="573"/>
      <c r="M190" s="573"/>
      <c r="N190" s="456">
        <f t="shared" si="25"/>
        <v>0</v>
      </c>
      <c r="O190" s="487"/>
      <c r="P190" s="487"/>
      <c r="Q190" s="274">
        <f t="shared" si="20"/>
        <v>0</v>
      </c>
      <c r="R190" s="574">
        <f t="shared" si="21"/>
        <v>18769338</v>
      </c>
      <c r="S190" s="275">
        <f t="shared" si="22"/>
        <v>13420516</v>
      </c>
      <c r="T190" s="575"/>
      <c r="U190" s="487"/>
      <c r="V190" s="576"/>
      <c r="W190" s="573"/>
      <c r="X190" s="574">
        <f t="shared" si="26"/>
        <v>0</v>
      </c>
      <c r="Y190" s="487"/>
      <c r="Z190" s="487"/>
      <c r="AA190" s="276">
        <f t="shared" si="27"/>
        <v>0</v>
      </c>
      <c r="AB190" s="573"/>
      <c r="AC190" s="487"/>
      <c r="AD190" s="573"/>
      <c r="AE190" s="487"/>
      <c r="AF190" s="577">
        <f t="shared" si="23"/>
        <v>18769338</v>
      </c>
      <c r="AG190" s="275">
        <f t="shared" si="24"/>
        <v>13420516</v>
      </c>
    </row>
    <row r="191" spans="1:33" s="578" customFormat="1" ht="12" customHeight="1">
      <c r="A191" s="568" t="s">
        <v>1270</v>
      </c>
      <c r="B191" s="569" t="s">
        <v>1792</v>
      </c>
      <c r="C191" s="580" t="s">
        <v>843</v>
      </c>
      <c r="D191" s="585"/>
      <c r="E191" s="586"/>
      <c r="F191" s="573"/>
      <c r="G191" s="487"/>
      <c r="H191" s="576">
        <v>6925000</v>
      </c>
      <c r="I191" s="622">
        <v>5193150</v>
      </c>
      <c r="J191" s="573"/>
      <c r="K191" s="487"/>
      <c r="L191" s="573"/>
      <c r="M191" s="573"/>
      <c r="N191" s="456">
        <f t="shared" si="25"/>
        <v>0</v>
      </c>
      <c r="O191" s="487"/>
      <c r="P191" s="487"/>
      <c r="Q191" s="274">
        <f t="shared" si="20"/>
        <v>0</v>
      </c>
      <c r="R191" s="574">
        <f t="shared" si="21"/>
        <v>6925000</v>
      </c>
      <c r="S191" s="275">
        <f t="shared" si="22"/>
        <v>5193150</v>
      </c>
      <c r="T191" s="575"/>
      <c r="U191" s="487"/>
      <c r="V191" s="576"/>
      <c r="W191" s="573"/>
      <c r="X191" s="574">
        <f t="shared" si="26"/>
        <v>0</v>
      </c>
      <c r="Y191" s="487"/>
      <c r="Z191" s="487"/>
      <c r="AA191" s="276">
        <f t="shared" si="27"/>
        <v>0</v>
      </c>
      <c r="AB191" s="573"/>
      <c r="AC191" s="487"/>
      <c r="AD191" s="573"/>
      <c r="AE191" s="487"/>
      <c r="AF191" s="577">
        <f t="shared" si="23"/>
        <v>6925000</v>
      </c>
      <c r="AG191" s="275">
        <f t="shared" si="24"/>
        <v>5193150</v>
      </c>
    </row>
    <row r="192" spans="1:33" s="578" customFormat="1" ht="12" customHeight="1">
      <c r="A192" s="568" t="s">
        <v>1270</v>
      </c>
      <c r="B192" s="569" t="s">
        <v>1792</v>
      </c>
      <c r="C192" s="457" t="s">
        <v>1734</v>
      </c>
      <c r="D192" s="585"/>
      <c r="E192" s="586"/>
      <c r="F192" s="573"/>
      <c r="G192" s="487"/>
      <c r="H192" s="576">
        <v>79647</v>
      </c>
      <c r="I192" s="622">
        <f>4909983-4145853</f>
        <v>764130</v>
      </c>
      <c r="J192" s="573"/>
      <c r="K192" s="487"/>
      <c r="L192" s="573"/>
      <c r="M192" s="573"/>
      <c r="N192" s="456">
        <f t="shared" si="25"/>
        <v>0</v>
      </c>
      <c r="O192" s="487"/>
      <c r="P192" s="487"/>
      <c r="Q192" s="274">
        <f t="shared" si="20"/>
        <v>0</v>
      </c>
      <c r="R192" s="574">
        <f t="shared" si="21"/>
        <v>79647</v>
      </c>
      <c r="S192" s="275">
        <f t="shared" si="22"/>
        <v>764130</v>
      </c>
      <c r="T192" s="575"/>
      <c r="U192" s="487"/>
      <c r="V192" s="576"/>
      <c r="W192" s="573"/>
      <c r="X192" s="574">
        <f t="shared" si="26"/>
        <v>0</v>
      </c>
      <c r="Y192" s="487"/>
      <c r="Z192" s="487"/>
      <c r="AA192" s="276">
        <f t="shared" si="27"/>
        <v>0</v>
      </c>
      <c r="AB192" s="573"/>
      <c r="AC192" s="487"/>
      <c r="AD192" s="573"/>
      <c r="AE192" s="487"/>
      <c r="AF192" s="577">
        <f t="shared" si="23"/>
        <v>79647</v>
      </c>
      <c r="AG192" s="275">
        <f t="shared" si="24"/>
        <v>764130</v>
      </c>
    </row>
    <row r="193" spans="1:33" s="578" customFormat="1" ht="12" customHeight="1">
      <c r="A193" s="568" t="s">
        <v>1270</v>
      </c>
      <c r="B193" s="569" t="s">
        <v>1792</v>
      </c>
      <c r="C193" s="580" t="s">
        <v>1555</v>
      </c>
      <c r="D193" s="581"/>
      <c r="E193" s="590"/>
      <c r="F193" s="573"/>
      <c r="G193" s="487"/>
      <c r="H193" s="576">
        <v>2000000</v>
      </c>
      <c r="I193" s="622">
        <v>2027921</v>
      </c>
      <c r="J193" s="573"/>
      <c r="K193" s="487"/>
      <c r="L193" s="573"/>
      <c r="M193" s="573"/>
      <c r="N193" s="456">
        <f t="shared" si="25"/>
        <v>0</v>
      </c>
      <c r="O193" s="487"/>
      <c r="P193" s="487"/>
      <c r="Q193" s="274">
        <f t="shared" si="20"/>
        <v>0</v>
      </c>
      <c r="R193" s="574">
        <f t="shared" si="21"/>
        <v>2000000</v>
      </c>
      <c r="S193" s="275">
        <f t="shared" si="22"/>
        <v>2027921</v>
      </c>
      <c r="T193" s="575"/>
      <c r="U193" s="487"/>
      <c r="V193" s="576"/>
      <c r="W193" s="573"/>
      <c r="X193" s="574">
        <f t="shared" si="26"/>
        <v>0</v>
      </c>
      <c r="Y193" s="487"/>
      <c r="Z193" s="487"/>
      <c r="AA193" s="276">
        <f t="shared" si="27"/>
        <v>0</v>
      </c>
      <c r="AB193" s="573"/>
      <c r="AC193" s="487"/>
      <c r="AD193" s="573"/>
      <c r="AE193" s="487"/>
      <c r="AF193" s="577">
        <f t="shared" si="23"/>
        <v>2000000</v>
      </c>
      <c r="AG193" s="275">
        <f t="shared" si="24"/>
        <v>2027921</v>
      </c>
    </row>
    <row r="194" spans="1:33" s="578" customFormat="1" ht="12" customHeight="1">
      <c r="A194" s="568" t="s">
        <v>1270</v>
      </c>
      <c r="B194" s="569" t="s">
        <v>1792</v>
      </c>
      <c r="C194" s="580" t="s">
        <v>1556</v>
      </c>
      <c r="D194" s="581"/>
      <c r="E194" s="590"/>
      <c r="F194" s="573"/>
      <c r="G194" s="487"/>
      <c r="H194" s="576">
        <v>1900000</v>
      </c>
      <c r="I194" s="948"/>
      <c r="J194" s="573"/>
      <c r="K194" s="487"/>
      <c r="L194" s="573"/>
      <c r="M194" s="573"/>
      <c r="N194" s="456">
        <f t="shared" si="25"/>
        <v>0</v>
      </c>
      <c r="O194" s="487"/>
      <c r="P194" s="487"/>
      <c r="Q194" s="274">
        <f t="shared" si="20"/>
        <v>0</v>
      </c>
      <c r="R194" s="574">
        <f t="shared" si="21"/>
        <v>1900000</v>
      </c>
      <c r="S194" s="275">
        <f t="shared" si="22"/>
        <v>0</v>
      </c>
      <c r="T194" s="575"/>
      <c r="U194" s="487"/>
      <c r="V194" s="576"/>
      <c r="W194" s="573"/>
      <c r="X194" s="574">
        <f t="shared" si="26"/>
        <v>0</v>
      </c>
      <c r="Y194" s="487"/>
      <c r="Z194" s="487"/>
      <c r="AA194" s="276">
        <f t="shared" si="27"/>
        <v>0</v>
      </c>
      <c r="AB194" s="573"/>
      <c r="AC194" s="487"/>
      <c r="AD194" s="573"/>
      <c r="AE194" s="487"/>
      <c r="AF194" s="577">
        <f t="shared" si="23"/>
        <v>1900000</v>
      </c>
      <c r="AG194" s="275">
        <f t="shared" si="24"/>
        <v>0</v>
      </c>
    </row>
    <row r="195" spans="1:33" s="578" customFormat="1" ht="12" customHeight="1">
      <c r="A195" s="568" t="s">
        <v>1270</v>
      </c>
      <c r="B195" s="569" t="s">
        <v>1792</v>
      </c>
      <c r="C195" s="580" t="s">
        <v>1557</v>
      </c>
      <c r="D195" s="581"/>
      <c r="E195" s="590"/>
      <c r="F195" s="573"/>
      <c r="G195" s="487"/>
      <c r="H195" s="1097">
        <f>1200000+96938</f>
        <v>1296938</v>
      </c>
      <c r="I195" s="622">
        <v>583436</v>
      </c>
      <c r="J195" s="573"/>
      <c r="K195" s="487"/>
      <c r="L195" s="573"/>
      <c r="M195" s="573"/>
      <c r="N195" s="456">
        <f t="shared" si="25"/>
        <v>0</v>
      </c>
      <c r="O195" s="487"/>
      <c r="P195" s="487"/>
      <c r="Q195" s="274">
        <f t="shared" si="20"/>
        <v>0</v>
      </c>
      <c r="R195" s="574">
        <f t="shared" si="21"/>
        <v>1296938</v>
      </c>
      <c r="S195" s="275">
        <f t="shared" si="22"/>
        <v>583436</v>
      </c>
      <c r="T195" s="575"/>
      <c r="U195" s="487"/>
      <c r="V195" s="576"/>
      <c r="W195" s="573"/>
      <c r="X195" s="574">
        <f t="shared" si="26"/>
        <v>0</v>
      </c>
      <c r="Y195" s="487"/>
      <c r="Z195" s="487"/>
      <c r="AA195" s="276">
        <f t="shared" si="27"/>
        <v>0</v>
      </c>
      <c r="AB195" s="573"/>
      <c r="AC195" s="487"/>
      <c r="AD195" s="573"/>
      <c r="AE195" s="487"/>
      <c r="AF195" s="577">
        <f t="shared" si="23"/>
        <v>1296938</v>
      </c>
      <c r="AG195" s="275">
        <f t="shared" si="24"/>
        <v>583436</v>
      </c>
    </row>
    <row r="196" spans="1:33" s="578" customFormat="1" ht="12" customHeight="1">
      <c r="A196" s="568" t="s">
        <v>1270</v>
      </c>
      <c r="B196" s="569" t="s">
        <v>1792</v>
      </c>
      <c r="C196" s="580" t="s">
        <v>1558</v>
      </c>
      <c r="D196" s="581"/>
      <c r="E196" s="590"/>
      <c r="F196" s="573"/>
      <c r="G196" s="487"/>
      <c r="H196" s="576">
        <v>7649760</v>
      </c>
      <c r="I196" s="622">
        <v>6588099</v>
      </c>
      <c r="J196" s="573"/>
      <c r="K196" s="487"/>
      <c r="L196" s="573"/>
      <c r="M196" s="573"/>
      <c r="N196" s="456">
        <f t="shared" si="25"/>
        <v>0</v>
      </c>
      <c r="O196" s="487"/>
      <c r="P196" s="487"/>
      <c r="Q196" s="274">
        <f t="shared" si="20"/>
        <v>0</v>
      </c>
      <c r="R196" s="574">
        <f t="shared" si="21"/>
        <v>7649760</v>
      </c>
      <c r="S196" s="275">
        <f t="shared" si="22"/>
        <v>6588099</v>
      </c>
      <c r="T196" s="575"/>
      <c r="U196" s="487"/>
      <c r="V196" s="576"/>
      <c r="W196" s="573"/>
      <c r="X196" s="574">
        <f t="shared" si="26"/>
        <v>0</v>
      </c>
      <c r="Y196" s="487"/>
      <c r="Z196" s="487"/>
      <c r="AA196" s="276">
        <f t="shared" si="27"/>
        <v>0</v>
      </c>
      <c r="AB196" s="573"/>
      <c r="AC196" s="487"/>
      <c r="AD196" s="573"/>
      <c r="AE196" s="487"/>
      <c r="AF196" s="577">
        <f t="shared" si="23"/>
        <v>7649760</v>
      </c>
      <c r="AG196" s="275">
        <f t="shared" si="24"/>
        <v>6588099</v>
      </c>
    </row>
    <row r="197" spans="1:33" s="578" customFormat="1" ht="12" customHeight="1">
      <c r="A197" s="568" t="s">
        <v>1270</v>
      </c>
      <c r="B197" s="569" t="s">
        <v>1792</v>
      </c>
      <c r="C197" s="580" t="s">
        <v>844</v>
      </c>
      <c r="D197" s="585"/>
      <c r="E197" s="586"/>
      <c r="F197" s="573"/>
      <c r="G197" s="487"/>
      <c r="H197" s="576">
        <v>300000</v>
      </c>
      <c r="I197" s="622">
        <v>267000</v>
      </c>
      <c r="J197" s="573"/>
      <c r="K197" s="487"/>
      <c r="L197" s="573"/>
      <c r="M197" s="573"/>
      <c r="N197" s="456">
        <f t="shared" si="25"/>
        <v>0</v>
      </c>
      <c r="O197" s="487"/>
      <c r="P197" s="487"/>
      <c r="Q197" s="274">
        <f t="shared" si="20"/>
        <v>0</v>
      </c>
      <c r="R197" s="574">
        <f t="shared" si="21"/>
        <v>300000</v>
      </c>
      <c r="S197" s="275">
        <f t="shared" si="22"/>
        <v>267000</v>
      </c>
      <c r="T197" s="575"/>
      <c r="U197" s="487"/>
      <c r="V197" s="576"/>
      <c r="W197" s="573"/>
      <c r="X197" s="574">
        <f t="shared" si="26"/>
        <v>0</v>
      </c>
      <c r="Y197" s="487"/>
      <c r="Z197" s="487"/>
      <c r="AA197" s="276">
        <f t="shared" si="27"/>
        <v>0</v>
      </c>
      <c r="AB197" s="573"/>
      <c r="AC197" s="487"/>
      <c r="AD197" s="573"/>
      <c r="AE197" s="487"/>
      <c r="AF197" s="577">
        <f t="shared" si="23"/>
        <v>300000</v>
      </c>
      <c r="AG197" s="275">
        <f t="shared" si="24"/>
        <v>267000</v>
      </c>
    </row>
    <row r="198" spans="1:33" s="578" customFormat="1" ht="12" customHeight="1">
      <c r="A198" s="568" t="s">
        <v>1270</v>
      </c>
      <c r="B198" s="569" t="s">
        <v>1792</v>
      </c>
      <c r="C198" s="580" t="s">
        <v>1984</v>
      </c>
      <c r="D198" s="585"/>
      <c r="E198" s="586"/>
      <c r="F198" s="573"/>
      <c r="G198" s="487"/>
      <c r="H198" s="1097">
        <f>20889085+55963+22000000</f>
        <v>42945048</v>
      </c>
      <c r="I198" s="622">
        <v>37378411</v>
      </c>
      <c r="J198" s="573"/>
      <c r="K198" s="487"/>
      <c r="L198" s="573"/>
      <c r="M198" s="573"/>
      <c r="N198" s="456">
        <f t="shared" si="25"/>
        <v>0</v>
      </c>
      <c r="O198" s="487"/>
      <c r="P198" s="487"/>
      <c r="Q198" s="274">
        <f t="shared" si="20"/>
        <v>0</v>
      </c>
      <c r="R198" s="574">
        <f t="shared" si="21"/>
        <v>42945048</v>
      </c>
      <c r="S198" s="275">
        <f t="shared" si="22"/>
        <v>37378411</v>
      </c>
      <c r="T198" s="575"/>
      <c r="U198" s="487"/>
      <c r="V198" s="576"/>
      <c r="W198" s="573"/>
      <c r="X198" s="574">
        <f t="shared" si="26"/>
        <v>0</v>
      </c>
      <c r="Y198" s="487"/>
      <c r="Z198" s="487"/>
      <c r="AA198" s="276">
        <f t="shared" si="27"/>
        <v>0</v>
      </c>
      <c r="AB198" s="573"/>
      <c r="AC198" s="487"/>
      <c r="AD198" s="573"/>
      <c r="AE198" s="487"/>
      <c r="AF198" s="577">
        <f t="shared" si="23"/>
        <v>42945048</v>
      </c>
      <c r="AG198" s="275">
        <f t="shared" si="24"/>
        <v>37378411</v>
      </c>
    </row>
    <row r="199" spans="1:33" s="578" customFormat="1" ht="12" customHeight="1">
      <c r="A199" s="568" t="s">
        <v>1270</v>
      </c>
      <c r="B199" s="569" t="s">
        <v>1821</v>
      </c>
      <c r="C199" s="245" t="s">
        <v>1432</v>
      </c>
      <c r="D199" s="585"/>
      <c r="E199" s="586"/>
      <c r="F199" s="573"/>
      <c r="G199" s="487"/>
      <c r="H199" s="576"/>
      <c r="I199" s="948"/>
      <c r="J199" s="573"/>
      <c r="K199" s="487"/>
      <c r="L199" s="573"/>
      <c r="M199" s="573"/>
      <c r="N199" s="456">
        <f t="shared" si="25"/>
        <v>0</v>
      </c>
      <c r="O199" s="487"/>
      <c r="P199" s="487"/>
      <c r="Q199" s="274">
        <f t="shared" si="20"/>
        <v>0</v>
      </c>
      <c r="R199" s="574">
        <f t="shared" si="21"/>
        <v>0</v>
      </c>
      <c r="S199" s="275">
        <f t="shared" si="22"/>
        <v>0</v>
      </c>
      <c r="T199" s="575"/>
      <c r="U199" s="487"/>
      <c r="V199" s="576"/>
      <c r="W199" s="573"/>
      <c r="X199" s="574">
        <f t="shared" si="26"/>
        <v>0</v>
      </c>
      <c r="Y199" s="487"/>
      <c r="Z199" s="487"/>
      <c r="AA199" s="276">
        <f t="shared" si="27"/>
        <v>0</v>
      </c>
      <c r="AB199" s="573"/>
      <c r="AC199" s="487"/>
      <c r="AD199" s="573"/>
      <c r="AE199" s="487"/>
      <c r="AF199" s="577">
        <f t="shared" si="23"/>
        <v>0</v>
      </c>
      <c r="AG199" s="275">
        <f t="shared" si="24"/>
        <v>0</v>
      </c>
    </row>
    <row r="200" spans="1:33" s="578" customFormat="1" ht="12" customHeight="1">
      <c r="A200" s="568" t="s">
        <v>1270</v>
      </c>
      <c r="B200" s="569" t="s">
        <v>1821</v>
      </c>
      <c r="C200" s="580" t="s">
        <v>845</v>
      </c>
      <c r="D200" s="585"/>
      <c r="E200" s="586"/>
      <c r="F200" s="573"/>
      <c r="G200" s="487"/>
      <c r="H200" s="576">
        <v>1350000</v>
      </c>
      <c r="I200" s="622">
        <v>1196000</v>
      </c>
      <c r="J200" s="573"/>
      <c r="K200" s="487"/>
      <c r="L200" s="573"/>
      <c r="M200" s="573"/>
      <c r="N200" s="456">
        <f t="shared" si="25"/>
        <v>0</v>
      </c>
      <c r="O200" s="487"/>
      <c r="P200" s="487"/>
      <c r="Q200" s="274">
        <f t="shared" si="20"/>
        <v>0</v>
      </c>
      <c r="R200" s="574">
        <f t="shared" si="21"/>
        <v>1350000</v>
      </c>
      <c r="S200" s="275">
        <f t="shared" si="22"/>
        <v>1196000</v>
      </c>
      <c r="T200" s="575"/>
      <c r="U200" s="487"/>
      <c r="V200" s="576"/>
      <c r="W200" s="573"/>
      <c r="X200" s="574">
        <f t="shared" si="26"/>
        <v>0</v>
      </c>
      <c r="Y200" s="487"/>
      <c r="Z200" s="487"/>
      <c r="AA200" s="276">
        <f t="shared" si="27"/>
        <v>0</v>
      </c>
      <c r="AB200" s="573"/>
      <c r="AC200" s="487"/>
      <c r="AD200" s="573"/>
      <c r="AE200" s="487"/>
      <c r="AF200" s="577">
        <f t="shared" si="23"/>
        <v>1350000</v>
      </c>
      <c r="AG200" s="275">
        <f t="shared" si="24"/>
        <v>1196000</v>
      </c>
    </row>
    <row r="201" spans="1:33" s="578" customFormat="1" ht="12" customHeight="1">
      <c r="A201" s="568" t="s">
        <v>1270</v>
      </c>
      <c r="B201" s="569" t="s">
        <v>1821</v>
      </c>
      <c r="C201" s="580" t="s">
        <v>846</v>
      </c>
      <c r="D201" s="585"/>
      <c r="E201" s="586"/>
      <c r="F201" s="573"/>
      <c r="G201" s="487"/>
      <c r="H201" s="576">
        <v>500000</v>
      </c>
      <c r="I201" s="622">
        <v>402563</v>
      </c>
      <c r="J201" s="573"/>
      <c r="K201" s="487"/>
      <c r="L201" s="573"/>
      <c r="M201" s="573"/>
      <c r="N201" s="456">
        <f t="shared" si="25"/>
        <v>0</v>
      </c>
      <c r="O201" s="487"/>
      <c r="P201" s="487"/>
      <c r="Q201" s="274">
        <f t="shared" si="20"/>
        <v>0</v>
      </c>
      <c r="R201" s="574">
        <f t="shared" si="21"/>
        <v>500000</v>
      </c>
      <c r="S201" s="275">
        <f t="shared" si="22"/>
        <v>402563</v>
      </c>
      <c r="T201" s="575"/>
      <c r="U201" s="487"/>
      <c r="V201" s="576"/>
      <c r="W201" s="573"/>
      <c r="X201" s="574">
        <f t="shared" si="26"/>
        <v>0</v>
      </c>
      <c r="Y201" s="487"/>
      <c r="Z201" s="487"/>
      <c r="AA201" s="276">
        <f t="shared" si="27"/>
        <v>0</v>
      </c>
      <c r="AB201" s="573"/>
      <c r="AC201" s="487"/>
      <c r="AD201" s="573"/>
      <c r="AE201" s="487"/>
      <c r="AF201" s="577">
        <f t="shared" si="23"/>
        <v>500000</v>
      </c>
      <c r="AG201" s="275">
        <f t="shared" si="24"/>
        <v>402563</v>
      </c>
    </row>
    <row r="202" spans="1:33" s="578" customFormat="1" ht="12" customHeight="1">
      <c r="A202" s="568" t="s">
        <v>1270</v>
      </c>
      <c r="B202" s="569" t="s">
        <v>1821</v>
      </c>
      <c r="C202" s="580" t="s">
        <v>847</v>
      </c>
      <c r="D202" s="581"/>
      <c r="E202" s="590"/>
      <c r="F202" s="573"/>
      <c r="G202" s="487"/>
      <c r="H202" s="1097">
        <v>12958499</v>
      </c>
      <c r="I202" s="622">
        <v>9331585</v>
      </c>
      <c r="J202" s="573"/>
      <c r="K202" s="487"/>
      <c r="L202" s="573"/>
      <c r="M202" s="573"/>
      <c r="N202" s="456">
        <f t="shared" si="25"/>
        <v>0</v>
      </c>
      <c r="O202" s="487"/>
      <c r="P202" s="487"/>
      <c r="Q202" s="274">
        <f t="shared" ref="Q202:Q265" si="28">SUM(O202:P202)</f>
        <v>0</v>
      </c>
      <c r="R202" s="574">
        <f t="shared" ref="R202:R265" si="29">SUM(F202,H202,J202,L202)</f>
        <v>12958499</v>
      </c>
      <c r="S202" s="275">
        <f t="shared" ref="S202:S265" si="30">SUM(G202,I202,K202,O202)</f>
        <v>9331585</v>
      </c>
      <c r="T202" s="575"/>
      <c r="U202" s="487"/>
      <c r="V202" s="576"/>
      <c r="W202" s="573"/>
      <c r="X202" s="574">
        <f t="shared" si="26"/>
        <v>0</v>
      </c>
      <c r="Y202" s="487"/>
      <c r="Z202" s="487"/>
      <c r="AA202" s="276">
        <f t="shared" si="27"/>
        <v>0</v>
      </c>
      <c r="AB202" s="573"/>
      <c r="AC202" s="487"/>
      <c r="AD202" s="573"/>
      <c r="AE202" s="487"/>
      <c r="AF202" s="577">
        <f t="shared" ref="AF202:AF265" si="31">SUM(R202,T202,V202,AB202,AD202)</f>
        <v>12958499</v>
      </c>
      <c r="AG202" s="275">
        <f t="shared" ref="AG202:AG265" si="32">SUM(S202,U202,Y202,AC202,AE202)</f>
        <v>9331585</v>
      </c>
    </row>
    <row r="203" spans="1:33" s="578" customFormat="1" ht="12" customHeight="1" thickBot="1">
      <c r="A203" s="568" t="s">
        <v>1270</v>
      </c>
      <c r="B203" s="569" t="s">
        <v>1821</v>
      </c>
      <c r="C203" s="580" t="s">
        <v>848</v>
      </c>
      <c r="D203" s="581"/>
      <c r="E203" s="590"/>
      <c r="F203" s="573"/>
      <c r="G203" s="487"/>
      <c r="H203" s="591">
        <v>200000</v>
      </c>
      <c r="I203" s="622">
        <v>89000</v>
      </c>
      <c r="J203" s="573"/>
      <c r="K203" s="487"/>
      <c r="L203" s="573"/>
      <c r="M203" s="573"/>
      <c r="N203" s="456">
        <f t="shared" si="25"/>
        <v>0</v>
      </c>
      <c r="O203" s="487"/>
      <c r="P203" s="487"/>
      <c r="Q203" s="274">
        <f t="shared" si="28"/>
        <v>0</v>
      </c>
      <c r="R203" s="574">
        <f t="shared" si="29"/>
        <v>200000</v>
      </c>
      <c r="S203" s="275">
        <f t="shared" si="30"/>
        <v>89000</v>
      </c>
      <c r="T203" s="575"/>
      <c r="U203" s="487"/>
      <c r="V203" s="576"/>
      <c r="W203" s="573"/>
      <c r="X203" s="574">
        <f t="shared" si="26"/>
        <v>0</v>
      </c>
      <c r="Y203" s="487"/>
      <c r="Z203" s="487"/>
      <c r="AA203" s="276">
        <f t="shared" si="27"/>
        <v>0</v>
      </c>
      <c r="AB203" s="573"/>
      <c r="AC203" s="487"/>
      <c r="AD203" s="573"/>
      <c r="AE203" s="487"/>
      <c r="AF203" s="577">
        <f t="shared" si="31"/>
        <v>200000</v>
      </c>
      <c r="AG203" s="275">
        <f t="shared" si="32"/>
        <v>89000</v>
      </c>
    </row>
    <row r="204" spans="1:33" s="578" customFormat="1" ht="12" customHeight="1">
      <c r="A204" s="568" t="s">
        <v>1270</v>
      </c>
      <c r="B204" s="569" t="s">
        <v>1794</v>
      </c>
      <c r="C204" s="246" t="s">
        <v>849</v>
      </c>
      <c r="D204" s="585"/>
      <c r="E204" s="586"/>
      <c r="F204" s="573"/>
      <c r="G204" s="487"/>
      <c r="H204" s="573"/>
      <c r="I204" s="487"/>
      <c r="J204" s="573"/>
      <c r="K204" s="487"/>
      <c r="L204" s="573"/>
      <c r="M204" s="573"/>
      <c r="N204" s="456">
        <f t="shared" si="25"/>
        <v>0</v>
      </c>
      <c r="O204" s="487"/>
      <c r="P204" s="487"/>
      <c r="Q204" s="274">
        <f t="shared" si="28"/>
        <v>0</v>
      </c>
      <c r="R204" s="574">
        <f t="shared" si="29"/>
        <v>0</v>
      </c>
      <c r="S204" s="275">
        <f t="shared" si="30"/>
        <v>0</v>
      </c>
      <c r="T204" s="575"/>
      <c r="U204" s="487"/>
      <c r="V204" s="576"/>
      <c r="W204" s="573"/>
      <c r="X204" s="574">
        <f t="shared" si="26"/>
        <v>0</v>
      </c>
      <c r="Y204" s="487"/>
      <c r="Z204" s="487"/>
      <c r="AA204" s="276">
        <f t="shared" si="27"/>
        <v>0</v>
      </c>
      <c r="AB204" s="573"/>
      <c r="AC204" s="487"/>
      <c r="AD204" s="573"/>
      <c r="AE204" s="487"/>
      <c r="AF204" s="577">
        <f t="shared" si="31"/>
        <v>0</v>
      </c>
      <c r="AG204" s="275">
        <f t="shared" si="32"/>
        <v>0</v>
      </c>
    </row>
    <row r="205" spans="1:33" s="578" customFormat="1" ht="12" customHeight="1">
      <c r="A205" s="568" t="s">
        <v>1270</v>
      </c>
      <c r="B205" s="569" t="s">
        <v>1795</v>
      </c>
      <c r="C205" s="237" t="s">
        <v>957</v>
      </c>
      <c r="D205" s="585"/>
      <c r="E205" s="586"/>
      <c r="F205" s="573"/>
      <c r="G205" s="487"/>
      <c r="H205" s="573"/>
      <c r="I205" s="487"/>
      <c r="J205" s="573"/>
      <c r="K205" s="487"/>
      <c r="L205" s="573"/>
      <c r="M205" s="573"/>
      <c r="N205" s="456">
        <f t="shared" si="25"/>
        <v>0</v>
      </c>
      <c r="O205" s="487"/>
      <c r="P205" s="487"/>
      <c r="Q205" s="274">
        <f t="shared" si="28"/>
        <v>0</v>
      </c>
      <c r="R205" s="574">
        <f t="shared" si="29"/>
        <v>0</v>
      </c>
      <c r="S205" s="275">
        <f t="shared" si="30"/>
        <v>0</v>
      </c>
      <c r="T205" s="575"/>
      <c r="U205" s="487"/>
      <c r="V205" s="576"/>
      <c r="W205" s="573"/>
      <c r="X205" s="574">
        <f t="shared" si="26"/>
        <v>0</v>
      </c>
      <c r="Y205" s="487"/>
      <c r="Z205" s="487"/>
      <c r="AA205" s="276">
        <f t="shared" si="27"/>
        <v>0</v>
      </c>
      <c r="AB205" s="573"/>
      <c r="AC205" s="487"/>
      <c r="AD205" s="573"/>
      <c r="AE205" s="487"/>
      <c r="AF205" s="577">
        <f t="shared" si="31"/>
        <v>0</v>
      </c>
      <c r="AG205" s="275">
        <f t="shared" si="32"/>
        <v>0</v>
      </c>
    </row>
    <row r="206" spans="1:33" s="578" customFormat="1" ht="12" customHeight="1">
      <c r="A206" s="568" t="s">
        <v>1270</v>
      </c>
      <c r="B206" s="569" t="s">
        <v>1795</v>
      </c>
      <c r="C206" s="580" t="s">
        <v>1742</v>
      </c>
      <c r="D206" s="585"/>
      <c r="E206" s="586"/>
      <c r="F206" s="573"/>
      <c r="G206" s="487"/>
      <c r="H206" s="573"/>
      <c r="I206" s="487"/>
      <c r="J206" s="573"/>
      <c r="K206" s="487"/>
      <c r="L206" s="573"/>
      <c r="M206" s="573"/>
      <c r="N206" s="456">
        <f t="shared" si="25"/>
        <v>0</v>
      </c>
      <c r="O206" s="487"/>
      <c r="P206" s="487"/>
      <c r="Q206" s="274">
        <f t="shared" si="28"/>
        <v>0</v>
      </c>
      <c r="R206" s="574">
        <f t="shared" si="29"/>
        <v>0</v>
      </c>
      <c r="S206" s="275">
        <f t="shared" si="30"/>
        <v>0</v>
      </c>
      <c r="T206" s="575">
        <f>2991842+12390</f>
        <v>3004232</v>
      </c>
      <c r="U206" s="487">
        <v>3023541</v>
      </c>
      <c r="V206" s="576"/>
      <c r="W206" s="573"/>
      <c r="X206" s="574">
        <f t="shared" si="26"/>
        <v>0</v>
      </c>
      <c r="Y206" s="487"/>
      <c r="Z206" s="487"/>
      <c r="AA206" s="276">
        <f t="shared" si="27"/>
        <v>0</v>
      </c>
      <c r="AB206" s="573"/>
      <c r="AC206" s="487"/>
      <c r="AD206" s="573"/>
      <c r="AE206" s="487"/>
      <c r="AF206" s="577">
        <f t="shared" si="31"/>
        <v>3004232</v>
      </c>
      <c r="AG206" s="275">
        <f t="shared" si="32"/>
        <v>3023541</v>
      </c>
    </row>
    <row r="207" spans="1:33" s="578" customFormat="1" ht="12" customHeight="1">
      <c r="A207" s="568" t="s">
        <v>1270</v>
      </c>
      <c r="B207" s="569" t="s">
        <v>1796</v>
      </c>
      <c r="C207" s="237" t="s">
        <v>956</v>
      </c>
      <c r="D207" s="585"/>
      <c r="E207" s="586"/>
      <c r="F207" s="573"/>
      <c r="G207" s="487"/>
      <c r="H207" s="573"/>
      <c r="I207" s="487"/>
      <c r="J207" s="573"/>
      <c r="K207" s="487"/>
      <c r="L207" s="573"/>
      <c r="M207" s="573"/>
      <c r="N207" s="456">
        <f t="shared" si="25"/>
        <v>0</v>
      </c>
      <c r="O207" s="487"/>
      <c r="P207" s="487"/>
      <c r="Q207" s="274">
        <f t="shared" si="28"/>
        <v>0</v>
      </c>
      <c r="R207" s="574">
        <f t="shared" si="29"/>
        <v>0</v>
      </c>
      <c r="S207" s="275">
        <f t="shared" si="30"/>
        <v>0</v>
      </c>
      <c r="T207" s="575"/>
      <c r="U207" s="487"/>
      <c r="V207" s="576"/>
      <c r="W207" s="573"/>
      <c r="X207" s="574">
        <f t="shared" si="26"/>
        <v>0</v>
      </c>
      <c r="Y207" s="487"/>
      <c r="Z207" s="487"/>
      <c r="AA207" s="276">
        <f t="shared" si="27"/>
        <v>0</v>
      </c>
      <c r="AB207" s="573"/>
      <c r="AC207" s="487"/>
      <c r="AD207" s="573"/>
      <c r="AE207" s="487"/>
      <c r="AF207" s="577">
        <f t="shared" si="31"/>
        <v>0</v>
      </c>
      <c r="AG207" s="275">
        <f t="shared" si="32"/>
        <v>0</v>
      </c>
    </row>
    <row r="208" spans="1:33" s="578" customFormat="1" ht="12" customHeight="1">
      <c r="A208" s="568" t="s">
        <v>1270</v>
      </c>
      <c r="B208" s="569" t="s">
        <v>1796</v>
      </c>
      <c r="C208" s="580" t="s">
        <v>1743</v>
      </c>
      <c r="D208" s="585"/>
      <c r="E208" s="586"/>
      <c r="F208" s="573"/>
      <c r="G208" s="487"/>
      <c r="H208" s="573"/>
      <c r="I208" s="487"/>
      <c r="J208" s="573"/>
      <c r="K208" s="487"/>
      <c r="L208" s="573"/>
      <c r="M208" s="573"/>
      <c r="N208" s="456">
        <f t="shared" si="25"/>
        <v>0</v>
      </c>
      <c r="O208" s="487"/>
      <c r="P208" s="487"/>
      <c r="Q208" s="274">
        <f t="shared" si="28"/>
        <v>0</v>
      </c>
      <c r="R208" s="574">
        <f t="shared" si="29"/>
        <v>0</v>
      </c>
      <c r="S208" s="275">
        <f t="shared" si="30"/>
        <v>0</v>
      </c>
      <c r="T208" s="575">
        <f>6015841+32331</f>
        <v>6048172</v>
      </c>
      <c r="U208" s="487">
        <v>5770309</v>
      </c>
      <c r="V208" s="576"/>
      <c r="W208" s="573"/>
      <c r="X208" s="574">
        <f t="shared" si="26"/>
        <v>0</v>
      </c>
      <c r="Y208" s="487"/>
      <c r="Z208" s="487"/>
      <c r="AA208" s="276">
        <f t="shared" si="27"/>
        <v>0</v>
      </c>
      <c r="AB208" s="573"/>
      <c r="AC208" s="487"/>
      <c r="AD208" s="573"/>
      <c r="AE208" s="487"/>
      <c r="AF208" s="577">
        <f t="shared" si="31"/>
        <v>6048172</v>
      </c>
      <c r="AG208" s="275">
        <f t="shared" si="32"/>
        <v>5770309</v>
      </c>
    </row>
    <row r="209" spans="1:33" s="578" customFormat="1" ht="12" customHeight="1">
      <c r="A209" s="568" t="s">
        <v>1270</v>
      </c>
      <c r="B209" s="569" t="s">
        <v>1797</v>
      </c>
      <c r="C209" s="237" t="s">
        <v>955</v>
      </c>
      <c r="D209" s="585"/>
      <c r="E209" s="586"/>
      <c r="F209" s="573"/>
      <c r="G209" s="487"/>
      <c r="H209" s="573"/>
      <c r="I209" s="487"/>
      <c r="J209" s="573"/>
      <c r="K209" s="487"/>
      <c r="L209" s="573"/>
      <c r="M209" s="573"/>
      <c r="N209" s="456">
        <f t="shared" si="25"/>
        <v>0</v>
      </c>
      <c r="O209" s="487"/>
      <c r="P209" s="487"/>
      <c r="Q209" s="274">
        <f t="shared" si="28"/>
        <v>0</v>
      </c>
      <c r="R209" s="574">
        <f t="shared" si="29"/>
        <v>0</v>
      </c>
      <c r="S209" s="275">
        <f t="shared" si="30"/>
        <v>0</v>
      </c>
      <c r="T209" s="575"/>
      <c r="U209" s="487"/>
      <c r="V209" s="576"/>
      <c r="W209" s="573"/>
      <c r="X209" s="574">
        <f t="shared" si="26"/>
        <v>0</v>
      </c>
      <c r="Y209" s="487"/>
      <c r="Z209" s="487"/>
      <c r="AA209" s="276">
        <f t="shared" si="27"/>
        <v>0</v>
      </c>
      <c r="AB209" s="573"/>
      <c r="AC209" s="487"/>
      <c r="AD209" s="573"/>
      <c r="AE209" s="487"/>
      <c r="AF209" s="577">
        <f t="shared" si="31"/>
        <v>0</v>
      </c>
      <c r="AG209" s="275">
        <f t="shared" si="32"/>
        <v>0</v>
      </c>
    </row>
    <row r="210" spans="1:33" s="578" customFormat="1" ht="12" customHeight="1">
      <c r="A210" s="568" t="s">
        <v>1270</v>
      </c>
      <c r="B210" s="569" t="s">
        <v>1797</v>
      </c>
      <c r="C210" s="580" t="s">
        <v>1744</v>
      </c>
      <c r="D210" s="585"/>
      <c r="E210" s="586"/>
      <c r="F210" s="573"/>
      <c r="G210" s="487"/>
      <c r="H210" s="573"/>
      <c r="I210" s="487"/>
      <c r="J210" s="573"/>
      <c r="K210" s="487"/>
      <c r="L210" s="573"/>
      <c r="M210" s="573"/>
      <c r="N210" s="456">
        <f t="shared" si="25"/>
        <v>0</v>
      </c>
      <c r="O210" s="487"/>
      <c r="P210" s="487"/>
      <c r="Q210" s="274">
        <f t="shared" si="28"/>
        <v>0</v>
      </c>
      <c r="R210" s="574">
        <f t="shared" si="29"/>
        <v>0</v>
      </c>
      <c r="S210" s="275">
        <f t="shared" si="30"/>
        <v>0</v>
      </c>
      <c r="T210" s="458">
        <v>201550</v>
      </c>
      <c r="U210" s="487">
        <v>207550</v>
      </c>
      <c r="V210" s="576"/>
      <c r="W210" s="573"/>
      <c r="X210" s="574">
        <f t="shared" si="26"/>
        <v>0</v>
      </c>
      <c r="Y210" s="487"/>
      <c r="Z210" s="487"/>
      <c r="AA210" s="276">
        <f t="shared" si="27"/>
        <v>0</v>
      </c>
      <c r="AB210" s="573"/>
      <c r="AC210" s="487"/>
      <c r="AD210" s="573"/>
      <c r="AE210" s="487"/>
      <c r="AF210" s="577">
        <f t="shared" si="31"/>
        <v>201550</v>
      </c>
      <c r="AG210" s="275">
        <f t="shared" si="32"/>
        <v>207550</v>
      </c>
    </row>
    <row r="211" spans="1:33" s="578" customFormat="1" ht="12" customHeight="1">
      <c r="A211" s="568" t="s">
        <v>1270</v>
      </c>
      <c r="B211" s="569" t="s">
        <v>1797</v>
      </c>
      <c r="C211" s="580" t="s">
        <v>851</v>
      </c>
      <c r="D211" s="585"/>
      <c r="E211" s="586"/>
      <c r="F211" s="573"/>
      <c r="G211" s="487"/>
      <c r="H211" s="573"/>
      <c r="I211" s="487"/>
      <c r="J211" s="573"/>
      <c r="K211" s="487"/>
      <c r="L211" s="573"/>
      <c r="M211" s="573"/>
      <c r="N211" s="456">
        <f t="shared" ref="N211:N274" si="33">SUM(L211:M211)</f>
        <v>0</v>
      </c>
      <c r="O211" s="487"/>
      <c r="P211" s="487"/>
      <c r="Q211" s="274">
        <f t="shared" si="28"/>
        <v>0</v>
      </c>
      <c r="R211" s="574">
        <f t="shared" si="29"/>
        <v>0</v>
      </c>
      <c r="S211" s="275">
        <f t="shared" si="30"/>
        <v>0</v>
      </c>
      <c r="T211" s="458">
        <v>52955</v>
      </c>
      <c r="U211" s="487">
        <v>69252</v>
      </c>
      <c r="V211" s="576"/>
      <c r="W211" s="573"/>
      <c r="X211" s="574">
        <f t="shared" ref="X211:X274" si="34">SUM(V211:W211)</f>
        <v>0</v>
      </c>
      <c r="Y211" s="487"/>
      <c r="Z211" s="487"/>
      <c r="AA211" s="276">
        <f t="shared" ref="AA211:AA274" si="35">SUM(Y211:Z211)</f>
        <v>0</v>
      </c>
      <c r="AB211" s="573"/>
      <c r="AC211" s="487"/>
      <c r="AD211" s="573"/>
      <c r="AE211" s="487"/>
      <c r="AF211" s="577">
        <f t="shared" si="31"/>
        <v>52955</v>
      </c>
      <c r="AG211" s="275">
        <f t="shared" si="32"/>
        <v>69252</v>
      </c>
    </row>
    <row r="212" spans="1:33" s="578" customFormat="1" ht="12" customHeight="1">
      <c r="A212" s="568" t="s">
        <v>1270</v>
      </c>
      <c r="B212" s="569" t="s">
        <v>1798</v>
      </c>
      <c r="C212" s="237" t="s">
        <v>852</v>
      </c>
      <c r="D212" s="585"/>
      <c r="E212" s="586"/>
      <c r="F212" s="573"/>
      <c r="G212" s="487"/>
      <c r="H212" s="573"/>
      <c r="I212" s="487"/>
      <c r="J212" s="573"/>
      <c r="K212" s="487"/>
      <c r="L212" s="573"/>
      <c r="M212" s="573"/>
      <c r="N212" s="456">
        <f t="shared" si="33"/>
        <v>0</v>
      </c>
      <c r="O212" s="487"/>
      <c r="P212" s="487"/>
      <c r="Q212" s="274">
        <f t="shared" si="28"/>
        <v>0</v>
      </c>
      <c r="R212" s="574">
        <f t="shared" si="29"/>
        <v>0</v>
      </c>
      <c r="S212" s="275">
        <f t="shared" si="30"/>
        <v>0</v>
      </c>
      <c r="T212" s="458">
        <f>34268+1061+32888+43970+2100</f>
        <v>114287</v>
      </c>
      <c r="U212" s="487">
        <f>40329+2000+30000+35000+10000</f>
        <v>117329</v>
      </c>
      <c r="V212" s="576"/>
      <c r="W212" s="573"/>
      <c r="X212" s="574">
        <f t="shared" si="34"/>
        <v>0</v>
      </c>
      <c r="Y212" s="487"/>
      <c r="Z212" s="487"/>
      <c r="AA212" s="276">
        <f t="shared" si="35"/>
        <v>0</v>
      </c>
      <c r="AB212" s="573"/>
      <c r="AC212" s="487"/>
      <c r="AD212" s="573"/>
      <c r="AE212" s="487"/>
      <c r="AF212" s="577">
        <f t="shared" si="31"/>
        <v>114287</v>
      </c>
      <c r="AG212" s="275">
        <f t="shared" si="32"/>
        <v>117329</v>
      </c>
    </row>
    <row r="213" spans="1:33" s="578" customFormat="1" ht="12" customHeight="1">
      <c r="A213" s="568" t="s">
        <v>1270</v>
      </c>
      <c r="B213" s="569" t="s">
        <v>1799</v>
      </c>
      <c r="C213" s="246" t="s">
        <v>853</v>
      </c>
      <c r="D213" s="585"/>
      <c r="E213" s="586"/>
      <c r="F213" s="573"/>
      <c r="G213" s="487"/>
      <c r="H213" s="573"/>
      <c r="I213" s="487"/>
      <c r="J213" s="573"/>
      <c r="K213" s="487"/>
      <c r="L213" s="573"/>
      <c r="M213" s="573"/>
      <c r="N213" s="456">
        <f t="shared" si="33"/>
        <v>0</v>
      </c>
      <c r="O213" s="487"/>
      <c r="P213" s="487"/>
      <c r="Q213" s="274">
        <f t="shared" si="28"/>
        <v>0</v>
      </c>
      <c r="R213" s="574">
        <f t="shared" si="29"/>
        <v>0</v>
      </c>
      <c r="S213" s="275">
        <f t="shared" si="30"/>
        <v>0</v>
      </c>
      <c r="T213" s="575"/>
      <c r="U213" s="487"/>
      <c r="V213" s="576"/>
      <c r="W213" s="573"/>
      <c r="X213" s="574">
        <f t="shared" si="34"/>
        <v>0</v>
      </c>
      <c r="Y213" s="487"/>
      <c r="Z213" s="487"/>
      <c r="AA213" s="276">
        <f t="shared" si="35"/>
        <v>0</v>
      </c>
      <c r="AB213" s="573"/>
      <c r="AC213" s="487"/>
      <c r="AD213" s="573"/>
      <c r="AE213" s="487"/>
      <c r="AF213" s="577">
        <f t="shared" si="31"/>
        <v>0</v>
      </c>
      <c r="AG213" s="275">
        <f t="shared" si="32"/>
        <v>0</v>
      </c>
    </row>
    <row r="214" spans="1:33" s="578" customFormat="1" ht="12" customHeight="1">
      <c r="A214" s="568" t="s">
        <v>1270</v>
      </c>
      <c r="B214" s="569" t="s">
        <v>1799</v>
      </c>
      <c r="C214" s="580" t="s">
        <v>854</v>
      </c>
      <c r="D214" s="585"/>
      <c r="E214" s="586"/>
      <c r="F214" s="573"/>
      <c r="G214" s="487"/>
      <c r="H214" s="573"/>
      <c r="I214" s="487"/>
      <c r="J214" s="573"/>
      <c r="K214" s="487"/>
      <c r="L214" s="573"/>
      <c r="M214" s="573"/>
      <c r="N214" s="456">
        <f t="shared" si="33"/>
        <v>0</v>
      </c>
      <c r="O214" s="487"/>
      <c r="P214" s="487"/>
      <c r="Q214" s="274">
        <f t="shared" si="28"/>
        <v>0</v>
      </c>
      <c r="R214" s="574">
        <f t="shared" si="29"/>
        <v>0</v>
      </c>
      <c r="S214" s="275">
        <f t="shared" si="30"/>
        <v>0</v>
      </c>
      <c r="T214" s="575">
        <v>550000</v>
      </c>
      <c r="U214" s="487">
        <v>412459</v>
      </c>
      <c r="V214" s="576"/>
      <c r="W214" s="573"/>
      <c r="X214" s="574">
        <f t="shared" si="34"/>
        <v>0</v>
      </c>
      <c r="Y214" s="487"/>
      <c r="Z214" s="487"/>
      <c r="AA214" s="276">
        <f t="shared" si="35"/>
        <v>0</v>
      </c>
      <c r="AB214" s="573"/>
      <c r="AC214" s="487"/>
      <c r="AD214" s="573"/>
      <c r="AE214" s="487"/>
      <c r="AF214" s="577">
        <f t="shared" si="31"/>
        <v>550000</v>
      </c>
      <c r="AG214" s="275">
        <f t="shared" si="32"/>
        <v>412459</v>
      </c>
    </row>
    <row r="215" spans="1:33" s="578" customFormat="1" ht="12" customHeight="1">
      <c r="A215" s="568" t="s">
        <v>1270</v>
      </c>
      <c r="B215" s="569" t="s">
        <v>1799</v>
      </c>
      <c r="C215" s="580" t="s">
        <v>855</v>
      </c>
      <c r="D215" s="585"/>
      <c r="E215" s="586"/>
      <c r="F215" s="573"/>
      <c r="G215" s="487"/>
      <c r="H215" s="573"/>
      <c r="I215" s="487"/>
      <c r="J215" s="573"/>
      <c r="K215" s="487"/>
      <c r="L215" s="573"/>
      <c r="M215" s="573"/>
      <c r="N215" s="456">
        <f t="shared" si="33"/>
        <v>0</v>
      </c>
      <c r="O215" s="487"/>
      <c r="P215" s="487"/>
      <c r="Q215" s="274">
        <f t="shared" si="28"/>
        <v>0</v>
      </c>
      <c r="R215" s="574">
        <f t="shared" si="29"/>
        <v>0</v>
      </c>
      <c r="S215" s="275">
        <f t="shared" si="30"/>
        <v>0</v>
      </c>
      <c r="T215" s="575">
        <v>1000000</v>
      </c>
      <c r="U215" s="487">
        <v>896358</v>
      </c>
      <c r="V215" s="576"/>
      <c r="W215" s="573"/>
      <c r="X215" s="574">
        <f t="shared" si="34"/>
        <v>0</v>
      </c>
      <c r="Y215" s="487"/>
      <c r="Z215" s="487"/>
      <c r="AA215" s="276">
        <f t="shared" si="35"/>
        <v>0</v>
      </c>
      <c r="AB215" s="573"/>
      <c r="AC215" s="487"/>
      <c r="AD215" s="573"/>
      <c r="AE215" s="487"/>
      <c r="AF215" s="577">
        <f t="shared" si="31"/>
        <v>1000000</v>
      </c>
      <c r="AG215" s="275">
        <f t="shared" si="32"/>
        <v>896358</v>
      </c>
    </row>
    <row r="216" spans="1:33" s="578" customFormat="1" ht="12" customHeight="1">
      <c r="A216" s="568" t="s">
        <v>1270</v>
      </c>
      <c r="B216" s="569" t="s">
        <v>1799</v>
      </c>
      <c r="C216" s="580" t="s">
        <v>856</v>
      </c>
      <c r="D216" s="585"/>
      <c r="E216" s="586"/>
      <c r="F216" s="573"/>
      <c r="G216" s="487"/>
      <c r="H216" s="573"/>
      <c r="I216" s="487"/>
      <c r="J216" s="573"/>
      <c r="K216" s="487"/>
      <c r="L216" s="573"/>
      <c r="M216" s="573"/>
      <c r="N216" s="456">
        <f t="shared" si="33"/>
        <v>0</v>
      </c>
      <c r="O216" s="487"/>
      <c r="P216" s="487"/>
      <c r="Q216" s="274">
        <f t="shared" si="28"/>
        <v>0</v>
      </c>
      <c r="R216" s="574">
        <f t="shared" si="29"/>
        <v>0</v>
      </c>
      <c r="S216" s="275">
        <f t="shared" si="30"/>
        <v>0</v>
      </c>
      <c r="T216" s="575">
        <v>13581285</v>
      </c>
      <c r="U216" s="487">
        <v>10807643</v>
      </c>
      <c r="V216" s="576"/>
      <c r="W216" s="573"/>
      <c r="X216" s="574">
        <f t="shared" si="34"/>
        <v>0</v>
      </c>
      <c r="Y216" s="487"/>
      <c r="Z216" s="487"/>
      <c r="AA216" s="276">
        <f t="shared" si="35"/>
        <v>0</v>
      </c>
      <c r="AB216" s="573"/>
      <c r="AC216" s="487"/>
      <c r="AD216" s="573"/>
      <c r="AE216" s="487"/>
      <c r="AF216" s="577">
        <f t="shared" si="31"/>
        <v>13581285</v>
      </c>
      <c r="AG216" s="275">
        <f t="shared" si="32"/>
        <v>10807643</v>
      </c>
    </row>
    <row r="217" spans="1:33" s="578" customFormat="1" ht="12" customHeight="1">
      <c r="A217" s="568" t="s">
        <v>1270</v>
      </c>
      <c r="B217" s="569" t="s">
        <v>1799</v>
      </c>
      <c r="C217" s="580" t="s">
        <v>857</v>
      </c>
      <c r="D217" s="585"/>
      <c r="E217" s="586"/>
      <c r="F217" s="573"/>
      <c r="G217" s="487"/>
      <c r="H217" s="573"/>
      <c r="I217" s="487"/>
      <c r="J217" s="573"/>
      <c r="K217" s="487"/>
      <c r="L217" s="573"/>
      <c r="M217" s="573"/>
      <c r="N217" s="456">
        <f t="shared" si="33"/>
        <v>0</v>
      </c>
      <c r="O217" s="487"/>
      <c r="P217" s="487"/>
      <c r="Q217" s="274">
        <f t="shared" si="28"/>
        <v>0</v>
      </c>
      <c r="R217" s="574">
        <f t="shared" si="29"/>
        <v>0</v>
      </c>
      <c r="S217" s="275">
        <f t="shared" si="30"/>
        <v>0</v>
      </c>
      <c r="T217" s="573">
        <v>2500000</v>
      </c>
      <c r="U217" s="487">
        <v>2275000</v>
      </c>
      <c r="V217" s="576"/>
      <c r="W217" s="573"/>
      <c r="X217" s="574">
        <f t="shared" si="34"/>
        <v>0</v>
      </c>
      <c r="Y217" s="487"/>
      <c r="Z217" s="487"/>
      <c r="AA217" s="276">
        <f t="shared" si="35"/>
        <v>0</v>
      </c>
      <c r="AB217" s="573"/>
      <c r="AC217" s="487"/>
      <c r="AD217" s="573"/>
      <c r="AE217" s="487"/>
      <c r="AF217" s="577">
        <f t="shared" si="31"/>
        <v>2500000</v>
      </c>
      <c r="AG217" s="275">
        <f t="shared" si="32"/>
        <v>2275000</v>
      </c>
    </row>
    <row r="218" spans="1:33" s="578" customFormat="1" ht="12" customHeight="1">
      <c r="A218" s="568" t="s">
        <v>1270</v>
      </c>
      <c r="B218" s="569" t="s">
        <v>1800</v>
      </c>
      <c r="C218" s="246" t="s">
        <v>858</v>
      </c>
      <c r="D218" s="585"/>
      <c r="E218" s="586"/>
      <c r="F218" s="573"/>
      <c r="G218" s="487"/>
      <c r="H218" s="573"/>
      <c r="I218" s="487"/>
      <c r="J218" s="573"/>
      <c r="K218" s="487"/>
      <c r="L218" s="573"/>
      <c r="M218" s="573"/>
      <c r="N218" s="456">
        <f t="shared" si="33"/>
        <v>0</v>
      </c>
      <c r="O218" s="487"/>
      <c r="P218" s="487"/>
      <c r="Q218" s="274">
        <f t="shared" si="28"/>
        <v>0</v>
      </c>
      <c r="R218" s="574">
        <f t="shared" si="29"/>
        <v>0</v>
      </c>
      <c r="S218" s="275">
        <f t="shared" si="30"/>
        <v>0</v>
      </c>
      <c r="T218" s="575"/>
      <c r="U218" s="487"/>
      <c r="V218" s="576"/>
      <c r="W218" s="573"/>
      <c r="X218" s="574">
        <f t="shared" si="34"/>
        <v>0</v>
      </c>
      <c r="Y218" s="487"/>
      <c r="Z218" s="487"/>
      <c r="AA218" s="276">
        <f t="shared" si="35"/>
        <v>0</v>
      </c>
      <c r="AB218" s="573"/>
      <c r="AC218" s="487"/>
      <c r="AD218" s="573"/>
      <c r="AE218" s="487"/>
      <c r="AF218" s="577">
        <f t="shared" si="31"/>
        <v>0</v>
      </c>
      <c r="AG218" s="275">
        <f t="shared" si="32"/>
        <v>0</v>
      </c>
    </row>
    <row r="219" spans="1:33" s="578" customFormat="1" ht="12" customHeight="1">
      <c r="A219" s="568" t="s">
        <v>1270</v>
      </c>
      <c r="B219" s="569" t="s">
        <v>1801</v>
      </c>
      <c r="C219" s="237" t="s">
        <v>859</v>
      </c>
      <c r="D219" s="585"/>
      <c r="E219" s="586"/>
      <c r="F219" s="573"/>
      <c r="G219" s="487"/>
      <c r="H219" s="573"/>
      <c r="I219" s="487"/>
      <c r="J219" s="573"/>
      <c r="K219" s="487"/>
      <c r="L219" s="573"/>
      <c r="M219" s="573"/>
      <c r="N219" s="456">
        <f t="shared" si="33"/>
        <v>0</v>
      </c>
      <c r="O219" s="487"/>
      <c r="P219" s="487"/>
      <c r="Q219" s="274">
        <f t="shared" si="28"/>
        <v>0</v>
      </c>
      <c r="R219" s="574">
        <f t="shared" si="29"/>
        <v>0</v>
      </c>
      <c r="S219" s="275">
        <f t="shared" si="30"/>
        <v>0</v>
      </c>
      <c r="T219" s="575"/>
      <c r="U219" s="487"/>
      <c r="V219" s="576"/>
      <c r="W219" s="573"/>
      <c r="X219" s="574">
        <f t="shared" si="34"/>
        <v>0</v>
      </c>
      <c r="Y219" s="487"/>
      <c r="Z219" s="487"/>
      <c r="AA219" s="276">
        <f t="shared" si="35"/>
        <v>0</v>
      </c>
      <c r="AB219" s="573"/>
      <c r="AC219" s="487"/>
      <c r="AD219" s="573"/>
      <c r="AE219" s="487"/>
      <c r="AF219" s="577">
        <f t="shared" si="31"/>
        <v>0</v>
      </c>
      <c r="AG219" s="275">
        <f t="shared" si="32"/>
        <v>0</v>
      </c>
    </row>
    <row r="220" spans="1:33" s="578" customFormat="1" ht="12" customHeight="1">
      <c r="A220" s="568" t="s">
        <v>1270</v>
      </c>
      <c r="B220" s="569" t="s">
        <v>1801</v>
      </c>
      <c r="C220" s="580" t="s">
        <v>860</v>
      </c>
      <c r="D220" s="585"/>
      <c r="E220" s="586"/>
      <c r="F220" s="573"/>
      <c r="G220" s="487"/>
      <c r="H220" s="573"/>
      <c r="I220" s="487"/>
      <c r="J220" s="573"/>
      <c r="K220" s="487"/>
      <c r="L220" s="573"/>
      <c r="M220" s="573"/>
      <c r="N220" s="456">
        <f t="shared" si="33"/>
        <v>0</v>
      </c>
      <c r="O220" s="487"/>
      <c r="P220" s="487"/>
      <c r="Q220" s="274">
        <f t="shared" si="28"/>
        <v>0</v>
      </c>
      <c r="R220" s="574">
        <f t="shared" si="29"/>
        <v>0</v>
      </c>
      <c r="S220" s="275">
        <f t="shared" si="30"/>
        <v>0</v>
      </c>
      <c r="T220" s="458">
        <v>15000</v>
      </c>
      <c r="U220" s="487">
        <v>15000</v>
      </c>
      <c r="V220" s="576"/>
      <c r="W220" s="573"/>
      <c r="X220" s="574">
        <f t="shared" si="34"/>
        <v>0</v>
      </c>
      <c r="Y220" s="487"/>
      <c r="Z220" s="487"/>
      <c r="AA220" s="276">
        <f t="shared" si="35"/>
        <v>0</v>
      </c>
      <c r="AB220" s="573"/>
      <c r="AC220" s="487"/>
      <c r="AD220" s="573"/>
      <c r="AE220" s="487"/>
      <c r="AF220" s="577">
        <f t="shared" si="31"/>
        <v>15000</v>
      </c>
      <c r="AG220" s="275">
        <f t="shared" si="32"/>
        <v>15000</v>
      </c>
    </row>
    <row r="221" spans="1:33" s="578" customFormat="1" ht="12" customHeight="1">
      <c r="A221" s="568" t="s">
        <v>1270</v>
      </c>
      <c r="B221" s="569" t="s">
        <v>1802</v>
      </c>
      <c r="C221" s="237" t="s">
        <v>861</v>
      </c>
      <c r="D221" s="585"/>
      <c r="E221" s="586"/>
      <c r="F221" s="573"/>
      <c r="G221" s="487"/>
      <c r="H221" s="573"/>
      <c r="I221" s="487"/>
      <c r="J221" s="573"/>
      <c r="K221" s="487"/>
      <c r="L221" s="573"/>
      <c r="M221" s="573"/>
      <c r="N221" s="456">
        <f t="shared" si="33"/>
        <v>0</v>
      </c>
      <c r="O221" s="487"/>
      <c r="P221" s="487"/>
      <c r="Q221" s="274">
        <f t="shared" si="28"/>
        <v>0</v>
      </c>
      <c r="R221" s="574">
        <f t="shared" si="29"/>
        <v>0</v>
      </c>
      <c r="S221" s="275">
        <f t="shared" si="30"/>
        <v>0</v>
      </c>
      <c r="T221" s="575"/>
      <c r="U221" s="487"/>
      <c r="V221" s="576"/>
      <c r="W221" s="573"/>
      <c r="X221" s="574">
        <f t="shared" si="34"/>
        <v>0</v>
      </c>
      <c r="Y221" s="487"/>
      <c r="Z221" s="487"/>
      <c r="AA221" s="276">
        <f t="shared" si="35"/>
        <v>0</v>
      </c>
      <c r="AB221" s="573"/>
      <c r="AC221" s="487"/>
      <c r="AD221" s="573"/>
      <c r="AE221" s="487"/>
      <c r="AF221" s="577">
        <f t="shared" si="31"/>
        <v>0</v>
      </c>
      <c r="AG221" s="275">
        <f t="shared" si="32"/>
        <v>0</v>
      </c>
    </row>
    <row r="222" spans="1:33" s="578" customFormat="1" ht="12" customHeight="1">
      <c r="A222" s="568" t="s">
        <v>1270</v>
      </c>
      <c r="B222" s="569" t="s">
        <v>1803</v>
      </c>
      <c r="C222" s="237" t="s">
        <v>954</v>
      </c>
      <c r="D222" s="585"/>
      <c r="E222" s="586"/>
      <c r="F222" s="573"/>
      <c r="G222" s="487"/>
      <c r="H222" s="573"/>
      <c r="I222" s="487"/>
      <c r="J222" s="573"/>
      <c r="K222" s="487"/>
      <c r="L222" s="573"/>
      <c r="M222" s="573"/>
      <c r="N222" s="456">
        <f t="shared" si="33"/>
        <v>0</v>
      </c>
      <c r="O222" s="487"/>
      <c r="P222" s="487"/>
      <c r="Q222" s="274">
        <f t="shared" si="28"/>
        <v>0</v>
      </c>
      <c r="R222" s="574">
        <f t="shared" si="29"/>
        <v>0</v>
      </c>
      <c r="S222" s="275">
        <f t="shared" si="30"/>
        <v>0</v>
      </c>
      <c r="T222" s="458">
        <v>32161</v>
      </c>
      <c r="U222" s="487">
        <v>52400</v>
      </c>
      <c r="V222" s="576"/>
      <c r="W222" s="573"/>
      <c r="X222" s="574">
        <f t="shared" si="34"/>
        <v>0</v>
      </c>
      <c r="Y222" s="487"/>
      <c r="Z222" s="487"/>
      <c r="AA222" s="276">
        <f t="shared" si="35"/>
        <v>0</v>
      </c>
      <c r="AB222" s="573"/>
      <c r="AC222" s="487"/>
      <c r="AD222" s="573"/>
      <c r="AE222" s="487"/>
      <c r="AF222" s="577">
        <f t="shared" si="31"/>
        <v>32161</v>
      </c>
      <c r="AG222" s="275">
        <f t="shared" si="32"/>
        <v>52400</v>
      </c>
    </row>
    <row r="223" spans="1:33" s="578" customFormat="1" ht="12" customHeight="1">
      <c r="A223" s="568" t="s">
        <v>1270</v>
      </c>
      <c r="B223" s="569" t="s">
        <v>1804</v>
      </c>
      <c r="C223" s="246" t="s">
        <v>418</v>
      </c>
      <c r="D223" s="585"/>
      <c r="E223" s="586"/>
      <c r="F223" s="573"/>
      <c r="G223" s="487"/>
      <c r="H223" s="573"/>
      <c r="I223" s="487"/>
      <c r="J223" s="573"/>
      <c r="K223" s="487"/>
      <c r="L223" s="573"/>
      <c r="M223" s="573"/>
      <c r="N223" s="456">
        <f t="shared" si="33"/>
        <v>0</v>
      </c>
      <c r="O223" s="487"/>
      <c r="P223" s="487"/>
      <c r="Q223" s="274">
        <f t="shared" si="28"/>
        <v>0</v>
      </c>
      <c r="R223" s="574">
        <f t="shared" si="29"/>
        <v>0</v>
      </c>
      <c r="S223" s="275">
        <f t="shared" si="30"/>
        <v>0</v>
      </c>
      <c r="T223" s="575"/>
      <c r="U223" s="487"/>
      <c r="V223" s="576"/>
      <c r="W223" s="573"/>
      <c r="X223" s="574">
        <f t="shared" si="34"/>
        <v>0</v>
      </c>
      <c r="Y223" s="487"/>
      <c r="Z223" s="487"/>
      <c r="AA223" s="276">
        <f t="shared" si="35"/>
        <v>0</v>
      </c>
      <c r="AB223" s="573"/>
      <c r="AC223" s="487"/>
      <c r="AD223" s="573"/>
      <c r="AE223" s="487"/>
      <c r="AF223" s="577">
        <f t="shared" si="31"/>
        <v>0</v>
      </c>
      <c r="AG223" s="275">
        <f t="shared" si="32"/>
        <v>0</v>
      </c>
    </row>
    <row r="224" spans="1:33" s="578" customFormat="1" ht="12" customHeight="1">
      <c r="A224" s="568" t="s">
        <v>1270</v>
      </c>
      <c r="B224" s="569" t="s">
        <v>1805</v>
      </c>
      <c r="C224" s="459" t="s">
        <v>419</v>
      </c>
      <c r="D224" s="585"/>
      <c r="E224" s="586"/>
      <c r="F224" s="573"/>
      <c r="G224" s="487"/>
      <c r="H224" s="573"/>
      <c r="I224" s="487"/>
      <c r="J224" s="573"/>
      <c r="K224" s="487"/>
      <c r="L224" s="573"/>
      <c r="M224" s="573"/>
      <c r="N224" s="456">
        <f t="shared" si="33"/>
        <v>0</v>
      </c>
      <c r="O224" s="487"/>
      <c r="P224" s="487"/>
      <c r="Q224" s="274">
        <f t="shared" si="28"/>
        <v>0</v>
      </c>
      <c r="R224" s="574">
        <f t="shared" si="29"/>
        <v>0</v>
      </c>
      <c r="S224" s="275">
        <f t="shared" si="30"/>
        <v>0</v>
      </c>
      <c r="T224" s="575"/>
      <c r="U224" s="487"/>
      <c r="V224" s="576"/>
      <c r="W224" s="573"/>
      <c r="X224" s="574">
        <f t="shared" si="34"/>
        <v>0</v>
      </c>
      <c r="Y224" s="487"/>
      <c r="Z224" s="487"/>
      <c r="AA224" s="276">
        <f t="shared" si="35"/>
        <v>0</v>
      </c>
      <c r="AB224" s="573"/>
      <c r="AC224" s="487"/>
      <c r="AD224" s="573"/>
      <c r="AE224" s="487"/>
      <c r="AF224" s="577">
        <f t="shared" si="31"/>
        <v>0</v>
      </c>
      <c r="AG224" s="275">
        <f t="shared" si="32"/>
        <v>0</v>
      </c>
    </row>
    <row r="225" spans="1:33" s="578" customFormat="1" ht="12" customHeight="1">
      <c r="A225" s="568" t="s">
        <v>1270</v>
      </c>
      <c r="B225" s="569" t="s">
        <v>1805</v>
      </c>
      <c r="C225" s="247" t="s">
        <v>420</v>
      </c>
      <c r="D225" s="585"/>
      <c r="E225" s="586"/>
      <c r="F225" s="573"/>
      <c r="G225" s="487"/>
      <c r="H225" s="573"/>
      <c r="I225" s="487"/>
      <c r="J225" s="573"/>
      <c r="K225" s="487"/>
      <c r="L225" s="573"/>
      <c r="M225" s="573"/>
      <c r="N225" s="456">
        <f t="shared" si="33"/>
        <v>0</v>
      </c>
      <c r="O225" s="487"/>
      <c r="P225" s="487"/>
      <c r="Q225" s="274">
        <f t="shared" si="28"/>
        <v>0</v>
      </c>
      <c r="R225" s="574">
        <f t="shared" si="29"/>
        <v>0</v>
      </c>
      <c r="S225" s="275">
        <f t="shared" si="30"/>
        <v>0</v>
      </c>
      <c r="T225" s="575"/>
      <c r="U225" s="487"/>
      <c r="V225" s="576"/>
      <c r="W225" s="573"/>
      <c r="X225" s="574">
        <f t="shared" si="34"/>
        <v>0</v>
      </c>
      <c r="Y225" s="487"/>
      <c r="Z225" s="487"/>
      <c r="AA225" s="276">
        <f t="shared" si="35"/>
        <v>0</v>
      </c>
      <c r="AB225" s="573"/>
      <c r="AC225" s="487"/>
      <c r="AD225" s="573"/>
      <c r="AE225" s="487"/>
      <c r="AF225" s="577">
        <f t="shared" si="31"/>
        <v>0</v>
      </c>
      <c r="AG225" s="275">
        <f t="shared" si="32"/>
        <v>0</v>
      </c>
    </row>
    <row r="226" spans="1:33" s="578" customFormat="1" ht="12" customHeight="1">
      <c r="A226" s="568" t="s">
        <v>1270</v>
      </c>
      <c r="B226" s="569" t="s">
        <v>1882</v>
      </c>
      <c r="C226" s="593" t="s">
        <v>1883</v>
      </c>
      <c r="D226" s="585"/>
      <c r="E226" s="586"/>
      <c r="F226" s="573"/>
      <c r="G226" s="487"/>
      <c r="H226" s="573"/>
      <c r="I226" s="487"/>
      <c r="J226" s="573"/>
      <c r="K226" s="487"/>
      <c r="L226" s="573"/>
      <c r="M226" s="573"/>
      <c r="N226" s="456">
        <f t="shared" si="33"/>
        <v>0</v>
      </c>
      <c r="O226" s="487"/>
      <c r="P226" s="487"/>
      <c r="Q226" s="274">
        <f t="shared" si="28"/>
        <v>0</v>
      </c>
      <c r="R226" s="574">
        <f t="shared" si="29"/>
        <v>0</v>
      </c>
      <c r="S226" s="275">
        <f t="shared" si="30"/>
        <v>0</v>
      </c>
      <c r="T226" s="575"/>
      <c r="U226" s="487"/>
      <c r="V226" s="576"/>
      <c r="W226" s="573"/>
      <c r="X226" s="574">
        <f t="shared" si="34"/>
        <v>0</v>
      </c>
      <c r="Y226" s="487"/>
      <c r="Z226" s="487"/>
      <c r="AA226" s="276">
        <f t="shared" si="35"/>
        <v>0</v>
      </c>
      <c r="AB226" s="573"/>
      <c r="AC226" s="487"/>
      <c r="AD226" s="573"/>
      <c r="AE226" s="487"/>
      <c r="AF226" s="577">
        <f t="shared" si="31"/>
        <v>0</v>
      </c>
      <c r="AG226" s="275">
        <f t="shared" si="32"/>
        <v>0</v>
      </c>
    </row>
    <row r="227" spans="1:33" s="578" customFormat="1" ht="12" customHeight="1">
      <c r="A227" s="568" t="s">
        <v>1270</v>
      </c>
      <c r="B227" s="569" t="s">
        <v>1763</v>
      </c>
      <c r="C227" s="593" t="s">
        <v>1761</v>
      </c>
      <c r="D227" s="585"/>
      <c r="E227" s="586"/>
      <c r="F227" s="573"/>
      <c r="G227" s="487"/>
      <c r="H227" s="573"/>
      <c r="I227" s="487"/>
      <c r="J227" s="573"/>
      <c r="K227" s="487"/>
      <c r="L227" s="573"/>
      <c r="M227" s="573"/>
      <c r="N227" s="456">
        <f t="shared" si="33"/>
        <v>0</v>
      </c>
      <c r="O227" s="487"/>
      <c r="P227" s="487"/>
      <c r="Q227" s="274">
        <f t="shared" si="28"/>
        <v>0</v>
      </c>
      <c r="R227" s="574">
        <f t="shared" si="29"/>
        <v>0</v>
      </c>
      <c r="S227" s="275">
        <f t="shared" si="30"/>
        <v>0</v>
      </c>
      <c r="T227" s="575">
        <v>1600000</v>
      </c>
      <c r="U227" s="487">
        <v>1183814</v>
      </c>
      <c r="V227" s="576"/>
      <c r="W227" s="573"/>
      <c r="X227" s="574">
        <f t="shared" si="34"/>
        <v>0</v>
      </c>
      <c r="Y227" s="487"/>
      <c r="Z227" s="487"/>
      <c r="AA227" s="276">
        <f t="shared" si="35"/>
        <v>0</v>
      </c>
      <c r="AB227" s="573"/>
      <c r="AC227" s="487"/>
      <c r="AD227" s="573"/>
      <c r="AE227" s="487"/>
      <c r="AF227" s="577">
        <f t="shared" si="31"/>
        <v>1600000</v>
      </c>
      <c r="AG227" s="275">
        <f t="shared" si="32"/>
        <v>1183814</v>
      </c>
    </row>
    <row r="228" spans="1:33" s="578" customFormat="1" ht="12" customHeight="1">
      <c r="A228" s="568" t="s">
        <v>1270</v>
      </c>
      <c r="B228" s="594" t="s">
        <v>1510</v>
      </c>
      <c r="C228" s="593" t="s">
        <v>421</v>
      </c>
      <c r="D228" s="585"/>
      <c r="E228" s="586"/>
      <c r="F228" s="573"/>
      <c r="G228" s="487"/>
      <c r="H228" s="573"/>
      <c r="I228" s="487"/>
      <c r="J228" s="573"/>
      <c r="K228" s="487"/>
      <c r="L228" s="573"/>
      <c r="M228" s="573"/>
      <c r="N228" s="456">
        <f t="shared" si="33"/>
        <v>0</v>
      </c>
      <c r="O228" s="487"/>
      <c r="P228" s="487"/>
      <c r="Q228" s="274">
        <f t="shared" si="28"/>
        <v>0</v>
      </c>
      <c r="R228" s="574">
        <f t="shared" si="29"/>
        <v>0</v>
      </c>
      <c r="S228" s="275">
        <f t="shared" si="30"/>
        <v>0</v>
      </c>
      <c r="T228" s="575"/>
      <c r="U228" s="487"/>
      <c r="V228" s="576"/>
      <c r="W228" s="573"/>
      <c r="X228" s="574">
        <f t="shared" si="34"/>
        <v>0</v>
      </c>
      <c r="Y228" s="487"/>
      <c r="Z228" s="487"/>
      <c r="AA228" s="276">
        <f t="shared" si="35"/>
        <v>0</v>
      </c>
      <c r="AB228" s="573"/>
      <c r="AC228" s="487"/>
      <c r="AD228" s="573"/>
      <c r="AE228" s="487"/>
      <c r="AF228" s="577">
        <f t="shared" si="31"/>
        <v>0</v>
      </c>
      <c r="AG228" s="275">
        <f t="shared" si="32"/>
        <v>0</v>
      </c>
    </row>
    <row r="229" spans="1:33" s="578" customFormat="1" ht="12" customHeight="1">
      <c r="A229" s="568" t="s">
        <v>1270</v>
      </c>
      <c r="B229" s="594" t="s">
        <v>1511</v>
      </c>
      <c r="C229" s="593" t="s">
        <v>1883</v>
      </c>
      <c r="D229" s="585"/>
      <c r="E229" s="586"/>
      <c r="F229" s="573"/>
      <c r="G229" s="487"/>
      <c r="H229" s="573"/>
      <c r="I229" s="487"/>
      <c r="J229" s="573"/>
      <c r="K229" s="487"/>
      <c r="L229" s="573"/>
      <c r="M229" s="573"/>
      <c r="N229" s="456">
        <f t="shared" si="33"/>
        <v>0</v>
      </c>
      <c r="O229" s="487"/>
      <c r="P229" s="487"/>
      <c r="Q229" s="274">
        <f t="shared" si="28"/>
        <v>0</v>
      </c>
      <c r="R229" s="574">
        <f t="shared" si="29"/>
        <v>0</v>
      </c>
      <c r="S229" s="275">
        <f t="shared" si="30"/>
        <v>0</v>
      </c>
      <c r="T229" s="575"/>
      <c r="U229" s="487"/>
      <c r="V229" s="576"/>
      <c r="W229" s="573"/>
      <c r="X229" s="574">
        <f t="shared" si="34"/>
        <v>0</v>
      </c>
      <c r="Y229" s="487"/>
      <c r="Z229" s="487"/>
      <c r="AA229" s="276">
        <f t="shared" si="35"/>
        <v>0</v>
      </c>
      <c r="AB229" s="573"/>
      <c r="AC229" s="487"/>
      <c r="AD229" s="573"/>
      <c r="AE229" s="487"/>
      <c r="AF229" s="577">
        <f t="shared" si="31"/>
        <v>0</v>
      </c>
      <c r="AG229" s="275">
        <f t="shared" si="32"/>
        <v>0</v>
      </c>
    </row>
    <row r="230" spans="1:33" s="578" customFormat="1" ht="12" customHeight="1">
      <c r="A230" s="568" t="s">
        <v>1270</v>
      </c>
      <c r="B230" s="594" t="s">
        <v>1412</v>
      </c>
      <c r="C230" s="593" t="s">
        <v>1761</v>
      </c>
      <c r="D230" s="585"/>
      <c r="E230" s="586"/>
      <c r="F230" s="573"/>
      <c r="G230" s="487"/>
      <c r="H230" s="573"/>
      <c r="I230" s="487"/>
      <c r="J230" s="573"/>
      <c r="K230" s="487"/>
      <c r="L230" s="573"/>
      <c r="M230" s="573"/>
      <c r="N230" s="456">
        <f t="shared" si="33"/>
        <v>0</v>
      </c>
      <c r="O230" s="487"/>
      <c r="P230" s="487"/>
      <c r="Q230" s="274">
        <f t="shared" si="28"/>
        <v>0</v>
      </c>
      <c r="R230" s="574">
        <f t="shared" si="29"/>
        <v>0</v>
      </c>
      <c r="S230" s="275">
        <f t="shared" si="30"/>
        <v>0</v>
      </c>
      <c r="T230" s="575"/>
      <c r="U230" s="487"/>
      <c r="V230" s="576"/>
      <c r="W230" s="573"/>
      <c r="X230" s="574">
        <f t="shared" si="34"/>
        <v>0</v>
      </c>
      <c r="Y230" s="487"/>
      <c r="Z230" s="487"/>
      <c r="AA230" s="276">
        <f t="shared" si="35"/>
        <v>0</v>
      </c>
      <c r="AB230" s="573"/>
      <c r="AC230" s="487"/>
      <c r="AD230" s="573"/>
      <c r="AE230" s="487"/>
      <c r="AF230" s="577">
        <f t="shared" si="31"/>
        <v>0</v>
      </c>
      <c r="AG230" s="275">
        <f t="shared" si="32"/>
        <v>0</v>
      </c>
    </row>
    <row r="231" spans="1:33" s="578" customFormat="1" ht="12" customHeight="1">
      <c r="A231" s="568" t="s">
        <v>1270</v>
      </c>
      <c r="B231" s="594" t="s">
        <v>1413</v>
      </c>
      <c r="C231" s="593" t="s">
        <v>422</v>
      </c>
      <c r="D231" s="585"/>
      <c r="E231" s="586"/>
      <c r="F231" s="573"/>
      <c r="G231" s="487"/>
      <c r="H231" s="573"/>
      <c r="I231" s="487"/>
      <c r="J231" s="573"/>
      <c r="K231" s="487"/>
      <c r="L231" s="573"/>
      <c r="M231" s="573"/>
      <c r="N231" s="456">
        <f t="shared" si="33"/>
        <v>0</v>
      </c>
      <c r="O231" s="487"/>
      <c r="P231" s="487"/>
      <c r="Q231" s="274">
        <f t="shared" si="28"/>
        <v>0</v>
      </c>
      <c r="R231" s="574">
        <f t="shared" si="29"/>
        <v>0</v>
      </c>
      <c r="S231" s="275">
        <f t="shared" si="30"/>
        <v>0</v>
      </c>
      <c r="T231" s="575"/>
      <c r="U231" s="487"/>
      <c r="V231" s="576"/>
      <c r="W231" s="573"/>
      <c r="X231" s="574">
        <f t="shared" si="34"/>
        <v>0</v>
      </c>
      <c r="Y231" s="487"/>
      <c r="Z231" s="487"/>
      <c r="AA231" s="276">
        <f t="shared" si="35"/>
        <v>0</v>
      </c>
      <c r="AB231" s="573"/>
      <c r="AC231" s="487"/>
      <c r="AD231" s="573"/>
      <c r="AE231" s="487"/>
      <c r="AF231" s="577">
        <f t="shared" si="31"/>
        <v>0</v>
      </c>
      <c r="AG231" s="275">
        <f t="shared" si="32"/>
        <v>0</v>
      </c>
    </row>
    <row r="232" spans="1:33" s="578" customFormat="1" ht="12" customHeight="1">
      <c r="A232" s="568" t="s">
        <v>1270</v>
      </c>
      <c r="B232" s="594" t="s">
        <v>1582</v>
      </c>
      <c r="C232" s="593" t="s">
        <v>1883</v>
      </c>
      <c r="D232" s="585"/>
      <c r="E232" s="586"/>
      <c r="F232" s="573"/>
      <c r="G232" s="487"/>
      <c r="H232" s="573"/>
      <c r="I232" s="487"/>
      <c r="J232" s="573"/>
      <c r="K232" s="487"/>
      <c r="L232" s="573"/>
      <c r="M232" s="573"/>
      <c r="N232" s="456">
        <f t="shared" si="33"/>
        <v>0</v>
      </c>
      <c r="O232" s="487"/>
      <c r="P232" s="487"/>
      <c r="Q232" s="274">
        <f t="shared" si="28"/>
        <v>0</v>
      </c>
      <c r="R232" s="574">
        <f t="shared" si="29"/>
        <v>0</v>
      </c>
      <c r="S232" s="275">
        <f t="shared" si="30"/>
        <v>0</v>
      </c>
      <c r="T232" s="575"/>
      <c r="U232" s="487"/>
      <c r="V232" s="576"/>
      <c r="W232" s="573"/>
      <c r="X232" s="574">
        <f t="shared" si="34"/>
        <v>0</v>
      </c>
      <c r="Y232" s="487"/>
      <c r="Z232" s="487"/>
      <c r="AA232" s="276">
        <f t="shared" si="35"/>
        <v>0</v>
      </c>
      <c r="AB232" s="573"/>
      <c r="AC232" s="487"/>
      <c r="AD232" s="573"/>
      <c r="AE232" s="487"/>
      <c r="AF232" s="577">
        <f t="shared" si="31"/>
        <v>0</v>
      </c>
      <c r="AG232" s="275">
        <f t="shared" si="32"/>
        <v>0</v>
      </c>
    </row>
    <row r="233" spans="1:33" s="578" customFormat="1" ht="12" customHeight="1">
      <c r="A233" s="568" t="s">
        <v>1270</v>
      </c>
      <c r="B233" s="594" t="s">
        <v>1583</v>
      </c>
      <c r="C233" s="593" t="s">
        <v>1761</v>
      </c>
      <c r="D233" s="585"/>
      <c r="E233" s="586"/>
      <c r="F233" s="573"/>
      <c r="G233" s="487"/>
      <c r="H233" s="573"/>
      <c r="I233" s="487"/>
      <c r="J233" s="573"/>
      <c r="K233" s="487"/>
      <c r="L233" s="573"/>
      <c r="M233" s="573"/>
      <c r="N233" s="456">
        <f t="shared" si="33"/>
        <v>0</v>
      </c>
      <c r="O233" s="487"/>
      <c r="P233" s="487"/>
      <c r="Q233" s="274">
        <f t="shared" si="28"/>
        <v>0</v>
      </c>
      <c r="R233" s="574">
        <f t="shared" si="29"/>
        <v>0</v>
      </c>
      <c r="S233" s="275">
        <f t="shared" si="30"/>
        <v>0</v>
      </c>
      <c r="T233" s="575"/>
      <c r="U233" s="487"/>
      <c r="V233" s="576"/>
      <c r="W233" s="573"/>
      <c r="X233" s="574">
        <f t="shared" si="34"/>
        <v>0</v>
      </c>
      <c r="Y233" s="487"/>
      <c r="Z233" s="487"/>
      <c r="AA233" s="276">
        <f t="shared" si="35"/>
        <v>0</v>
      </c>
      <c r="AB233" s="573"/>
      <c r="AC233" s="487"/>
      <c r="AD233" s="573"/>
      <c r="AE233" s="487"/>
      <c r="AF233" s="577">
        <f t="shared" si="31"/>
        <v>0</v>
      </c>
      <c r="AG233" s="275">
        <f t="shared" si="32"/>
        <v>0</v>
      </c>
    </row>
    <row r="234" spans="1:33" s="578" customFormat="1" ht="12" customHeight="1">
      <c r="A234" s="568" t="s">
        <v>1270</v>
      </c>
      <c r="B234" s="569" t="s">
        <v>1805</v>
      </c>
      <c r="C234" s="247" t="s">
        <v>423</v>
      </c>
      <c r="D234" s="585"/>
      <c r="E234" s="586"/>
      <c r="F234" s="573"/>
      <c r="G234" s="487"/>
      <c r="H234" s="573"/>
      <c r="I234" s="487"/>
      <c r="J234" s="573"/>
      <c r="K234" s="487"/>
      <c r="L234" s="573"/>
      <c r="M234" s="573"/>
      <c r="N234" s="456">
        <f t="shared" si="33"/>
        <v>0</v>
      </c>
      <c r="O234" s="487"/>
      <c r="P234" s="487"/>
      <c r="Q234" s="274">
        <f t="shared" si="28"/>
        <v>0</v>
      </c>
      <c r="R234" s="574">
        <f t="shared" si="29"/>
        <v>0</v>
      </c>
      <c r="S234" s="275">
        <f t="shared" si="30"/>
        <v>0</v>
      </c>
      <c r="T234" s="575"/>
      <c r="U234" s="487"/>
      <c r="V234" s="576"/>
      <c r="W234" s="573"/>
      <c r="X234" s="574">
        <f t="shared" si="34"/>
        <v>0</v>
      </c>
      <c r="Y234" s="487"/>
      <c r="Z234" s="487"/>
      <c r="AA234" s="276">
        <f t="shared" si="35"/>
        <v>0</v>
      </c>
      <c r="AB234" s="573"/>
      <c r="AC234" s="487"/>
      <c r="AD234" s="573"/>
      <c r="AE234" s="487"/>
      <c r="AF234" s="577">
        <f t="shared" si="31"/>
        <v>0</v>
      </c>
      <c r="AG234" s="275">
        <f t="shared" si="32"/>
        <v>0</v>
      </c>
    </row>
    <row r="235" spans="1:33" s="578" customFormat="1" ht="12" customHeight="1">
      <c r="A235" s="568" t="s">
        <v>1270</v>
      </c>
      <c r="B235" s="569" t="s">
        <v>1882</v>
      </c>
      <c r="C235" s="593" t="s">
        <v>1883</v>
      </c>
      <c r="D235" s="585"/>
      <c r="E235" s="586"/>
      <c r="F235" s="573"/>
      <c r="G235" s="487"/>
      <c r="H235" s="573"/>
      <c r="I235" s="487"/>
      <c r="J235" s="573"/>
      <c r="K235" s="487"/>
      <c r="L235" s="573"/>
      <c r="M235" s="573"/>
      <c r="N235" s="456">
        <f t="shared" si="33"/>
        <v>0</v>
      </c>
      <c r="O235" s="487"/>
      <c r="P235" s="487"/>
      <c r="Q235" s="274">
        <f t="shared" si="28"/>
        <v>0</v>
      </c>
      <c r="R235" s="574">
        <f t="shared" si="29"/>
        <v>0</v>
      </c>
      <c r="S235" s="275">
        <f t="shared" si="30"/>
        <v>0</v>
      </c>
      <c r="T235" s="575"/>
      <c r="U235" s="487"/>
      <c r="V235" s="576"/>
      <c r="W235" s="573"/>
      <c r="X235" s="574">
        <f t="shared" si="34"/>
        <v>0</v>
      </c>
      <c r="Y235" s="487"/>
      <c r="Z235" s="487"/>
      <c r="AA235" s="276">
        <f t="shared" si="35"/>
        <v>0</v>
      </c>
      <c r="AB235" s="573"/>
      <c r="AC235" s="487"/>
      <c r="AD235" s="573"/>
      <c r="AE235" s="487"/>
      <c r="AF235" s="577">
        <f t="shared" si="31"/>
        <v>0</v>
      </c>
      <c r="AG235" s="275">
        <f t="shared" si="32"/>
        <v>0</v>
      </c>
    </row>
    <row r="236" spans="1:33" s="578" customFormat="1" ht="12" customHeight="1">
      <c r="A236" s="568" t="s">
        <v>1270</v>
      </c>
      <c r="B236" s="569" t="s">
        <v>1763</v>
      </c>
      <c r="C236" s="593" t="s">
        <v>1761</v>
      </c>
      <c r="D236" s="585"/>
      <c r="E236" s="586"/>
      <c r="F236" s="573"/>
      <c r="G236" s="487"/>
      <c r="H236" s="573"/>
      <c r="I236" s="487"/>
      <c r="J236" s="573"/>
      <c r="K236" s="487"/>
      <c r="L236" s="573"/>
      <c r="M236" s="573"/>
      <c r="N236" s="456">
        <f t="shared" si="33"/>
        <v>0</v>
      </c>
      <c r="O236" s="487"/>
      <c r="P236" s="487"/>
      <c r="Q236" s="274">
        <f t="shared" si="28"/>
        <v>0</v>
      </c>
      <c r="R236" s="574">
        <f t="shared" si="29"/>
        <v>0</v>
      </c>
      <c r="S236" s="275">
        <f t="shared" si="30"/>
        <v>0</v>
      </c>
      <c r="T236" s="575">
        <v>408000</v>
      </c>
      <c r="U236" s="487">
        <v>304850</v>
      </c>
      <c r="V236" s="576"/>
      <c r="W236" s="573"/>
      <c r="X236" s="574">
        <f t="shared" si="34"/>
        <v>0</v>
      </c>
      <c r="Y236" s="487"/>
      <c r="Z236" s="487"/>
      <c r="AA236" s="276">
        <f t="shared" si="35"/>
        <v>0</v>
      </c>
      <c r="AB236" s="573"/>
      <c r="AC236" s="487"/>
      <c r="AD236" s="573"/>
      <c r="AE236" s="487"/>
      <c r="AF236" s="577">
        <f t="shared" si="31"/>
        <v>408000</v>
      </c>
      <c r="AG236" s="275">
        <f t="shared" si="32"/>
        <v>304850</v>
      </c>
    </row>
    <row r="237" spans="1:33" s="578" customFormat="1" ht="12" customHeight="1">
      <c r="A237" s="568" t="s">
        <v>1270</v>
      </c>
      <c r="B237" s="594" t="s">
        <v>1510</v>
      </c>
      <c r="C237" s="593" t="s">
        <v>421</v>
      </c>
      <c r="D237" s="585"/>
      <c r="E237" s="586"/>
      <c r="F237" s="573"/>
      <c r="G237" s="487"/>
      <c r="H237" s="573"/>
      <c r="I237" s="487"/>
      <c r="J237" s="573"/>
      <c r="K237" s="487"/>
      <c r="L237" s="573"/>
      <c r="M237" s="573"/>
      <c r="N237" s="456">
        <f t="shared" si="33"/>
        <v>0</v>
      </c>
      <c r="O237" s="487"/>
      <c r="P237" s="487"/>
      <c r="Q237" s="274">
        <f t="shared" si="28"/>
        <v>0</v>
      </c>
      <c r="R237" s="574">
        <f t="shared" si="29"/>
        <v>0</v>
      </c>
      <c r="S237" s="275">
        <f t="shared" si="30"/>
        <v>0</v>
      </c>
      <c r="T237" s="575"/>
      <c r="U237" s="487"/>
      <c r="V237" s="576"/>
      <c r="W237" s="573"/>
      <c r="X237" s="574">
        <f t="shared" si="34"/>
        <v>0</v>
      </c>
      <c r="Y237" s="487"/>
      <c r="Z237" s="487"/>
      <c r="AA237" s="276">
        <f t="shared" si="35"/>
        <v>0</v>
      </c>
      <c r="AB237" s="573"/>
      <c r="AC237" s="487"/>
      <c r="AD237" s="573"/>
      <c r="AE237" s="487"/>
      <c r="AF237" s="577">
        <f t="shared" si="31"/>
        <v>0</v>
      </c>
      <c r="AG237" s="275">
        <f t="shared" si="32"/>
        <v>0</v>
      </c>
    </row>
    <row r="238" spans="1:33" s="578" customFormat="1" ht="12" customHeight="1">
      <c r="A238" s="568" t="s">
        <v>1270</v>
      </c>
      <c r="B238" s="594" t="s">
        <v>1511</v>
      </c>
      <c r="C238" s="593" t="s">
        <v>1883</v>
      </c>
      <c r="D238" s="585"/>
      <c r="E238" s="586"/>
      <c r="F238" s="573"/>
      <c r="G238" s="487"/>
      <c r="H238" s="573"/>
      <c r="I238" s="487"/>
      <c r="J238" s="573"/>
      <c r="K238" s="487"/>
      <c r="L238" s="573"/>
      <c r="M238" s="573"/>
      <c r="N238" s="456">
        <f t="shared" si="33"/>
        <v>0</v>
      </c>
      <c r="O238" s="487"/>
      <c r="P238" s="487"/>
      <c r="Q238" s="274">
        <f t="shared" si="28"/>
        <v>0</v>
      </c>
      <c r="R238" s="574">
        <f t="shared" si="29"/>
        <v>0</v>
      </c>
      <c r="S238" s="275">
        <f t="shared" si="30"/>
        <v>0</v>
      </c>
      <c r="T238" s="575"/>
      <c r="U238" s="487"/>
      <c r="V238" s="576"/>
      <c r="W238" s="573"/>
      <c r="X238" s="574">
        <f t="shared" si="34"/>
        <v>0</v>
      </c>
      <c r="Y238" s="487"/>
      <c r="Z238" s="487"/>
      <c r="AA238" s="276">
        <f t="shared" si="35"/>
        <v>0</v>
      </c>
      <c r="AB238" s="573"/>
      <c r="AC238" s="487"/>
      <c r="AD238" s="573"/>
      <c r="AE238" s="487"/>
      <c r="AF238" s="577">
        <f t="shared" si="31"/>
        <v>0</v>
      </c>
      <c r="AG238" s="275">
        <f t="shared" si="32"/>
        <v>0</v>
      </c>
    </row>
    <row r="239" spans="1:33" s="578" customFormat="1" ht="12" customHeight="1">
      <c r="A239" s="568" t="s">
        <v>1270</v>
      </c>
      <c r="B239" s="594" t="s">
        <v>1412</v>
      </c>
      <c r="C239" s="593" t="s">
        <v>1761</v>
      </c>
      <c r="D239" s="585"/>
      <c r="E239" s="586"/>
      <c r="F239" s="573"/>
      <c r="G239" s="487"/>
      <c r="H239" s="573"/>
      <c r="I239" s="487"/>
      <c r="J239" s="573"/>
      <c r="K239" s="487"/>
      <c r="L239" s="573"/>
      <c r="M239" s="573"/>
      <c r="N239" s="456">
        <f t="shared" si="33"/>
        <v>0</v>
      </c>
      <c r="O239" s="487"/>
      <c r="P239" s="487"/>
      <c r="Q239" s="274">
        <f t="shared" si="28"/>
        <v>0</v>
      </c>
      <c r="R239" s="574">
        <f t="shared" si="29"/>
        <v>0</v>
      </c>
      <c r="S239" s="275">
        <f t="shared" si="30"/>
        <v>0</v>
      </c>
      <c r="T239" s="575"/>
      <c r="U239" s="487"/>
      <c r="V239" s="576"/>
      <c r="W239" s="573"/>
      <c r="X239" s="574">
        <f t="shared" si="34"/>
        <v>0</v>
      </c>
      <c r="Y239" s="487"/>
      <c r="Z239" s="487"/>
      <c r="AA239" s="276">
        <f t="shared" si="35"/>
        <v>0</v>
      </c>
      <c r="AB239" s="573"/>
      <c r="AC239" s="487"/>
      <c r="AD239" s="573"/>
      <c r="AE239" s="487"/>
      <c r="AF239" s="577">
        <f t="shared" si="31"/>
        <v>0</v>
      </c>
      <c r="AG239" s="275">
        <f t="shared" si="32"/>
        <v>0</v>
      </c>
    </row>
    <row r="240" spans="1:33" s="578" customFormat="1" ht="12" customHeight="1">
      <c r="A240" s="568" t="s">
        <v>1270</v>
      </c>
      <c r="B240" s="594" t="s">
        <v>1413</v>
      </c>
      <c r="C240" s="593" t="s">
        <v>422</v>
      </c>
      <c r="D240" s="585"/>
      <c r="E240" s="586"/>
      <c r="F240" s="573"/>
      <c r="G240" s="487"/>
      <c r="H240" s="573"/>
      <c r="I240" s="487"/>
      <c r="J240" s="573"/>
      <c r="K240" s="487"/>
      <c r="L240" s="573"/>
      <c r="M240" s="573"/>
      <c r="N240" s="456">
        <f t="shared" si="33"/>
        <v>0</v>
      </c>
      <c r="O240" s="487"/>
      <c r="P240" s="487"/>
      <c r="Q240" s="274">
        <f t="shared" si="28"/>
        <v>0</v>
      </c>
      <c r="R240" s="574">
        <f t="shared" si="29"/>
        <v>0</v>
      </c>
      <c r="S240" s="275">
        <f t="shared" si="30"/>
        <v>0</v>
      </c>
      <c r="T240" s="575"/>
      <c r="U240" s="487"/>
      <c r="V240" s="576"/>
      <c r="W240" s="573"/>
      <c r="X240" s="574">
        <f t="shared" si="34"/>
        <v>0</v>
      </c>
      <c r="Y240" s="487"/>
      <c r="Z240" s="487"/>
      <c r="AA240" s="276">
        <f t="shared" si="35"/>
        <v>0</v>
      </c>
      <c r="AB240" s="573"/>
      <c r="AC240" s="487"/>
      <c r="AD240" s="573"/>
      <c r="AE240" s="487"/>
      <c r="AF240" s="577">
        <f t="shared" si="31"/>
        <v>0</v>
      </c>
      <c r="AG240" s="275">
        <f t="shared" si="32"/>
        <v>0</v>
      </c>
    </row>
    <row r="241" spans="1:33" s="578" customFormat="1" ht="12" customHeight="1">
      <c r="A241" s="568" t="s">
        <v>1270</v>
      </c>
      <c r="B241" s="594" t="s">
        <v>1582</v>
      </c>
      <c r="C241" s="593" t="s">
        <v>1883</v>
      </c>
      <c r="D241" s="585"/>
      <c r="E241" s="586"/>
      <c r="F241" s="573"/>
      <c r="G241" s="487"/>
      <c r="H241" s="573"/>
      <c r="I241" s="487"/>
      <c r="J241" s="573"/>
      <c r="K241" s="487"/>
      <c r="L241" s="573"/>
      <c r="M241" s="573"/>
      <c r="N241" s="456">
        <f t="shared" si="33"/>
        <v>0</v>
      </c>
      <c r="O241" s="487"/>
      <c r="P241" s="487"/>
      <c r="Q241" s="274">
        <f t="shared" si="28"/>
        <v>0</v>
      </c>
      <c r="R241" s="574">
        <f t="shared" si="29"/>
        <v>0</v>
      </c>
      <c r="S241" s="275">
        <f t="shared" si="30"/>
        <v>0</v>
      </c>
      <c r="T241" s="575"/>
      <c r="U241" s="487"/>
      <c r="V241" s="576"/>
      <c r="W241" s="573"/>
      <c r="X241" s="574">
        <f t="shared" si="34"/>
        <v>0</v>
      </c>
      <c r="Y241" s="487"/>
      <c r="Z241" s="487"/>
      <c r="AA241" s="276">
        <f t="shared" si="35"/>
        <v>0</v>
      </c>
      <c r="AB241" s="573"/>
      <c r="AC241" s="487"/>
      <c r="AD241" s="573"/>
      <c r="AE241" s="487"/>
      <c r="AF241" s="577">
        <f t="shared" si="31"/>
        <v>0</v>
      </c>
      <c r="AG241" s="275">
        <f t="shared" si="32"/>
        <v>0</v>
      </c>
    </row>
    <row r="242" spans="1:33" s="578" customFormat="1" ht="12" customHeight="1">
      <c r="A242" s="568" t="s">
        <v>1270</v>
      </c>
      <c r="B242" s="594" t="s">
        <v>1583</v>
      </c>
      <c r="C242" s="593" t="s">
        <v>1761</v>
      </c>
      <c r="D242" s="585"/>
      <c r="E242" s="586"/>
      <c r="F242" s="573"/>
      <c r="G242" s="487"/>
      <c r="H242" s="573"/>
      <c r="I242" s="487"/>
      <c r="J242" s="573"/>
      <c r="K242" s="487"/>
      <c r="L242" s="573"/>
      <c r="M242" s="573"/>
      <c r="N242" s="456">
        <f t="shared" si="33"/>
        <v>0</v>
      </c>
      <c r="O242" s="487"/>
      <c r="P242" s="487"/>
      <c r="Q242" s="274">
        <f t="shared" si="28"/>
        <v>0</v>
      </c>
      <c r="R242" s="574">
        <f t="shared" si="29"/>
        <v>0</v>
      </c>
      <c r="S242" s="275">
        <f t="shared" si="30"/>
        <v>0</v>
      </c>
      <c r="T242" s="575"/>
      <c r="U242" s="487"/>
      <c r="V242" s="576"/>
      <c r="W242" s="573"/>
      <c r="X242" s="574">
        <f t="shared" si="34"/>
        <v>0</v>
      </c>
      <c r="Y242" s="487"/>
      <c r="Z242" s="487"/>
      <c r="AA242" s="276">
        <f t="shared" si="35"/>
        <v>0</v>
      </c>
      <c r="AB242" s="573"/>
      <c r="AC242" s="487"/>
      <c r="AD242" s="573"/>
      <c r="AE242" s="487"/>
      <c r="AF242" s="577">
        <f t="shared" si="31"/>
        <v>0</v>
      </c>
      <c r="AG242" s="275">
        <f t="shared" si="32"/>
        <v>0</v>
      </c>
    </row>
    <row r="243" spans="1:33" s="578" customFormat="1" ht="12" customHeight="1">
      <c r="A243" s="568" t="s">
        <v>1270</v>
      </c>
      <c r="B243" s="569" t="s">
        <v>1805</v>
      </c>
      <c r="C243" s="247" t="s">
        <v>424</v>
      </c>
      <c r="D243" s="585"/>
      <c r="E243" s="586"/>
      <c r="F243" s="573"/>
      <c r="G243" s="487"/>
      <c r="H243" s="573"/>
      <c r="I243" s="487"/>
      <c r="J243" s="573"/>
      <c r="K243" s="487"/>
      <c r="L243" s="573"/>
      <c r="M243" s="573"/>
      <c r="N243" s="456">
        <f t="shared" si="33"/>
        <v>0</v>
      </c>
      <c r="O243" s="487"/>
      <c r="P243" s="487"/>
      <c r="Q243" s="274">
        <f t="shared" si="28"/>
        <v>0</v>
      </c>
      <c r="R243" s="574">
        <f t="shared" si="29"/>
        <v>0</v>
      </c>
      <c r="S243" s="275">
        <f t="shared" si="30"/>
        <v>0</v>
      </c>
      <c r="T243" s="575"/>
      <c r="U243" s="487"/>
      <c r="V243" s="576"/>
      <c r="W243" s="573"/>
      <c r="X243" s="574">
        <f t="shared" si="34"/>
        <v>0</v>
      </c>
      <c r="Y243" s="487"/>
      <c r="Z243" s="487"/>
      <c r="AA243" s="276">
        <f t="shared" si="35"/>
        <v>0</v>
      </c>
      <c r="AB243" s="573"/>
      <c r="AC243" s="487"/>
      <c r="AD243" s="573"/>
      <c r="AE243" s="487"/>
      <c r="AF243" s="577">
        <f t="shared" si="31"/>
        <v>0</v>
      </c>
      <c r="AG243" s="275">
        <f t="shared" si="32"/>
        <v>0</v>
      </c>
    </row>
    <row r="244" spans="1:33" s="578" customFormat="1" ht="12" customHeight="1">
      <c r="A244" s="568" t="s">
        <v>1270</v>
      </c>
      <c r="B244" s="569" t="s">
        <v>1882</v>
      </c>
      <c r="C244" s="593" t="s">
        <v>1883</v>
      </c>
      <c r="D244" s="585"/>
      <c r="E244" s="586"/>
      <c r="F244" s="573"/>
      <c r="G244" s="487"/>
      <c r="H244" s="573"/>
      <c r="I244" s="487"/>
      <c r="J244" s="573"/>
      <c r="K244" s="487"/>
      <c r="L244" s="573"/>
      <c r="M244" s="573"/>
      <c r="N244" s="456">
        <f t="shared" si="33"/>
        <v>0</v>
      </c>
      <c r="O244" s="487"/>
      <c r="P244" s="487"/>
      <c r="Q244" s="274">
        <f t="shared" si="28"/>
        <v>0</v>
      </c>
      <c r="R244" s="574">
        <f t="shared" si="29"/>
        <v>0</v>
      </c>
      <c r="S244" s="275">
        <f t="shared" si="30"/>
        <v>0</v>
      </c>
      <c r="T244" s="575"/>
      <c r="U244" s="487"/>
      <c r="V244" s="576"/>
      <c r="W244" s="573"/>
      <c r="X244" s="574">
        <f t="shared" si="34"/>
        <v>0</v>
      </c>
      <c r="Y244" s="487"/>
      <c r="Z244" s="487"/>
      <c r="AA244" s="276">
        <f t="shared" si="35"/>
        <v>0</v>
      </c>
      <c r="AB244" s="573"/>
      <c r="AC244" s="487"/>
      <c r="AD244" s="573"/>
      <c r="AE244" s="487"/>
      <c r="AF244" s="577">
        <f t="shared" si="31"/>
        <v>0</v>
      </c>
      <c r="AG244" s="275">
        <f t="shared" si="32"/>
        <v>0</v>
      </c>
    </row>
    <row r="245" spans="1:33" s="578" customFormat="1" ht="12" customHeight="1">
      <c r="A245" s="568" t="s">
        <v>1270</v>
      </c>
      <c r="B245" s="569" t="s">
        <v>1763</v>
      </c>
      <c r="C245" s="593" t="s">
        <v>1761</v>
      </c>
      <c r="D245" s="585"/>
      <c r="E245" s="586"/>
      <c r="F245" s="573"/>
      <c r="G245" s="487"/>
      <c r="H245" s="573"/>
      <c r="I245" s="487"/>
      <c r="J245" s="573"/>
      <c r="K245" s="487"/>
      <c r="L245" s="573"/>
      <c r="M245" s="573"/>
      <c r="N245" s="456">
        <f t="shared" si="33"/>
        <v>0</v>
      </c>
      <c r="O245" s="487"/>
      <c r="P245" s="487"/>
      <c r="Q245" s="274">
        <f t="shared" si="28"/>
        <v>0</v>
      </c>
      <c r="R245" s="574">
        <f t="shared" si="29"/>
        <v>0</v>
      </c>
      <c r="S245" s="275">
        <f t="shared" si="30"/>
        <v>0</v>
      </c>
      <c r="T245" s="575">
        <v>188000</v>
      </c>
      <c r="U245" s="487">
        <v>171080</v>
      </c>
      <c r="V245" s="576"/>
      <c r="W245" s="573"/>
      <c r="X245" s="574">
        <f t="shared" si="34"/>
        <v>0</v>
      </c>
      <c r="Y245" s="487"/>
      <c r="Z245" s="487"/>
      <c r="AA245" s="276">
        <f t="shared" si="35"/>
        <v>0</v>
      </c>
      <c r="AB245" s="573"/>
      <c r="AC245" s="487"/>
      <c r="AD245" s="573"/>
      <c r="AE245" s="487"/>
      <c r="AF245" s="577">
        <f t="shared" si="31"/>
        <v>188000</v>
      </c>
      <c r="AG245" s="275">
        <f t="shared" si="32"/>
        <v>171080</v>
      </c>
    </row>
    <row r="246" spans="1:33" s="578" customFormat="1" ht="12" customHeight="1">
      <c r="A246" s="568" t="s">
        <v>1270</v>
      </c>
      <c r="B246" s="594" t="s">
        <v>1510</v>
      </c>
      <c r="C246" s="593" t="s">
        <v>421</v>
      </c>
      <c r="D246" s="585"/>
      <c r="E246" s="586"/>
      <c r="F246" s="573"/>
      <c r="G246" s="487"/>
      <c r="H246" s="573"/>
      <c r="I246" s="487"/>
      <c r="J246" s="573"/>
      <c r="K246" s="487"/>
      <c r="L246" s="573"/>
      <c r="M246" s="573"/>
      <c r="N246" s="456">
        <f t="shared" si="33"/>
        <v>0</v>
      </c>
      <c r="O246" s="487"/>
      <c r="P246" s="487"/>
      <c r="Q246" s="274">
        <f t="shared" si="28"/>
        <v>0</v>
      </c>
      <c r="R246" s="574">
        <f t="shared" si="29"/>
        <v>0</v>
      </c>
      <c r="S246" s="275">
        <f t="shared" si="30"/>
        <v>0</v>
      </c>
      <c r="T246" s="575"/>
      <c r="U246" s="487"/>
      <c r="V246" s="576"/>
      <c r="W246" s="573"/>
      <c r="X246" s="574">
        <f t="shared" si="34"/>
        <v>0</v>
      </c>
      <c r="Y246" s="487"/>
      <c r="Z246" s="487"/>
      <c r="AA246" s="276">
        <f t="shared" si="35"/>
        <v>0</v>
      </c>
      <c r="AB246" s="573"/>
      <c r="AC246" s="487"/>
      <c r="AD246" s="573"/>
      <c r="AE246" s="487"/>
      <c r="AF246" s="577">
        <f t="shared" si="31"/>
        <v>0</v>
      </c>
      <c r="AG246" s="275">
        <f t="shared" si="32"/>
        <v>0</v>
      </c>
    </row>
    <row r="247" spans="1:33" s="578" customFormat="1" ht="12" customHeight="1">
      <c r="A247" s="568" t="s">
        <v>1270</v>
      </c>
      <c r="B247" s="594" t="s">
        <v>1511</v>
      </c>
      <c r="C247" s="593" t="s">
        <v>1883</v>
      </c>
      <c r="D247" s="585"/>
      <c r="E247" s="586"/>
      <c r="F247" s="573"/>
      <c r="G247" s="487"/>
      <c r="H247" s="573"/>
      <c r="I247" s="487"/>
      <c r="J247" s="573"/>
      <c r="K247" s="487"/>
      <c r="L247" s="573"/>
      <c r="M247" s="573"/>
      <c r="N247" s="456">
        <f t="shared" si="33"/>
        <v>0</v>
      </c>
      <c r="O247" s="487"/>
      <c r="P247" s="487"/>
      <c r="Q247" s="274">
        <f t="shared" si="28"/>
        <v>0</v>
      </c>
      <c r="R247" s="574">
        <f t="shared" si="29"/>
        <v>0</v>
      </c>
      <c r="S247" s="275">
        <f t="shared" si="30"/>
        <v>0</v>
      </c>
      <c r="T247" s="575"/>
      <c r="U247" s="487"/>
      <c r="V247" s="576"/>
      <c r="W247" s="573"/>
      <c r="X247" s="574">
        <f t="shared" si="34"/>
        <v>0</v>
      </c>
      <c r="Y247" s="487"/>
      <c r="Z247" s="487"/>
      <c r="AA247" s="276">
        <f t="shared" si="35"/>
        <v>0</v>
      </c>
      <c r="AB247" s="573"/>
      <c r="AC247" s="487"/>
      <c r="AD247" s="573"/>
      <c r="AE247" s="487"/>
      <c r="AF247" s="577">
        <f t="shared" si="31"/>
        <v>0</v>
      </c>
      <c r="AG247" s="275">
        <f t="shared" si="32"/>
        <v>0</v>
      </c>
    </row>
    <row r="248" spans="1:33" s="578" customFormat="1" ht="12" customHeight="1">
      <c r="A248" s="568" t="s">
        <v>1270</v>
      </c>
      <c r="B248" s="594" t="s">
        <v>1412</v>
      </c>
      <c r="C248" s="593" t="s">
        <v>1761</v>
      </c>
      <c r="D248" s="585"/>
      <c r="E248" s="586"/>
      <c r="F248" s="573"/>
      <c r="G248" s="487"/>
      <c r="H248" s="573"/>
      <c r="I248" s="487"/>
      <c r="J248" s="573"/>
      <c r="K248" s="487"/>
      <c r="L248" s="573"/>
      <c r="M248" s="573"/>
      <c r="N248" s="456">
        <f t="shared" si="33"/>
        <v>0</v>
      </c>
      <c r="O248" s="487"/>
      <c r="P248" s="487"/>
      <c r="Q248" s="274">
        <f t="shared" si="28"/>
        <v>0</v>
      </c>
      <c r="R248" s="574">
        <f t="shared" si="29"/>
        <v>0</v>
      </c>
      <c r="S248" s="275">
        <f t="shared" si="30"/>
        <v>0</v>
      </c>
      <c r="T248" s="575"/>
      <c r="U248" s="487"/>
      <c r="V248" s="576"/>
      <c r="W248" s="573"/>
      <c r="X248" s="574">
        <f t="shared" si="34"/>
        <v>0</v>
      </c>
      <c r="Y248" s="487"/>
      <c r="Z248" s="487"/>
      <c r="AA248" s="276">
        <f t="shared" si="35"/>
        <v>0</v>
      </c>
      <c r="AB248" s="573"/>
      <c r="AC248" s="487"/>
      <c r="AD248" s="573"/>
      <c r="AE248" s="487"/>
      <c r="AF248" s="577">
        <f t="shared" si="31"/>
        <v>0</v>
      </c>
      <c r="AG248" s="275">
        <f t="shared" si="32"/>
        <v>0</v>
      </c>
    </row>
    <row r="249" spans="1:33" s="578" customFormat="1" ht="12" customHeight="1">
      <c r="A249" s="568" t="s">
        <v>1270</v>
      </c>
      <c r="B249" s="594" t="s">
        <v>1413</v>
      </c>
      <c r="C249" s="593" t="s">
        <v>422</v>
      </c>
      <c r="D249" s="585"/>
      <c r="E249" s="586"/>
      <c r="F249" s="573"/>
      <c r="G249" s="487"/>
      <c r="H249" s="573"/>
      <c r="I249" s="487"/>
      <c r="J249" s="573"/>
      <c r="K249" s="487"/>
      <c r="L249" s="573"/>
      <c r="M249" s="573"/>
      <c r="N249" s="456">
        <f t="shared" si="33"/>
        <v>0</v>
      </c>
      <c r="O249" s="487"/>
      <c r="P249" s="487"/>
      <c r="Q249" s="274">
        <f t="shared" si="28"/>
        <v>0</v>
      </c>
      <c r="R249" s="574">
        <f t="shared" si="29"/>
        <v>0</v>
      </c>
      <c r="S249" s="275">
        <f t="shared" si="30"/>
        <v>0</v>
      </c>
      <c r="T249" s="575"/>
      <c r="U249" s="487"/>
      <c r="V249" s="576"/>
      <c r="W249" s="573"/>
      <c r="X249" s="574">
        <f t="shared" si="34"/>
        <v>0</v>
      </c>
      <c r="Y249" s="487"/>
      <c r="Z249" s="487"/>
      <c r="AA249" s="276">
        <f t="shared" si="35"/>
        <v>0</v>
      </c>
      <c r="AB249" s="573"/>
      <c r="AC249" s="487"/>
      <c r="AD249" s="573"/>
      <c r="AE249" s="487"/>
      <c r="AF249" s="577">
        <f t="shared" si="31"/>
        <v>0</v>
      </c>
      <c r="AG249" s="275">
        <f t="shared" si="32"/>
        <v>0</v>
      </c>
    </row>
    <row r="250" spans="1:33" s="578" customFormat="1" ht="12" customHeight="1">
      <c r="A250" s="568" t="s">
        <v>1270</v>
      </c>
      <c r="B250" s="594" t="s">
        <v>1582</v>
      </c>
      <c r="C250" s="593" t="s">
        <v>1883</v>
      </c>
      <c r="D250" s="585"/>
      <c r="E250" s="586"/>
      <c r="F250" s="573"/>
      <c r="G250" s="487"/>
      <c r="H250" s="573"/>
      <c r="I250" s="487"/>
      <c r="J250" s="573"/>
      <c r="K250" s="487"/>
      <c r="L250" s="573"/>
      <c r="M250" s="573"/>
      <c r="N250" s="456">
        <f t="shared" si="33"/>
        <v>0</v>
      </c>
      <c r="O250" s="487"/>
      <c r="P250" s="487"/>
      <c r="Q250" s="274">
        <f t="shared" si="28"/>
        <v>0</v>
      </c>
      <c r="R250" s="574">
        <f t="shared" si="29"/>
        <v>0</v>
      </c>
      <c r="S250" s="275">
        <f t="shared" si="30"/>
        <v>0</v>
      </c>
      <c r="T250" s="575"/>
      <c r="U250" s="487"/>
      <c r="V250" s="576"/>
      <c r="W250" s="573"/>
      <c r="X250" s="574">
        <f t="shared" si="34"/>
        <v>0</v>
      </c>
      <c r="Y250" s="487"/>
      <c r="Z250" s="487"/>
      <c r="AA250" s="276">
        <f t="shared" si="35"/>
        <v>0</v>
      </c>
      <c r="AB250" s="573"/>
      <c r="AC250" s="487"/>
      <c r="AD250" s="573"/>
      <c r="AE250" s="487"/>
      <c r="AF250" s="577">
        <f t="shared" si="31"/>
        <v>0</v>
      </c>
      <c r="AG250" s="275">
        <f t="shared" si="32"/>
        <v>0</v>
      </c>
    </row>
    <row r="251" spans="1:33" s="578" customFormat="1" ht="12" customHeight="1">
      <c r="A251" s="568" t="s">
        <v>1270</v>
      </c>
      <c r="B251" s="594" t="s">
        <v>1583</v>
      </c>
      <c r="C251" s="593" t="s">
        <v>1761</v>
      </c>
      <c r="D251" s="585"/>
      <c r="E251" s="586"/>
      <c r="F251" s="573"/>
      <c r="G251" s="487"/>
      <c r="H251" s="573"/>
      <c r="I251" s="487"/>
      <c r="J251" s="573"/>
      <c r="K251" s="487"/>
      <c r="L251" s="573"/>
      <c r="M251" s="573"/>
      <c r="N251" s="456">
        <f t="shared" si="33"/>
        <v>0</v>
      </c>
      <c r="O251" s="487"/>
      <c r="P251" s="487"/>
      <c r="Q251" s="274">
        <f t="shared" si="28"/>
        <v>0</v>
      </c>
      <c r="R251" s="574">
        <f t="shared" si="29"/>
        <v>0</v>
      </c>
      <c r="S251" s="275">
        <f t="shared" si="30"/>
        <v>0</v>
      </c>
      <c r="T251" s="575"/>
      <c r="U251" s="487"/>
      <c r="V251" s="576"/>
      <c r="W251" s="573"/>
      <c r="X251" s="574">
        <f t="shared" si="34"/>
        <v>0</v>
      </c>
      <c r="Y251" s="487"/>
      <c r="Z251" s="487"/>
      <c r="AA251" s="276">
        <f t="shared" si="35"/>
        <v>0</v>
      </c>
      <c r="AB251" s="573"/>
      <c r="AC251" s="487"/>
      <c r="AD251" s="573"/>
      <c r="AE251" s="487"/>
      <c r="AF251" s="577">
        <f t="shared" si="31"/>
        <v>0</v>
      </c>
      <c r="AG251" s="275">
        <f t="shared" si="32"/>
        <v>0</v>
      </c>
    </row>
    <row r="252" spans="1:33" s="578" customFormat="1" ht="12" customHeight="1">
      <c r="A252" s="568" t="s">
        <v>1270</v>
      </c>
      <c r="B252" s="569" t="s">
        <v>1805</v>
      </c>
      <c r="C252" s="247" t="s">
        <v>425</v>
      </c>
      <c r="D252" s="585"/>
      <c r="E252" s="586"/>
      <c r="F252" s="573"/>
      <c r="G252" s="487"/>
      <c r="H252" s="573"/>
      <c r="I252" s="487"/>
      <c r="J252" s="573"/>
      <c r="K252" s="487"/>
      <c r="L252" s="573"/>
      <c r="M252" s="573"/>
      <c r="N252" s="456">
        <f t="shared" si="33"/>
        <v>0</v>
      </c>
      <c r="O252" s="487"/>
      <c r="P252" s="487"/>
      <c r="Q252" s="274">
        <f t="shared" si="28"/>
        <v>0</v>
      </c>
      <c r="R252" s="574">
        <f t="shared" si="29"/>
        <v>0</v>
      </c>
      <c r="S252" s="275">
        <f t="shared" si="30"/>
        <v>0</v>
      </c>
      <c r="T252" s="575"/>
      <c r="U252" s="487"/>
      <c r="V252" s="576"/>
      <c r="W252" s="573"/>
      <c r="X252" s="574">
        <f t="shared" si="34"/>
        <v>0</v>
      </c>
      <c r="Y252" s="487"/>
      <c r="Z252" s="487"/>
      <c r="AA252" s="276">
        <f t="shared" si="35"/>
        <v>0</v>
      </c>
      <c r="AB252" s="573"/>
      <c r="AC252" s="487"/>
      <c r="AD252" s="573"/>
      <c r="AE252" s="487"/>
      <c r="AF252" s="577">
        <f t="shared" si="31"/>
        <v>0</v>
      </c>
      <c r="AG252" s="275">
        <f t="shared" si="32"/>
        <v>0</v>
      </c>
    </row>
    <row r="253" spans="1:33" s="578" customFormat="1" ht="12" customHeight="1">
      <c r="A253" s="568" t="s">
        <v>1270</v>
      </c>
      <c r="B253" s="569" t="s">
        <v>1882</v>
      </c>
      <c r="C253" s="593" t="s">
        <v>1883</v>
      </c>
      <c r="D253" s="585"/>
      <c r="E253" s="586"/>
      <c r="F253" s="573"/>
      <c r="G253" s="487"/>
      <c r="H253" s="573"/>
      <c r="I253" s="487"/>
      <c r="J253" s="573"/>
      <c r="K253" s="487"/>
      <c r="L253" s="573"/>
      <c r="M253" s="573"/>
      <c r="N253" s="456">
        <f t="shared" si="33"/>
        <v>0</v>
      </c>
      <c r="O253" s="487"/>
      <c r="P253" s="487"/>
      <c r="Q253" s="274">
        <f t="shared" si="28"/>
        <v>0</v>
      </c>
      <c r="R253" s="574">
        <f t="shared" si="29"/>
        <v>0</v>
      </c>
      <c r="S253" s="275">
        <f t="shared" si="30"/>
        <v>0</v>
      </c>
      <c r="T253" s="575"/>
      <c r="U253" s="487"/>
      <c r="V253" s="576"/>
      <c r="W253" s="573"/>
      <c r="X253" s="574">
        <f t="shared" si="34"/>
        <v>0</v>
      </c>
      <c r="Y253" s="487"/>
      <c r="Z253" s="487"/>
      <c r="AA253" s="276">
        <f t="shared" si="35"/>
        <v>0</v>
      </c>
      <c r="AB253" s="573"/>
      <c r="AC253" s="487"/>
      <c r="AD253" s="573"/>
      <c r="AE253" s="487"/>
      <c r="AF253" s="577">
        <f t="shared" si="31"/>
        <v>0</v>
      </c>
      <c r="AG253" s="275">
        <f t="shared" si="32"/>
        <v>0</v>
      </c>
    </row>
    <row r="254" spans="1:33" s="578" customFormat="1" ht="12" customHeight="1">
      <c r="A254" s="568" t="s">
        <v>1270</v>
      </c>
      <c r="B254" s="569" t="s">
        <v>1763</v>
      </c>
      <c r="C254" s="593" t="s">
        <v>1761</v>
      </c>
      <c r="D254" s="585"/>
      <c r="E254" s="586"/>
      <c r="F254" s="573"/>
      <c r="G254" s="487"/>
      <c r="H254" s="573"/>
      <c r="I254" s="487"/>
      <c r="J254" s="573"/>
      <c r="K254" s="487"/>
      <c r="L254" s="573"/>
      <c r="M254" s="573"/>
      <c r="N254" s="456">
        <f t="shared" si="33"/>
        <v>0</v>
      </c>
      <c r="O254" s="487"/>
      <c r="P254" s="487"/>
      <c r="Q254" s="274">
        <f t="shared" si="28"/>
        <v>0</v>
      </c>
      <c r="R254" s="574">
        <f t="shared" si="29"/>
        <v>0</v>
      </c>
      <c r="S254" s="275">
        <f t="shared" si="30"/>
        <v>0</v>
      </c>
      <c r="T254" s="575"/>
      <c r="U254" s="487"/>
      <c r="V254" s="576"/>
      <c r="W254" s="573"/>
      <c r="X254" s="574">
        <f t="shared" si="34"/>
        <v>0</v>
      </c>
      <c r="Y254" s="487"/>
      <c r="Z254" s="487"/>
      <c r="AA254" s="276">
        <f t="shared" si="35"/>
        <v>0</v>
      </c>
      <c r="AB254" s="573"/>
      <c r="AC254" s="487"/>
      <c r="AD254" s="573"/>
      <c r="AE254" s="487"/>
      <c r="AF254" s="577">
        <f t="shared" si="31"/>
        <v>0</v>
      </c>
      <c r="AG254" s="275">
        <f t="shared" si="32"/>
        <v>0</v>
      </c>
    </row>
    <row r="255" spans="1:33" s="578" customFormat="1" ht="12" customHeight="1">
      <c r="A255" s="568" t="s">
        <v>1270</v>
      </c>
      <c r="B255" s="594" t="s">
        <v>1510</v>
      </c>
      <c r="C255" s="593" t="s">
        <v>421</v>
      </c>
      <c r="D255" s="585"/>
      <c r="E255" s="586"/>
      <c r="F255" s="573"/>
      <c r="G255" s="487"/>
      <c r="H255" s="573"/>
      <c r="I255" s="487"/>
      <c r="J255" s="573"/>
      <c r="K255" s="487"/>
      <c r="L255" s="573"/>
      <c r="M255" s="573"/>
      <c r="N255" s="456">
        <f t="shared" si="33"/>
        <v>0</v>
      </c>
      <c r="O255" s="487"/>
      <c r="P255" s="487"/>
      <c r="Q255" s="274">
        <f t="shared" si="28"/>
        <v>0</v>
      </c>
      <c r="R255" s="574">
        <f t="shared" si="29"/>
        <v>0</v>
      </c>
      <c r="S255" s="275">
        <f t="shared" si="30"/>
        <v>0</v>
      </c>
      <c r="T255" s="575"/>
      <c r="U255" s="487"/>
      <c r="V255" s="576"/>
      <c r="W255" s="573"/>
      <c r="X255" s="574">
        <f t="shared" si="34"/>
        <v>0</v>
      </c>
      <c r="Y255" s="487"/>
      <c r="Z255" s="487"/>
      <c r="AA255" s="276">
        <f t="shared" si="35"/>
        <v>0</v>
      </c>
      <c r="AB255" s="573"/>
      <c r="AC255" s="487"/>
      <c r="AD255" s="573"/>
      <c r="AE255" s="487"/>
      <c r="AF255" s="577">
        <f t="shared" si="31"/>
        <v>0</v>
      </c>
      <c r="AG255" s="275">
        <f t="shared" si="32"/>
        <v>0</v>
      </c>
    </row>
    <row r="256" spans="1:33" s="578" customFormat="1" ht="12" customHeight="1">
      <c r="A256" s="568" t="s">
        <v>1270</v>
      </c>
      <c r="B256" s="594" t="s">
        <v>1511</v>
      </c>
      <c r="C256" s="593" t="s">
        <v>1883</v>
      </c>
      <c r="D256" s="585"/>
      <c r="E256" s="586"/>
      <c r="F256" s="573"/>
      <c r="G256" s="487"/>
      <c r="H256" s="573"/>
      <c r="I256" s="487"/>
      <c r="J256" s="573"/>
      <c r="K256" s="487"/>
      <c r="L256" s="573"/>
      <c r="M256" s="573"/>
      <c r="N256" s="456">
        <f t="shared" si="33"/>
        <v>0</v>
      </c>
      <c r="O256" s="487"/>
      <c r="P256" s="487"/>
      <c r="Q256" s="274">
        <f t="shared" si="28"/>
        <v>0</v>
      </c>
      <c r="R256" s="574">
        <f t="shared" si="29"/>
        <v>0</v>
      </c>
      <c r="S256" s="275">
        <f t="shared" si="30"/>
        <v>0</v>
      </c>
      <c r="T256" s="575"/>
      <c r="U256" s="487"/>
      <c r="V256" s="576"/>
      <c r="W256" s="573"/>
      <c r="X256" s="574">
        <f t="shared" si="34"/>
        <v>0</v>
      </c>
      <c r="Y256" s="487"/>
      <c r="Z256" s="487"/>
      <c r="AA256" s="276">
        <f t="shared" si="35"/>
        <v>0</v>
      </c>
      <c r="AB256" s="573"/>
      <c r="AC256" s="487"/>
      <c r="AD256" s="573"/>
      <c r="AE256" s="487"/>
      <c r="AF256" s="577">
        <f t="shared" si="31"/>
        <v>0</v>
      </c>
      <c r="AG256" s="275">
        <f t="shared" si="32"/>
        <v>0</v>
      </c>
    </row>
    <row r="257" spans="1:33" s="578" customFormat="1" ht="12" customHeight="1">
      <c r="A257" s="568" t="s">
        <v>1270</v>
      </c>
      <c r="B257" s="594" t="s">
        <v>1412</v>
      </c>
      <c r="C257" s="593" t="s">
        <v>1761</v>
      </c>
      <c r="D257" s="585"/>
      <c r="E257" s="586"/>
      <c r="F257" s="573"/>
      <c r="G257" s="487"/>
      <c r="H257" s="573"/>
      <c r="I257" s="487"/>
      <c r="J257" s="573"/>
      <c r="K257" s="487"/>
      <c r="L257" s="573"/>
      <c r="M257" s="573"/>
      <c r="N257" s="456">
        <f t="shared" si="33"/>
        <v>0</v>
      </c>
      <c r="O257" s="487"/>
      <c r="P257" s="487"/>
      <c r="Q257" s="274">
        <f t="shared" si="28"/>
        <v>0</v>
      </c>
      <c r="R257" s="574">
        <f t="shared" si="29"/>
        <v>0</v>
      </c>
      <c r="S257" s="275">
        <f t="shared" si="30"/>
        <v>0</v>
      </c>
      <c r="T257" s="575"/>
      <c r="U257" s="487"/>
      <c r="V257" s="576"/>
      <c r="W257" s="573"/>
      <c r="X257" s="574">
        <f t="shared" si="34"/>
        <v>0</v>
      </c>
      <c r="Y257" s="487"/>
      <c r="Z257" s="487"/>
      <c r="AA257" s="276">
        <f t="shared" si="35"/>
        <v>0</v>
      </c>
      <c r="AB257" s="573"/>
      <c r="AC257" s="487"/>
      <c r="AD257" s="573"/>
      <c r="AE257" s="487"/>
      <c r="AF257" s="577">
        <f t="shared" si="31"/>
        <v>0</v>
      </c>
      <c r="AG257" s="275">
        <f t="shared" si="32"/>
        <v>0</v>
      </c>
    </row>
    <row r="258" spans="1:33" s="578" customFormat="1" ht="12" customHeight="1">
      <c r="A258" s="568" t="s">
        <v>1270</v>
      </c>
      <c r="B258" s="594" t="s">
        <v>1413</v>
      </c>
      <c r="C258" s="593" t="s">
        <v>422</v>
      </c>
      <c r="D258" s="585"/>
      <c r="E258" s="586"/>
      <c r="F258" s="573"/>
      <c r="G258" s="487"/>
      <c r="H258" s="573"/>
      <c r="I258" s="487"/>
      <c r="J258" s="573"/>
      <c r="K258" s="487"/>
      <c r="L258" s="573"/>
      <c r="M258" s="573"/>
      <c r="N258" s="456">
        <f t="shared" si="33"/>
        <v>0</v>
      </c>
      <c r="O258" s="487"/>
      <c r="P258" s="487"/>
      <c r="Q258" s="274">
        <f t="shared" si="28"/>
        <v>0</v>
      </c>
      <c r="R258" s="574">
        <f t="shared" si="29"/>
        <v>0</v>
      </c>
      <c r="S258" s="275">
        <f t="shared" si="30"/>
        <v>0</v>
      </c>
      <c r="T258" s="575"/>
      <c r="U258" s="487"/>
      <c r="V258" s="576"/>
      <c r="W258" s="573"/>
      <c r="X258" s="574">
        <f t="shared" si="34"/>
        <v>0</v>
      </c>
      <c r="Y258" s="487"/>
      <c r="Z258" s="487"/>
      <c r="AA258" s="276">
        <f t="shared" si="35"/>
        <v>0</v>
      </c>
      <c r="AB258" s="573"/>
      <c r="AC258" s="487"/>
      <c r="AD258" s="573"/>
      <c r="AE258" s="487"/>
      <c r="AF258" s="577">
        <f t="shared" si="31"/>
        <v>0</v>
      </c>
      <c r="AG258" s="275">
        <f t="shared" si="32"/>
        <v>0</v>
      </c>
    </row>
    <row r="259" spans="1:33" s="578" customFormat="1" ht="12" customHeight="1">
      <c r="A259" s="568" t="s">
        <v>1270</v>
      </c>
      <c r="B259" s="594" t="s">
        <v>1582</v>
      </c>
      <c r="C259" s="593" t="s">
        <v>1883</v>
      </c>
      <c r="D259" s="585"/>
      <c r="E259" s="586"/>
      <c r="F259" s="573"/>
      <c r="G259" s="487"/>
      <c r="H259" s="573"/>
      <c r="I259" s="487"/>
      <c r="J259" s="573"/>
      <c r="K259" s="487"/>
      <c r="L259" s="573"/>
      <c r="M259" s="573"/>
      <c r="N259" s="456">
        <f t="shared" si="33"/>
        <v>0</v>
      </c>
      <c r="O259" s="487"/>
      <c r="P259" s="487"/>
      <c r="Q259" s="274">
        <f t="shared" si="28"/>
        <v>0</v>
      </c>
      <c r="R259" s="574">
        <f t="shared" si="29"/>
        <v>0</v>
      </c>
      <c r="S259" s="275">
        <f t="shared" si="30"/>
        <v>0</v>
      </c>
      <c r="T259" s="575"/>
      <c r="U259" s="487"/>
      <c r="V259" s="576"/>
      <c r="W259" s="573"/>
      <c r="X259" s="574">
        <f t="shared" si="34"/>
        <v>0</v>
      </c>
      <c r="Y259" s="487"/>
      <c r="Z259" s="487"/>
      <c r="AA259" s="276">
        <f t="shared" si="35"/>
        <v>0</v>
      </c>
      <c r="AB259" s="573"/>
      <c r="AC259" s="487"/>
      <c r="AD259" s="573"/>
      <c r="AE259" s="487"/>
      <c r="AF259" s="577">
        <f t="shared" si="31"/>
        <v>0</v>
      </c>
      <c r="AG259" s="275">
        <f t="shared" si="32"/>
        <v>0</v>
      </c>
    </row>
    <row r="260" spans="1:33" s="578" customFormat="1" ht="12" customHeight="1">
      <c r="A260" s="568" t="s">
        <v>1270</v>
      </c>
      <c r="B260" s="594" t="s">
        <v>1583</v>
      </c>
      <c r="C260" s="593" t="s">
        <v>1761</v>
      </c>
      <c r="D260" s="585"/>
      <c r="E260" s="586"/>
      <c r="F260" s="573"/>
      <c r="G260" s="487"/>
      <c r="H260" s="573"/>
      <c r="I260" s="487"/>
      <c r="J260" s="573"/>
      <c r="K260" s="487"/>
      <c r="L260" s="573"/>
      <c r="M260" s="573"/>
      <c r="N260" s="456">
        <f t="shared" si="33"/>
        <v>0</v>
      </c>
      <c r="O260" s="487"/>
      <c r="P260" s="487"/>
      <c r="Q260" s="274">
        <f t="shared" si="28"/>
        <v>0</v>
      </c>
      <c r="R260" s="574">
        <f t="shared" si="29"/>
        <v>0</v>
      </c>
      <c r="S260" s="275">
        <f t="shared" si="30"/>
        <v>0</v>
      </c>
      <c r="T260" s="575">
        <v>32000</v>
      </c>
      <c r="U260" s="487">
        <v>32760</v>
      </c>
      <c r="V260" s="576"/>
      <c r="W260" s="573"/>
      <c r="X260" s="574">
        <f t="shared" si="34"/>
        <v>0</v>
      </c>
      <c r="Y260" s="487"/>
      <c r="Z260" s="487"/>
      <c r="AA260" s="276">
        <f t="shared" si="35"/>
        <v>0</v>
      </c>
      <c r="AB260" s="573"/>
      <c r="AC260" s="487"/>
      <c r="AD260" s="573"/>
      <c r="AE260" s="487"/>
      <c r="AF260" s="577">
        <f t="shared" si="31"/>
        <v>32000</v>
      </c>
      <c r="AG260" s="275">
        <f t="shared" si="32"/>
        <v>32760</v>
      </c>
    </row>
    <row r="261" spans="1:33" s="578" customFormat="1" ht="12" customHeight="1">
      <c r="A261" s="568" t="s">
        <v>1270</v>
      </c>
      <c r="B261" s="569" t="s">
        <v>1805</v>
      </c>
      <c r="C261" s="247" t="s">
        <v>426</v>
      </c>
      <c r="D261" s="585"/>
      <c r="E261" s="586"/>
      <c r="F261" s="573"/>
      <c r="G261" s="487"/>
      <c r="H261" s="573"/>
      <c r="I261" s="487"/>
      <c r="J261" s="573"/>
      <c r="K261" s="487"/>
      <c r="L261" s="573"/>
      <c r="M261" s="573"/>
      <c r="N261" s="456">
        <f t="shared" si="33"/>
        <v>0</v>
      </c>
      <c r="O261" s="487"/>
      <c r="P261" s="487"/>
      <c r="Q261" s="274">
        <f t="shared" si="28"/>
        <v>0</v>
      </c>
      <c r="R261" s="574">
        <f t="shared" si="29"/>
        <v>0</v>
      </c>
      <c r="S261" s="275">
        <f t="shared" si="30"/>
        <v>0</v>
      </c>
      <c r="T261" s="575"/>
      <c r="U261" s="487"/>
      <c r="V261" s="576"/>
      <c r="W261" s="573"/>
      <c r="X261" s="574">
        <f t="shared" si="34"/>
        <v>0</v>
      </c>
      <c r="Y261" s="487"/>
      <c r="Z261" s="487"/>
      <c r="AA261" s="276">
        <f t="shared" si="35"/>
        <v>0</v>
      </c>
      <c r="AB261" s="573"/>
      <c r="AC261" s="487"/>
      <c r="AD261" s="573"/>
      <c r="AE261" s="487"/>
      <c r="AF261" s="577">
        <f t="shared" si="31"/>
        <v>0</v>
      </c>
      <c r="AG261" s="275">
        <f t="shared" si="32"/>
        <v>0</v>
      </c>
    </row>
    <row r="262" spans="1:33" s="578" customFormat="1" ht="12" customHeight="1">
      <c r="A262" s="568" t="s">
        <v>1270</v>
      </c>
      <c r="B262" s="569" t="s">
        <v>1882</v>
      </c>
      <c r="C262" s="593" t="s">
        <v>1883</v>
      </c>
      <c r="D262" s="585"/>
      <c r="E262" s="586"/>
      <c r="F262" s="573"/>
      <c r="G262" s="487"/>
      <c r="H262" s="573"/>
      <c r="I262" s="487"/>
      <c r="J262" s="573"/>
      <c r="K262" s="487"/>
      <c r="L262" s="573"/>
      <c r="M262" s="573"/>
      <c r="N262" s="456">
        <f t="shared" si="33"/>
        <v>0</v>
      </c>
      <c r="O262" s="487"/>
      <c r="P262" s="487"/>
      <c r="Q262" s="274">
        <f t="shared" si="28"/>
        <v>0</v>
      </c>
      <c r="R262" s="574">
        <f t="shared" si="29"/>
        <v>0</v>
      </c>
      <c r="S262" s="275">
        <f t="shared" si="30"/>
        <v>0</v>
      </c>
      <c r="T262" s="575"/>
      <c r="U262" s="487"/>
      <c r="V262" s="576"/>
      <c r="W262" s="573"/>
      <c r="X262" s="574">
        <f t="shared" si="34"/>
        <v>0</v>
      </c>
      <c r="Y262" s="487"/>
      <c r="Z262" s="487"/>
      <c r="AA262" s="276">
        <f t="shared" si="35"/>
        <v>0</v>
      </c>
      <c r="AB262" s="573"/>
      <c r="AC262" s="487"/>
      <c r="AD262" s="573"/>
      <c r="AE262" s="487"/>
      <c r="AF262" s="577">
        <f t="shared" si="31"/>
        <v>0</v>
      </c>
      <c r="AG262" s="275">
        <f t="shared" si="32"/>
        <v>0</v>
      </c>
    </row>
    <row r="263" spans="1:33" s="578" customFormat="1" ht="12" customHeight="1">
      <c r="A263" s="568" t="s">
        <v>1270</v>
      </c>
      <c r="B263" s="569" t="s">
        <v>1763</v>
      </c>
      <c r="C263" s="593" t="s">
        <v>1761</v>
      </c>
      <c r="D263" s="585"/>
      <c r="E263" s="586"/>
      <c r="F263" s="573"/>
      <c r="G263" s="487"/>
      <c r="H263" s="573"/>
      <c r="I263" s="487"/>
      <c r="J263" s="573"/>
      <c r="K263" s="487"/>
      <c r="L263" s="573"/>
      <c r="M263" s="573"/>
      <c r="N263" s="456">
        <f t="shared" si="33"/>
        <v>0</v>
      </c>
      <c r="O263" s="487"/>
      <c r="P263" s="487"/>
      <c r="Q263" s="274">
        <f t="shared" si="28"/>
        <v>0</v>
      </c>
      <c r="R263" s="574">
        <f t="shared" si="29"/>
        <v>0</v>
      </c>
      <c r="S263" s="275">
        <f t="shared" si="30"/>
        <v>0</v>
      </c>
      <c r="T263" s="575">
        <v>557000</v>
      </c>
      <c r="U263" s="487">
        <v>233870</v>
      </c>
      <c r="V263" s="576"/>
      <c r="W263" s="573"/>
      <c r="X263" s="574">
        <f t="shared" si="34"/>
        <v>0</v>
      </c>
      <c r="Y263" s="487"/>
      <c r="Z263" s="487"/>
      <c r="AA263" s="276">
        <f t="shared" si="35"/>
        <v>0</v>
      </c>
      <c r="AB263" s="573"/>
      <c r="AC263" s="487"/>
      <c r="AD263" s="573"/>
      <c r="AE263" s="487"/>
      <c r="AF263" s="577">
        <f t="shared" si="31"/>
        <v>557000</v>
      </c>
      <c r="AG263" s="275">
        <f t="shared" si="32"/>
        <v>233870</v>
      </c>
    </row>
    <row r="264" spans="1:33" s="578" customFormat="1" ht="12" customHeight="1">
      <c r="A264" s="568" t="s">
        <v>1270</v>
      </c>
      <c r="B264" s="594" t="s">
        <v>1510</v>
      </c>
      <c r="C264" s="593" t="s">
        <v>421</v>
      </c>
      <c r="D264" s="585"/>
      <c r="E264" s="586"/>
      <c r="F264" s="573"/>
      <c r="G264" s="487"/>
      <c r="H264" s="573"/>
      <c r="I264" s="487"/>
      <c r="J264" s="573"/>
      <c r="K264" s="487"/>
      <c r="L264" s="573"/>
      <c r="M264" s="573"/>
      <c r="N264" s="456">
        <f t="shared" si="33"/>
        <v>0</v>
      </c>
      <c r="O264" s="487"/>
      <c r="P264" s="487"/>
      <c r="Q264" s="274">
        <f t="shared" si="28"/>
        <v>0</v>
      </c>
      <c r="R264" s="574">
        <f t="shared" si="29"/>
        <v>0</v>
      </c>
      <c r="S264" s="275">
        <f t="shared" si="30"/>
        <v>0</v>
      </c>
      <c r="T264" s="575"/>
      <c r="U264" s="487"/>
      <c r="V264" s="576"/>
      <c r="W264" s="573"/>
      <c r="X264" s="574">
        <f t="shared" si="34"/>
        <v>0</v>
      </c>
      <c r="Y264" s="487"/>
      <c r="Z264" s="487"/>
      <c r="AA264" s="276">
        <f t="shared" si="35"/>
        <v>0</v>
      </c>
      <c r="AB264" s="573"/>
      <c r="AC264" s="487"/>
      <c r="AD264" s="573"/>
      <c r="AE264" s="487"/>
      <c r="AF264" s="577">
        <f t="shared" si="31"/>
        <v>0</v>
      </c>
      <c r="AG264" s="275">
        <f t="shared" si="32"/>
        <v>0</v>
      </c>
    </row>
    <row r="265" spans="1:33" s="578" customFormat="1" ht="12" customHeight="1">
      <c r="A265" s="568" t="s">
        <v>1270</v>
      </c>
      <c r="B265" s="594" t="s">
        <v>1511</v>
      </c>
      <c r="C265" s="593" t="s">
        <v>1883</v>
      </c>
      <c r="D265" s="585"/>
      <c r="E265" s="586"/>
      <c r="F265" s="573"/>
      <c r="G265" s="487"/>
      <c r="H265" s="573"/>
      <c r="I265" s="487"/>
      <c r="J265" s="573"/>
      <c r="K265" s="487"/>
      <c r="L265" s="573"/>
      <c r="M265" s="573"/>
      <c r="N265" s="456">
        <f t="shared" si="33"/>
        <v>0</v>
      </c>
      <c r="O265" s="487"/>
      <c r="P265" s="487"/>
      <c r="Q265" s="274">
        <f t="shared" si="28"/>
        <v>0</v>
      </c>
      <c r="R265" s="574">
        <f t="shared" si="29"/>
        <v>0</v>
      </c>
      <c r="S265" s="275">
        <f t="shared" si="30"/>
        <v>0</v>
      </c>
      <c r="T265" s="575"/>
      <c r="U265" s="487"/>
      <c r="V265" s="576"/>
      <c r="W265" s="573"/>
      <c r="X265" s="574">
        <f t="shared" si="34"/>
        <v>0</v>
      </c>
      <c r="Y265" s="487"/>
      <c r="Z265" s="487"/>
      <c r="AA265" s="276">
        <f t="shared" si="35"/>
        <v>0</v>
      </c>
      <c r="AB265" s="573"/>
      <c r="AC265" s="487"/>
      <c r="AD265" s="573"/>
      <c r="AE265" s="487"/>
      <c r="AF265" s="577">
        <f t="shared" si="31"/>
        <v>0</v>
      </c>
      <c r="AG265" s="275">
        <f t="shared" si="32"/>
        <v>0</v>
      </c>
    </row>
    <row r="266" spans="1:33" s="578" customFormat="1" ht="12" customHeight="1">
      <c r="A266" s="568" t="s">
        <v>1270</v>
      </c>
      <c r="B266" s="594" t="s">
        <v>1412</v>
      </c>
      <c r="C266" s="593" t="s">
        <v>1761</v>
      </c>
      <c r="D266" s="585"/>
      <c r="E266" s="586"/>
      <c r="F266" s="573"/>
      <c r="G266" s="487"/>
      <c r="H266" s="573"/>
      <c r="I266" s="487"/>
      <c r="J266" s="573"/>
      <c r="K266" s="487"/>
      <c r="L266" s="573"/>
      <c r="M266" s="573"/>
      <c r="N266" s="456">
        <f t="shared" si="33"/>
        <v>0</v>
      </c>
      <c r="O266" s="487"/>
      <c r="P266" s="487"/>
      <c r="Q266" s="274">
        <f t="shared" ref="Q266:Q329" si="36">SUM(O266:P266)</f>
        <v>0</v>
      </c>
      <c r="R266" s="574">
        <f t="shared" ref="R266:R329" si="37">SUM(F266,H266,J266,L266)</f>
        <v>0</v>
      </c>
      <c r="S266" s="275">
        <f t="shared" ref="S266:S329" si="38">SUM(G266,I266,K266,O266)</f>
        <v>0</v>
      </c>
      <c r="T266" s="575"/>
      <c r="U266" s="487"/>
      <c r="V266" s="576"/>
      <c r="W266" s="573"/>
      <c r="X266" s="574">
        <f t="shared" si="34"/>
        <v>0</v>
      </c>
      <c r="Y266" s="487"/>
      <c r="Z266" s="487"/>
      <c r="AA266" s="276">
        <f t="shared" si="35"/>
        <v>0</v>
      </c>
      <c r="AB266" s="573"/>
      <c r="AC266" s="487"/>
      <c r="AD266" s="573"/>
      <c r="AE266" s="487"/>
      <c r="AF266" s="577">
        <f t="shared" ref="AF266:AF329" si="39">SUM(R266,T266,V266,AB266,AD266)</f>
        <v>0</v>
      </c>
      <c r="AG266" s="275">
        <f t="shared" ref="AG266:AG329" si="40">SUM(S266,U266,Y266,AC266,AE266)</f>
        <v>0</v>
      </c>
    </row>
    <row r="267" spans="1:33" s="578" customFormat="1" ht="12" customHeight="1">
      <c r="A267" s="568" t="s">
        <v>1270</v>
      </c>
      <c r="B267" s="594" t="s">
        <v>1413</v>
      </c>
      <c r="C267" s="593" t="s">
        <v>422</v>
      </c>
      <c r="D267" s="585"/>
      <c r="E267" s="586"/>
      <c r="F267" s="573"/>
      <c r="G267" s="487"/>
      <c r="H267" s="573"/>
      <c r="I267" s="487"/>
      <c r="J267" s="573"/>
      <c r="K267" s="487"/>
      <c r="L267" s="573"/>
      <c r="M267" s="573"/>
      <c r="N267" s="456">
        <f t="shared" si="33"/>
        <v>0</v>
      </c>
      <c r="O267" s="487"/>
      <c r="P267" s="487"/>
      <c r="Q267" s="274">
        <f t="shared" si="36"/>
        <v>0</v>
      </c>
      <c r="R267" s="574">
        <f t="shared" si="37"/>
        <v>0</v>
      </c>
      <c r="S267" s="275">
        <f t="shared" si="38"/>
        <v>0</v>
      </c>
      <c r="T267" s="575"/>
      <c r="U267" s="487"/>
      <c r="V267" s="576"/>
      <c r="W267" s="573"/>
      <c r="X267" s="574">
        <f t="shared" si="34"/>
        <v>0</v>
      </c>
      <c r="Y267" s="487"/>
      <c r="Z267" s="487"/>
      <c r="AA267" s="276">
        <f t="shared" si="35"/>
        <v>0</v>
      </c>
      <c r="AB267" s="573"/>
      <c r="AC267" s="487"/>
      <c r="AD267" s="573"/>
      <c r="AE267" s="487"/>
      <c r="AF267" s="577">
        <f t="shared" si="39"/>
        <v>0</v>
      </c>
      <c r="AG267" s="275">
        <f t="shared" si="40"/>
        <v>0</v>
      </c>
    </row>
    <row r="268" spans="1:33" s="578" customFormat="1" ht="12" customHeight="1">
      <c r="A268" s="568" t="s">
        <v>1270</v>
      </c>
      <c r="B268" s="594" t="s">
        <v>1582</v>
      </c>
      <c r="C268" s="593" t="s">
        <v>1883</v>
      </c>
      <c r="D268" s="585"/>
      <c r="E268" s="586"/>
      <c r="F268" s="573"/>
      <c r="G268" s="487"/>
      <c r="H268" s="573"/>
      <c r="I268" s="487"/>
      <c r="J268" s="573"/>
      <c r="K268" s="487"/>
      <c r="L268" s="573"/>
      <c r="M268" s="573"/>
      <c r="N268" s="456">
        <f t="shared" si="33"/>
        <v>0</v>
      </c>
      <c r="O268" s="487"/>
      <c r="P268" s="487"/>
      <c r="Q268" s="274">
        <f t="shared" si="36"/>
        <v>0</v>
      </c>
      <c r="R268" s="574">
        <f t="shared" si="37"/>
        <v>0</v>
      </c>
      <c r="S268" s="275">
        <f t="shared" si="38"/>
        <v>0</v>
      </c>
      <c r="T268" s="575"/>
      <c r="U268" s="487"/>
      <c r="V268" s="576"/>
      <c r="W268" s="573"/>
      <c r="X268" s="574">
        <f t="shared" si="34"/>
        <v>0</v>
      </c>
      <c r="Y268" s="487"/>
      <c r="Z268" s="487"/>
      <c r="AA268" s="276">
        <f t="shared" si="35"/>
        <v>0</v>
      </c>
      <c r="AB268" s="573"/>
      <c r="AC268" s="487"/>
      <c r="AD268" s="573"/>
      <c r="AE268" s="487"/>
      <c r="AF268" s="577">
        <f t="shared" si="39"/>
        <v>0</v>
      </c>
      <c r="AG268" s="275">
        <f t="shared" si="40"/>
        <v>0</v>
      </c>
    </row>
    <row r="269" spans="1:33" s="578" customFormat="1" ht="12" customHeight="1">
      <c r="A269" s="568" t="s">
        <v>1270</v>
      </c>
      <c r="B269" s="594" t="s">
        <v>1583</v>
      </c>
      <c r="C269" s="593" t="s">
        <v>1761</v>
      </c>
      <c r="D269" s="585"/>
      <c r="E269" s="586"/>
      <c r="F269" s="573"/>
      <c r="G269" s="487"/>
      <c r="H269" s="573"/>
      <c r="I269" s="487"/>
      <c r="J269" s="573"/>
      <c r="K269" s="487"/>
      <c r="L269" s="573"/>
      <c r="M269" s="573"/>
      <c r="N269" s="456">
        <f t="shared" si="33"/>
        <v>0</v>
      </c>
      <c r="O269" s="487"/>
      <c r="P269" s="487"/>
      <c r="Q269" s="274">
        <f t="shared" si="36"/>
        <v>0</v>
      </c>
      <c r="R269" s="574">
        <f t="shared" si="37"/>
        <v>0</v>
      </c>
      <c r="S269" s="275">
        <f t="shared" si="38"/>
        <v>0</v>
      </c>
      <c r="T269" s="575"/>
      <c r="U269" s="487"/>
      <c r="V269" s="576"/>
      <c r="W269" s="573"/>
      <c r="X269" s="574">
        <f t="shared" si="34"/>
        <v>0</v>
      </c>
      <c r="Y269" s="487"/>
      <c r="Z269" s="487"/>
      <c r="AA269" s="276">
        <f t="shared" si="35"/>
        <v>0</v>
      </c>
      <c r="AB269" s="573"/>
      <c r="AC269" s="487"/>
      <c r="AD269" s="573"/>
      <c r="AE269" s="487"/>
      <c r="AF269" s="577">
        <f t="shared" si="39"/>
        <v>0</v>
      </c>
      <c r="AG269" s="275">
        <f t="shared" si="40"/>
        <v>0</v>
      </c>
    </row>
    <row r="270" spans="1:33" s="578" customFormat="1" ht="12" customHeight="1">
      <c r="A270" s="568" t="s">
        <v>1270</v>
      </c>
      <c r="B270" s="569" t="s">
        <v>1805</v>
      </c>
      <c r="C270" s="247" t="s">
        <v>427</v>
      </c>
      <c r="D270" s="585"/>
      <c r="E270" s="586"/>
      <c r="F270" s="573"/>
      <c r="G270" s="487"/>
      <c r="H270" s="573"/>
      <c r="I270" s="487"/>
      <c r="J270" s="573"/>
      <c r="K270" s="487"/>
      <c r="L270" s="573"/>
      <c r="M270" s="573"/>
      <c r="N270" s="456">
        <f t="shared" si="33"/>
        <v>0</v>
      </c>
      <c r="O270" s="487"/>
      <c r="P270" s="487"/>
      <c r="Q270" s="274">
        <f t="shared" si="36"/>
        <v>0</v>
      </c>
      <c r="R270" s="574">
        <f t="shared" si="37"/>
        <v>0</v>
      </c>
      <c r="S270" s="275">
        <f t="shared" si="38"/>
        <v>0</v>
      </c>
      <c r="T270" s="575"/>
      <c r="U270" s="487"/>
      <c r="V270" s="576"/>
      <c r="W270" s="573"/>
      <c r="X270" s="574">
        <f t="shared" si="34"/>
        <v>0</v>
      </c>
      <c r="Y270" s="487"/>
      <c r="Z270" s="487"/>
      <c r="AA270" s="276">
        <f t="shared" si="35"/>
        <v>0</v>
      </c>
      <c r="AB270" s="573"/>
      <c r="AC270" s="487"/>
      <c r="AD270" s="573"/>
      <c r="AE270" s="487"/>
      <c r="AF270" s="577">
        <f t="shared" si="39"/>
        <v>0</v>
      </c>
      <c r="AG270" s="275">
        <f t="shared" si="40"/>
        <v>0</v>
      </c>
    </row>
    <row r="271" spans="1:33" s="578" customFormat="1" ht="12" customHeight="1">
      <c r="A271" s="568" t="s">
        <v>1270</v>
      </c>
      <c r="B271" s="594" t="s">
        <v>1510</v>
      </c>
      <c r="C271" s="593" t="s">
        <v>421</v>
      </c>
      <c r="D271" s="585"/>
      <c r="E271" s="586"/>
      <c r="F271" s="573"/>
      <c r="G271" s="487"/>
      <c r="H271" s="573"/>
      <c r="I271" s="487"/>
      <c r="J271" s="573"/>
      <c r="K271" s="487"/>
      <c r="L271" s="573"/>
      <c r="M271" s="573"/>
      <c r="N271" s="456">
        <f t="shared" si="33"/>
        <v>0</v>
      </c>
      <c r="O271" s="487"/>
      <c r="P271" s="487"/>
      <c r="Q271" s="274">
        <f t="shared" si="36"/>
        <v>0</v>
      </c>
      <c r="R271" s="574">
        <f t="shared" si="37"/>
        <v>0</v>
      </c>
      <c r="S271" s="275">
        <f t="shared" si="38"/>
        <v>0</v>
      </c>
      <c r="T271" s="575"/>
      <c r="U271" s="487"/>
      <c r="V271" s="576"/>
      <c r="W271" s="573"/>
      <c r="X271" s="574">
        <f t="shared" si="34"/>
        <v>0</v>
      </c>
      <c r="Y271" s="487"/>
      <c r="Z271" s="487"/>
      <c r="AA271" s="276">
        <f t="shared" si="35"/>
        <v>0</v>
      </c>
      <c r="AB271" s="573"/>
      <c r="AC271" s="487"/>
      <c r="AD271" s="573"/>
      <c r="AE271" s="487"/>
      <c r="AF271" s="577">
        <f t="shared" si="39"/>
        <v>0</v>
      </c>
      <c r="AG271" s="275">
        <f t="shared" si="40"/>
        <v>0</v>
      </c>
    </row>
    <row r="272" spans="1:33" s="578" customFormat="1" ht="12" customHeight="1">
      <c r="A272" s="568" t="s">
        <v>1270</v>
      </c>
      <c r="B272" s="594" t="s">
        <v>1511</v>
      </c>
      <c r="C272" s="593" t="s">
        <v>1883</v>
      </c>
      <c r="D272" s="585"/>
      <c r="E272" s="586"/>
      <c r="F272" s="573"/>
      <c r="G272" s="487"/>
      <c r="H272" s="573"/>
      <c r="I272" s="487"/>
      <c r="J272" s="573"/>
      <c r="K272" s="487"/>
      <c r="L272" s="573"/>
      <c r="M272" s="573"/>
      <c r="N272" s="456">
        <f t="shared" si="33"/>
        <v>0</v>
      </c>
      <c r="O272" s="487"/>
      <c r="P272" s="487"/>
      <c r="Q272" s="274">
        <f t="shared" si="36"/>
        <v>0</v>
      </c>
      <c r="R272" s="574">
        <f t="shared" si="37"/>
        <v>0</v>
      </c>
      <c r="S272" s="275">
        <f t="shared" si="38"/>
        <v>0</v>
      </c>
      <c r="T272" s="575"/>
      <c r="U272" s="487"/>
      <c r="V272" s="576"/>
      <c r="W272" s="573"/>
      <c r="X272" s="574">
        <f t="shared" si="34"/>
        <v>0</v>
      </c>
      <c r="Y272" s="487"/>
      <c r="Z272" s="487"/>
      <c r="AA272" s="276">
        <f t="shared" si="35"/>
        <v>0</v>
      </c>
      <c r="AB272" s="573"/>
      <c r="AC272" s="487"/>
      <c r="AD272" s="573"/>
      <c r="AE272" s="487"/>
      <c r="AF272" s="577">
        <f t="shared" si="39"/>
        <v>0</v>
      </c>
      <c r="AG272" s="275">
        <f t="shared" si="40"/>
        <v>0</v>
      </c>
    </row>
    <row r="273" spans="1:33" s="578" customFormat="1" ht="12" customHeight="1">
      <c r="A273" s="568" t="s">
        <v>1270</v>
      </c>
      <c r="B273" s="594" t="s">
        <v>1412</v>
      </c>
      <c r="C273" s="593" t="s">
        <v>1761</v>
      </c>
      <c r="D273" s="585"/>
      <c r="E273" s="586"/>
      <c r="F273" s="573"/>
      <c r="G273" s="487"/>
      <c r="H273" s="573"/>
      <c r="I273" s="487"/>
      <c r="J273" s="573"/>
      <c r="K273" s="487"/>
      <c r="L273" s="573"/>
      <c r="M273" s="573"/>
      <c r="N273" s="456">
        <f t="shared" si="33"/>
        <v>0</v>
      </c>
      <c r="O273" s="487"/>
      <c r="P273" s="487"/>
      <c r="Q273" s="274">
        <f t="shared" si="36"/>
        <v>0</v>
      </c>
      <c r="R273" s="574">
        <f t="shared" si="37"/>
        <v>0</v>
      </c>
      <c r="S273" s="275">
        <f t="shared" si="38"/>
        <v>0</v>
      </c>
      <c r="T273" s="458">
        <f>437500+103105</f>
        <v>540605</v>
      </c>
      <c r="U273" s="487">
        <f>380000+23250</f>
        <v>403250</v>
      </c>
      <c r="V273" s="576"/>
      <c r="W273" s="573"/>
      <c r="X273" s="574">
        <f t="shared" si="34"/>
        <v>0</v>
      </c>
      <c r="Y273" s="487"/>
      <c r="Z273" s="487"/>
      <c r="AA273" s="276">
        <f t="shared" si="35"/>
        <v>0</v>
      </c>
      <c r="AB273" s="573"/>
      <c r="AC273" s="487"/>
      <c r="AD273" s="573"/>
      <c r="AE273" s="487"/>
      <c r="AF273" s="577">
        <f t="shared" si="39"/>
        <v>540605</v>
      </c>
      <c r="AG273" s="275">
        <f t="shared" si="40"/>
        <v>403250</v>
      </c>
    </row>
    <row r="274" spans="1:33" s="578" customFormat="1" ht="12" customHeight="1">
      <c r="A274" s="568" t="s">
        <v>1270</v>
      </c>
      <c r="B274" s="594" t="s">
        <v>1413</v>
      </c>
      <c r="C274" s="593" t="s">
        <v>422</v>
      </c>
      <c r="D274" s="585"/>
      <c r="E274" s="586"/>
      <c r="F274" s="573"/>
      <c r="G274" s="487"/>
      <c r="H274" s="573"/>
      <c r="I274" s="487"/>
      <c r="J274" s="573"/>
      <c r="K274" s="487"/>
      <c r="L274" s="573"/>
      <c r="M274" s="573"/>
      <c r="N274" s="456">
        <f t="shared" si="33"/>
        <v>0</v>
      </c>
      <c r="O274" s="487"/>
      <c r="P274" s="487"/>
      <c r="Q274" s="274">
        <f t="shared" si="36"/>
        <v>0</v>
      </c>
      <c r="R274" s="574">
        <f t="shared" si="37"/>
        <v>0</v>
      </c>
      <c r="S274" s="275">
        <f t="shared" si="38"/>
        <v>0</v>
      </c>
      <c r="T274" s="575"/>
      <c r="U274" s="487"/>
      <c r="V274" s="576"/>
      <c r="W274" s="573"/>
      <c r="X274" s="574">
        <f t="shared" si="34"/>
        <v>0</v>
      </c>
      <c r="Y274" s="487"/>
      <c r="Z274" s="487"/>
      <c r="AA274" s="276">
        <f t="shared" si="35"/>
        <v>0</v>
      </c>
      <c r="AB274" s="573"/>
      <c r="AC274" s="487"/>
      <c r="AD274" s="573"/>
      <c r="AE274" s="487"/>
      <c r="AF274" s="577">
        <f t="shared" si="39"/>
        <v>0</v>
      </c>
      <c r="AG274" s="275">
        <f t="shared" si="40"/>
        <v>0</v>
      </c>
    </row>
    <row r="275" spans="1:33" s="578" customFormat="1" ht="12" customHeight="1">
      <c r="A275" s="568" t="s">
        <v>1270</v>
      </c>
      <c r="B275" s="594" t="s">
        <v>1582</v>
      </c>
      <c r="C275" s="593" t="s">
        <v>1883</v>
      </c>
      <c r="D275" s="585"/>
      <c r="E275" s="586"/>
      <c r="F275" s="573"/>
      <c r="G275" s="487"/>
      <c r="H275" s="573"/>
      <c r="I275" s="487"/>
      <c r="J275" s="573"/>
      <c r="K275" s="487"/>
      <c r="L275" s="573"/>
      <c r="M275" s="573"/>
      <c r="N275" s="456">
        <f t="shared" ref="N275:N338" si="41">SUM(L275:M275)</f>
        <v>0</v>
      </c>
      <c r="O275" s="487"/>
      <c r="P275" s="487"/>
      <c r="Q275" s="274">
        <f t="shared" si="36"/>
        <v>0</v>
      </c>
      <c r="R275" s="574">
        <f t="shared" si="37"/>
        <v>0</v>
      </c>
      <c r="S275" s="275">
        <f t="shared" si="38"/>
        <v>0</v>
      </c>
      <c r="T275" s="575"/>
      <c r="U275" s="487"/>
      <c r="V275" s="576"/>
      <c r="W275" s="573"/>
      <c r="X275" s="574">
        <f t="shared" ref="X275:X338" si="42">SUM(V275:W275)</f>
        <v>0</v>
      </c>
      <c r="Y275" s="487"/>
      <c r="Z275" s="487"/>
      <c r="AA275" s="276">
        <f t="shared" ref="AA275:AA338" si="43">SUM(Y275:Z275)</f>
        <v>0</v>
      </c>
      <c r="AB275" s="573"/>
      <c r="AC275" s="487"/>
      <c r="AD275" s="573"/>
      <c r="AE275" s="487"/>
      <c r="AF275" s="577">
        <f t="shared" si="39"/>
        <v>0</v>
      </c>
      <c r="AG275" s="275">
        <f t="shared" si="40"/>
        <v>0</v>
      </c>
    </row>
    <row r="276" spans="1:33" s="578" customFormat="1" ht="12" customHeight="1">
      <c r="A276" s="568" t="s">
        <v>1270</v>
      </c>
      <c r="B276" s="594" t="s">
        <v>1583</v>
      </c>
      <c r="C276" s="593" t="s">
        <v>1761</v>
      </c>
      <c r="D276" s="585"/>
      <c r="E276" s="586"/>
      <c r="F276" s="573"/>
      <c r="G276" s="487"/>
      <c r="H276" s="573"/>
      <c r="I276" s="487"/>
      <c r="J276" s="573"/>
      <c r="K276" s="487"/>
      <c r="L276" s="573"/>
      <c r="M276" s="573"/>
      <c r="N276" s="456">
        <f t="shared" si="41"/>
        <v>0</v>
      </c>
      <c r="O276" s="487"/>
      <c r="P276" s="487"/>
      <c r="Q276" s="274">
        <f t="shared" si="36"/>
        <v>0</v>
      </c>
      <c r="R276" s="574">
        <f t="shared" si="37"/>
        <v>0</v>
      </c>
      <c r="S276" s="275">
        <f t="shared" si="38"/>
        <v>0</v>
      </c>
      <c r="T276" s="575"/>
      <c r="U276" s="487"/>
      <c r="V276" s="576"/>
      <c r="W276" s="573"/>
      <c r="X276" s="574">
        <f t="shared" si="42"/>
        <v>0</v>
      </c>
      <c r="Y276" s="487"/>
      <c r="Z276" s="487"/>
      <c r="AA276" s="276">
        <f t="shared" si="43"/>
        <v>0</v>
      </c>
      <c r="AB276" s="573"/>
      <c r="AC276" s="487"/>
      <c r="AD276" s="573"/>
      <c r="AE276" s="487"/>
      <c r="AF276" s="577">
        <f t="shared" si="39"/>
        <v>0</v>
      </c>
      <c r="AG276" s="275">
        <f t="shared" si="40"/>
        <v>0</v>
      </c>
    </row>
    <row r="277" spans="1:33" s="578" customFormat="1" ht="12" customHeight="1">
      <c r="A277" s="568" t="s">
        <v>1270</v>
      </c>
      <c r="B277" s="569" t="s">
        <v>1805</v>
      </c>
      <c r="C277" s="247" t="s">
        <v>1351</v>
      </c>
      <c r="D277" s="585"/>
      <c r="E277" s="586"/>
      <c r="F277" s="573"/>
      <c r="G277" s="487"/>
      <c r="H277" s="573"/>
      <c r="I277" s="487"/>
      <c r="J277" s="573"/>
      <c r="K277" s="487"/>
      <c r="L277" s="573"/>
      <c r="M277" s="573"/>
      <c r="N277" s="456">
        <f t="shared" si="41"/>
        <v>0</v>
      </c>
      <c r="O277" s="487"/>
      <c r="P277" s="487"/>
      <c r="Q277" s="274">
        <f t="shared" si="36"/>
        <v>0</v>
      </c>
      <c r="R277" s="574">
        <f t="shared" si="37"/>
        <v>0</v>
      </c>
      <c r="S277" s="275">
        <f t="shared" si="38"/>
        <v>0</v>
      </c>
      <c r="T277" s="575"/>
      <c r="U277" s="487"/>
      <c r="V277" s="576"/>
      <c r="W277" s="573"/>
      <c r="X277" s="574">
        <f t="shared" si="42"/>
        <v>0</v>
      </c>
      <c r="Y277" s="487"/>
      <c r="Z277" s="487"/>
      <c r="AA277" s="276">
        <f t="shared" si="43"/>
        <v>0</v>
      </c>
      <c r="AB277" s="573"/>
      <c r="AC277" s="487"/>
      <c r="AD277" s="573"/>
      <c r="AE277" s="487"/>
      <c r="AF277" s="577">
        <f t="shared" si="39"/>
        <v>0</v>
      </c>
      <c r="AG277" s="275">
        <f t="shared" si="40"/>
        <v>0</v>
      </c>
    </row>
    <row r="278" spans="1:33" s="578" customFormat="1" ht="12" customHeight="1">
      <c r="A278" s="568" t="s">
        <v>1270</v>
      </c>
      <c r="B278" s="569" t="s">
        <v>1882</v>
      </c>
      <c r="C278" s="593" t="s">
        <v>1883</v>
      </c>
      <c r="D278" s="585"/>
      <c r="E278" s="586"/>
      <c r="F278" s="573"/>
      <c r="G278" s="487"/>
      <c r="H278" s="573"/>
      <c r="I278" s="487"/>
      <c r="J278" s="573"/>
      <c r="K278" s="487"/>
      <c r="L278" s="573"/>
      <c r="M278" s="573"/>
      <c r="N278" s="456">
        <f t="shared" si="41"/>
        <v>0</v>
      </c>
      <c r="O278" s="487"/>
      <c r="P278" s="487"/>
      <c r="Q278" s="274">
        <f t="shared" si="36"/>
        <v>0</v>
      </c>
      <c r="R278" s="574">
        <f t="shared" si="37"/>
        <v>0</v>
      </c>
      <c r="S278" s="275">
        <f t="shared" si="38"/>
        <v>0</v>
      </c>
      <c r="T278" s="575"/>
      <c r="U278" s="487"/>
      <c r="V278" s="576"/>
      <c r="W278" s="573"/>
      <c r="X278" s="574">
        <f t="shared" si="42"/>
        <v>0</v>
      </c>
      <c r="Y278" s="487"/>
      <c r="Z278" s="487"/>
      <c r="AA278" s="276">
        <f t="shared" si="43"/>
        <v>0</v>
      </c>
      <c r="AB278" s="573"/>
      <c r="AC278" s="487"/>
      <c r="AD278" s="573"/>
      <c r="AE278" s="487"/>
      <c r="AF278" s="577">
        <f t="shared" si="39"/>
        <v>0</v>
      </c>
      <c r="AG278" s="275">
        <f t="shared" si="40"/>
        <v>0</v>
      </c>
    </row>
    <row r="279" spans="1:33" s="578" customFormat="1" ht="12" customHeight="1">
      <c r="A279" s="568" t="s">
        <v>1270</v>
      </c>
      <c r="B279" s="569" t="s">
        <v>1763</v>
      </c>
      <c r="C279" s="593" t="s">
        <v>1761</v>
      </c>
      <c r="D279" s="585"/>
      <c r="E279" s="586"/>
      <c r="F279" s="573"/>
      <c r="G279" s="487"/>
      <c r="H279" s="573"/>
      <c r="I279" s="487"/>
      <c r="J279" s="573"/>
      <c r="K279" s="487"/>
      <c r="L279" s="573"/>
      <c r="M279" s="573"/>
      <c r="N279" s="456">
        <f t="shared" si="41"/>
        <v>0</v>
      </c>
      <c r="O279" s="487"/>
      <c r="P279" s="487"/>
      <c r="Q279" s="274">
        <f t="shared" si="36"/>
        <v>0</v>
      </c>
      <c r="R279" s="574">
        <f t="shared" si="37"/>
        <v>0</v>
      </c>
      <c r="S279" s="275">
        <f t="shared" si="38"/>
        <v>0</v>
      </c>
      <c r="T279" s="575"/>
      <c r="U279" s="487"/>
      <c r="V279" s="576"/>
      <c r="W279" s="573"/>
      <c r="X279" s="574">
        <f t="shared" si="42"/>
        <v>0</v>
      </c>
      <c r="Y279" s="487"/>
      <c r="Z279" s="487"/>
      <c r="AA279" s="276">
        <f t="shared" si="43"/>
        <v>0</v>
      </c>
      <c r="AB279" s="573"/>
      <c r="AC279" s="487"/>
      <c r="AD279" s="573"/>
      <c r="AE279" s="487"/>
      <c r="AF279" s="577">
        <f t="shared" si="39"/>
        <v>0</v>
      </c>
      <c r="AG279" s="275">
        <f t="shared" si="40"/>
        <v>0</v>
      </c>
    </row>
    <row r="280" spans="1:33" s="578" customFormat="1" ht="12" customHeight="1">
      <c r="A280" s="568" t="s">
        <v>1270</v>
      </c>
      <c r="B280" s="594" t="s">
        <v>1510</v>
      </c>
      <c r="C280" s="593" t="s">
        <v>421</v>
      </c>
      <c r="D280" s="585"/>
      <c r="E280" s="586"/>
      <c r="F280" s="573"/>
      <c r="G280" s="487"/>
      <c r="H280" s="573"/>
      <c r="I280" s="487"/>
      <c r="J280" s="573"/>
      <c r="K280" s="487"/>
      <c r="L280" s="573"/>
      <c r="M280" s="573"/>
      <c r="N280" s="456">
        <f t="shared" si="41"/>
        <v>0</v>
      </c>
      <c r="O280" s="487"/>
      <c r="P280" s="487"/>
      <c r="Q280" s="274">
        <f t="shared" si="36"/>
        <v>0</v>
      </c>
      <c r="R280" s="574">
        <f t="shared" si="37"/>
        <v>0</v>
      </c>
      <c r="S280" s="275">
        <f t="shared" si="38"/>
        <v>0</v>
      </c>
      <c r="T280" s="575"/>
      <c r="U280" s="487"/>
      <c r="V280" s="576"/>
      <c r="W280" s="573"/>
      <c r="X280" s="574">
        <f t="shared" si="42"/>
        <v>0</v>
      </c>
      <c r="Y280" s="487"/>
      <c r="Z280" s="487"/>
      <c r="AA280" s="276">
        <f t="shared" si="43"/>
        <v>0</v>
      </c>
      <c r="AB280" s="573"/>
      <c r="AC280" s="487"/>
      <c r="AD280" s="573"/>
      <c r="AE280" s="487"/>
      <c r="AF280" s="577">
        <f t="shared" si="39"/>
        <v>0</v>
      </c>
      <c r="AG280" s="275">
        <f t="shared" si="40"/>
        <v>0</v>
      </c>
    </row>
    <row r="281" spans="1:33" s="578" customFormat="1" ht="12" customHeight="1">
      <c r="A281" s="568" t="s">
        <v>1270</v>
      </c>
      <c r="B281" s="594" t="s">
        <v>1511</v>
      </c>
      <c r="C281" s="593" t="s">
        <v>1883</v>
      </c>
      <c r="D281" s="585"/>
      <c r="E281" s="586"/>
      <c r="F281" s="573"/>
      <c r="G281" s="487"/>
      <c r="H281" s="573"/>
      <c r="I281" s="487"/>
      <c r="J281" s="573"/>
      <c r="K281" s="487"/>
      <c r="L281" s="573"/>
      <c r="M281" s="573"/>
      <c r="N281" s="456">
        <f t="shared" si="41"/>
        <v>0</v>
      </c>
      <c r="O281" s="487"/>
      <c r="P281" s="487"/>
      <c r="Q281" s="274">
        <f t="shared" si="36"/>
        <v>0</v>
      </c>
      <c r="R281" s="574">
        <f t="shared" si="37"/>
        <v>0</v>
      </c>
      <c r="S281" s="275">
        <f t="shared" si="38"/>
        <v>0</v>
      </c>
      <c r="T281" s="575"/>
      <c r="U281" s="487"/>
      <c r="V281" s="576"/>
      <c r="W281" s="573"/>
      <c r="X281" s="574">
        <f t="shared" si="42"/>
        <v>0</v>
      </c>
      <c r="Y281" s="487"/>
      <c r="Z281" s="487"/>
      <c r="AA281" s="276">
        <f t="shared" si="43"/>
        <v>0</v>
      </c>
      <c r="AB281" s="573"/>
      <c r="AC281" s="487"/>
      <c r="AD281" s="573"/>
      <c r="AE281" s="487"/>
      <c r="AF281" s="577">
        <f t="shared" si="39"/>
        <v>0</v>
      </c>
      <c r="AG281" s="275">
        <f t="shared" si="40"/>
        <v>0</v>
      </c>
    </row>
    <row r="282" spans="1:33" s="578" customFormat="1" ht="12" customHeight="1">
      <c r="A282" s="568" t="s">
        <v>1270</v>
      </c>
      <c r="B282" s="594" t="s">
        <v>1412</v>
      </c>
      <c r="C282" s="593" t="s">
        <v>1761</v>
      </c>
      <c r="D282" s="585"/>
      <c r="E282" s="586"/>
      <c r="F282" s="573"/>
      <c r="G282" s="487"/>
      <c r="H282" s="573"/>
      <c r="I282" s="487"/>
      <c r="J282" s="573"/>
      <c r="K282" s="487"/>
      <c r="L282" s="573"/>
      <c r="M282" s="573"/>
      <c r="N282" s="456">
        <f t="shared" si="41"/>
        <v>0</v>
      </c>
      <c r="O282" s="487"/>
      <c r="P282" s="487"/>
      <c r="Q282" s="274">
        <f t="shared" si="36"/>
        <v>0</v>
      </c>
      <c r="R282" s="574">
        <f t="shared" si="37"/>
        <v>0</v>
      </c>
      <c r="S282" s="275">
        <f t="shared" si="38"/>
        <v>0</v>
      </c>
      <c r="T282" s="575"/>
      <c r="U282" s="487"/>
      <c r="V282" s="576"/>
      <c r="W282" s="573"/>
      <c r="X282" s="574">
        <f t="shared" si="42"/>
        <v>0</v>
      </c>
      <c r="Y282" s="487"/>
      <c r="Z282" s="487"/>
      <c r="AA282" s="276">
        <f t="shared" si="43"/>
        <v>0</v>
      </c>
      <c r="AB282" s="573"/>
      <c r="AC282" s="487"/>
      <c r="AD282" s="573"/>
      <c r="AE282" s="487"/>
      <c r="AF282" s="577">
        <f t="shared" si="39"/>
        <v>0</v>
      </c>
      <c r="AG282" s="275">
        <f t="shared" si="40"/>
        <v>0</v>
      </c>
    </row>
    <row r="283" spans="1:33" s="578" customFormat="1" ht="12" customHeight="1">
      <c r="A283" s="568" t="s">
        <v>1270</v>
      </c>
      <c r="B283" s="594" t="s">
        <v>1413</v>
      </c>
      <c r="C283" s="593" t="s">
        <v>422</v>
      </c>
      <c r="D283" s="585"/>
      <c r="E283" s="586"/>
      <c r="F283" s="573"/>
      <c r="G283" s="487"/>
      <c r="H283" s="573"/>
      <c r="I283" s="487"/>
      <c r="J283" s="573"/>
      <c r="K283" s="487"/>
      <c r="L283" s="573"/>
      <c r="M283" s="573"/>
      <c r="N283" s="456">
        <f t="shared" si="41"/>
        <v>0</v>
      </c>
      <c r="O283" s="487"/>
      <c r="P283" s="487"/>
      <c r="Q283" s="274">
        <f t="shared" si="36"/>
        <v>0</v>
      </c>
      <c r="R283" s="574">
        <f t="shared" si="37"/>
        <v>0</v>
      </c>
      <c r="S283" s="275">
        <f t="shared" si="38"/>
        <v>0</v>
      </c>
      <c r="T283" s="575"/>
      <c r="U283" s="487"/>
      <c r="V283" s="576"/>
      <c r="W283" s="573"/>
      <c r="X283" s="574">
        <f t="shared" si="42"/>
        <v>0</v>
      </c>
      <c r="Y283" s="487"/>
      <c r="Z283" s="487"/>
      <c r="AA283" s="276">
        <f t="shared" si="43"/>
        <v>0</v>
      </c>
      <c r="AB283" s="573"/>
      <c r="AC283" s="487"/>
      <c r="AD283" s="573"/>
      <c r="AE283" s="487"/>
      <c r="AF283" s="577">
        <f t="shared" si="39"/>
        <v>0</v>
      </c>
      <c r="AG283" s="275">
        <f t="shared" si="40"/>
        <v>0</v>
      </c>
    </row>
    <row r="284" spans="1:33" s="578" customFormat="1" ht="12" customHeight="1">
      <c r="A284" s="568" t="s">
        <v>1270</v>
      </c>
      <c r="B284" s="594" t="s">
        <v>1582</v>
      </c>
      <c r="C284" s="593" t="s">
        <v>1883</v>
      </c>
      <c r="D284" s="585"/>
      <c r="E284" s="586"/>
      <c r="F284" s="573"/>
      <c r="G284" s="487"/>
      <c r="H284" s="573"/>
      <c r="I284" s="487"/>
      <c r="J284" s="573"/>
      <c r="K284" s="487"/>
      <c r="L284" s="573"/>
      <c r="M284" s="573"/>
      <c r="N284" s="456">
        <f t="shared" si="41"/>
        <v>0</v>
      </c>
      <c r="O284" s="487"/>
      <c r="P284" s="487"/>
      <c r="Q284" s="274">
        <f t="shared" si="36"/>
        <v>0</v>
      </c>
      <c r="R284" s="574">
        <f t="shared" si="37"/>
        <v>0</v>
      </c>
      <c r="S284" s="275">
        <f t="shared" si="38"/>
        <v>0</v>
      </c>
      <c r="T284" s="575"/>
      <c r="U284" s="487"/>
      <c r="V284" s="576"/>
      <c r="W284" s="573"/>
      <c r="X284" s="574">
        <f t="shared" si="42"/>
        <v>0</v>
      </c>
      <c r="Y284" s="487"/>
      <c r="Z284" s="487"/>
      <c r="AA284" s="276">
        <f t="shared" si="43"/>
        <v>0</v>
      </c>
      <c r="AB284" s="573"/>
      <c r="AC284" s="487"/>
      <c r="AD284" s="573"/>
      <c r="AE284" s="487"/>
      <c r="AF284" s="577">
        <f t="shared" si="39"/>
        <v>0</v>
      </c>
      <c r="AG284" s="275">
        <f t="shared" si="40"/>
        <v>0</v>
      </c>
    </row>
    <row r="285" spans="1:33" s="578" customFormat="1" ht="12" customHeight="1">
      <c r="A285" s="568" t="s">
        <v>1270</v>
      </c>
      <c r="B285" s="594" t="s">
        <v>1583</v>
      </c>
      <c r="C285" s="593" t="s">
        <v>1761</v>
      </c>
      <c r="D285" s="585"/>
      <c r="E285" s="586"/>
      <c r="F285" s="573"/>
      <c r="G285" s="487"/>
      <c r="H285" s="573"/>
      <c r="I285" s="487"/>
      <c r="J285" s="573"/>
      <c r="K285" s="487"/>
      <c r="L285" s="573"/>
      <c r="M285" s="573"/>
      <c r="N285" s="456">
        <f t="shared" si="41"/>
        <v>0</v>
      </c>
      <c r="O285" s="487"/>
      <c r="P285" s="487"/>
      <c r="Q285" s="274">
        <f t="shared" si="36"/>
        <v>0</v>
      </c>
      <c r="R285" s="574">
        <f t="shared" si="37"/>
        <v>0</v>
      </c>
      <c r="S285" s="275">
        <f t="shared" si="38"/>
        <v>0</v>
      </c>
      <c r="T285" s="575"/>
      <c r="U285" s="487"/>
      <c r="V285" s="576"/>
      <c r="W285" s="573"/>
      <c r="X285" s="574">
        <f t="shared" si="42"/>
        <v>0</v>
      </c>
      <c r="Y285" s="487"/>
      <c r="Z285" s="487"/>
      <c r="AA285" s="276">
        <f t="shared" si="43"/>
        <v>0</v>
      </c>
      <c r="AB285" s="573"/>
      <c r="AC285" s="487"/>
      <c r="AD285" s="573"/>
      <c r="AE285" s="487"/>
      <c r="AF285" s="577">
        <f t="shared" si="39"/>
        <v>0</v>
      </c>
      <c r="AG285" s="275">
        <f t="shared" si="40"/>
        <v>0</v>
      </c>
    </row>
    <row r="286" spans="1:33" s="578" customFormat="1" ht="12" customHeight="1">
      <c r="A286" s="568" t="s">
        <v>1270</v>
      </c>
      <c r="B286" s="569" t="s">
        <v>1805</v>
      </c>
      <c r="C286" s="247" t="s">
        <v>1352</v>
      </c>
      <c r="D286" s="585"/>
      <c r="E286" s="586"/>
      <c r="F286" s="573"/>
      <c r="G286" s="487"/>
      <c r="H286" s="573"/>
      <c r="I286" s="487"/>
      <c r="J286" s="573"/>
      <c r="K286" s="487"/>
      <c r="L286" s="573"/>
      <c r="M286" s="573"/>
      <c r="N286" s="456">
        <f t="shared" si="41"/>
        <v>0</v>
      </c>
      <c r="O286" s="487"/>
      <c r="P286" s="487"/>
      <c r="Q286" s="274">
        <f t="shared" si="36"/>
        <v>0</v>
      </c>
      <c r="R286" s="574">
        <f t="shared" si="37"/>
        <v>0</v>
      </c>
      <c r="S286" s="275">
        <f t="shared" si="38"/>
        <v>0</v>
      </c>
      <c r="T286" s="575"/>
      <c r="U286" s="487"/>
      <c r="V286" s="576"/>
      <c r="W286" s="573"/>
      <c r="X286" s="574">
        <f t="shared" si="42"/>
        <v>0</v>
      </c>
      <c r="Y286" s="487"/>
      <c r="Z286" s="487"/>
      <c r="AA286" s="276">
        <f t="shared" si="43"/>
        <v>0</v>
      </c>
      <c r="AB286" s="573"/>
      <c r="AC286" s="487"/>
      <c r="AD286" s="573"/>
      <c r="AE286" s="487"/>
      <c r="AF286" s="577">
        <f t="shared" si="39"/>
        <v>0</v>
      </c>
      <c r="AG286" s="275">
        <f t="shared" si="40"/>
        <v>0</v>
      </c>
    </row>
    <row r="287" spans="1:33" s="578" customFormat="1" ht="12" customHeight="1">
      <c r="A287" s="568" t="s">
        <v>1270</v>
      </c>
      <c r="B287" s="594" t="s">
        <v>1510</v>
      </c>
      <c r="C287" s="593" t="s">
        <v>421</v>
      </c>
      <c r="D287" s="585"/>
      <c r="E287" s="586"/>
      <c r="F287" s="573"/>
      <c r="G287" s="487"/>
      <c r="H287" s="573"/>
      <c r="I287" s="487"/>
      <c r="J287" s="573"/>
      <c r="K287" s="487"/>
      <c r="L287" s="573"/>
      <c r="M287" s="573"/>
      <c r="N287" s="456">
        <f t="shared" si="41"/>
        <v>0</v>
      </c>
      <c r="O287" s="487"/>
      <c r="P287" s="487"/>
      <c r="Q287" s="274">
        <f t="shared" si="36"/>
        <v>0</v>
      </c>
      <c r="R287" s="574">
        <f t="shared" si="37"/>
        <v>0</v>
      </c>
      <c r="S287" s="275">
        <f t="shared" si="38"/>
        <v>0</v>
      </c>
      <c r="T287" s="575"/>
      <c r="U287" s="487"/>
      <c r="V287" s="576"/>
      <c r="W287" s="573"/>
      <c r="X287" s="574">
        <f t="shared" si="42"/>
        <v>0</v>
      </c>
      <c r="Y287" s="487"/>
      <c r="Z287" s="487"/>
      <c r="AA287" s="276">
        <f t="shared" si="43"/>
        <v>0</v>
      </c>
      <c r="AB287" s="573"/>
      <c r="AC287" s="487"/>
      <c r="AD287" s="573"/>
      <c r="AE287" s="487"/>
      <c r="AF287" s="577">
        <f t="shared" si="39"/>
        <v>0</v>
      </c>
      <c r="AG287" s="275">
        <f t="shared" si="40"/>
        <v>0</v>
      </c>
    </row>
    <row r="288" spans="1:33" s="578" customFormat="1" ht="12" customHeight="1">
      <c r="A288" s="568" t="s">
        <v>1270</v>
      </c>
      <c r="B288" s="594" t="s">
        <v>1511</v>
      </c>
      <c r="C288" s="593" t="s">
        <v>1883</v>
      </c>
      <c r="D288" s="585"/>
      <c r="E288" s="586"/>
      <c r="F288" s="573"/>
      <c r="G288" s="487"/>
      <c r="H288" s="573"/>
      <c r="I288" s="487"/>
      <c r="J288" s="573"/>
      <c r="K288" s="487"/>
      <c r="L288" s="573"/>
      <c r="M288" s="573"/>
      <c r="N288" s="456">
        <f t="shared" si="41"/>
        <v>0</v>
      </c>
      <c r="O288" s="487"/>
      <c r="P288" s="487"/>
      <c r="Q288" s="274">
        <f t="shared" si="36"/>
        <v>0</v>
      </c>
      <c r="R288" s="574">
        <f t="shared" si="37"/>
        <v>0</v>
      </c>
      <c r="S288" s="275">
        <f t="shared" si="38"/>
        <v>0</v>
      </c>
      <c r="T288" s="458">
        <v>3527798</v>
      </c>
      <c r="U288" s="487">
        <v>2548793</v>
      </c>
      <c r="V288" s="576"/>
      <c r="W288" s="573"/>
      <c r="X288" s="574">
        <f t="shared" si="42"/>
        <v>0</v>
      </c>
      <c r="Y288" s="487"/>
      <c r="Z288" s="487"/>
      <c r="AA288" s="276">
        <f t="shared" si="43"/>
        <v>0</v>
      </c>
      <c r="AB288" s="573"/>
      <c r="AC288" s="487"/>
      <c r="AD288" s="573"/>
      <c r="AE288" s="487"/>
      <c r="AF288" s="577">
        <f t="shared" si="39"/>
        <v>3527798</v>
      </c>
      <c r="AG288" s="275">
        <f t="shared" si="40"/>
        <v>2548793</v>
      </c>
    </row>
    <row r="289" spans="1:33" s="578" customFormat="1" ht="12" customHeight="1">
      <c r="A289" s="568" t="s">
        <v>1270</v>
      </c>
      <c r="B289" s="594" t="s">
        <v>1412</v>
      </c>
      <c r="C289" s="593" t="s">
        <v>1761</v>
      </c>
      <c r="D289" s="585"/>
      <c r="E289" s="586"/>
      <c r="F289" s="573"/>
      <c r="G289" s="487"/>
      <c r="H289" s="573"/>
      <c r="I289" s="487"/>
      <c r="J289" s="573"/>
      <c r="K289" s="487"/>
      <c r="L289" s="573"/>
      <c r="M289" s="573"/>
      <c r="N289" s="456">
        <f t="shared" si="41"/>
        <v>0</v>
      </c>
      <c r="O289" s="487"/>
      <c r="P289" s="487"/>
      <c r="Q289" s="274">
        <f t="shared" si="36"/>
        <v>0</v>
      </c>
      <c r="R289" s="574">
        <f t="shared" si="37"/>
        <v>0</v>
      </c>
      <c r="S289" s="275">
        <f t="shared" si="38"/>
        <v>0</v>
      </c>
      <c r="T289" s="458"/>
      <c r="U289" s="487"/>
      <c r="V289" s="576"/>
      <c r="W289" s="573"/>
      <c r="X289" s="574">
        <f t="shared" si="42"/>
        <v>0</v>
      </c>
      <c r="Y289" s="487"/>
      <c r="Z289" s="487"/>
      <c r="AA289" s="276">
        <f t="shared" si="43"/>
        <v>0</v>
      </c>
      <c r="AB289" s="573"/>
      <c r="AC289" s="487"/>
      <c r="AD289" s="573"/>
      <c r="AE289" s="487"/>
      <c r="AF289" s="577">
        <f t="shared" si="39"/>
        <v>0</v>
      </c>
      <c r="AG289" s="275">
        <f t="shared" si="40"/>
        <v>0</v>
      </c>
    </row>
    <row r="290" spans="1:33" s="578" customFormat="1" ht="12" customHeight="1">
      <c r="A290" s="568" t="s">
        <v>1270</v>
      </c>
      <c r="B290" s="594" t="s">
        <v>1413</v>
      </c>
      <c r="C290" s="593" t="s">
        <v>422</v>
      </c>
      <c r="D290" s="585"/>
      <c r="E290" s="586"/>
      <c r="F290" s="573"/>
      <c r="G290" s="487"/>
      <c r="H290" s="573"/>
      <c r="I290" s="487"/>
      <c r="J290" s="573"/>
      <c r="K290" s="487"/>
      <c r="L290" s="573"/>
      <c r="M290" s="573"/>
      <c r="N290" s="456">
        <f t="shared" si="41"/>
        <v>0</v>
      </c>
      <c r="O290" s="487"/>
      <c r="P290" s="487"/>
      <c r="Q290" s="274">
        <f t="shared" si="36"/>
        <v>0</v>
      </c>
      <c r="R290" s="574">
        <f t="shared" si="37"/>
        <v>0</v>
      </c>
      <c r="S290" s="275">
        <f t="shared" si="38"/>
        <v>0</v>
      </c>
      <c r="T290" s="575"/>
      <c r="U290" s="487"/>
      <c r="V290" s="576"/>
      <c r="W290" s="573"/>
      <c r="X290" s="574">
        <f t="shared" si="42"/>
        <v>0</v>
      </c>
      <c r="Y290" s="487"/>
      <c r="Z290" s="487"/>
      <c r="AA290" s="276">
        <f t="shared" si="43"/>
        <v>0</v>
      </c>
      <c r="AB290" s="573"/>
      <c r="AC290" s="487"/>
      <c r="AD290" s="573"/>
      <c r="AE290" s="487"/>
      <c r="AF290" s="577">
        <f t="shared" si="39"/>
        <v>0</v>
      </c>
      <c r="AG290" s="275">
        <f t="shared" si="40"/>
        <v>0</v>
      </c>
    </row>
    <row r="291" spans="1:33" s="578" customFormat="1" ht="12" customHeight="1">
      <c r="A291" s="568" t="s">
        <v>1270</v>
      </c>
      <c r="B291" s="594" t="s">
        <v>1582</v>
      </c>
      <c r="C291" s="593" t="s">
        <v>1883</v>
      </c>
      <c r="D291" s="585"/>
      <c r="E291" s="586"/>
      <c r="F291" s="573"/>
      <c r="G291" s="487"/>
      <c r="H291" s="573"/>
      <c r="I291" s="487"/>
      <c r="J291" s="573"/>
      <c r="K291" s="487"/>
      <c r="L291" s="573"/>
      <c r="M291" s="573"/>
      <c r="N291" s="456">
        <f t="shared" si="41"/>
        <v>0</v>
      </c>
      <c r="O291" s="487"/>
      <c r="P291" s="487"/>
      <c r="Q291" s="274">
        <f t="shared" si="36"/>
        <v>0</v>
      </c>
      <c r="R291" s="574">
        <f t="shared" si="37"/>
        <v>0</v>
      </c>
      <c r="S291" s="275">
        <f t="shared" si="38"/>
        <v>0</v>
      </c>
      <c r="T291" s="458">
        <v>881950</v>
      </c>
      <c r="U291" s="487">
        <v>637198</v>
      </c>
      <c r="V291" s="576"/>
      <c r="W291" s="573"/>
      <c r="X291" s="574">
        <f t="shared" si="42"/>
        <v>0</v>
      </c>
      <c r="Y291" s="487"/>
      <c r="Z291" s="487"/>
      <c r="AA291" s="276">
        <f t="shared" si="43"/>
        <v>0</v>
      </c>
      <c r="AB291" s="573"/>
      <c r="AC291" s="487"/>
      <c r="AD291" s="573"/>
      <c r="AE291" s="487"/>
      <c r="AF291" s="577">
        <f t="shared" si="39"/>
        <v>881950</v>
      </c>
      <c r="AG291" s="275">
        <f t="shared" si="40"/>
        <v>637198</v>
      </c>
    </row>
    <row r="292" spans="1:33" s="578" customFormat="1" ht="12" customHeight="1">
      <c r="A292" s="568" t="s">
        <v>1270</v>
      </c>
      <c r="B292" s="594" t="s">
        <v>1583</v>
      </c>
      <c r="C292" s="593" t="s">
        <v>1761</v>
      </c>
      <c r="D292" s="585"/>
      <c r="E292" s="586"/>
      <c r="F292" s="573"/>
      <c r="G292" s="487"/>
      <c r="H292" s="573"/>
      <c r="I292" s="487"/>
      <c r="J292" s="573"/>
      <c r="K292" s="487"/>
      <c r="L292" s="573"/>
      <c r="M292" s="573"/>
      <c r="N292" s="456">
        <f t="shared" si="41"/>
        <v>0</v>
      </c>
      <c r="O292" s="487"/>
      <c r="P292" s="487"/>
      <c r="Q292" s="274">
        <f t="shared" si="36"/>
        <v>0</v>
      </c>
      <c r="R292" s="574">
        <f t="shared" si="37"/>
        <v>0</v>
      </c>
      <c r="S292" s="275">
        <f t="shared" si="38"/>
        <v>0</v>
      </c>
      <c r="T292" s="575"/>
      <c r="U292" s="487"/>
      <c r="V292" s="576"/>
      <c r="W292" s="573"/>
      <c r="X292" s="574">
        <f t="shared" si="42"/>
        <v>0</v>
      </c>
      <c r="Y292" s="487"/>
      <c r="Z292" s="487"/>
      <c r="AA292" s="276">
        <f t="shared" si="43"/>
        <v>0</v>
      </c>
      <c r="AB292" s="573"/>
      <c r="AC292" s="487"/>
      <c r="AD292" s="573"/>
      <c r="AE292" s="487"/>
      <c r="AF292" s="577">
        <f t="shared" si="39"/>
        <v>0</v>
      </c>
      <c r="AG292" s="275">
        <f t="shared" si="40"/>
        <v>0</v>
      </c>
    </row>
    <row r="293" spans="1:33" s="578" customFormat="1" ht="12" customHeight="1">
      <c r="A293" s="568" t="s">
        <v>1270</v>
      </c>
      <c r="B293" s="569" t="s">
        <v>1805</v>
      </c>
      <c r="C293" s="247" t="s">
        <v>146</v>
      </c>
      <c r="D293" s="585"/>
      <c r="E293" s="586"/>
      <c r="F293" s="573"/>
      <c r="G293" s="487"/>
      <c r="H293" s="573"/>
      <c r="I293" s="487"/>
      <c r="J293" s="573"/>
      <c r="K293" s="487"/>
      <c r="L293" s="573"/>
      <c r="M293" s="573"/>
      <c r="N293" s="456">
        <f t="shared" si="41"/>
        <v>0</v>
      </c>
      <c r="O293" s="487"/>
      <c r="P293" s="487"/>
      <c r="Q293" s="274">
        <f t="shared" si="36"/>
        <v>0</v>
      </c>
      <c r="R293" s="574">
        <f t="shared" si="37"/>
        <v>0</v>
      </c>
      <c r="S293" s="275">
        <f t="shared" si="38"/>
        <v>0</v>
      </c>
      <c r="T293" s="575"/>
      <c r="U293" s="487"/>
      <c r="V293" s="576"/>
      <c r="W293" s="573"/>
      <c r="X293" s="574">
        <f t="shared" si="42"/>
        <v>0</v>
      </c>
      <c r="Y293" s="487"/>
      <c r="Z293" s="487"/>
      <c r="AA293" s="276">
        <f t="shared" si="43"/>
        <v>0</v>
      </c>
      <c r="AB293" s="573"/>
      <c r="AC293" s="487"/>
      <c r="AD293" s="573"/>
      <c r="AE293" s="487"/>
      <c r="AF293" s="577">
        <f t="shared" si="39"/>
        <v>0</v>
      </c>
      <c r="AG293" s="275">
        <f t="shared" si="40"/>
        <v>0</v>
      </c>
    </row>
    <row r="294" spans="1:33" s="578" customFormat="1" ht="12" customHeight="1">
      <c r="A294" s="568" t="s">
        <v>1270</v>
      </c>
      <c r="B294" s="594" t="s">
        <v>1510</v>
      </c>
      <c r="C294" s="593" t="s">
        <v>421</v>
      </c>
      <c r="D294" s="585"/>
      <c r="E294" s="586"/>
      <c r="F294" s="573"/>
      <c r="G294" s="487"/>
      <c r="H294" s="573"/>
      <c r="I294" s="487"/>
      <c r="J294" s="573"/>
      <c r="K294" s="487"/>
      <c r="L294" s="573"/>
      <c r="M294" s="573"/>
      <c r="N294" s="456">
        <f t="shared" si="41"/>
        <v>0</v>
      </c>
      <c r="O294" s="487"/>
      <c r="P294" s="487"/>
      <c r="Q294" s="274">
        <f t="shared" si="36"/>
        <v>0</v>
      </c>
      <c r="R294" s="574">
        <f t="shared" si="37"/>
        <v>0</v>
      </c>
      <c r="S294" s="275">
        <f t="shared" si="38"/>
        <v>0</v>
      </c>
      <c r="T294" s="575"/>
      <c r="U294" s="487"/>
      <c r="V294" s="576"/>
      <c r="W294" s="573"/>
      <c r="X294" s="574">
        <f t="shared" si="42"/>
        <v>0</v>
      </c>
      <c r="Y294" s="487"/>
      <c r="Z294" s="487"/>
      <c r="AA294" s="276">
        <f t="shared" si="43"/>
        <v>0</v>
      </c>
      <c r="AB294" s="573"/>
      <c r="AC294" s="487"/>
      <c r="AD294" s="573"/>
      <c r="AE294" s="487"/>
      <c r="AF294" s="577">
        <f t="shared" si="39"/>
        <v>0</v>
      </c>
      <c r="AG294" s="275">
        <f t="shared" si="40"/>
        <v>0</v>
      </c>
    </row>
    <row r="295" spans="1:33" s="578" customFormat="1" ht="12" customHeight="1">
      <c r="A295" s="568" t="s">
        <v>1270</v>
      </c>
      <c r="B295" s="594" t="s">
        <v>1511</v>
      </c>
      <c r="C295" s="593" t="s">
        <v>1883</v>
      </c>
      <c r="D295" s="585"/>
      <c r="E295" s="586"/>
      <c r="F295" s="573"/>
      <c r="G295" s="487"/>
      <c r="H295" s="573"/>
      <c r="I295" s="487"/>
      <c r="J295" s="573"/>
      <c r="K295" s="487"/>
      <c r="L295" s="573"/>
      <c r="M295" s="573"/>
      <c r="N295" s="456">
        <f t="shared" si="41"/>
        <v>0</v>
      </c>
      <c r="O295" s="487"/>
      <c r="P295" s="487"/>
      <c r="Q295" s="274">
        <f t="shared" si="36"/>
        <v>0</v>
      </c>
      <c r="R295" s="574">
        <f t="shared" si="37"/>
        <v>0</v>
      </c>
      <c r="S295" s="275">
        <f t="shared" si="38"/>
        <v>0</v>
      </c>
      <c r="T295" s="458">
        <v>2129485</v>
      </c>
      <c r="U295" s="487">
        <v>1681976</v>
      </c>
      <c r="V295" s="576"/>
      <c r="W295" s="573"/>
      <c r="X295" s="574">
        <f t="shared" si="42"/>
        <v>0</v>
      </c>
      <c r="Y295" s="487"/>
      <c r="Z295" s="487"/>
      <c r="AA295" s="276">
        <f t="shared" si="43"/>
        <v>0</v>
      </c>
      <c r="AB295" s="573"/>
      <c r="AC295" s="487"/>
      <c r="AD295" s="573"/>
      <c r="AE295" s="487"/>
      <c r="AF295" s="577">
        <f t="shared" si="39"/>
        <v>2129485</v>
      </c>
      <c r="AG295" s="275">
        <f t="shared" si="40"/>
        <v>1681976</v>
      </c>
    </row>
    <row r="296" spans="1:33" s="578" customFormat="1" ht="12" customHeight="1">
      <c r="A296" s="568" t="s">
        <v>1270</v>
      </c>
      <c r="B296" s="594" t="s">
        <v>1412</v>
      </c>
      <c r="C296" s="593" t="s">
        <v>1761</v>
      </c>
      <c r="D296" s="585"/>
      <c r="E296" s="586"/>
      <c r="F296" s="573"/>
      <c r="G296" s="487"/>
      <c r="H296" s="573"/>
      <c r="I296" s="487"/>
      <c r="J296" s="573"/>
      <c r="K296" s="487"/>
      <c r="L296" s="573"/>
      <c r="M296" s="573"/>
      <c r="N296" s="456">
        <f t="shared" si="41"/>
        <v>0</v>
      </c>
      <c r="O296" s="487"/>
      <c r="P296" s="487"/>
      <c r="Q296" s="274">
        <f t="shared" si="36"/>
        <v>0</v>
      </c>
      <c r="R296" s="574">
        <f t="shared" si="37"/>
        <v>0</v>
      </c>
      <c r="S296" s="275">
        <f t="shared" si="38"/>
        <v>0</v>
      </c>
      <c r="T296" s="575"/>
      <c r="U296" s="487"/>
      <c r="V296" s="576"/>
      <c r="W296" s="573"/>
      <c r="X296" s="574">
        <f t="shared" si="42"/>
        <v>0</v>
      </c>
      <c r="Y296" s="487"/>
      <c r="Z296" s="487"/>
      <c r="AA296" s="276">
        <f t="shared" si="43"/>
        <v>0</v>
      </c>
      <c r="AB296" s="573"/>
      <c r="AC296" s="487"/>
      <c r="AD296" s="573"/>
      <c r="AE296" s="487"/>
      <c r="AF296" s="577">
        <f t="shared" si="39"/>
        <v>0</v>
      </c>
      <c r="AG296" s="275">
        <f t="shared" si="40"/>
        <v>0</v>
      </c>
    </row>
    <row r="297" spans="1:33" s="578" customFormat="1" ht="12" customHeight="1">
      <c r="A297" s="568" t="s">
        <v>1270</v>
      </c>
      <c r="B297" s="594" t="s">
        <v>1413</v>
      </c>
      <c r="C297" s="593" t="s">
        <v>422</v>
      </c>
      <c r="D297" s="585"/>
      <c r="E297" s="586"/>
      <c r="F297" s="573"/>
      <c r="G297" s="487"/>
      <c r="H297" s="573"/>
      <c r="I297" s="487"/>
      <c r="J297" s="573"/>
      <c r="K297" s="487"/>
      <c r="L297" s="573"/>
      <c r="M297" s="573"/>
      <c r="N297" s="456">
        <f t="shared" si="41"/>
        <v>0</v>
      </c>
      <c r="O297" s="487"/>
      <c r="P297" s="487"/>
      <c r="Q297" s="274">
        <f t="shared" si="36"/>
        <v>0</v>
      </c>
      <c r="R297" s="574">
        <f t="shared" si="37"/>
        <v>0</v>
      </c>
      <c r="S297" s="275">
        <f t="shared" si="38"/>
        <v>0</v>
      </c>
      <c r="T297" s="575"/>
      <c r="U297" s="487"/>
      <c r="V297" s="576"/>
      <c r="W297" s="573"/>
      <c r="X297" s="574">
        <f t="shared" si="42"/>
        <v>0</v>
      </c>
      <c r="Y297" s="487"/>
      <c r="Z297" s="487"/>
      <c r="AA297" s="276">
        <f t="shared" si="43"/>
        <v>0</v>
      </c>
      <c r="AB297" s="573"/>
      <c r="AC297" s="487"/>
      <c r="AD297" s="573"/>
      <c r="AE297" s="487"/>
      <c r="AF297" s="577">
        <f t="shared" si="39"/>
        <v>0</v>
      </c>
      <c r="AG297" s="275">
        <f t="shared" si="40"/>
        <v>0</v>
      </c>
    </row>
    <row r="298" spans="1:33" s="578" customFormat="1" ht="12" customHeight="1">
      <c r="A298" s="568" t="s">
        <v>1270</v>
      </c>
      <c r="B298" s="594" t="s">
        <v>1582</v>
      </c>
      <c r="C298" s="593" t="s">
        <v>1883</v>
      </c>
      <c r="D298" s="585"/>
      <c r="E298" s="586"/>
      <c r="F298" s="573"/>
      <c r="G298" s="487"/>
      <c r="H298" s="573"/>
      <c r="I298" s="487"/>
      <c r="J298" s="573"/>
      <c r="K298" s="487"/>
      <c r="L298" s="573"/>
      <c r="M298" s="573"/>
      <c r="N298" s="456">
        <f t="shared" si="41"/>
        <v>0</v>
      </c>
      <c r="O298" s="487"/>
      <c r="P298" s="487"/>
      <c r="Q298" s="274">
        <f t="shared" si="36"/>
        <v>0</v>
      </c>
      <c r="R298" s="574">
        <f t="shared" si="37"/>
        <v>0</v>
      </c>
      <c r="S298" s="275">
        <f t="shared" si="38"/>
        <v>0</v>
      </c>
      <c r="T298" s="458">
        <v>300000</v>
      </c>
      <c r="U298" s="487">
        <v>300000</v>
      </c>
      <c r="V298" s="576"/>
      <c r="W298" s="573"/>
      <c r="X298" s="574">
        <f t="shared" si="42"/>
        <v>0</v>
      </c>
      <c r="Y298" s="487"/>
      <c r="Z298" s="487"/>
      <c r="AA298" s="276">
        <f t="shared" si="43"/>
        <v>0</v>
      </c>
      <c r="AB298" s="573"/>
      <c r="AC298" s="487"/>
      <c r="AD298" s="573"/>
      <c r="AE298" s="487"/>
      <c r="AF298" s="577">
        <f t="shared" si="39"/>
        <v>300000</v>
      </c>
      <c r="AG298" s="275">
        <f t="shared" si="40"/>
        <v>300000</v>
      </c>
    </row>
    <row r="299" spans="1:33" s="578" customFormat="1" ht="12" customHeight="1">
      <c r="A299" s="568" t="s">
        <v>1270</v>
      </c>
      <c r="B299" s="594" t="s">
        <v>1583</v>
      </c>
      <c r="C299" s="593" t="s">
        <v>1761</v>
      </c>
      <c r="D299" s="585"/>
      <c r="E299" s="586"/>
      <c r="F299" s="573"/>
      <c r="G299" s="487"/>
      <c r="H299" s="573"/>
      <c r="I299" s="487"/>
      <c r="J299" s="573"/>
      <c r="K299" s="487"/>
      <c r="L299" s="573"/>
      <c r="M299" s="573"/>
      <c r="N299" s="456">
        <f t="shared" si="41"/>
        <v>0</v>
      </c>
      <c r="O299" s="487"/>
      <c r="P299" s="487"/>
      <c r="Q299" s="274">
        <f t="shared" si="36"/>
        <v>0</v>
      </c>
      <c r="R299" s="574">
        <f t="shared" si="37"/>
        <v>0</v>
      </c>
      <c r="S299" s="275">
        <f t="shared" si="38"/>
        <v>0</v>
      </c>
      <c r="T299" s="575"/>
      <c r="U299" s="487"/>
      <c r="V299" s="576"/>
      <c r="W299" s="573"/>
      <c r="X299" s="574">
        <f t="shared" si="42"/>
        <v>0</v>
      </c>
      <c r="Y299" s="487"/>
      <c r="Z299" s="487"/>
      <c r="AA299" s="276">
        <f t="shared" si="43"/>
        <v>0</v>
      </c>
      <c r="AB299" s="573"/>
      <c r="AC299" s="487"/>
      <c r="AD299" s="573"/>
      <c r="AE299" s="487"/>
      <c r="AF299" s="577">
        <f t="shared" si="39"/>
        <v>0</v>
      </c>
      <c r="AG299" s="275">
        <f t="shared" si="40"/>
        <v>0</v>
      </c>
    </row>
    <row r="300" spans="1:33" s="578" customFormat="1" ht="12" customHeight="1">
      <c r="A300" s="568" t="s">
        <v>1270</v>
      </c>
      <c r="B300" s="595" t="s">
        <v>1805</v>
      </c>
      <c r="C300" s="247" t="s">
        <v>1354</v>
      </c>
      <c r="D300" s="585"/>
      <c r="E300" s="596"/>
      <c r="F300" s="573"/>
      <c r="G300" s="487"/>
      <c r="H300" s="573"/>
      <c r="I300" s="487"/>
      <c r="J300" s="573"/>
      <c r="K300" s="487"/>
      <c r="L300" s="573"/>
      <c r="M300" s="573"/>
      <c r="N300" s="456">
        <f t="shared" si="41"/>
        <v>0</v>
      </c>
      <c r="O300" s="487"/>
      <c r="P300" s="487"/>
      <c r="Q300" s="274">
        <f t="shared" si="36"/>
        <v>0</v>
      </c>
      <c r="R300" s="574">
        <f t="shared" si="37"/>
        <v>0</v>
      </c>
      <c r="S300" s="275">
        <f t="shared" si="38"/>
        <v>0</v>
      </c>
      <c r="T300" s="575"/>
      <c r="U300" s="487"/>
      <c r="V300" s="576"/>
      <c r="W300" s="573"/>
      <c r="X300" s="574">
        <f t="shared" si="42"/>
        <v>0</v>
      </c>
      <c r="Y300" s="487"/>
      <c r="Z300" s="487"/>
      <c r="AA300" s="276">
        <f t="shared" si="43"/>
        <v>0</v>
      </c>
      <c r="AB300" s="573"/>
      <c r="AC300" s="487"/>
      <c r="AD300" s="573"/>
      <c r="AE300" s="487"/>
      <c r="AF300" s="577">
        <f t="shared" si="39"/>
        <v>0</v>
      </c>
      <c r="AG300" s="275">
        <f t="shared" si="40"/>
        <v>0</v>
      </c>
    </row>
    <row r="301" spans="1:33" s="578" customFormat="1" ht="12" customHeight="1">
      <c r="A301" s="568" t="s">
        <v>1270</v>
      </c>
      <c r="B301" s="569" t="s">
        <v>1882</v>
      </c>
      <c r="C301" s="593" t="s">
        <v>1883</v>
      </c>
      <c r="D301" s="585"/>
      <c r="E301" s="586"/>
      <c r="F301" s="573"/>
      <c r="G301" s="487"/>
      <c r="H301" s="573"/>
      <c r="I301" s="487"/>
      <c r="J301" s="573"/>
      <c r="K301" s="487"/>
      <c r="L301" s="573"/>
      <c r="M301" s="573"/>
      <c r="N301" s="456">
        <f t="shared" si="41"/>
        <v>0</v>
      </c>
      <c r="O301" s="487"/>
      <c r="P301" s="487"/>
      <c r="Q301" s="274">
        <f t="shared" si="36"/>
        <v>0</v>
      </c>
      <c r="R301" s="574">
        <f t="shared" si="37"/>
        <v>0</v>
      </c>
      <c r="S301" s="275">
        <f t="shared" si="38"/>
        <v>0</v>
      </c>
      <c r="T301" s="575">
        <v>12750</v>
      </c>
      <c r="U301" s="487">
        <v>11844</v>
      </c>
      <c r="V301" s="576"/>
      <c r="W301" s="573"/>
      <c r="X301" s="574">
        <f t="shared" si="42"/>
        <v>0</v>
      </c>
      <c r="Y301" s="487"/>
      <c r="Z301" s="487"/>
      <c r="AA301" s="276">
        <f t="shared" si="43"/>
        <v>0</v>
      </c>
      <c r="AB301" s="573"/>
      <c r="AC301" s="487"/>
      <c r="AD301" s="573"/>
      <c r="AE301" s="487"/>
      <c r="AF301" s="577">
        <f t="shared" si="39"/>
        <v>12750</v>
      </c>
      <c r="AG301" s="275">
        <f t="shared" si="40"/>
        <v>11844</v>
      </c>
    </row>
    <row r="302" spans="1:33" s="578" customFormat="1" ht="12" customHeight="1">
      <c r="A302" s="568" t="s">
        <v>1270</v>
      </c>
      <c r="B302" s="569" t="s">
        <v>1763</v>
      </c>
      <c r="C302" s="593" t="s">
        <v>1761</v>
      </c>
      <c r="D302" s="585"/>
      <c r="E302" s="586"/>
      <c r="F302" s="573"/>
      <c r="G302" s="487"/>
      <c r="H302" s="573"/>
      <c r="I302" s="487"/>
      <c r="J302" s="573"/>
      <c r="K302" s="487"/>
      <c r="L302" s="573"/>
      <c r="M302" s="573"/>
      <c r="N302" s="456">
        <f t="shared" si="41"/>
        <v>0</v>
      </c>
      <c r="O302" s="487"/>
      <c r="P302" s="487"/>
      <c r="Q302" s="274">
        <f t="shared" si="36"/>
        <v>0</v>
      </c>
      <c r="R302" s="574">
        <f t="shared" si="37"/>
        <v>0</v>
      </c>
      <c r="S302" s="275">
        <f t="shared" si="38"/>
        <v>0</v>
      </c>
      <c r="T302" s="575"/>
      <c r="U302" s="487"/>
      <c r="V302" s="576"/>
      <c r="W302" s="573"/>
      <c r="X302" s="574">
        <f t="shared" si="42"/>
        <v>0</v>
      </c>
      <c r="Y302" s="487"/>
      <c r="Z302" s="487"/>
      <c r="AA302" s="276">
        <f t="shared" si="43"/>
        <v>0</v>
      </c>
      <c r="AB302" s="573"/>
      <c r="AC302" s="487"/>
      <c r="AD302" s="573"/>
      <c r="AE302" s="487"/>
      <c r="AF302" s="577">
        <f t="shared" si="39"/>
        <v>0</v>
      </c>
      <c r="AG302" s="275">
        <f t="shared" si="40"/>
        <v>0</v>
      </c>
    </row>
    <row r="303" spans="1:33" s="578" customFormat="1" ht="12" customHeight="1">
      <c r="A303" s="568" t="s">
        <v>1270</v>
      </c>
      <c r="B303" s="594" t="s">
        <v>1510</v>
      </c>
      <c r="C303" s="593" t="s">
        <v>421</v>
      </c>
      <c r="D303" s="585"/>
      <c r="E303" s="586"/>
      <c r="F303" s="573"/>
      <c r="G303" s="487"/>
      <c r="H303" s="573"/>
      <c r="I303" s="487"/>
      <c r="J303" s="573"/>
      <c r="K303" s="487"/>
      <c r="L303" s="573"/>
      <c r="M303" s="573"/>
      <c r="N303" s="456">
        <f t="shared" si="41"/>
        <v>0</v>
      </c>
      <c r="O303" s="487"/>
      <c r="P303" s="487"/>
      <c r="Q303" s="274">
        <f t="shared" si="36"/>
        <v>0</v>
      </c>
      <c r="R303" s="574">
        <f t="shared" si="37"/>
        <v>0</v>
      </c>
      <c r="S303" s="275">
        <f t="shared" si="38"/>
        <v>0</v>
      </c>
      <c r="T303" s="575"/>
      <c r="U303" s="487"/>
      <c r="V303" s="576"/>
      <c r="W303" s="573"/>
      <c r="X303" s="574">
        <f t="shared" si="42"/>
        <v>0</v>
      </c>
      <c r="Y303" s="487"/>
      <c r="Z303" s="487"/>
      <c r="AA303" s="276">
        <f t="shared" si="43"/>
        <v>0</v>
      </c>
      <c r="AB303" s="573"/>
      <c r="AC303" s="487"/>
      <c r="AD303" s="573"/>
      <c r="AE303" s="487"/>
      <c r="AF303" s="577">
        <f t="shared" si="39"/>
        <v>0</v>
      </c>
      <c r="AG303" s="275">
        <f t="shared" si="40"/>
        <v>0</v>
      </c>
    </row>
    <row r="304" spans="1:33" s="578" customFormat="1" ht="12" customHeight="1">
      <c r="A304" s="568" t="s">
        <v>1270</v>
      </c>
      <c r="B304" s="594" t="s">
        <v>1511</v>
      </c>
      <c r="C304" s="593" t="s">
        <v>1883</v>
      </c>
      <c r="D304" s="585"/>
      <c r="E304" s="586"/>
      <c r="F304" s="573"/>
      <c r="G304" s="487"/>
      <c r="H304" s="573"/>
      <c r="I304" s="487"/>
      <c r="J304" s="573"/>
      <c r="K304" s="487"/>
      <c r="L304" s="573"/>
      <c r="M304" s="573"/>
      <c r="N304" s="456">
        <f t="shared" si="41"/>
        <v>0</v>
      </c>
      <c r="O304" s="487"/>
      <c r="P304" s="487"/>
      <c r="Q304" s="274">
        <f t="shared" si="36"/>
        <v>0</v>
      </c>
      <c r="R304" s="574">
        <f t="shared" si="37"/>
        <v>0</v>
      </c>
      <c r="S304" s="275">
        <f t="shared" si="38"/>
        <v>0</v>
      </c>
      <c r="T304" s="575"/>
      <c r="U304" s="487"/>
      <c r="V304" s="576"/>
      <c r="W304" s="573"/>
      <c r="X304" s="574">
        <f t="shared" si="42"/>
        <v>0</v>
      </c>
      <c r="Y304" s="487"/>
      <c r="Z304" s="487"/>
      <c r="AA304" s="276">
        <f t="shared" si="43"/>
        <v>0</v>
      </c>
      <c r="AB304" s="573"/>
      <c r="AC304" s="487"/>
      <c r="AD304" s="573"/>
      <c r="AE304" s="487"/>
      <c r="AF304" s="577">
        <f t="shared" si="39"/>
        <v>0</v>
      </c>
      <c r="AG304" s="275">
        <f t="shared" si="40"/>
        <v>0</v>
      </c>
    </row>
    <row r="305" spans="1:33" s="578" customFormat="1" ht="12" customHeight="1">
      <c r="A305" s="568" t="s">
        <v>1270</v>
      </c>
      <c r="B305" s="594" t="s">
        <v>1412</v>
      </c>
      <c r="C305" s="593" t="s">
        <v>1761</v>
      </c>
      <c r="D305" s="585"/>
      <c r="E305" s="586"/>
      <c r="F305" s="573"/>
      <c r="G305" s="487"/>
      <c r="H305" s="573"/>
      <c r="I305" s="487"/>
      <c r="J305" s="573"/>
      <c r="K305" s="487"/>
      <c r="L305" s="573"/>
      <c r="M305" s="573"/>
      <c r="N305" s="456">
        <f t="shared" si="41"/>
        <v>0</v>
      </c>
      <c r="O305" s="487"/>
      <c r="P305" s="487"/>
      <c r="Q305" s="274">
        <f t="shared" si="36"/>
        <v>0</v>
      </c>
      <c r="R305" s="574">
        <f t="shared" si="37"/>
        <v>0</v>
      </c>
      <c r="S305" s="275">
        <f t="shared" si="38"/>
        <v>0</v>
      </c>
      <c r="T305" s="575"/>
      <c r="U305" s="487"/>
      <c r="V305" s="576"/>
      <c r="W305" s="573"/>
      <c r="X305" s="574">
        <f t="shared" si="42"/>
        <v>0</v>
      </c>
      <c r="Y305" s="487"/>
      <c r="Z305" s="487"/>
      <c r="AA305" s="276">
        <f t="shared" si="43"/>
        <v>0</v>
      </c>
      <c r="AB305" s="573"/>
      <c r="AC305" s="487"/>
      <c r="AD305" s="573"/>
      <c r="AE305" s="487"/>
      <c r="AF305" s="577">
        <f t="shared" si="39"/>
        <v>0</v>
      </c>
      <c r="AG305" s="275">
        <f t="shared" si="40"/>
        <v>0</v>
      </c>
    </row>
    <row r="306" spans="1:33" s="578" customFormat="1" ht="12" customHeight="1">
      <c r="A306" s="568" t="s">
        <v>1270</v>
      </c>
      <c r="B306" s="594" t="s">
        <v>1413</v>
      </c>
      <c r="C306" s="593" t="s">
        <v>422</v>
      </c>
      <c r="D306" s="585"/>
      <c r="E306" s="586"/>
      <c r="F306" s="573"/>
      <c r="G306" s="487"/>
      <c r="H306" s="573"/>
      <c r="I306" s="487"/>
      <c r="J306" s="573"/>
      <c r="K306" s="487"/>
      <c r="L306" s="573"/>
      <c r="M306" s="573"/>
      <c r="N306" s="456">
        <f t="shared" si="41"/>
        <v>0</v>
      </c>
      <c r="O306" s="487"/>
      <c r="P306" s="487"/>
      <c r="Q306" s="274">
        <f t="shared" si="36"/>
        <v>0</v>
      </c>
      <c r="R306" s="574">
        <f t="shared" si="37"/>
        <v>0</v>
      </c>
      <c r="S306" s="275">
        <f t="shared" si="38"/>
        <v>0</v>
      </c>
      <c r="T306" s="575"/>
      <c r="U306" s="487"/>
      <c r="V306" s="576"/>
      <c r="W306" s="573"/>
      <c r="X306" s="574">
        <f t="shared" si="42"/>
        <v>0</v>
      </c>
      <c r="Y306" s="487"/>
      <c r="Z306" s="487"/>
      <c r="AA306" s="276">
        <f t="shared" si="43"/>
        <v>0</v>
      </c>
      <c r="AB306" s="573"/>
      <c r="AC306" s="487"/>
      <c r="AD306" s="573"/>
      <c r="AE306" s="487"/>
      <c r="AF306" s="577">
        <f t="shared" si="39"/>
        <v>0</v>
      </c>
      <c r="AG306" s="275">
        <f t="shared" si="40"/>
        <v>0</v>
      </c>
    </row>
    <row r="307" spans="1:33" s="578" customFormat="1" ht="12" customHeight="1">
      <c r="A307" s="568" t="s">
        <v>1270</v>
      </c>
      <c r="B307" s="594" t="s">
        <v>1582</v>
      </c>
      <c r="C307" s="593" t="s">
        <v>1883</v>
      </c>
      <c r="D307" s="585"/>
      <c r="E307" s="586"/>
      <c r="F307" s="573"/>
      <c r="G307" s="487"/>
      <c r="H307" s="573"/>
      <c r="I307" s="487"/>
      <c r="J307" s="573"/>
      <c r="K307" s="487"/>
      <c r="L307" s="573"/>
      <c r="M307" s="573"/>
      <c r="N307" s="456">
        <f t="shared" si="41"/>
        <v>0</v>
      </c>
      <c r="O307" s="487"/>
      <c r="P307" s="487"/>
      <c r="Q307" s="274">
        <f t="shared" si="36"/>
        <v>0</v>
      </c>
      <c r="R307" s="574">
        <f t="shared" si="37"/>
        <v>0</v>
      </c>
      <c r="S307" s="275">
        <f t="shared" si="38"/>
        <v>0</v>
      </c>
      <c r="T307" s="575"/>
      <c r="U307" s="487"/>
      <c r="V307" s="576"/>
      <c r="W307" s="573"/>
      <c r="X307" s="574">
        <f t="shared" si="42"/>
        <v>0</v>
      </c>
      <c r="Y307" s="487"/>
      <c r="Z307" s="487"/>
      <c r="AA307" s="276">
        <f t="shared" si="43"/>
        <v>0</v>
      </c>
      <c r="AB307" s="573"/>
      <c r="AC307" s="487"/>
      <c r="AD307" s="573"/>
      <c r="AE307" s="487"/>
      <c r="AF307" s="577">
        <f t="shared" si="39"/>
        <v>0</v>
      </c>
      <c r="AG307" s="275">
        <f t="shared" si="40"/>
        <v>0</v>
      </c>
    </row>
    <row r="308" spans="1:33" s="578" customFormat="1" ht="12" customHeight="1">
      <c r="A308" s="568" t="s">
        <v>1270</v>
      </c>
      <c r="B308" s="594" t="s">
        <v>1583</v>
      </c>
      <c r="C308" s="593" t="s">
        <v>1761</v>
      </c>
      <c r="D308" s="585"/>
      <c r="E308" s="586"/>
      <c r="F308" s="573"/>
      <c r="G308" s="487"/>
      <c r="H308" s="573"/>
      <c r="I308" s="487"/>
      <c r="J308" s="573"/>
      <c r="K308" s="487"/>
      <c r="L308" s="573"/>
      <c r="M308" s="573"/>
      <c r="N308" s="456">
        <f t="shared" si="41"/>
        <v>0</v>
      </c>
      <c r="O308" s="487"/>
      <c r="P308" s="487"/>
      <c r="Q308" s="274">
        <f t="shared" si="36"/>
        <v>0</v>
      </c>
      <c r="R308" s="574">
        <f t="shared" si="37"/>
        <v>0</v>
      </c>
      <c r="S308" s="275">
        <f t="shared" si="38"/>
        <v>0</v>
      </c>
      <c r="T308" s="575"/>
      <c r="U308" s="487"/>
      <c r="V308" s="576"/>
      <c r="W308" s="573"/>
      <c r="X308" s="574">
        <f t="shared" si="42"/>
        <v>0</v>
      </c>
      <c r="Y308" s="487"/>
      <c r="Z308" s="487"/>
      <c r="AA308" s="276">
        <f t="shared" si="43"/>
        <v>0</v>
      </c>
      <c r="AB308" s="573"/>
      <c r="AC308" s="487"/>
      <c r="AD308" s="573"/>
      <c r="AE308" s="487"/>
      <c r="AF308" s="577">
        <f t="shared" si="39"/>
        <v>0</v>
      </c>
      <c r="AG308" s="275">
        <f t="shared" si="40"/>
        <v>0</v>
      </c>
    </row>
    <row r="309" spans="1:33" s="578" customFormat="1" ht="12" customHeight="1">
      <c r="A309" s="568" t="s">
        <v>1270</v>
      </c>
      <c r="B309" s="595" t="s">
        <v>1805</v>
      </c>
      <c r="C309" s="247" t="s">
        <v>1355</v>
      </c>
      <c r="D309" s="585"/>
      <c r="E309" s="596"/>
      <c r="F309" s="573"/>
      <c r="G309" s="487"/>
      <c r="H309" s="573"/>
      <c r="I309" s="487"/>
      <c r="J309" s="573"/>
      <c r="K309" s="487"/>
      <c r="L309" s="573"/>
      <c r="M309" s="573"/>
      <c r="N309" s="456">
        <f t="shared" si="41"/>
        <v>0</v>
      </c>
      <c r="O309" s="487"/>
      <c r="P309" s="487"/>
      <c r="Q309" s="274">
        <f t="shared" si="36"/>
        <v>0</v>
      </c>
      <c r="R309" s="574">
        <f t="shared" si="37"/>
        <v>0</v>
      </c>
      <c r="S309" s="275">
        <f t="shared" si="38"/>
        <v>0</v>
      </c>
      <c r="T309" s="575"/>
      <c r="U309" s="487"/>
      <c r="V309" s="576"/>
      <c r="W309" s="573"/>
      <c r="X309" s="574">
        <f t="shared" si="42"/>
        <v>0</v>
      </c>
      <c r="Y309" s="487"/>
      <c r="Z309" s="487"/>
      <c r="AA309" s="276">
        <f t="shared" si="43"/>
        <v>0</v>
      </c>
      <c r="AB309" s="573"/>
      <c r="AC309" s="487"/>
      <c r="AD309" s="573"/>
      <c r="AE309" s="487"/>
      <c r="AF309" s="577">
        <f t="shared" si="39"/>
        <v>0</v>
      </c>
      <c r="AG309" s="275">
        <f t="shared" si="40"/>
        <v>0</v>
      </c>
    </row>
    <row r="310" spans="1:33" s="578" customFormat="1" ht="12" customHeight="1">
      <c r="A310" s="568" t="s">
        <v>1270</v>
      </c>
      <c r="B310" s="594" t="s">
        <v>1510</v>
      </c>
      <c r="C310" s="593" t="s">
        <v>421</v>
      </c>
      <c r="D310" s="585"/>
      <c r="E310" s="586"/>
      <c r="F310" s="573"/>
      <c r="G310" s="487"/>
      <c r="H310" s="573"/>
      <c r="I310" s="487"/>
      <c r="J310" s="573"/>
      <c r="K310" s="487"/>
      <c r="L310" s="573"/>
      <c r="M310" s="573"/>
      <c r="N310" s="456">
        <f t="shared" si="41"/>
        <v>0</v>
      </c>
      <c r="O310" s="487"/>
      <c r="P310" s="487"/>
      <c r="Q310" s="274">
        <f t="shared" si="36"/>
        <v>0</v>
      </c>
      <c r="R310" s="574">
        <f t="shared" si="37"/>
        <v>0</v>
      </c>
      <c r="S310" s="275">
        <f t="shared" si="38"/>
        <v>0</v>
      </c>
      <c r="T310" s="575"/>
      <c r="U310" s="487"/>
      <c r="V310" s="576"/>
      <c r="W310" s="573"/>
      <c r="X310" s="574">
        <f t="shared" si="42"/>
        <v>0</v>
      </c>
      <c r="Y310" s="487"/>
      <c r="Z310" s="487"/>
      <c r="AA310" s="276">
        <f t="shared" si="43"/>
        <v>0</v>
      </c>
      <c r="AB310" s="573"/>
      <c r="AC310" s="487"/>
      <c r="AD310" s="573"/>
      <c r="AE310" s="487"/>
      <c r="AF310" s="577">
        <f t="shared" si="39"/>
        <v>0</v>
      </c>
      <c r="AG310" s="275">
        <f t="shared" si="40"/>
        <v>0</v>
      </c>
    </row>
    <row r="311" spans="1:33" s="578" customFormat="1" ht="12" customHeight="1">
      <c r="A311" s="568" t="s">
        <v>1270</v>
      </c>
      <c r="B311" s="594" t="s">
        <v>1511</v>
      </c>
      <c r="C311" s="593" t="s">
        <v>1883</v>
      </c>
      <c r="D311" s="585"/>
      <c r="E311" s="586"/>
      <c r="F311" s="573"/>
      <c r="G311" s="487"/>
      <c r="H311" s="573"/>
      <c r="I311" s="487"/>
      <c r="J311" s="573"/>
      <c r="K311" s="487"/>
      <c r="L311" s="573"/>
      <c r="M311" s="573"/>
      <c r="N311" s="456">
        <f t="shared" si="41"/>
        <v>0</v>
      </c>
      <c r="O311" s="487"/>
      <c r="P311" s="487"/>
      <c r="Q311" s="274">
        <f t="shared" si="36"/>
        <v>0</v>
      </c>
      <c r="R311" s="574">
        <f t="shared" si="37"/>
        <v>0</v>
      </c>
      <c r="S311" s="275">
        <f t="shared" si="38"/>
        <v>0</v>
      </c>
      <c r="T311" s="575"/>
      <c r="U311" s="487"/>
      <c r="V311" s="576"/>
      <c r="W311" s="573"/>
      <c r="X311" s="574">
        <f t="shared" si="42"/>
        <v>0</v>
      </c>
      <c r="Y311" s="487"/>
      <c r="Z311" s="487"/>
      <c r="AA311" s="276">
        <f t="shared" si="43"/>
        <v>0</v>
      </c>
      <c r="AB311" s="573"/>
      <c r="AC311" s="487"/>
      <c r="AD311" s="573"/>
      <c r="AE311" s="487"/>
      <c r="AF311" s="577">
        <f t="shared" si="39"/>
        <v>0</v>
      </c>
      <c r="AG311" s="275">
        <f t="shared" si="40"/>
        <v>0</v>
      </c>
    </row>
    <row r="312" spans="1:33" s="578" customFormat="1" ht="12" customHeight="1">
      <c r="A312" s="568" t="s">
        <v>1270</v>
      </c>
      <c r="B312" s="594" t="s">
        <v>1412</v>
      </c>
      <c r="C312" s="593" t="s">
        <v>1761</v>
      </c>
      <c r="D312" s="585"/>
      <c r="E312" s="586"/>
      <c r="F312" s="573"/>
      <c r="G312" s="487"/>
      <c r="H312" s="573"/>
      <c r="I312" s="487"/>
      <c r="J312" s="573"/>
      <c r="K312" s="487"/>
      <c r="L312" s="573"/>
      <c r="M312" s="573"/>
      <c r="N312" s="456">
        <f t="shared" si="41"/>
        <v>0</v>
      </c>
      <c r="O312" s="487"/>
      <c r="P312" s="487"/>
      <c r="Q312" s="274">
        <f t="shared" si="36"/>
        <v>0</v>
      </c>
      <c r="R312" s="574">
        <f t="shared" si="37"/>
        <v>0</v>
      </c>
      <c r="S312" s="275">
        <f t="shared" si="38"/>
        <v>0</v>
      </c>
      <c r="T312" s="458">
        <v>23482509</v>
      </c>
      <c r="U312" s="487">
        <v>22213977</v>
      </c>
      <c r="V312" s="576"/>
      <c r="W312" s="573"/>
      <c r="X312" s="574">
        <f t="shared" si="42"/>
        <v>0</v>
      </c>
      <c r="Y312" s="487"/>
      <c r="Z312" s="487"/>
      <c r="AA312" s="276">
        <f t="shared" si="43"/>
        <v>0</v>
      </c>
      <c r="AB312" s="573"/>
      <c r="AC312" s="487"/>
      <c r="AD312" s="573"/>
      <c r="AE312" s="487"/>
      <c r="AF312" s="577">
        <f t="shared" si="39"/>
        <v>23482509</v>
      </c>
      <c r="AG312" s="275">
        <f t="shared" si="40"/>
        <v>22213977</v>
      </c>
    </row>
    <row r="313" spans="1:33" s="578" customFormat="1" ht="12" customHeight="1">
      <c r="A313" s="568" t="s">
        <v>1270</v>
      </c>
      <c r="B313" s="594" t="s">
        <v>1413</v>
      </c>
      <c r="C313" s="593" t="s">
        <v>422</v>
      </c>
      <c r="D313" s="585"/>
      <c r="E313" s="586"/>
      <c r="F313" s="573"/>
      <c r="G313" s="487"/>
      <c r="H313" s="573"/>
      <c r="I313" s="487"/>
      <c r="J313" s="573"/>
      <c r="K313" s="487"/>
      <c r="L313" s="573"/>
      <c r="M313" s="573"/>
      <c r="N313" s="456">
        <f t="shared" si="41"/>
        <v>0</v>
      </c>
      <c r="O313" s="487"/>
      <c r="P313" s="487"/>
      <c r="Q313" s="274">
        <f t="shared" si="36"/>
        <v>0</v>
      </c>
      <c r="R313" s="574">
        <f t="shared" si="37"/>
        <v>0</v>
      </c>
      <c r="S313" s="275">
        <f t="shared" si="38"/>
        <v>0</v>
      </c>
      <c r="T313" s="575"/>
      <c r="U313" s="487"/>
      <c r="V313" s="576"/>
      <c r="W313" s="573"/>
      <c r="X313" s="574">
        <f t="shared" si="42"/>
        <v>0</v>
      </c>
      <c r="Y313" s="487"/>
      <c r="Z313" s="487"/>
      <c r="AA313" s="276">
        <f t="shared" si="43"/>
        <v>0</v>
      </c>
      <c r="AB313" s="573"/>
      <c r="AC313" s="487"/>
      <c r="AD313" s="573"/>
      <c r="AE313" s="487"/>
      <c r="AF313" s="577">
        <f t="shared" si="39"/>
        <v>0</v>
      </c>
      <c r="AG313" s="275">
        <f t="shared" si="40"/>
        <v>0</v>
      </c>
    </row>
    <row r="314" spans="1:33" s="578" customFormat="1" ht="12" customHeight="1">
      <c r="A314" s="568" t="s">
        <v>1270</v>
      </c>
      <c r="B314" s="594" t="s">
        <v>1582</v>
      </c>
      <c r="C314" s="593" t="s">
        <v>1883</v>
      </c>
      <c r="D314" s="585"/>
      <c r="E314" s="586"/>
      <c r="F314" s="573"/>
      <c r="G314" s="487"/>
      <c r="H314" s="573"/>
      <c r="I314" s="487"/>
      <c r="J314" s="573"/>
      <c r="K314" s="487"/>
      <c r="L314" s="573"/>
      <c r="M314" s="573"/>
      <c r="N314" s="456">
        <f t="shared" si="41"/>
        <v>0</v>
      </c>
      <c r="O314" s="487"/>
      <c r="P314" s="487"/>
      <c r="Q314" s="274">
        <f t="shared" si="36"/>
        <v>0</v>
      </c>
      <c r="R314" s="574">
        <f t="shared" si="37"/>
        <v>0</v>
      </c>
      <c r="S314" s="275">
        <f t="shared" si="38"/>
        <v>0</v>
      </c>
      <c r="T314" s="575"/>
      <c r="U314" s="487"/>
      <c r="V314" s="576"/>
      <c r="W314" s="573"/>
      <c r="X314" s="574">
        <f t="shared" si="42"/>
        <v>0</v>
      </c>
      <c r="Y314" s="487"/>
      <c r="Z314" s="487"/>
      <c r="AA314" s="276">
        <f t="shared" si="43"/>
        <v>0</v>
      </c>
      <c r="AB314" s="573"/>
      <c r="AC314" s="487"/>
      <c r="AD314" s="573"/>
      <c r="AE314" s="487"/>
      <c r="AF314" s="577">
        <f t="shared" si="39"/>
        <v>0</v>
      </c>
      <c r="AG314" s="275">
        <f t="shared" si="40"/>
        <v>0</v>
      </c>
    </row>
    <row r="315" spans="1:33" s="578" customFormat="1" ht="12" customHeight="1">
      <c r="A315" s="568" t="s">
        <v>1270</v>
      </c>
      <c r="B315" s="594" t="s">
        <v>1583</v>
      </c>
      <c r="C315" s="593" t="s">
        <v>1761</v>
      </c>
      <c r="D315" s="585"/>
      <c r="E315" s="586"/>
      <c r="F315" s="573"/>
      <c r="G315" s="487"/>
      <c r="H315" s="573"/>
      <c r="I315" s="487"/>
      <c r="J315" s="573"/>
      <c r="K315" s="487"/>
      <c r="L315" s="573"/>
      <c r="M315" s="573"/>
      <c r="N315" s="456">
        <f t="shared" si="41"/>
        <v>0</v>
      </c>
      <c r="O315" s="487"/>
      <c r="P315" s="487"/>
      <c r="Q315" s="274">
        <f t="shared" si="36"/>
        <v>0</v>
      </c>
      <c r="R315" s="574">
        <f t="shared" si="37"/>
        <v>0</v>
      </c>
      <c r="S315" s="275">
        <f t="shared" si="38"/>
        <v>0</v>
      </c>
      <c r="T315" s="575"/>
      <c r="U315" s="487"/>
      <c r="V315" s="576"/>
      <c r="W315" s="573"/>
      <c r="X315" s="574">
        <f t="shared" si="42"/>
        <v>0</v>
      </c>
      <c r="Y315" s="487"/>
      <c r="Z315" s="487"/>
      <c r="AA315" s="276">
        <f t="shared" si="43"/>
        <v>0</v>
      </c>
      <c r="AB315" s="573"/>
      <c r="AC315" s="487"/>
      <c r="AD315" s="573"/>
      <c r="AE315" s="487"/>
      <c r="AF315" s="577">
        <f t="shared" si="39"/>
        <v>0</v>
      </c>
      <c r="AG315" s="275">
        <f t="shared" si="40"/>
        <v>0</v>
      </c>
    </row>
    <row r="316" spans="1:33" s="578" customFormat="1" ht="12" customHeight="1">
      <c r="A316" s="568" t="s">
        <v>1270</v>
      </c>
      <c r="B316" s="595" t="s">
        <v>1805</v>
      </c>
      <c r="C316" s="247" t="s">
        <v>1356</v>
      </c>
      <c r="D316" s="585"/>
      <c r="E316" s="596"/>
      <c r="F316" s="573"/>
      <c r="G316" s="487"/>
      <c r="H316" s="573"/>
      <c r="I316" s="487"/>
      <c r="J316" s="573"/>
      <c r="K316" s="487"/>
      <c r="L316" s="573"/>
      <c r="M316" s="573"/>
      <c r="N316" s="456">
        <f t="shared" si="41"/>
        <v>0</v>
      </c>
      <c r="O316" s="487"/>
      <c r="P316" s="487"/>
      <c r="Q316" s="274">
        <f t="shared" si="36"/>
        <v>0</v>
      </c>
      <c r="R316" s="574">
        <f t="shared" si="37"/>
        <v>0</v>
      </c>
      <c r="S316" s="275">
        <f t="shared" si="38"/>
        <v>0</v>
      </c>
      <c r="T316" s="575"/>
      <c r="U316" s="487"/>
      <c r="V316" s="576"/>
      <c r="W316" s="573"/>
      <c r="X316" s="574">
        <f t="shared" si="42"/>
        <v>0</v>
      </c>
      <c r="Y316" s="487"/>
      <c r="Z316" s="487"/>
      <c r="AA316" s="276">
        <f t="shared" si="43"/>
        <v>0</v>
      </c>
      <c r="AB316" s="573"/>
      <c r="AC316" s="487"/>
      <c r="AD316" s="573"/>
      <c r="AE316" s="487"/>
      <c r="AF316" s="577">
        <f t="shared" si="39"/>
        <v>0</v>
      </c>
      <c r="AG316" s="275">
        <f t="shared" si="40"/>
        <v>0</v>
      </c>
    </row>
    <row r="317" spans="1:33" s="578" customFormat="1" ht="12" customHeight="1">
      <c r="A317" s="568" t="s">
        <v>1270</v>
      </c>
      <c r="B317" s="594" t="s">
        <v>1510</v>
      </c>
      <c r="C317" s="593" t="s">
        <v>421</v>
      </c>
      <c r="D317" s="585"/>
      <c r="E317" s="586"/>
      <c r="F317" s="573"/>
      <c r="G317" s="487"/>
      <c r="H317" s="573"/>
      <c r="I317" s="487"/>
      <c r="J317" s="573"/>
      <c r="K317" s="487"/>
      <c r="L317" s="573"/>
      <c r="M317" s="573"/>
      <c r="N317" s="456">
        <f t="shared" si="41"/>
        <v>0</v>
      </c>
      <c r="O317" s="487"/>
      <c r="P317" s="487"/>
      <c r="Q317" s="274">
        <f t="shared" si="36"/>
        <v>0</v>
      </c>
      <c r="R317" s="574">
        <f t="shared" si="37"/>
        <v>0</v>
      </c>
      <c r="S317" s="275">
        <f t="shared" si="38"/>
        <v>0</v>
      </c>
      <c r="T317" s="575"/>
      <c r="U317" s="487"/>
      <c r="V317" s="576"/>
      <c r="W317" s="573"/>
      <c r="X317" s="574">
        <f t="shared" si="42"/>
        <v>0</v>
      </c>
      <c r="Y317" s="487"/>
      <c r="Z317" s="487"/>
      <c r="AA317" s="276">
        <f t="shared" si="43"/>
        <v>0</v>
      </c>
      <c r="AB317" s="573"/>
      <c r="AC317" s="487"/>
      <c r="AD317" s="573"/>
      <c r="AE317" s="487"/>
      <c r="AF317" s="577">
        <f t="shared" si="39"/>
        <v>0</v>
      </c>
      <c r="AG317" s="275">
        <f t="shared" si="40"/>
        <v>0</v>
      </c>
    </row>
    <row r="318" spans="1:33" s="578" customFormat="1" ht="12" customHeight="1">
      <c r="A318" s="568" t="s">
        <v>1270</v>
      </c>
      <c r="B318" s="594" t="s">
        <v>1511</v>
      </c>
      <c r="C318" s="593" t="s">
        <v>1883</v>
      </c>
      <c r="D318" s="585"/>
      <c r="E318" s="586"/>
      <c r="F318" s="573"/>
      <c r="G318" s="487"/>
      <c r="H318" s="573"/>
      <c r="I318" s="487"/>
      <c r="J318" s="573"/>
      <c r="K318" s="487"/>
      <c r="L318" s="573"/>
      <c r="M318" s="573"/>
      <c r="N318" s="456">
        <f t="shared" si="41"/>
        <v>0</v>
      </c>
      <c r="O318" s="487"/>
      <c r="P318" s="487"/>
      <c r="Q318" s="274">
        <f t="shared" si="36"/>
        <v>0</v>
      </c>
      <c r="R318" s="574">
        <f t="shared" si="37"/>
        <v>0</v>
      </c>
      <c r="S318" s="275">
        <f t="shared" si="38"/>
        <v>0</v>
      </c>
      <c r="T318" s="575"/>
      <c r="U318" s="487"/>
      <c r="V318" s="576"/>
      <c r="W318" s="573"/>
      <c r="X318" s="574">
        <f t="shared" si="42"/>
        <v>0</v>
      </c>
      <c r="Y318" s="487"/>
      <c r="Z318" s="487"/>
      <c r="AA318" s="276">
        <f t="shared" si="43"/>
        <v>0</v>
      </c>
      <c r="AB318" s="573"/>
      <c r="AC318" s="487"/>
      <c r="AD318" s="573"/>
      <c r="AE318" s="487"/>
      <c r="AF318" s="577">
        <f t="shared" si="39"/>
        <v>0</v>
      </c>
      <c r="AG318" s="275">
        <f t="shared" si="40"/>
        <v>0</v>
      </c>
    </row>
    <row r="319" spans="1:33" s="578" customFormat="1" ht="12" customHeight="1">
      <c r="A319" s="568" t="s">
        <v>1270</v>
      </c>
      <c r="B319" s="594" t="s">
        <v>1412</v>
      </c>
      <c r="C319" s="593" t="s">
        <v>1761</v>
      </c>
      <c r="D319" s="585"/>
      <c r="E319" s="586"/>
      <c r="F319" s="573"/>
      <c r="G319" s="487"/>
      <c r="H319" s="573"/>
      <c r="I319" s="487"/>
      <c r="J319" s="573"/>
      <c r="K319" s="487"/>
      <c r="L319" s="573"/>
      <c r="M319" s="573"/>
      <c r="N319" s="456">
        <f t="shared" si="41"/>
        <v>0</v>
      </c>
      <c r="O319" s="487"/>
      <c r="P319" s="487"/>
      <c r="Q319" s="274">
        <f t="shared" si="36"/>
        <v>0</v>
      </c>
      <c r="R319" s="574">
        <f t="shared" si="37"/>
        <v>0</v>
      </c>
      <c r="S319" s="275">
        <f t="shared" si="38"/>
        <v>0</v>
      </c>
      <c r="T319" s="458">
        <v>135939</v>
      </c>
      <c r="U319" s="487">
        <v>175440</v>
      </c>
      <c r="V319" s="576"/>
      <c r="W319" s="573"/>
      <c r="X319" s="574">
        <f t="shared" si="42"/>
        <v>0</v>
      </c>
      <c r="Y319" s="487"/>
      <c r="Z319" s="487"/>
      <c r="AA319" s="276">
        <f t="shared" si="43"/>
        <v>0</v>
      </c>
      <c r="AB319" s="573"/>
      <c r="AC319" s="487"/>
      <c r="AD319" s="573"/>
      <c r="AE319" s="487"/>
      <c r="AF319" s="577">
        <f t="shared" si="39"/>
        <v>135939</v>
      </c>
      <c r="AG319" s="275">
        <f t="shared" si="40"/>
        <v>175440</v>
      </c>
    </row>
    <row r="320" spans="1:33" s="578" customFormat="1" ht="12" customHeight="1">
      <c r="A320" s="568" t="s">
        <v>1270</v>
      </c>
      <c r="B320" s="594" t="s">
        <v>1413</v>
      </c>
      <c r="C320" s="593" t="s">
        <v>422</v>
      </c>
      <c r="D320" s="585"/>
      <c r="E320" s="586"/>
      <c r="F320" s="573"/>
      <c r="G320" s="487"/>
      <c r="H320" s="573"/>
      <c r="I320" s="487"/>
      <c r="J320" s="573"/>
      <c r="K320" s="487"/>
      <c r="L320" s="573"/>
      <c r="M320" s="573"/>
      <c r="N320" s="456">
        <f t="shared" si="41"/>
        <v>0</v>
      </c>
      <c r="O320" s="487"/>
      <c r="P320" s="487"/>
      <c r="Q320" s="274">
        <f t="shared" si="36"/>
        <v>0</v>
      </c>
      <c r="R320" s="574">
        <f t="shared" si="37"/>
        <v>0</v>
      </c>
      <c r="S320" s="275">
        <f t="shared" si="38"/>
        <v>0</v>
      </c>
      <c r="T320" s="575"/>
      <c r="U320" s="487"/>
      <c r="V320" s="576"/>
      <c r="W320" s="573"/>
      <c r="X320" s="574">
        <f t="shared" si="42"/>
        <v>0</v>
      </c>
      <c r="Y320" s="487"/>
      <c r="Z320" s="487"/>
      <c r="AA320" s="276">
        <f t="shared" si="43"/>
        <v>0</v>
      </c>
      <c r="AB320" s="573"/>
      <c r="AC320" s="487"/>
      <c r="AD320" s="573"/>
      <c r="AE320" s="487"/>
      <c r="AF320" s="577">
        <f t="shared" si="39"/>
        <v>0</v>
      </c>
      <c r="AG320" s="275">
        <f t="shared" si="40"/>
        <v>0</v>
      </c>
    </row>
    <row r="321" spans="1:33" s="578" customFormat="1" ht="12" customHeight="1">
      <c r="A321" s="568" t="s">
        <v>1270</v>
      </c>
      <c r="B321" s="594" t="s">
        <v>1582</v>
      </c>
      <c r="C321" s="593" t="s">
        <v>1883</v>
      </c>
      <c r="D321" s="585"/>
      <c r="E321" s="586"/>
      <c r="F321" s="573"/>
      <c r="G321" s="487"/>
      <c r="H321" s="573"/>
      <c r="I321" s="487"/>
      <c r="J321" s="573"/>
      <c r="K321" s="487"/>
      <c r="L321" s="573"/>
      <c r="M321" s="573"/>
      <c r="N321" s="456">
        <f t="shared" si="41"/>
        <v>0</v>
      </c>
      <c r="O321" s="487"/>
      <c r="P321" s="487"/>
      <c r="Q321" s="274">
        <f t="shared" si="36"/>
        <v>0</v>
      </c>
      <c r="R321" s="574">
        <f t="shared" si="37"/>
        <v>0</v>
      </c>
      <c r="S321" s="275">
        <f t="shared" si="38"/>
        <v>0</v>
      </c>
      <c r="T321" s="575"/>
      <c r="U321" s="487"/>
      <c r="V321" s="576"/>
      <c r="W321" s="573"/>
      <c r="X321" s="574">
        <f t="shared" si="42"/>
        <v>0</v>
      </c>
      <c r="Y321" s="487"/>
      <c r="Z321" s="487"/>
      <c r="AA321" s="276">
        <f t="shared" si="43"/>
        <v>0</v>
      </c>
      <c r="AB321" s="573"/>
      <c r="AC321" s="487"/>
      <c r="AD321" s="573"/>
      <c r="AE321" s="487"/>
      <c r="AF321" s="577">
        <f t="shared" si="39"/>
        <v>0</v>
      </c>
      <c r="AG321" s="275">
        <f t="shared" si="40"/>
        <v>0</v>
      </c>
    </row>
    <row r="322" spans="1:33" s="578" customFormat="1" ht="12" customHeight="1">
      <c r="A322" s="568" t="s">
        <v>1270</v>
      </c>
      <c r="B322" s="594" t="s">
        <v>1583</v>
      </c>
      <c r="C322" s="593" t="s">
        <v>1761</v>
      </c>
      <c r="D322" s="585"/>
      <c r="E322" s="586"/>
      <c r="F322" s="573"/>
      <c r="G322" s="487"/>
      <c r="H322" s="573"/>
      <c r="I322" s="487"/>
      <c r="J322" s="573"/>
      <c r="K322" s="487"/>
      <c r="L322" s="573"/>
      <c r="M322" s="573"/>
      <c r="N322" s="456">
        <f t="shared" si="41"/>
        <v>0</v>
      </c>
      <c r="O322" s="487"/>
      <c r="P322" s="487"/>
      <c r="Q322" s="274">
        <f t="shared" si="36"/>
        <v>0</v>
      </c>
      <c r="R322" s="574">
        <f t="shared" si="37"/>
        <v>0</v>
      </c>
      <c r="S322" s="275">
        <f t="shared" si="38"/>
        <v>0</v>
      </c>
      <c r="T322" s="575"/>
      <c r="U322" s="487"/>
      <c r="V322" s="576"/>
      <c r="W322" s="573"/>
      <c r="X322" s="574">
        <f t="shared" si="42"/>
        <v>0</v>
      </c>
      <c r="Y322" s="487"/>
      <c r="Z322" s="487"/>
      <c r="AA322" s="276">
        <f t="shared" si="43"/>
        <v>0</v>
      </c>
      <c r="AB322" s="573"/>
      <c r="AC322" s="487"/>
      <c r="AD322" s="573"/>
      <c r="AE322" s="487"/>
      <c r="AF322" s="577">
        <f t="shared" si="39"/>
        <v>0</v>
      </c>
      <c r="AG322" s="275">
        <f t="shared" si="40"/>
        <v>0</v>
      </c>
    </row>
    <row r="323" spans="1:33" s="578" customFormat="1" ht="12" customHeight="1">
      <c r="A323" s="568" t="s">
        <v>1270</v>
      </c>
      <c r="B323" s="595" t="s">
        <v>1805</v>
      </c>
      <c r="C323" s="247" t="s">
        <v>1357</v>
      </c>
      <c r="D323" s="585"/>
      <c r="E323" s="596"/>
      <c r="F323" s="573"/>
      <c r="G323" s="487"/>
      <c r="H323" s="573"/>
      <c r="I323" s="487"/>
      <c r="J323" s="573"/>
      <c r="K323" s="487"/>
      <c r="L323" s="573"/>
      <c r="M323" s="573"/>
      <c r="N323" s="456">
        <f t="shared" si="41"/>
        <v>0</v>
      </c>
      <c r="O323" s="487"/>
      <c r="P323" s="487"/>
      <c r="Q323" s="274">
        <f t="shared" si="36"/>
        <v>0</v>
      </c>
      <c r="R323" s="574">
        <f t="shared" si="37"/>
        <v>0</v>
      </c>
      <c r="S323" s="275">
        <f t="shared" si="38"/>
        <v>0</v>
      </c>
      <c r="T323" s="575"/>
      <c r="U323" s="487"/>
      <c r="V323" s="576"/>
      <c r="W323" s="573"/>
      <c r="X323" s="574">
        <f t="shared" si="42"/>
        <v>0</v>
      </c>
      <c r="Y323" s="487"/>
      <c r="Z323" s="487"/>
      <c r="AA323" s="276">
        <f t="shared" si="43"/>
        <v>0</v>
      </c>
      <c r="AB323" s="573"/>
      <c r="AC323" s="487"/>
      <c r="AD323" s="573"/>
      <c r="AE323" s="487"/>
      <c r="AF323" s="577">
        <f t="shared" si="39"/>
        <v>0</v>
      </c>
      <c r="AG323" s="275">
        <f t="shared" si="40"/>
        <v>0</v>
      </c>
    </row>
    <row r="324" spans="1:33" s="578" customFormat="1" ht="12" customHeight="1">
      <c r="A324" s="568" t="s">
        <v>1270</v>
      </c>
      <c r="B324" s="594" t="s">
        <v>1510</v>
      </c>
      <c r="C324" s="593" t="s">
        <v>421</v>
      </c>
      <c r="D324" s="585"/>
      <c r="E324" s="586"/>
      <c r="F324" s="573"/>
      <c r="G324" s="487"/>
      <c r="H324" s="573"/>
      <c r="I324" s="487"/>
      <c r="J324" s="573"/>
      <c r="K324" s="487"/>
      <c r="L324" s="573"/>
      <c r="M324" s="573"/>
      <c r="N324" s="456">
        <f t="shared" si="41"/>
        <v>0</v>
      </c>
      <c r="O324" s="487"/>
      <c r="P324" s="487"/>
      <c r="Q324" s="274">
        <f t="shared" si="36"/>
        <v>0</v>
      </c>
      <c r="R324" s="574">
        <f t="shared" si="37"/>
        <v>0</v>
      </c>
      <c r="S324" s="275">
        <f t="shared" si="38"/>
        <v>0</v>
      </c>
      <c r="T324" s="575"/>
      <c r="U324" s="487"/>
      <c r="V324" s="576"/>
      <c r="W324" s="573"/>
      <c r="X324" s="574">
        <f t="shared" si="42"/>
        <v>0</v>
      </c>
      <c r="Y324" s="487"/>
      <c r="Z324" s="487"/>
      <c r="AA324" s="276">
        <f t="shared" si="43"/>
        <v>0</v>
      </c>
      <c r="AB324" s="573"/>
      <c r="AC324" s="487"/>
      <c r="AD324" s="573"/>
      <c r="AE324" s="487"/>
      <c r="AF324" s="577">
        <f t="shared" si="39"/>
        <v>0</v>
      </c>
      <c r="AG324" s="275">
        <f t="shared" si="40"/>
        <v>0</v>
      </c>
    </row>
    <row r="325" spans="1:33" s="578" customFormat="1" ht="12" customHeight="1">
      <c r="A325" s="568" t="s">
        <v>1270</v>
      </c>
      <c r="B325" s="594" t="s">
        <v>1511</v>
      </c>
      <c r="C325" s="593" t="s">
        <v>1883</v>
      </c>
      <c r="D325" s="585"/>
      <c r="E325" s="586"/>
      <c r="F325" s="573"/>
      <c r="G325" s="487"/>
      <c r="H325" s="573"/>
      <c r="I325" s="487"/>
      <c r="J325" s="573"/>
      <c r="K325" s="487"/>
      <c r="L325" s="573"/>
      <c r="M325" s="573"/>
      <c r="N325" s="456">
        <f t="shared" si="41"/>
        <v>0</v>
      </c>
      <c r="O325" s="487"/>
      <c r="P325" s="487"/>
      <c r="Q325" s="274">
        <f t="shared" si="36"/>
        <v>0</v>
      </c>
      <c r="R325" s="574">
        <f t="shared" si="37"/>
        <v>0</v>
      </c>
      <c r="S325" s="275">
        <f t="shared" si="38"/>
        <v>0</v>
      </c>
      <c r="T325" s="575"/>
      <c r="U325" s="487"/>
      <c r="V325" s="576"/>
      <c r="W325" s="573"/>
      <c r="X325" s="574">
        <f t="shared" si="42"/>
        <v>0</v>
      </c>
      <c r="Y325" s="487"/>
      <c r="Z325" s="487"/>
      <c r="AA325" s="276">
        <f t="shared" si="43"/>
        <v>0</v>
      </c>
      <c r="AB325" s="573"/>
      <c r="AC325" s="487"/>
      <c r="AD325" s="573"/>
      <c r="AE325" s="487"/>
      <c r="AF325" s="577">
        <f t="shared" si="39"/>
        <v>0</v>
      </c>
      <c r="AG325" s="275">
        <f t="shared" si="40"/>
        <v>0</v>
      </c>
    </row>
    <row r="326" spans="1:33" s="578" customFormat="1" ht="12" customHeight="1">
      <c r="A326" s="568" t="s">
        <v>1270</v>
      </c>
      <c r="B326" s="594" t="s">
        <v>1412</v>
      </c>
      <c r="C326" s="593" t="s">
        <v>1761</v>
      </c>
      <c r="D326" s="585"/>
      <c r="E326" s="586"/>
      <c r="F326" s="573"/>
      <c r="G326" s="487"/>
      <c r="H326" s="573"/>
      <c r="I326" s="487"/>
      <c r="J326" s="573"/>
      <c r="K326" s="487"/>
      <c r="L326" s="573"/>
      <c r="M326" s="573"/>
      <c r="N326" s="456">
        <f t="shared" si="41"/>
        <v>0</v>
      </c>
      <c r="O326" s="487"/>
      <c r="P326" s="487"/>
      <c r="Q326" s="274">
        <f t="shared" si="36"/>
        <v>0</v>
      </c>
      <c r="R326" s="574">
        <f t="shared" si="37"/>
        <v>0</v>
      </c>
      <c r="S326" s="275">
        <f t="shared" si="38"/>
        <v>0</v>
      </c>
      <c r="T326" s="458">
        <v>513804</v>
      </c>
      <c r="U326" s="487">
        <v>512100</v>
      </c>
      <c r="V326" s="576"/>
      <c r="W326" s="573"/>
      <c r="X326" s="574">
        <f t="shared" si="42"/>
        <v>0</v>
      </c>
      <c r="Y326" s="487"/>
      <c r="Z326" s="487"/>
      <c r="AA326" s="276">
        <f t="shared" si="43"/>
        <v>0</v>
      </c>
      <c r="AB326" s="573"/>
      <c r="AC326" s="487"/>
      <c r="AD326" s="573"/>
      <c r="AE326" s="487"/>
      <c r="AF326" s="577">
        <f t="shared" si="39"/>
        <v>513804</v>
      </c>
      <c r="AG326" s="275">
        <f t="shared" si="40"/>
        <v>512100</v>
      </c>
    </row>
    <row r="327" spans="1:33" s="578" customFormat="1" ht="12" customHeight="1">
      <c r="A327" s="568" t="s">
        <v>1270</v>
      </c>
      <c r="B327" s="594" t="s">
        <v>1413</v>
      </c>
      <c r="C327" s="593" t="s">
        <v>422</v>
      </c>
      <c r="D327" s="585"/>
      <c r="E327" s="586"/>
      <c r="F327" s="573"/>
      <c r="G327" s="487"/>
      <c r="H327" s="573"/>
      <c r="I327" s="487"/>
      <c r="J327" s="573"/>
      <c r="K327" s="487"/>
      <c r="L327" s="573"/>
      <c r="M327" s="573"/>
      <c r="N327" s="456">
        <f t="shared" si="41"/>
        <v>0</v>
      </c>
      <c r="O327" s="487"/>
      <c r="P327" s="487"/>
      <c r="Q327" s="274">
        <f t="shared" si="36"/>
        <v>0</v>
      </c>
      <c r="R327" s="574">
        <f t="shared" si="37"/>
        <v>0</v>
      </c>
      <c r="S327" s="275">
        <f t="shared" si="38"/>
        <v>0</v>
      </c>
      <c r="T327" s="575"/>
      <c r="U327" s="487"/>
      <c r="V327" s="576"/>
      <c r="W327" s="573"/>
      <c r="X327" s="574">
        <f t="shared" si="42"/>
        <v>0</v>
      </c>
      <c r="Y327" s="487"/>
      <c r="Z327" s="487"/>
      <c r="AA327" s="276">
        <f t="shared" si="43"/>
        <v>0</v>
      </c>
      <c r="AB327" s="573"/>
      <c r="AC327" s="487"/>
      <c r="AD327" s="573"/>
      <c r="AE327" s="487"/>
      <c r="AF327" s="577">
        <f t="shared" si="39"/>
        <v>0</v>
      </c>
      <c r="AG327" s="275">
        <f t="shared" si="40"/>
        <v>0</v>
      </c>
    </row>
    <row r="328" spans="1:33" s="578" customFormat="1" ht="12" customHeight="1">
      <c r="A328" s="568" t="s">
        <v>1270</v>
      </c>
      <c r="B328" s="594" t="s">
        <v>1582</v>
      </c>
      <c r="C328" s="593" t="s">
        <v>1883</v>
      </c>
      <c r="D328" s="585"/>
      <c r="E328" s="586"/>
      <c r="F328" s="573"/>
      <c r="G328" s="487"/>
      <c r="H328" s="573"/>
      <c r="I328" s="487"/>
      <c r="J328" s="573"/>
      <c r="K328" s="487"/>
      <c r="L328" s="573"/>
      <c r="M328" s="573"/>
      <c r="N328" s="456">
        <f t="shared" si="41"/>
        <v>0</v>
      </c>
      <c r="O328" s="487"/>
      <c r="P328" s="487"/>
      <c r="Q328" s="274">
        <f t="shared" si="36"/>
        <v>0</v>
      </c>
      <c r="R328" s="574">
        <f t="shared" si="37"/>
        <v>0</v>
      </c>
      <c r="S328" s="275">
        <f t="shared" si="38"/>
        <v>0</v>
      </c>
      <c r="T328" s="575"/>
      <c r="U328" s="487"/>
      <c r="V328" s="576"/>
      <c r="W328" s="573"/>
      <c r="X328" s="574">
        <f t="shared" si="42"/>
        <v>0</v>
      </c>
      <c r="Y328" s="487"/>
      <c r="Z328" s="487"/>
      <c r="AA328" s="276">
        <f t="shared" si="43"/>
        <v>0</v>
      </c>
      <c r="AB328" s="573"/>
      <c r="AC328" s="487"/>
      <c r="AD328" s="573"/>
      <c r="AE328" s="487"/>
      <c r="AF328" s="577">
        <f t="shared" si="39"/>
        <v>0</v>
      </c>
      <c r="AG328" s="275">
        <f t="shared" si="40"/>
        <v>0</v>
      </c>
    </row>
    <row r="329" spans="1:33" s="578" customFormat="1" ht="12" customHeight="1">
      <c r="A329" s="568" t="s">
        <v>1270</v>
      </c>
      <c r="B329" s="594" t="s">
        <v>1583</v>
      </c>
      <c r="C329" s="593" t="s">
        <v>1761</v>
      </c>
      <c r="D329" s="585"/>
      <c r="E329" s="586"/>
      <c r="F329" s="573"/>
      <c r="G329" s="487"/>
      <c r="H329" s="573"/>
      <c r="I329" s="487"/>
      <c r="J329" s="573"/>
      <c r="K329" s="487"/>
      <c r="L329" s="573"/>
      <c r="M329" s="573"/>
      <c r="N329" s="456">
        <f t="shared" si="41"/>
        <v>0</v>
      </c>
      <c r="O329" s="487"/>
      <c r="P329" s="487"/>
      <c r="Q329" s="274">
        <f t="shared" si="36"/>
        <v>0</v>
      </c>
      <c r="R329" s="574">
        <f t="shared" si="37"/>
        <v>0</v>
      </c>
      <c r="S329" s="275">
        <f t="shared" si="38"/>
        <v>0</v>
      </c>
      <c r="T329" s="458">
        <v>128451</v>
      </c>
      <c r="U329" s="487">
        <v>128025</v>
      </c>
      <c r="V329" s="576"/>
      <c r="W329" s="573"/>
      <c r="X329" s="574">
        <f t="shared" si="42"/>
        <v>0</v>
      </c>
      <c r="Y329" s="487"/>
      <c r="Z329" s="487"/>
      <c r="AA329" s="276">
        <f t="shared" si="43"/>
        <v>0</v>
      </c>
      <c r="AB329" s="573"/>
      <c r="AC329" s="487"/>
      <c r="AD329" s="573"/>
      <c r="AE329" s="487"/>
      <c r="AF329" s="577">
        <f t="shared" si="39"/>
        <v>128451</v>
      </c>
      <c r="AG329" s="275">
        <f t="shared" si="40"/>
        <v>128025</v>
      </c>
    </row>
    <row r="330" spans="1:33" s="578" customFormat="1" ht="12" customHeight="1">
      <c r="A330" s="568" t="s">
        <v>1270</v>
      </c>
      <c r="B330" s="594" t="s">
        <v>1806</v>
      </c>
      <c r="C330" s="460" t="s">
        <v>193</v>
      </c>
      <c r="D330" s="585"/>
      <c r="E330" s="586"/>
      <c r="F330" s="573"/>
      <c r="G330" s="487"/>
      <c r="H330" s="573"/>
      <c r="I330" s="487"/>
      <c r="J330" s="573"/>
      <c r="K330" s="487"/>
      <c r="L330" s="573"/>
      <c r="M330" s="573"/>
      <c r="N330" s="456">
        <f t="shared" si="41"/>
        <v>0</v>
      </c>
      <c r="O330" s="487"/>
      <c r="P330" s="487"/>
      <c r="Q330" s="274">
        <f t="shared" ref="Q330:Q393" si="44">SUM(O330:P330)</f>
        <v>0</v>
      </c>
      <c r="R330" s="574">
        <f t="shared" ref="R330:R393" si="45">SUM(F330,H330,J330,L330)</f>
        <v>0</v>
      </c>
      <c r="S330" s="275">
        <f t="shared" ref="S330:S393" si="46">SUM(G330,I330,K330,O330)</f>
        <v>0</v>
      </c>
      <c r="T330" s="575"/>
      <c r="U330" s="487"/>
      <c r="V330" s="576"/>
      <c r="W330" s="573"/>
      <c r="X330" s="574">
        <f t="shared" si="42"/>
        <v>0</v>
      </c>
      <c r="Y330" s="487"/>
      <c r="Z330" s="487"/>
      <c r="AA330" s="276">
        <f t="shared" si="43"/>
        <v>0</v>
      </c>
      <c r="AB330" s="573"/>
      <c r="AC330" s="487"/>
      <c r="AD330" s="573"/>
      <c r="AE330" s="487"/>
      <c r="AF330" s="577">
        <f t="shared" ref="AF330:AF393" si="47">SUM(R330,T330,V330,AB330,AD330)</f>
        <v>0</v>
      </c>
      <c r="AG330" s="275">
        <f t="shared" ref="AG330:AG393" si="48">SUM(S330,U330,Y330,AC330,AE330)</f>
        <v>0</v>
      </c>
    </row>
    <row r="331" spans="1:33" s="578" customFormat="1" ht="12" customHeight="1">
      <c r="A331" s="568" t="s">
        <v>1270</v>
      </c>
      <c r="B331" s="569" t="s">
        <v>1805</v>
      </c>
      <c r="C331" s="247" t="s">
        <v>1353</v>
      </c>
      <c r="D331" s="585"/>
      <c r="E331" s="586"/>
      <c r="F331" s="573"/>
      <c r="G331" s="487"/>
      <c r="H331" s="573"/>
      <c r="I331" s="487"/>
      <c r="J331" s="573"/>
      <c r="K331" s="487"/>
      <c r="L331" s="573"/>
      <c r="M331" s="573"/>
      <c r="N331" s="456">
        <f t="shared" si="41"/>
        <v>0</v>
      </c>
      <c r="O331" s="487"/>
      <c r="P331" s="487"/>
      <c r="Q331" s="274">
        <f t="shared" si="44"/>
        <v>0</v>
      </c>
      <c r="R331" s="574">
        <f t="shared" si="45"/>
        <v>0</v>
      </c>
      <c r="S331" s="275">
        <f t="shared" si="46"/>
        <v>0</v>
      </c>
      <c r="T331" s="575"/>
      <c r="U331" s="487"/>
      <c r="V331" s="576"/>
      <c r="W331" s="573"/>
      <c r="X331" s="574">
        <f t="shared" si="42"/>
        <v>0</v>
      </c>
      <c r="Y331" s="487"/>
      <c r="Z331" s="487"/>
      <c r="AA331" s="276">
        <f t="shared" si="43"/>
        <v>0</v>
      </c>
      <c r="AB331" s="573"/>
      <c r="AC331" s="487"/>
      <c r="AD331" s="573"/>
      <c r="AE331" s="487"/>
      <c r="AF331" s="577">
        <f t="shared" si="47"/>
        <v>0</v>
      </c>
      <c r="AG331" s="275">
        <f t="shared" si="48"/>
        <v>0</v>
      </c>
    </row>
    <row r="332" spans="1:33" s="578" customFormat="1" ht="12" customHeight="1">
      <c r="A332" s="568" t="s">
        <v>1270</v>
      </c>
      <c r="B332" s="594" t="s">
        <v>1764</v>
      </c>
      <c r="C332" s="593" t="s">
        <v>1883</v>
      </c>
      <c r="D332" s="585"/>
      <c r="E332" s="586"/>
      <c r="F332" s="573"/>
      <c r="G332" s="487"/>
      <c r="H332" s="573"/>
      <c r="I332" s="487"/>
      <c r="J332" s="573"/>
      <c r="K332" s="487"/>
      <c r="L332" s="573"/>
      <c r="M332" s="573"/>
      <c r="N332" s="456">
        <f t="shared" si="41"/>
        <v>0</v>
      </c>
      <c r="O332" s="487"/>
      <c r="P332" s="487"/>
      <c r="Q332" s="274">
        <f t="shared" si="44"/>
        <v>0</v>
      </c>
      <c r="R332" s="574">
        <f t="shared" si="45"/>
        <v>0</v>
      </c>
      <c r="S332" s="275">
        <f t="shared" si="46"/>
        <v>0</v>
      </c>
      <c r="T332" s="575"/>
      <c r="U332" s="487"/>
      <c r="V332" s="576"/>
      <c r="W332" s="573"/>
      <c r="X332" s="574">
        <f t="shared" si="42"/>
        <v>0</v>
      </c>
      <c r="Y332" s="487"/>
      <c r="Z332" s="487"/>
      <c r="AA332" s="276">
        <f t="shared" si="43"/>
        <v>0</v>
      </c>
      <c r="AB332" s="573"/>
      <c r="AC332" s="487"/>
      <c r="AD332" s="573"/>
      <c r="AE332" s="487"/>
      <c r="AF332" s="577">
        <f t="shared" si="47"/>
        <v>0</v>
      </c>
      <c r="AG332" s="275">
        <f t="shared" si="48"/>
        <v>0</v>
      </c>
    </row>
    <row r="333" spans="1:33" s="578" customFormat="1" ht="12" customHeight="1">
      <c r="A333" s="568" t="s">
        <v>1270</v>
      </c>
      <c r="B333" s="594" t="s">
        <v>1765</v>
      </c>
      <c r="C333" s="593" t="s">
        <v>1761</v>
      </c>
      <c r="D333" s="585"/>
      <c r="E333" s="586"/>
      <c r="F333" s="573"/>
      <c r="G333" s="487"/>
      <c r="H333" s="573"/>
      <c r="I333" s="487"/>
      <c r="J333" s="573"/>
      <c r="K333" s="487"/>
      <c r="L333" s="573"/>
      <c r="M333" s="573"/>
      <c r="N333" s="456">
        <f t="shared" si="41"/>
        <v>0</v>
      </c>
      <c r="O333" s="487"/>
      <c r="P333" s="487"/>
      <c r="Q333" s="274">
        <f t="shared" si="44"/>
        <v>0</v>
      </c>
      <c r="R333" s="574">
        <f t="shared" si="45"/>
        <v>0</v>
      </c>
      <c r="S333" s="275">
        <f t="shared" si="46"/>
        <v>0</v>
      </c>
      <c r="T333" s="575">
        <v>112500</v>
      </c>
      <c r="U333" s="487">
        <v>102375</v>
      </c>
      <c r="V333" s="576"/>
      <c r="W333" s="573"/>
      <c r="X333" s="574">
        <f t="shared" si="42"/>
        <v>0</v>
      </c>
      <c r="Y333" s="487"/>
      <c r="Z333" s="487"/>
      <c r="AA333" s="276">
        <f t="shared" si="43"/>
        <v>0</v>
      </c>
      <c r="AB333" s="573"/>
      <c r="AC333" s="487"/>
      <c r="AD333" s="573"/>
      <c r="AE333" s="487"/>
      <c r="AF333" s="577">
        <f t="shared" si="47"/>
        <v>112500</v>
      </c>
      <c r="AG333" s="275">
        <f t="shared" si="48"/>
        <v>102375</v>
      </c>
    </row>
    <row r="334" spans="1:33" s="578" customFormat="1" ht="12" customHeight="1">
      <c r="A334" s="568" t="s">
        <v>1270</v>
      </c>
      <c r="B334" s="594" t="s">
        <v>1807</v>
      </c>
      <c r="C334" s="460" t="s">
        <v>713</v>
      </c>
      <c r="D334" s="585"/>
      <c r="E334" s="586"/>
      <c r="F334" s="573"/>
      <c r="G334" s="487"/>
      <c r="H334" s="573"/>
      <c r="I334" s="487"/>
      <c r="J334" s="573"/>
      <c r="K334" s="487"/>
      <c r="L334" s="573"/>
      <c r="M334" s="573"/>
      <c r="N334" s="456">
        <f t="shared" si="41"/>
        <v>0</v>
      </c>
      <c r="O334" s="487"/>
      <c r="P334" s="487"/>
      <c r="Q334" s="274">
        <f t="shared" si="44"/>
        <v>0</v>
      </c>
      <c r="R334" s="574">
        <f t="shared" si="45"/>
        <v>0</v>
      </c>
      <c r="S334" s="275">
        <f t="shared" si="46"/>
        <v>0</v>
      </c>
      <c r="T334" s="575"/>
      <c r="U334" s="487"/>
      <c r="V334" s="576"/>
      <c r="W334" s="573"/>
      <c r="X334" s="574">
        <f t="shared" si="42"/>
        <v>0</v>
      </c>
      <c r="Y334" s="487"/>
      <c r="Z334" s="487"/>
      <c r="AA334" s="276">
        <f t="shared" si="43"/>
        <v>0</v>
      </c>
      <c r="AB334" s="573"/>
      <c r="AC334" s="487"/>
      <c r="AD334" s="573"/>
      <c r="AE334" s="487"/>
      <c r="AF334" s="577">
        <f t="shared" si="47"/>
        <v>0</v>
      </c>
      <c r="AG334" s="275">
        <f t="shared" si="48"/>
        <v>0</v>
      </c>
    </row>
    <row r="335" spans="1:33" s="578" customFormat="1" ht="12" customHeight="1">
      <c r="A335" s="568" t="s">
        <v>1270</v>
      </c>
      <c r="B335" s="595" t="s">
        <v>1807</v>
      </c>
      <c r="C335" s="247" t="s">
        <v>1358</v>
      </c>
      <c r="D335" s="585"/>
      <c r="E335" s="596"/>
      <c r="F335" s="573"/>
      <c r="G335" s="487"/>
      <c r="H335" s="573"/>
      <c r="I335" s="487"/>
      <c r="J335" s="573"/>
      <c r="K335" s="487"/>
      <c r="L335" s="573"/>
      <c r="M335" s="573"/>
      <c r="N335" s="456">
        <f t="shared" si="41"/>
        <v>0</v>
      </c>
      <c r="O335" s="487"/>
      <c r="P335" s="487"/>
      <c r="Q335" s="274">
        <f t="shared" si="44"/>
        <v>0</v>
      </c>
      <c r="R335" s="574">
        <f t="shared" si="45"/>
        <v>0</v>
      </c>
      <c r="S335" s="275">
        <f t="shared" si="46"/>
        <v>0</v>
      </c>
      <c r="T335" s="575"/>
      <c r="U335" s="487"/>
      <c r="V335" s="576"/>
      <c r="W335" s="573"/>
      <c r="X335" s="574">
        <f t="shared" si="42"/>
        <v>0</v>
      </c>
      <c r="Y335" s="487"/>
      <c r="Z335" s="487"/>
      <c r="AA335" s="276">
        <f t="shared" si="43"/>
        <v>0</v>
      </c>
      <c r="AB335" s="573"/>
      <c r="AC335" s="487"/>
      <c r="AD335" s="573"/>
      <c r="AE335" s="487"/>
      <c r="AF335" s="577">
        <f t="shared" si="47"/>
        <v>0</v>
      </c>
      <c r="AG335" s="275">
        <f t="shared" si="48"/>
        <v>0</v>
      </c>
    </row>
    <row r="336" spans="1:33" s="578" customFormat="1" ht="12" customHeight="1">
      <c r="A336" s="568" t="s">
        <v>1270</v>
      </c>
      <c r="B336" s="594" t="s">
        <v>1766</v>
      </c>
      <c r="C336" s="593" t="s">
        <v>1883</v>
      </c>
      <c r="D336" s="585"/>
      <c r="E336" s="586"/>
      <c r="F336" s="573"/>
      <c r="G336" s="487"/>
      <c r="H336" s="573"/>
      <c r="I336" s="487"/>
      <c r="J336" s="573"/>
      <c r="K336" s="487"/>
      <c r="L336" s="573"/>
      <c r="M336" s="573"/>
      <c r="N336" s="456">
        <f t="shared" si="41"/>
        <v>0</v>
      </c>
      <c r="O336" s="487"/>
      <c r="P336" s="487"/>
      <c r="Q336" s="274">
        <f t="shared" si="44"/>
        <v>0</v>
      </c>
      <c r="R336" s="574">
        <f t="shared" si="45"/>
        <v>0</v>
      </c>
      <c r="S336" s="275">
        <f t="shared" si="46"/>
        <v>0</v>
      </c>
      <c r="T336" s="575"/>
      <c r="U336" s="487"/>
      <c r="V336" s="576"/>
      <c r="W336" s="573"/>
      <c r="X336" s="574">
        <f t="shared" si="42"/>
        <v>0</v>
      </c>
      <c r="Y336" s="487"/>
      <c r="Z336" s="487"/>
      <c r="AA336" s="276">
        <f t="shared" si="43"/>
        <v>0</v>
      </c>
      <c r="AB336" s="573"/>
      <c r="AC336" s="487"/>
      <c r="AD336" s="573"/>
      <c r="AE336" s="487"/>
      <c r="AF336" s="577">
        <f t="shared" si="47"/>
        <v>0</v>
      </c>
      <c r="AG336" s="275">
        <f t="shared" si="48"/>
        <v>0</v>
      </c>
    </row>
    <row r="337" spans="1:33" s="578" customFormat="1" ht="12" customHeight="1">
      <c r="A337" s="568" t="s">
        <v>1270</v>
      </c>
      <c r="B337" s="594" t="s">
        <v>1767</v>
      </c>
      <c r="C337" s="593" t="s">
        <v>1761</v>
      </c>
      <c r="D337" s="585"/>
      <c r="E337" s="586"/>
      <c r="F337" s="573"/>
      <c r="G337" s="487"/>
      <c r="H337" s="573"/>
      <c r="I337" s="487"/>
      <c r="J337" s="573"/>
      <c r="K337" s="487"/>
      <c r="L337" s="573"/>
      <c r="M337" s="573"/>
      <c r="N337" s="456">
        <f t="shared" si="41"/>
        <v>0</v>
      </c>
      <c r="O337" s="487"/>
      <c r="P337" s="487"/>
      <c r="Q337" s="274">
        <f t="shared" si="44"/>
        <v>0</v>
      </c>
      <c r="R337" s="574">
        <f t="shared" si="45"/>
        <v>0</v>
      </c>
      <c r="S337" s="275">
        <f t="shared" si="46"/>
        <v>0</v>
      </c>
      <c r="T337" s="458">
        <v>3526701</v>
      </c>
      <c r="U337" s="487">
        <v>2549945</v>
      </c>
      <c r="V337" s="576"/>
      <c r="W337" s="573"/>
      <c r="X337" s="574">
        <f t="shared" si="42"/>
        <v>0</v>
      </c>
      <c r="Y337" s="487"/>
      <c r="Z337" s="487"/>
      <c r="AA337" s="276">
        <f t="shared" si="43"/>
        <v>0</v>
      </c>
      <c r="AB337" s="573"/>
      <c r="AC337" s="487"/>
      <c r="AD337" s="573"/>
      <c r="AE337" s="487"/>
      <c r="AF337" s="577">
        <f t="shared" si="47"/>
        <v>3526701</v>
      </c>
      <c r="AG337" s="275">
        <f t="shared" si="48"/>
        <v>2549945</v>
      </c>
    </row>
    <row r="338" spans="1:33" ht="12" customHeight="1">
      <c r="A338" s="597" t="s">
        <v>1271</v>
      </c>
      <c r="B338" s="598" t="s">
        <v>1776</v>
      </c>
      <c r="C338" s="599" t="s">
        <v>682</v>
      </c>
      <c r="D338" s="600">
        <v>106397</v>
      </c>
      <c r="E338" s="601">
        <v>1</v>
      </c>
      <c r="F338" s="461">
        <v>120756585</v>
      </c>
      <c r="G338" s="487">
        <v>119808304</v>
      </c>
      <c r="H338" s="573"/>
      <c r="I338" s="487"/>
      <c r="J338" s="573"/>
      <c r="K338" s="487"/>
      <c r="L338" s="461">
        <v>109491153</v>
      </c>
      <c r="M338" s="573"/>
      <c r="N338" s="456">
        <f t="shared" si="41"/>
        <v>109491153</v>
      </c>
      <c r="O338" s="487">
        <v>95907954</v>
      </c>
      <c r="P338" s="487"/>
      <c r="Q338" s="274">
        <f t="shared" si="44"/>
        <v>95907954</v>
      </c>
      <c r="R338" s="574">
        <f t="shared" si="45"/>
        <v>230247738</v>
      </c>
      <c r="S338" s="275">
        <f t="shared" si="46"/>
        <v>215716258</v>
      </c>
      <c r="T338" s="575"/>
      <c r="U338" s="487"/>
      <c r="V338" s="576"/>
      <c r="W338" s="573"/>
      <c r="X338" s="574">
        <f t="shared" si="42"/>
        <v>0</v>
      </c>
      <c r="Y338" s="487"/>
      <c r="Z338" s="487"/>
      <c r="AA338" s="276">
        <f t="shared" si="43"/>
        <v>0</v>
      </c>
      <c r="AB338" s="573"/>
      <c r="AC338" s="487"/>
      <c r="AD338" s="573"/>
      <c r="AE338" s="487"/>
      <c r="AF338" s="577">
        <f t="shared" si="47"/>
        <v>230247738</v>
      </c>
      <c r="AG338" s="275">
        <f t="shared" si="48"/>
        <v>215716258</v>
      </c>
    </row>
    <row r="339" spans="1:33" ht="12" customHeight="1">
      <c r="A339" s="603" t="s">
        <v>1271</v>
      </c>
      <c r="B339" s="598" t="s">
        <v>1788</v>
      </c>
      <c r="C339" s="292" t="s">
        <v>1769</v>
      </c>
      <c r="D339" s="600">
        <v>106397</v>
      </c>
      <c r="E339" s="601">
        <v>1</v>
      </c>
      <c r="F339" s="461"/>
      <c r="G339" s="487"/>
      <c r="H339" s="573"/>
      <c r="I339" s="487"/>
      <c r="J339" s="573"/>
      <c r="K339" s="487"/>
      <c r="L339" s="461"/>
      <c r="M339" s="573"/>
      <c r="N339" s="456">
        <f t="shared" ref="N339:N402" si="49">SUM(L339:M339)</f>
        <v>0</v>
      </c>
      <c r="O339" s="487"/>
      <c r="P339" s="487"/>
      <c r="Q339" s="274">
        <f t="shared" si="44"/>
        <v>0</v>
      </c>
      <c r="R339" s="574">
        <f t="shared" si="45"/>
        <v>0</v>
      </c>
      <c r="S339" s="275">
        <f t="shared" si="46"/>
        <v>0</v>
      </c>
      <c r="T339" s="575"/>
      <c r="U339" s="487"/>
      <c r="V339" s="576"/>
      <c r="W339" s="573"/>
      <c r="X339" s="574">
        <f t="shared" ref="X339:X402" si="50">SUM(V339:W339)</f>
        <v>0</v>
      </c>
      <c r="Y339" s="487"/>
      <c r="Z339" s="487"/>
      <c r="AA339" s="276">
        <f t="shared" ref="AA339:AA402" si="51">SUM(Y339:Z339)</f>
        <v>0</v>
      </c>
      <c r="AB339" s="573"/>
      <c r="AC339" s="487"/>
      <c r="AD339" s="573"/>
      <c r="AE339" s="487"/>
      <c r="AF339" s="577">
        <f t="shared" si="47"/>
        <v>0</v>
      </c>
      <c r="AG339" s="275">
        <f t="shared" si="48"/>
        <v>0</v>
      </c>
    </row>
    <row r="340" spans="1:33" ht="12" customHeight="1">
      <c r="A340" s="603" t="s">
        <v>1271</v>
      </c>
      <c r="B340" s="598" t="s">
        <v>1788</v>
      </c>
      <c r="C340" s="604" t="s">
        <v>683</v>
      </c>
      <c r="D340" s="600">
        <v>106397</v>
      </c>
      <c r="E340" s="601">
        <v>1</v>
      </c>
      <c r="F340" s="461"/>
      <c r="G340" s="487"/>
      <c r="H340" s="461">
        <v>67703013</v>
      </c>
      <c r="I340" s="1209">
        <v>67826330</v>
      </c>
      <c r="J340" s="573"/>
      <c r="K340" s="487"/>
      <c r="L340" s="461"/>
      <c r="M340" s="573"/>
      <c r="N340" s="456">
        <f t="shared" si="49"/>
        <v>0</v>
      </c>
      <c r="O340" s="487"/>
      <c r="P340" s="487"/>
      <c r="Q340" s="274">
        <f t="shared" si="44"/>
        <v>0</v>
      </c>
      <c r="R340" s="574">
        <f t="shared" si="45"/>
        <v>67703013</v>
      </c>
      <c r="S340" s="275">
        <f t="shared" si="46"/>
        <v>67826330</v>
      </c>
      <c r="T340" s="575"/>
      <c r="U340" s="487"/>
      <c r="V340" s="576"/>
      <c r="W340" s="573"/>
      <c r="X340" s="574">
        <f t="shared" si="50"/>
        <v>0</v>
      </c>
      <c r="Y340" s="487"/>
      <c r="Z340" s="487"/>
      <c r="AA340" s="276">
        <f t="shared" si="51"/>
        <v>0</v>
      </c>
      <c r="AB340" s="573"/>
      <c r="AC340" s="487"/>
      <c r="AD340" s="573"/>
      <c r="AE340" s="487"/>
      <c r="AF340" s="577">
        <f t="shared" si="47"/>
        <v>67703013</v>
      </c>
      <c r="AG340" s="275">
        <f t="shared" si="48"/>
        <v>67826330</v>
      </c>
    </row>
    <row r="341" spans="1:33" ht="12" customHeight="1">
      <c r="A341" s="603" t="s">
        <v>1271</v>
      </c>
      <c r="B341" s="598" t="s">
        <v>1791</v>
      </c>
      <c r="C341" s="604" t="s">
        <v>684</v>
      </c>
      <c r="D341" s="600">
        <v>106397</v>
      </c>
      <c r="E341" s="601">
        <v>1</v>
      </c>
      <c r="F341" s="461"/>
      <c r="G341" s="487"/>
      <c r="H341" s="461">
        <v>2498409</v>
      </c>
      <c r="I341" s="1209">
        <v>2429398</v>
      </c>
      <c r="J341" s="573"/>
      <c r="K341" s="487"/>
      <c r="L341" s="461"/>
      <c r="M341" s="573"/>
      <c r="N341" s="456">
        <f t="shared" si="49"/>
        <v>0</v>
      </c>
      <c r="O341" s="487"/>
      <c r="P341" s="487"/>
      <c r="Q341" s="274">
        <f t="shared" si="44"/>
        <v>0</v>
      </c>
      <c r="R341" s="574">
        <f t="shared" si="45"/>
        <v>2498409</v>
      </c>
      <c r="S341" s="275">
        <f t="shared" si="46"/>
        <v>2429398</v>
      </c>
      <c r="T341" s="575"/>
      <c r="U341" s="487"/>
      <c r="V341" s="576"/>
      <c r="W341" s="573"/>
      <c r="X341" s="574">
        <f t="shared" si="50"/>
        <v>0</v>
      </c>
      <c r="Y341" s="487"/>
      <c r="Z341" s="487"/>
      <c r="AA341" s="276">
        <f t="shared" si="51"/>
        <v>0</v>
      </c>
      <c r="AB341" s="573"/>
      <c r="AC341" s="487"/>
      <c r="AD341" s="573"/>
      <c r="AE341" s="487"/>
      <c r="AF341" s="577">
        <f t="shared" si="47"/>
        <v>2498409</v>
      </c>
      <c r="AG341" s="275">
        <f t="shared" si="48"/>
        <v>2429398</v>
      </c>
    </row>
    <row r="342" spans="1:33" ht="12" customHeight="1">
      <c r="A342" s="603" t="s">
        <v>1271</v>
      </c>
      <c r="B342" s="598" t="s">
        <v>1791</v>
      </c>
      <c r="C342" s="604" t="s">
        <v>685</v>
      </c>
      <c r="D342" s="600">
        <v>106397</v>
      </c>
      <c r="E342" s="601">
        <v>1</v>
      </c>
      <c r="F342" s="461"/>
      <c r="G342" s="487"/>
      <c r="H342" s="461">
        <v>1813498</v>
      </c>
      <c r="I342" s="1209">
        <v>1816263</v>
      </c>
      <c r="J342" s="573"/>
      <c r="K342" s="487"/>
      <c r="L342" s="461"/>
      <c r="M342" s="573"/>
      <c r="N342" s="456">
        <f t="shared" si="49"/>
        <v>0</v>
      </c>
      <c r="O342" s="487"/>
      <c r="P342" s="487"/>
      <c r="Q342" s="274">
        <f t="shared" si="44"/>
        <v>0</v>
      </c>
      <c r="R342" s="574">
        <f t="shared" si="45"/>
        <v>1813498</v>
      </c>
      <c r="S342" s="275">
        <f t="shared" si="46"/>
        <v>1816263</v>
      </c>
      <c r="T342" s="575"/>
      <c r="U342" s="487"/>
      <c r="V342" s="576"/>
      <c r="W342" s="573"/>
      <c r="X342" s="574">
        <f t="shared" si="50"/>
        <v>0</v>
      </c>
      <c r="Y342" s="487"/>
      <c r="Z342" s="487"/>
      <c r="AA342" s="276">
        <f t="shared" si="51"/>
        <v>0</v>
      </c>
      <c r="AB342" s="573"/>
      <c r="AC342" s="487"/>
      <c r="AD342" s="573"/>
      <c r="AE342" s="487"/>
      <c r="AF342" s="577">
        <f t="shared" si="47"/>
        <v>1813498</v>
      </c>
      <c r="AG342" s="275">
        <f t="shared" si="48"/>
        <v>1816263</v>
      </c>
    </row>
    <row r="343" spans="1:33" ht="12" customHeight="1">
      <c r="A343" s="603" t="s">
        <v>1271</v>
      </c>
      <c r="B343" s="598" t="s">
        <v>1778</v>
      </c>
      <c r="C343" s="293" t="s">
        <v>1891</v>
      </c>
      <c r="D343" s="600">
        <v>106397</v>
      </c>
      <c r="E343" s="601">
        <v>1</v>
      </c>
      <c r="F343" s="461"/>
      <c r="G343" s="487"/>
      <c r="H343" s="573"/>
      <c r="I343" s="487"/>
      <c r="J343" s="573"/>
      <c r="K343" s="487"/>
      <c r="L343" s="461"/>
      <c r="M343" s="573"/>
      <c r="N343" s="456">
        <f t="shared" si="49"/>
        <v>0</v>
      </c>
      <c r="O343" s="487"/>
      <c r="P343" s="487"/>
      <c r="Q343" s="274">
        <f t="shared" si="44"/>
        <v>0</v>
      </c>
      <c r="R343" s="574">
        <f t="shared" si="45"/>
        <v>0</v>
      </c>
      <c r="S343" s="275">
        <f t="shared" si="46"/>
        <v>0</v>
      </c>
      <c r="T343" s="575"/>
      <c r="U343" s="487"/>
      <c r="V343" s="576"/>
      <c r="W343" s="573"/>
      <c r="X343" s="574">
        <f t="shared" si="50"/>
        <v>0</v>
      </c>
      <c r="Y343" s="487"/>
      <c r="Z343" s="487"/>
      <c r="AA343" s="276">
        <f t="shared" si="51"/>
        <v>0</v>
      </c>
      <c r="AB343" s="573"/>
      <c r="AC343" s="487"/>
      <c r="AD343" s="573"/>
      <c r="AE343" s="487"/>
      <c r="AF343" s="577">
        <f t="shared" si="47"/>
        <v>0</v>
      </c>
      <c r="AG343" s="275">
        <f t="shared" si="48"/>
        <v>0</v>
      </c>
    </row>
    <row r="344" spans="1:33" ht="12" customHeight="1">
      <c r="A344" s="603" t="s">
        <v>1271</v>
      </c>
      <c r="B344" s="598" t="s">
        <v>1778</v>
      </c>
      <c r="C344" s="604" t="s">
        <v>686</v>
      </c>
      <c r="D344" s="600"/>
      <c r="E344" s="601">
        <v>1</v>
      </c>
      <c r="F344" s="461"/>
      <c r="G344" s="487"/>
      <c r="H344" s="573">
        <v>8206855</v>
      </c>
      <c r="I344" s="1210">
        <v>8081366</v>
      </c>
      <c r="J344" s="573"/>
      <c r="K344" s="487"/>
      <c r="L344" s="461"/>
      <c r="M344" s="573"/>
      <c r="N344" s="456">
        <f t="shared" si="49"/>
        <v>0</v>
      </c>
      <c r="O344" s="487"/>
      <c r="P344" s="487"/>
      <c r="Q344" s="274">
        <f t="shared" si="44"/>
        <v>0</v>
      </c>
      <c r="R344" s="574">
        <f t="shared" si="45"/>
        <v>8206855</v>
      </c>
      <c r="S344" s="275">
        <f t="shared" si="46"/>
        <v>8081366</v>
      </c>
      <c r="T344" s="575"/>
      <c r="U344" s="487"/>
      <c r="V344" s="576"/>
      <c r="W344" s="573"/>
      <c r="X344" s="574">
        <f t="shared" si="50"/>
        <v>0</v>
      </c>
      <c r="Y344" s="487"/>
      <c r="Z344" s="487"/>
      <c r="AA344" s="276">
        <f t="shared" si="51"/>
        <v>0</v>
      </c>
      <c r="AB344" s="573"/>
      <c r="AC344" s="487"/>
      <c r="AD344" s="573"/>
      <c r="AE344" s="487"/>
      <c r="AF344" s="577">
        <f t="shared" si="47"/>
        <v>8206855</v>
      </c>
      <c r="AG344" s="275">
        <f t="shared" si="48"/>
        <v>8081366</v>
      </c>
    </row>
    <row r="345" spans="1:33" ht="12" customHeight="1">
      <c r="A345" s="597" t="s">
        <v>1271</v>
      </c>
      <c r="B345" s="598" t="s">
        <v>1776</v>
      </c>
      <c r="C345" s="604" t="s">
        <v>687</v>
      </c>
      <c r="D345" s="600">
        <v>106397</v>
      </c>
      <c r="E345" s="601">
        <v>1</v>
      </c>
      <c r="F345" s="461"/>
      <c r="G345" s="487"/>
      <c r="H345" s="461">
        <v>2263898</v>
      </c>
      <c r="I345" s="1209">
        <v>2279055</v>
      </c>
      <c r="J345" s="573"/>
      <c r="K345" s="487"/>
      <c r="L345" s="461">
        <v>432003</v>
      </c>
      <c r="M345" s="573"/>
      <c r="N345" s="456">
        <f t="shared" si="49"/>
        <v>432003</v>
      </c>
      <c r="O345" s="487">
        <v>484200</v>
      </c>
      <c r="P345" s="487"/>
      <c r="Q345" s="274">
        <f t="shared" si="44"/>
        <v>484200</v>
      </c>
      <c r="R345" s="574">
        <f t="shared" si="45"/>
        <v>2695901</v>
      </c>
      <c r="S345" s="275">
        <f t="shared" si="46"/>
        <v>2763255</v>
      </c>
      <c r="T345" s="575"/>
      <c r="U345" s="487"/>
      <c r="V345" s="576"/>
      <c r="W345" s="573"/>
      <c r="X345" s="574">
        <f t="shared" si="50"/>
        <v>0</v>
      </c>
      <c r="Y345" s="487"/>
      <c r="Z345" s="487"/>
      <c r="AA345" s="276">
        <f t="shared" si="51"/>
        <v>0</v>
      </c>
      <c r="AB345" s="573"/>
      <c r="AC345" s="487"/>
      <c r="AD345" s="573"/>
      <c r="AE345" s="487"/>
      <c r="AF345" s="577">
        <f t="shared" si="47"/>
        <v>2695901</v>
      </c>
      <c r="AG345" s="275">
        <f t="shared" si="48"/>
        <v>2763255</v>
      </c>
    </row>
    <row r="346" spans="1:33" ht="12" customHeight="1">
      <c r="A346" s="603" t="s">
        <v>1271</v>
      </c>
      <c r="B346" s="598" t="s">
        <v>1776</v>
      </c>
      <c r="C346" s="599" t="s">
        <v>688</v>
      </c>
      <c r="D346" s="600">
        <v>106458</v>
      </c>
      <c r="E346" s="601">
        <v>3</v>
      </c>
      <c r="F346" s="461">
        <v>59052443</v>
      </c>
      <c r="G346" s="487">
        <v>58789209</v>
      </c>
      <c r="H346" s="461"/>
      <c r="I346" s="487"/>
      <c r="J346" s="573"/>
      <c r="K346" s="487"/>
      <c r="L346" s="461">
        <v>58671724</v>
      </c>
      <c r="M346" s="573"/>
      <c r="N346" s="456">
        <f t="shared" si="49"/>
        <v>58671724</v>
      </c>
      <c r="O346" s="487">
        <v>58115498</v>
      </c>
      <c r="P346" s="487"/>
      <c r="Q346" s="274">
        <f t="shared" si="44"/>
        <v>58115498</v>
      </c>
      <c r="R346" s="574">
        <f t="shared" si="45"/>
        <v>117724167</v>
      </c>
      <c r="S346" s="275">
        <f t="shared" si="46"/>
        <v>116904707</v>
      </c>
      <c r="T346" s="575"/>
      <c r="U346" s="487"/>
      <c r="V346" s="576"/>
      <c r="W346" s="573"/>
      <c r="X346" s="574">
        <f t="shared" si="50"/>
        <v>0</v>
      </c>
      <c r="Y346" s="487"/>
      <c r="Z346" s="487"/>
      <c r="AA346" s="276">
        <f t="shared" si="51"/>
        <v>0</v>
      </c>
      <c r="AB346" s="573"/>
      <c r="AC346" s="487"/>
      <c r="AD346" s="573"/>
      <c r="AE346" s="487"/>
      <c r="AF346" s="577">
        <f t="shared" si="47"/>
        <v>117724167</v>
      </c>
      <c r="AG346" s="275">
        <f t="shared" si="48"/>
        <v>116904707</v>
      </c>
    </row>
    <row r="347" spans="1:33" ht="12" customHeight="1">
      <c r="A347" s="603" t="s">
        <v>1271</v>
      </c>
      <c r="B347" s="598" t="s">
        <v>1778</v>
      </c>
      <c r="C347" s="293" t="s">
        <v>1891</v>
      </c>
      <c r="D347" s="600">
        <v>106458</v>
      </c>
      <c r="E347" s="601">
        <v>3</v>
      </c>
      <c r="F347" s="461"/>
      <c r="G347" s="487"/>
      <c r="H347" s="461"/>
      <c r="I347" s="487"/>
      <c r="J347" s="573"/>
      <c r="K347" s="487"/>
      <c r="L347" s="461"/>
      <c r="M347" s="573"/>
      <c r="N347" s="456">
        <f t="shared" si="49"/>
        <v>0</v>
      </c>
      <c r="O347" s="487"/>
      <c r="P347" s="487"/>
      <c r="Q347" s="274">
        <f t="shared" si="44"/>
        <v>0</v>
      </c>
      <c r="R347" s="574">
        <f t="shared" si="45"/>
        <v>0</v>
      </c>
      <c r="S347" s="275">
        <f t="shared" si="46"/>
        <v>0</v>
      </c>
      <c r="T347" s="575"/>
      <c r="U347" s="487"/>
      <c r="V347" s="576"/>
      <c r="W347" s="573"/>
      <c r="X347" s="574">
        <f t="shared" si="50"/>
        <v>0</v>
      </c>
      <c r="Y347" s="487"/>
      <c r="Z347" s="487"/>
      <c r="AA347" s="276">
        <f t="shared" si="51"/>
        <v>0</v>
      </c>
      <c r="AB347" s="573"/>
      <c r="AC347" s="487"/>
      <c r="AD347" s="573"/>
      <c r="AE347" s="487"/>
      <c r="AF347" s="577">
        <f t="shared" si="47"/>
        <v>0</v>
      </c>
      <c r="AG347" s="275">
        <f t="shared" si="48"/>
        <v>0</v>
      </c>
    </row>
    <row r="348" spans="1:33" ht="12" customHeight="1">
      <c r="A348" s="603" t="s">
        <v>1271</v>
      </c>
      <c r="B348" s="598" t="s">
        <v>1778</v>
      </c>
      <c r="C348" s="604" t="s">
        <v>689</v>
      </c>
      <c r="D348" s="600">
        <v>106458</v>
      </c>
      <c r="E348" s="601">
        <v>3</v>
      </c>
      <c r="F348" s="461"/>
      <c r="G348" s="487"/>
      <c r="H348" s="461">
        <v>2976970</v>
      </c>
      <c r="I348" s="487">
        <v>0</v>
      </c>
      <c r="J348" s="573"/>
      <c r="K348" s="487"/>
      <c r="L348" s="461">
        <v>679376.17</v>
      </c>
      <c r="M348" s="573"/>
      <c r="N348" s="456">
        <f t="shared" si="49"/>
        <v>679376.17</v>
      </c>
      <c r="O348" s="487">
        <v>0</v>
      </c>
      <c r="P348" s="487"/>
      <c r="Q348" s="274">
        <f t="shared" si="44"/>
        <v>0</v>
      </c>
      <c r="R348" s="574">
        <f t="shared" si="45"/>
        <v>3656346.17</v>
      </c>
      <c r="S348" s="275">
        <f t="shared" si="46"/>
        <v>0</v>
      </c>
      <c r="T348" s="575"/>
      <c r="U348" s="487"/>
      <c r="V348" s="576"/>
      <c r="W348" s="573"/>
      <c r="X348" s="574">
        <f t="shared" si="50"/>
        <v>0</v>
      </c>
      <c r="Y348" s="487"/>
      <c r="Z348" s="487"/>
      <c r="AA348" s="276">
        <f t="shared" si="51"/>
        <v>0</v>
      </c>
      <c r="AB348" s="573"/>
      <c r="AC348" s="487"/>
      <c r="AD348" s="573"/>
      <c r="AE348" s="487"/>
      <c r="AF348" s="577">
        <f t="shared" si="47"/>
        <v>3656346.17</v>
      </c>
      <c r="AG348" s="275">
        <f t="shared" si="48"/>
        <v>0</v>
      </c>
    </row>
    <row r="349" spans="1:33" ht="12" customHeight="1">
      <c r="A349" s="603" t="s">
        <v>1271</v>
      </c>
      <c r="B349" s="598" t="s">
        <v>1776</v>
      </c>
      <c r="C349" s="599" t="s">
        <v>690</v>
      </c>
      <c r="D349" s="600">
        <v>106245</v>
      </c>
      <c r="E349" s="601">
        <v>3</v>
      </c>
      <c r="F349" s="461">
        <v>61019908</v>
      </c>
      <c r="G349" s="487">
        <v>60579390</v>
      </c>
      <c r="H349" s="461"/>
      <c r="I349" s="487"/>
      <c r="J349" s="573"/>
      <c r="K349" s="487"/>
      <c r="L349" s="461">
        <v>54039440.770000003</v>
      </c>
      <c r="M349" s="573"/>
      <c r="N349" s="456">
        <f t="shared" si="49"/>
        <v>54039440.770000003</v>
      </c>
      <c r="O349" s="487">
        <v>56491297</v>
      </c>
      <c r="P349" s="487"/>
      <c r="Q349" s="274">
        <f t="shared" si="44"/>
        <v>56491297</v>
      </c>
      <c r="R349" s="574">
        <f t="shared" si="45"/>
        <v>115059348.77000001</v>
      </c>
      <c r="S349" s="275">
        <f t="shared" si="46"/>
        <v>117070687</v>
      </c>
      <c r="T349" s="575"/>
      <c r="U349" s="487"/>
      <c r="V349" s="576"/>
      <c r="W349" s="573"/>
      <c r="X349" s="574">
        <f t="shared" si="50"/>
        <v>0</v>
      </c>
      <c r="Y349" s="487"/>
      <c r="Z349" s="487"/>
      <c r="AA349" s="276">
        <f t="shared" si="51"/>
        <v>0</v>
      </c>
      <c r="AB349" s="573"/>
      <c r="AC349" s="487"/>
      <c r="AD349" s="573"/>
      <c r="AE349" s="487"/>
      <c r="AF349" s="577">
        <f t="shared" si="47"/>
        <v>115059348.77000001</v>
      </c>
      <c r="AG349" s="275">
        <f t="shared" si="48"/>
        <v>117070687</v>
      </c>
    </row>
    <row r="350" spans="1:33" ht="12" customHeight="1">
      <c r="A350" s="603" t="s">
        <v>1271</v>
      </c>
      <c r="B350" s="598" t="s">
        <v>1778</v>
      </c>
      <c r="C350" s="293" t="s">
        <v>1891</v>
      </c>
      <c r="D350" s="600">
        <v>106245</v>
      </c>
      <c r="E350" s="601">
        <v>3</v>
      </c>
      <c r="F350" s="461"/>
      <c r="G350" s="487"/>
      <c r="H350" s="461"/>
      <c r="I350" s="487"/>
      <c r="J350" s="573"/>
      <c r="K350" s="487"/>
      <c r="L350" s="461"/>
      <c r="M350" s="573"/>
      <c r="N350" s="456">
        <f t="shared" si="49"/>
        <v>0</v>
      </c>
      <c r="O350" s="487"/>
      <c r="P350" s="487"/>
      <c r="Q350" s="274">
        <f t="shared" si="44"/>
        <v>0</v>
      </c>
      <c r="R350" s="574">
        <f t="shared" si="45"/>
        <v>0</v>
      </c>
      <c r="S350" s="275">
        <f t="shared" si="46"/>
        <v>0</v>
      </c>
      <c r="T350" s="575"/>
      <c r="U350" s="487"/>
      <c r="V350" s="576"/>
      <c r="W350" s="573"/>
      <c r="X350" s="574">
        <f t="shared" si="50"/>
        <v>0</v>
      </c>
      <c r="Y350" s="487"/>
      <c r="Z350" s="487"/>
      <c r="AA350" s="276">
        <f t="shared" si="51"/>
        <v>0</v>
      </c>
      <c r="AB350" s="573"/>
      <c r="AC350" s="487"/>
      <c r="AD350" s="573"/>
      <c r="AE350" s="487"/>
      <c r="AF350" s="577">
        <f t="shared" si="47"/>
        <v>0</v>
      </c>
      <c r="AG350" s="275">
        <f t="shared" si="48"/>
        <v>0</v>
      </c>
    </row>
    <row r="351" spans="1:33" ht="12" customHeight="1">
      <c r="A351" s="603" t="s">
        <v>1271</v>
      </c>
      <c r="B351" s="598" t="s">
        <v>1778</v>
      </c>
      <c r="C351" s="604" t="s">
        <v>691</v>
      </c>
      <c r="D351" s="600">
        <v>106245</v>
      </c>
      <c r="E351" s="601">
        <v>3</v>
      </c>
      <c r="F351" s="461"/>
      <c r="G351" s="487"/>
      <c r="H351" s="461">
        <v>3534411</v>
      </c>
      <c r="I351" s="1209">
        <v>3571641</v>
      </c>
      <c r="J351" s="573"/>
      <c r="K351" s="487"/>
      <c r="L351" s="461"/>
      <c r="M351" s="573"/>
      <c r="N351" s="456">
        <f t="shared" si="49"/>
        <v>0</v>
      </c>
      <c r="O351" s="487"/>
      <c r="P351" s="487"/>
      <c r="Q351" s="274">
        <f t="shared" si="44"/>
        <v>0</v>
      </c>
      <c r="R351" s="574">
        <f t="shared" si="45"/>
        <v>3534411</v>
      </c>
      <c r="S351" s="275">
        <f t="shared" si="46"/>
        <v>3571641</v>
      </c>
      <c r="T351" s="575"/>
      <c r="U351" s="487"/>
      <c r="V351" s="576"/>
      <c r="W351" s="573"/>
      <c r="X351" s="574">
        <f t="shared" si="50"/>
        <v>0</v>
      </c>
      <c r="Y351" s="487"/>
      <c r="Z351" s="487"/>
      <c r="AA351" s="276">
        <f t="shared" si="51"/>
        <v>0</v>
      </c>
      <c r="AB351" s="573"/>
      <c r="AC351" s="487"/>
      <c r="AD351" s="573"/>
      <c r="AE351" s="487"/>
      <c r="AF351" s="577">
        <f t="shared" si="47"/>
        <v>3534411</v>
      </c>
      <c r="AG351" s="275">
        <f t="shared" si="48"/>
        <v>3571641</v>
      </c>
    </row>
    <row r="352" spans="1:33" ht="12" customHeight="1">
      <c r="A352" s="603" t="s">
        <v>1271</v>
      </c>
      <c r="B352" s="598" t="s">
        <v>1776</v>
      </c>
      <c r="C352" s="599" t="s">
        <v>692</v>
      </c>
      <c r="D352" s="600">
        <v>106704</v>
      </c>
      <c r="E352" s="601">
        <v>3</v>
      </c>
      <c r="F352" s="461">
        <v>57139765</v>
      </c>
      <c r="G352" s="487">
        <v>54722470</v>
      </c>
      <c r="H352" s="461"/>
      <c r="I352" s="487"/>
      <c r="J352" s="573"/>
      <c r="K352" s="487"/>
      <c r="L352" s="461">
        <v>62130784.479999997</v>
      </c>
      <c r="M352" s="573"/>
      <c r="N352" s="456">
        <f t="shared" si="49"/>
        <v>62130784.479999997</v>
      </c>
      <c r="O352" s="487">
        <v>61998582</v>
      </c>
      <c r="P352" s="487"/>
      <c r="Q352" s="274">
        <f t="shared" si="44"/>
        <v>61998582</v>
      </c>
      <c r="R352" s="574">
        <f t="shared" si="45"/>
        <v>119270549.47999999</v>
      </c>
      <c r="S352" s="275">
        <f t="shared" si="46"/>
        <v>116721052</v>
      </c>
      <c r="T352" s="575"/>
      <c r="U352" s="487"/>
      <c r="V352" s="576"/>
      <c r="W352" s="573"/>
      <c r="X352" s="574">
        <f t="shared" si="50"/>
        <v>0</v>
      </c>
      <c r="Y352" s="487"/>
      <c r="Z352" s="487"/>
      <c r="AA352" s="276">
        <f t="shared" si="51"/>
        <v>0</v>
      </c>
      <c r="AB352" s="573"/>
      <c r="AC352" s="487"/>
      <c r="AD352" s="573"/>
      <c r="AE352" s="487"/>
      <c r="AF352" s="577">
        <f t="shared" si="47"/>
        <v>119270549.47999999</v>
      </c>
      <c r="AG352" s="275">
        <f t="shared" si="48"/>
        <v>116721052</v>
      </c>
    </row>
    <row r="353" spans="1:33" ht="12" customHeight="1">
      <c r="A353" s="603" t="s">
        <v>1271</v>
      </c>
      <c r="B353" s="598" t="s">
        <v>1776</v>
      </c>
      <c r="C353" s="599" t="s">
        <v>693</v>
      </c>
      <c r="D353" s="600">
        <v>106467</v>
      </c>
      <c r="E353" s="601">
        <v>4</v>
      </c>
      <c r="F353" s="461">
        <v>30756346</v>
      </c>
      <c r="G353" s="487">
        <v>30530543</v>
      </c>
      <c r="H353" s="461"/>
      <c r="I353" s="487"/>
      <c r="J353" s="573"/>
      <c r="K353" s="487"/>
      <c r="L353" s="461">
        <v>30816813</v>
      </c>
      <c r="M353" s="573"/>
      <c r="N353" s="456">
        <f t="shared" si="49"/>
        <v>30816813</v>
      </c>
      <c r="O353" s="487">
        <v>31422336</v>
      </c>
      <c r="P353" s="487"/>
      <c r="Q353" s="274">
        <f t="shared" si="44"/>
        <v>31422336</v>
      </c>
      <c r="R353" s="574">
        <f t="shared" si="45"/>
        <v>61573159</v>
      </c>
      <c r="S353" s="275">
        <f t="shared" si="46"/>
        <v>61952879</v>
      </c>
      <c r="T353" s="575"/>
      <c r="U353" s="487"/>
      <c r="V353" s="576"/>
      <c r="W353" s="573"/>
      <c r="X353" s="574">
        <f t="shared" si="50"/>
        <v>0</v>
      </c>
      <c r="Y353" s="487"/>
      <c r="Z353" s="487"/>
      <c r="AA353" s="276">
        <f t="shared" si="51"/>
        <v>0</v>
      </c>
      <c r="AB353" s="573"/>
      <c r="AC353" s="487"/>
      <c r="AD353" s="573"/>
      <c r="AE353" s="487"/>
      <c r="AF353" s="577">
        <f t="shared" si="47"/>
        <v>61573159</v>
      </c>
      <c r="AG353" s="275">
        <f t="shared" si="48"/>
        <v>61952879</v>
      </c>
    </row>
    <row r="354" spans="1:33" ht="12" customHeight="1">
      <c r="A354" s="603" t="s">
        <v>1271</v>
      </c>
      <c r="B354" s="598" t="s">
        <v>1778</v>
      </c>
      <c r="C354" s="293" t="s">
        <v>1891</v>
      </c>
      <c r="D354" s="600">
        <v>106467</v>
      </c>
      <c r="E354" s="601">
        <v>4</v>
      </c>
      <c r="F354" s="461"/>
      <c r="G354" s="487"/>
      <c r="H354" s="461"/>
      <c r="I354" s="487"/>
      <c r="J354" s="573"/>
      <c r="K354" s="487"/>
      <c r="L354" s="461"/>
      <c r="M354" s="573"/>
      <c r="N354" s="456">
        <f t="shared" si="49"/>
        <v>0</v>
      </c>
      <c r="O354" s="487"/>
      <c r="P354" s="487"/>
      <c r="Q354" s="274">
        <f t="shared" si="44"/>
        <v>0</v>
      </c>
      <c r="R354" s="574">
        <f t="shared" si="45"/>
        <v>0</v>
      </c>
      <c r="S354" s="275">
        <f t="shared" si="46"/>
        <v>0</v>
      </c>
      <c r="T354" s="575"/>
      <c r="U354" s="487"/>
      <c r="V354" s="576"/>
      <c r="W354" s="573"/>
      <c r="X354" s="574">
        <f t="shared" si="50"/>
        <v>0</v>
      </c>
      <c r="Y354" s="487"/>
      <c r="Z354" s="487"/>
      <c r="AA354" s="276">
        <f t="shared" si="51"/>
        <v>0</v>
      </c>
      <c r="AB354" s="573"/>
      <c r="AC354" s="487"/>
      <c r="AD354" s="573"/>
      <c r="AE354" s="487"/>
      <c r="AF354" s="577">
        <f t="shared" si="47"/>
        <v>0</v>
      </c>
      <c r="AG354" s="275">
        <f t="shared" si="48"/>
        <v>0</v>
      </c>
    </row>
    <row r="355" spans="1:33" ht="12" customHeight="1">
      <c r="A355" s="603" t="s">
        <v>1271</v>
      </c>
      <c r="B355" s="598" t="s">
        <v>1778</v>
      </c>
      <c r="C355" s="604" t="s">
        <v>1838</v>
      </c>
      <c r="D355" s="600">
        <v>106467</v>
      </c>
      <c r="E355" s="601">
        <v>4</v>
      </c>
      <c r="F355" s="461"/>
      <c r="G355" s="487"/>
      <c r="H355" s="461">
        <v>3064737</v>
      </c>
      <c r="I355" s="1209">
        <v>3059746</v>
      </c>
      <c r="J355" s="573"/>
      <c r="K355" s="487"/>
      <c r="L355" s="461">
        <v>779769</v>
      </c>
      <c r="M355" s="573"/>
      <c r="N355" s="456">
        <f t="shared" si="49"/>
        <v>779769</v>
      </c>
      <c r="O355" s="487">
        <v>948324</v>
      </c>
      <c r="P355" s="487"/>
      <c r="Q355" s="274">
        <f t="shared" si="44"/>
        <v>948324</v>
      </c>
      <c r="R355" s="574">
        <f t="shared" si="45"/>
        <v>3844506</v>
      </c>
      <c r="S355" s="275">
        <f t="shared" si="46"/>
        <v>4008070</v>
      </c>
      <c r="T355" s="575"/>
      <c r="U355" s="487"/>
      <c r="V355" s="576"/>
      <c r="W355" s="573"/>
      <c r="X355" s="574">
        <f t="shared" si="50"/>
        <v>0</v>
      </c>
      <c r="Y355" s="487"/>
      <c r="Z355" s="487"/>
      <c r="AA355" s="276">
        <f t="shared" si="51"/>
        <v>0</v>
      </c>
      <c r="AB355" s="573"/>
      <c r="AC355" s="487"/>
      <c r="AD355" s="573"/>
      <c r="AE355" s="487"/>
      <c r="AF355" s="577">
        <f t="shared" si="47"/>
        <v>3844506</v>
      </c>
      <c r="AG355" s="275">
        <f t="shared" si="48"/>
        <v>4008070</v>
      </c>
    </row>
    <row r="356" spans="1:33" ht="12" customHeight="1">
      <c r="A356" s="603" t="s">
        <v>1271</v>
      </c>
      <c r="B356" s="598" t="s">
        <v>1776</v>
      </c>
      <c r="C356" s="599" t="s">
        <v>694</v>
      </c>
      <c r="D356" s="600">
        <v>107071</v>
      </c>
      <c r="E356" s="601">
        <v>4</v>
      </c>
      <c r="F356" s="461">
        <v>20382324</v>
      </c>
      <c r="G356" s="487">
        <v>20409066</v>
      </c>
      <c r="H356" s="461"/>
      <c r="I356" s="487"/>
      <c r="J356" s="573"/>
      <c r="K356" s="487"/>
      <c r="L356" s="461">
        <v>18923291</v>
      </c>
      <c r="M356" s="573"/>
      <c r="N356" s="456">
        <f t="shared" si="49"/>
        <v>18923291</v>
      </c>
      <c r="O356" s="487">
        <v>18256681</v>
      </c>
      <c r="P356" s="487"/>
      <c r="Q356" s="274">
        <f t="shared" si="44"/>
        <v>18256681</v>
      </c>
      <c r="R356" s="574">
        <f t="shared" si="45"/>
        <v>39305615</v>
      </c>
      <c r="S356" s="275">
        <f t="shared" si="46"/>
        <v>38665747</v>
      </c>
      <c r="T356" s="575"/>
      <c r="U356" s="487"/>
      <c r="V356" s="576"/>
      <c r="W356" s="573"/>
      <c r="X356" s="574">
        <f t="shared" si="50"/>
        <v>0</v>
      </c>
      <c r="Y356" s="487"/>
      <c r="Z356" s="487"/>
      <c r="AA356" s="276">
        <f t="shared" si="51"/>
        <v>0</v>
      </c>
      <c r="AB356" s="573"/>
      <c r="AC356" s="487"/>
      <c r="AD356" s="573"/>
      <c r="AE356" s="487"/>
      <c r="AF356" s="577">
        <f t="shared" si="47"/>
        <v>39305615</v>
      </c>
      <c r="AG356" s="275">
        <f t="shared" si="48"/>
        <v>38665747</v>
      </c>
    </row>
    <row r="357" spans="1:33" ht="12" customHeight="1">
      <c r="A357" s="603" t="s">
        <v>1271</v>
      </c>
      <c r="B357" s="598" t="s">
        <v>1778</v>
      </c>
      <c r="C357" s="293" t="s">
        <v>1891</v>
      </c>
      <c r="D357" s="600">
        <v>107071</v>
      </c>
      <c r="E357" s="601">
        <v>4</v>
      </c>
      <c r="F357" s="461"/>
      <c r="G357" s="487"/>
      <c r="H357" s="461"/>
      <c r="I357" s="487"/>
      <c r="J357" s="573"/>
      <c r="K357" s="487"/>
      <c r="L357" s="461"/>
      <c r="M357" s="573"/>
      <c r="N357" s="456">
        <f t="shared" si="49"/>
        <v>0</v>
      </c>
      <c r="O357" s="487"/>
      <c r="P357" s="487"/>
      <c r="Q357" s="274">
        <f t="shared" si="44"/>
        <v>0</v>
      </c>
      <c r="R357" s="574">
        <f t="shared" si="45"/>
        <v>0</v>
      </c>
      <c r="S357" s="275">
        <f t="shared" si="46"/>
        <v>0</v>
      </c>
      <c r="T357" s="575"/>
      <c r="U357" s="487"/>
      <c r="V357" s="576"/>
      <c r="W357" s="573"/>
      <c r="X357" s="574">
        <f t="shared" si="50"/>
        <v>0</v>
      </c>
      <c r="Y357" s="487"/>
      <c r="Z357" s="487"/>
      <c r="AA357" s="276">
        <f t="shared" si="51"/>
        <v>0</v>
      </c>
      <c r="AB357" s="573"/>
      <c r="AC357" s="487"/>
      <c r="AD357" s="573"/>
      <c r="AE357" s="487"/>
      <c r="AF357" s="577">
        <f t="shared" si="47"/>
        <v>0</v>
      </c>
      <c r="AG357" s="275">
        <f t="shared" si="48"/>
        <v>0</v>
      </c>
    </row>
    <row r="358" spans="1:33" ht="12" customHeight="1">
      <c r="A358" s="603" t="s">
        <v>1271</v>
      </c>
      <c r="B358" s="598" t="s">
        <v>1778</v>
      </c>
      <c r="C358" s="604" t="s">
        <v>1836</v>
      </c>
      <c r="D358" s="600">
        <v>107071</v>
      </c>
      <c r="E358" s="601">
        <v>4</v>
      </c>
      <c r="F358" s="461"/>
      <c r="G358" s="487"/>
      <c r="H358" s="461">
        <v>212732</v>
      </c>
      <c r="I358" s="1209">
        <v>210968</v>
      </c>
      <c r="J358" s="573"/>
      <c r="K358" s="487"/>
      <c r="L358" s="461"/>
      <c r="M358" s="573"/>
      <c r="N358" s="456">
        <f t="shared" si="49"/>
        <v>0</v>
      </c>
      <c r="O358" s="487"/>
      <c r="P358" s="487"/>
      <c r="Q358" s="274">
        <f t="shared" si="44"/>
        <v>0</v>
      </c>
      <c r="R358" s="574">
        <f t="shared" si="45"/>
        <v>212732</v>
      </c>
      <c r="S358" s="275">
        <f t="shared" si="46"/>
        <v>210968</v>
      </c>
      <c r="T358" s="575"/>
      <c r="U358" s="487"/>
      <c r="V358" s="576"/>
      <c r="W358" s="573"/>
      <c r="X358" s="574">
        <f t="shared" si="50"/>
        <v>0</v>
      </c>
      <c r="Y358" s="487"/>
      <c r="Z358" s="487"/>
      <c r="AA358" s="276">
        <f t="shared" si="51"/>
        <v>0</v>
      </c>
      <c r="AB358" s="573"/>
      <c r="AC358" s="487"/>
      <c r="AD358" s="573"/>
      <c r="AE358" s="487"/>
      <c r="AF358" s="577">
        <f t="shared" si="47"/>
        <v>212732</v>
      </c>
      <c r="AG358" s="275">
        <f t="shared" si="48"/>
        <v>210968</v>
      </c>
    </row>
    <row r="359" spans="1:33" ht="12" customHeight="1">
      <c r="A359" s="603" t="s">
        <v>1271</v>
      </c>
      <c r="B359" s="598" t="s">
        <v>1776</v>
      </c>
      <c r="C359" s="599" t="s">
        <v>1839</v>
      </c>
      <c r="D359" s="600">
        <v>106485</v>
      </c>
      <c r="E359" s="601">
        <v>5</v>
      </c>
      <c r="F359" s="461">
        <v>13887867</v>
      </c>
      <c r="G359" s="487">
        <v>13901480</v>
      </c>
      <c r="H359" s="461"/>
      <c r="I359" s="487"/>
      <c r="J359" s="573"/>
      <c r="K359" s="487"/>
      <c r="L359" s="461">
        <v>9831663</v>
      </c>
      <c r="M359" s="573"/>
      <c r="N359" s="456">
        <f t="shared" si="49"/>
        <v>9831663</v>
      </c>
      <c r="O359" s="487">
        <v>10091045</v>
      </c>
      <c r="P359" s="487"/>
      <c r="Q359" s="274">
        <f t="shared" si="44"/>
        <v>10091045</v>
      </c>
      <c r="R359" s="574">
        <f t="shared" si="45"/>
        <v>23719530</v>
      </c>
      <c r="S359" s="275">
        <f t="shared" si="46"/>
        <v>23992525</v>
      </c>
      <c r="T359" s="575"/>
      <c r="U359" s="487"/>
      <c r="V359" s="576"/>
      <c r="W359" s="573"/>
      <c r="X359" s="574">
        <f t="shared" si="50"/>
        <v>0</v>
      </c>
      <c r="Y359" s="487"/>
      <c r="Z359" s="487"/>
      <c r="AA359" s="276">
        <f t="shared" si="51"/>
        <v>0</v>
      </c>
      <c r="AB359" s="573"/>
      <c r="AC359" s="487"/>
      <c r="AD359" s="573"/>
      <c r="AE359" s="487"/>
      <c r="AF359" s="577">
        <f t="shared" si="47"/>
        <v>23719530</v>
      </c>
      <c r="AG359" s="275">
        <f t="shared" si="48"/>
        <v>23992525</v>
      </c>
    </row>
    <row r="360" spans="1:33" ht="12" customHeight="1">
      <c r="A360" s="603" t="s">
        <v>1271</v>
      </c>
      <c r="B360" s="598" t="s">
        <v>1778</v>
      </c>
      <c r="C360" s="293" t="s">
        <v>1891</v>
      </c>
      <c r="D360" s="600">
        <v>106485</v>
      </c>
      <c r="E360" s="601">
        <v>5</v>
      </c>
      <c r="F360" s="461"/>
      <c r="G360" s="487"/>
      <c r="H360" s="461"/>
      <c r="I360" s="487"/>
      <c r="J360" s="573"/>
      <c r="K360" s="487"/>
      <c r="L360" s="461"/>
      <c r="M360" s="573"/>
      <c r="N360" s="456">
        <f t="shared" si="49"/>
        <v>0</v>
      </c>
      <c r="O360" s="487"/>
      <c r="P360" s="487"/>
      <c r="Q360" s="274">
        <f t="shared" si="44"/>
        <v>0</v>
      </c>
      <c r="R360" s="574">
        <f t="shared" si="45"/>
        <v>0</v>
      </c>
      <c r="S360" s="275">
        <f t="shared" si="46"/>
        <v>0</v>
      </c>
      <c r="T360" s="575"/>
      <c r="U360" s="487"/>
      <c r="V360" s="576"/>
      <c r="W360" s="573"/>
      <c r="X360" s="574">
        <f t="shared" si="50"/>
        <v>0</v>
      </c>
      <c r="Y360" s="487"/>
      <c r="Z360" s="487"/>
      <c r="AA360" s="276">
        <f t="shared" si="51"/>
        <v>0</v>
      </c>
      <c r="AB360" s="573"/>
      <c r="AC360" s="487"/>
      <c r="AD360" s="573"/>
      <c r="AE360" s="487"/>
      <c r="AF360" s="577">
        <f t="shared" si="47"/>
        <v>0</v>
      </c>
      <c r="AG360" s="275">
        <f t="shared" si="48"/>
        <v>0</v>
      </c>
    </row>
    <row r="361" spans="1:33" ht="12" customHeight="1">
      <c r="A361" s="603" t="s">
        <v>1271</v>
      </c>
      <c r="B361" s="598" t="s">
        <v>1778</v>
      </c>
      <c r="C361" s="604" t="s">
        <v>1840</v>
      </c>
      <c r="D361" s="600">
        <v>106485</v>
      </c>
      <c r="E361" s="601">
        <v>5</v>
      </c>
      <c r="F361" s="461"/>
      <c r="G361" s="487"/>
      <c r="H361" s="1098">
        <v>2226624</v>
      </c>
      <c r="I361" s="1209">
        <v>2285995</v>
      </c>
      <c r="J361" s="573"/>
      <c r="K361" s="487"/>
      <c r="L361" s="461">
        <v>581338</v>
      </c>
      <c r="M361" s="573"/>
      <c r="N361" s="456">
        <f t="shared" si="49"/>
        <v>581338</v>
      </c>
      <c r="O361" s="487">
        <v>593259</v>
      </c>
      <c r="P361" s="487"/>
      <c r="Q361" s="274">
        <f t="shared" si="44"/>
        <v>593259</v>
      </c>
      <c r="R361" s="574">
        <f t="shared" si="45"/>
        <v>2807962</v>
      </c>
      <c r="S361" s="275">
        <f t="shared" si="46"/>
        <v>2879254</v>
      </c>
      <c r="T361" s="575"/>
      <c r="U361" s="487"/>
      <c r="V361" s="576"/>
      <c r="W361" s="573"/>
      <c r="X361" s="574">
        <f t="shared" si="50"/>
        <v>0</v>
      </c>
      <c r="Y361" s="487"/>
      <c r="Z361" s="487"/>
      <c r="AA361" s="276">
        <f t="shared" si="51"/>
        <v>0</v>
      </c>
      <c r="AB361" s="573"/>
      <c r="AC361" s="487"/>
      <c r="AD361" s="573"/>
      <c r="AE361" s="487"/>
      <c r="AF361" s="577">
        <f t="shared" si="47"/>
        <v>2807962</v>
      </c>
      <c r="AG361" s="275">
        <f t="shared" si="48"/>
        <v>2879254</v>
      </c>
    </row>
    <row r="362" spans="1:33" ht="12" customHeight="1">
      <c r="A362" s="603" t="s">
        <v>1271</v>
      </c>
      <c r="B362" s="598" t="s">
        <v>1778</v>
      </c>
      <c r="C362" s="604" t="s">
        <v>1841</v>
      </c>
      <c r="D362" s="600">
        <v>106485</v>
      </c>
      <c r="E362" s="601">
        <v>5</v>
      </c>
      <c r="F362" s="461"/>
      <c r="G362" s="487"/>
      <c r="H362" s="1098">
        <v>1725194</v>
      </c>
      <c r="I362" s="1209">
        <v>1701453</v>
      </c>
      <c r="J362" s="573"/>
      <c r="K362" s="487"/>
      <c r="L362" s="461">
        <v>428104</v>
      </c>
      <c r="M362" s="573"/>
      <c r="N362" s="456">
        <f t="shared" si="49"/>
        <v>428104</v>
      </c>
      <c r="O362" s="487">
        <v>442442</v>
      </c>
      <c r="P362" s="487"/>
      <c r="Q362" s="274">
        <f t="shared" si="44"/>
        <v>442442</v>
      </c>
      <c r="R362" s="574">
        <f t="shared" si="45"/>
        <v>2153298</v>
      </c>
      <c r="S362" s="275">
        <f t="shared" si="46"/>
        <v>2143895</v>
      </c>
      <c r="T362" s="575"/>
      <c r="U362" s="487"/>
      <c r="V362" s="576"/>
      <c r="W362" s="573"/>
      <c r="X362" s="574">
        <f t="shared" si="50"/>
        <v>0</v>
      </c>
      <c r="Y362" s="487"/>
      <c r="Z362" s="487"/>
      <c r="AA362" s="276">
        <f t="shared" si="51"/>
        <v>0</v>
      </c>
      <c r="AB362" s="573"/>
      <c r="AC362" s="487"/>
      <c r="AD362" s="573"/>
      <c r="AE362" s="487"/>
      <c r="AF362" s="577">
        <f t="shared" si="47"/>
        <v>2153298</v>
      </c>
      <c r="AG362" s="275">
        <f t="shared" si="48"/>
        <v>2143895</v>
      </c>
    </row>
    <row r="363" spans="1:33" ht="12" customHeight="1">
      <c r="A363" s="603" t="s">
        <v>1271</v>
      </c>
      <c r="B363" s="598" t="s">
        <v>1776</v>
      </c>
      <c r="C363" s="599" t="s">
        <v>1837</v>
      </c>
      <c r="D363" s="600">
        <v>107983</v>
      </c>
      <c r="E363" s="601">
        <v>5</v>
      </c>
      <c r="F363" s="461">
        <v>16542084</v>
      </c>
      <c r="G363" s="487">
        <v>16494487</v>
      </c>
      <c r="H363" s="461"/>
      <c r="I363" s="487"/>
      <c r="J363" s="573"/>
      <c r="K363" s="487"/>
      <c r="L363" s="461">
        <v>15106815</v>
      </c>
      <c r="M363" s="573"/>
      <c r="N363" s="456">
        <f t="shared" si="49"/>
        <v>15106815</v>
      </c>
      <c r="O363" s="487">
        <v>16592017</v>
      </c>
      <c r="P363" s="487"/>
      <c r="Q363" s="274">
        <f t="shared" si="44"/>
        <v>16592017</v>
      </c>
      <c r="R363" s="574">
        <f t="shared" si="45"/>
        <v>31648899</v>
      </c>
      <c r="S363" s="275">
        <f t="shared" si="46"/>
        <v>33086504</v>
      </c>
      <c r="T363" s="575"/>
      <c r="U363" s="487"/>
      <c r="V363" s="576"/>
      <c r="W363" s="573"/>
      <c r="X363" s="574">
        <f t="shared" si="50"/>
        <v>0</v>
      </c>
      <c r="Y363" s="487"/>
      <c r="Z363" s="487"/>
      <c r="AA363" s="276">
        <f t="shared" si="51"/>
        <v>0</v>
      </c>
      <c r="AB363" s="573"/>
      <c r="AC363" s="487"/>
      <c r="AD363" s="573"/>
      <c r="AE363" s="487"/>
      <c r="AF363" s="577">
        <f t="shared" si="47"/>
        <v>31648899</v>
      </c>
      <c r="AG363" s="275">
        <f t="shared" si="48"/>
        <v>33086504</v>
      </c>
    </row>
    <row r="364" spans="1:33" ht="12" customHeight="1">
      <c r="A364" s="603" t="s">
        <v>1271</v>
      </c>
      <c r="B364" s="598" t="s">
        <v>1776</v>
      </c>
      <c r="C364" s="599" t="s">
        <v>1383</v>
      </c>
      <c r="D364" s="600">
        <v>108092</v>
      </c>
      <c r="E364" s="601">
        <v>6</v>
      </c>
      <c r="F364" s="461">
        <v>23045827</v>
      </c>
      <c r="G364" s="487">
        <v>22817302</v>
      </c>
      <c r="H364" s="573"/>
      <c r="I364" s="487"/>
      <c r="J364" s="461">
        <v>5700152</v>
      </c>
      <c r="K364" s="487">
        <v>5700000</v>
      </c>
      <c r="L364" s="461">
        <v>19589405</v>
      </c>
      <c r="M364" s="573"/>
      <c r="N364" s="456">
        <f t="shared" si="49"/>
        <v>19589405</v>
      </c>
      <c r="O364" s="487">
        <v>22353099</v>
      </c>
      <c r="P364" s="487"/>
      <c r="Q364" s="274">
        <f t="shared" si="44"/>
        <v>22353099</v>
      </c>
      <c r="R364" s="574">
        <f t="shared" si="45"/>
        <v>48335384</v>
      </c>
      <c r="S364" s="275">
        <f t="shared" si="46"/>
        <v>50870401</v>
      </c>
      <c r="T364" s="575"/>
      <c r="U364" s="487"/>
      <c r="V364" s="576"/>
      <c r="W364" s="573"/>
      <c r="X364" s="574">
        <f t="shared" si="50"/>
        <v>0</v>
      </c>
      <c r="Y364" s="487"/>
      <c r="Z364" s="487"/>
      <c r="AA364" s="276">
        <f t="shared" si="51"/>
        <v>0</v>
      </c>
      <c r="AB364" s="573"/>
      <c r="AC364" s="487"/>
      <c r="AD364" s="573"/>
      <c r="AE364" s="487"/>
      <c r="AF364" s="577">
        <f t="shared" si="47"/>
        <v>48335384</v>
      </c>
      <c r="AG364" s="275">
        <f t="shared" si="48"/>
        <v>50870401</v>
      </c>
    </row>
    <row r="365" spans="1:33" ht="12" customHeight="1">
      <c r="A365" s="603" t="s">
        <v>1271</v>
      </c>
      <c r="B365" s="598" t="s">
        <v>1776</v>
      </c>
      <c r="C365" s="599" t="s">
        <v>1842</v>
      </c>
      <c r="D365" s="600">
        <v>106412</v>
      </c>
      <c r="E365" s="601">
        <v>6</v>
      </c>
      <c r="F365" s="461">
        <v>26772148</v>
      </c>
      <c r="G365" s="487">
        <v>26980606</v>
      </c>
      <c r="H365" s="573"/>
      <c r="I365" s="487"/>
      <c r="J365" s="573"/>
      <c r="K365" s="487"/>
      <c r="L365" s="461">
        <v>14370664</v>
      </c>
      <c r="M365" s="573"/>
      <c r="N365" s="456">
        <f t="shared" si="49"/>
        <v>14370664</v>
      </c>
      <c r="O365" s="487">
        <v>13882684</v>
      </c>
      <c r="P365" s="487"/>
      <c r="Q365" s="274">
        <f t="shared" si="44"/>
        <v>13882684</v>
      </c>
      <c r="R365" s="574">
        <f t="shared" si="45"/>
        <v>41142812</v>
      </c>
      <c r="S365" s="275">
        <f t="shared" si="46"/>
        <v>40863290</v>
      </c>
      <c r="T365" s="575"/>
      <c r="U365" s="487"/>
      <c r="V365" s="576"/>
      <c r="W365" s="573"/>
      <c r="X365" s="574">
        <f t="shared" si="50"/>
        <v>0</v>
      </c>
      <c r="Y365" s="487"/>
      <c r="Z365" s="487"/>
      <c r="AA365" s="276">
        <f t="shared" si="51"/>
        <v>0</v>
      </c>
      <c r="AB365" s="573"/>
      <c r="AC365" s="487"/>
      <c r="AD365" s="573"/>
      <c r="AE365" s="487"/>
      <c r="AF365" s="577">
        <f t="shared" si="47"/>
        <v>41142812</v>
      </c>
      <c r="AG365" s="275">
        <f t="shared" si="48"/>
        <v>40863290</v>
      </c>
    </row>
    <row r="366" spans="1:33" ht="12" customHeight="1">
      <c r="A366" s="603" t="s">
        <v>1271</v>
      </c>
      <c r="B366" s="598" t="s">
        <v>1776</v>
      </c>
      <c r="C366" s="599" t="s">
        <v>1843</v>
      </c>
      <c r="D366" s="600">
        <v>107664</v>
      </c>
      <c r="E366" s="601">
        <v>8</v>
      </c>
      <c r="F366" s="461">
        <v>16622008</v>
      </c>
      <c r="G366" s="487">
        <v>15140211</v>
      </c>
      <c r="H366" s="573"/>
      <c r="I366" s="487"/>
      <c r="J366" s="461"/>
      <c r="K366" s="487"/>
      <c r="L366" s="461">
        <v>17377259</v>
      </c>
      <c r="M366" s="573"/>
      <c r="N366" s="456">
        <f t="shared" si="49"/>
        <v>17377259</v>
      </c>
      <c r="O366" s="487">
        <v>19757881</v>
      </c>
      <c r="P366" s="487"/>
      <c r="Q366" s="274">
        <f t="shared" si="44"/>
        <v>19757881</v>
      </c>
      <c r="R366" s="574">
        <f t="shared" si="45"/>
        <v>33999267</v>
      </c>
      <c r="S366" s="275">
        <f t="shared" si="46"/>
        <v>34898092</v>
      </c>
      <c r="T366" s="575"/>
      <c r="U366" s="487"/>
      <c r="V366" s="576"/>
      <c r="W366" s="573"/>
      <c r="X366" s="574">
        <f t="shared" si="50"/>
        <v>0</v>
      </c>
      <c r="Y366" s="487"/>
      <c r="Z366" s="487"/>
      <c r="AA366" s="276">
        <f t="shared" si="51"/>
        <v>0</v>
      </c>
      <c r="AB366" s="573"/>
      <c r="AC366" s="487"/>
      <c r="AD366" s="573"/>
      <c r="AE366" s="487"/>
      <c r="AF366" s="577">
        <f t="shared" si="47"/>
        <v>33999267</v>
      </c>
      <c r="AG366" s="275">
        <f t="shared" si="48"/>
        <v>34898092</v>
      </c>
    </row>
    <row r="367" spans="1:33" ht="12" customHeight="1">
      <c r="A367" s="603" t="s">
        <v>1271</v>
      </c>
      <c r="B367" s="598" t="s">
        <v>1776</v>
      </c>
      <c r="C367" s="599" t="s">
        <v>1844</v>
      </c>
      <c r="D367" s="600">
        <v>106449</v>
      </c>
      <c r="E367" s="601">
        <v>9</v>
      </c>
      <c r="F367" s="461">
        <v>13889307</v>
      </c>
      <c r="G367" s="487">
        <v>14060649</v>
      </c>
      <c r="H367" s="573"/>
      <c r="I367" s="487"/>
      <c r="J367" s="461">
        <v>1817140</v>
      </c>
      <c r="K367" s="487">
        <v>1800000</v>
      </c>
      <c r="L367" s="461">
        <v>8537213</v>
      </c>
      <c r="M367" s="573"/>
      <c r="N367" s="456">
        <f t="shared" si="49"/>
        <v>8537213</v>
      </c>
      <c r="O367" s="487">
        <v>8711500</v>
      </c>
      <c r="P367" s="487"/>
      <c r="Q367" s="274">
        <f t="shared" si="44"/>
        <v>8711500</v>
      </c>
      <c r="R367" s="574">
        <f t="shared" si="45"/>
        <v>24243660</v>
      </c>
      <c r="S367" s="275">
        <f t="shared" si="46"/>
        <v>24572149</v>
      </c>
      <c r="T367" s="575"/>
      <c r="U367" s="487"/>
      <c r="V367" s="576"/>
      <c r="W367" s="573"/>
      <c r="X367" s="574">
        <f t="shared" si="50"/>
        <v>0</v>
      </c>
      <c r="Y367" s="487"/>
      <c r="Z367" s="487"/>
      <c r="AA367" s="276">
        <f t="shared" si="51"/>
        <v>0</v>
      </c>
      <c r="AB367" s="573"/>
      <c r="AC367" s="487"/>
      <c r="AD367" s="573"/>
      <c r="AE367" s="487"/>
      <c r="AF367" s="577">
        <f t="shared" si="47"/>
        <v>24243660</v>
      </c>
      <c r="AG367" s="275">
        <f t="shared" si="48"/>
        <v>24572149</v>
      </c>
    </row>
    <row r="368" spans="1:33" ht="12" customHeight="1">
      <c r="A368" s="603" t="s">
        <v>1271</v>
      </c>
      <c r="B368" s="598" t="s">
        <v>1776</v>
      </c>
      <c r="C368" s="599" t="s">
        <v>1845</v>
      </c>
      <c r="D368" s="600">
        <v>367459</v>
      </c>
      <c r="E368" s="601">
        <v>9</v>
      </c>
      <c r="F368" s="461">
        <v>10752568</v>
      </c>
      <c r="G368" s="487">
        <v>10346898</v>
      </c>
      <c r="H368" s="573"/>
      <c r="I368" s="487"/>
      <c r="J368" s="461">
        <v>4474718</v>
      </c>
      <c r="K368" s="487">
        <v>4500000</v>
      </c>
      <c r="L368" s="461">
        <v>13504797</v>
      </c>
      <c r="M368" s="573"/>
      <c r="N368" s="456">
        <f t="shared" si="49"/>
        <v>13504797</v>
      </c>
      <c r="O368" s="487">
        <v>15264172</v>
      </c>
      <c r="P368" s="487"/>
      <c r="Q368" s="274">
        <f t="shared" si="44"/>
        <v>15264172</v>
      </c>
      <c r="R368" s="574">
        <f t="shared" si="45"/>
        <v>28732083</v>
      </c>
      <c r="S368" s="275">
        <f t="shared" si="46"/>
        <v>30111070</v>
      </c>
      <c r="T368" s="575"/>
      <c r="U368" s="487"/>
      <c r="V368" s="576"/>
      <c r="W368" s="573"/>
      <c r="X368" s="574">
        <f t="shared" si="50"/>
        <v>0</v>
      </c>
      <c r="Y368" s="487"/>
      <c r="Z368" s="487"/>
      <c r="AA368" s="276">
        <f t="shared" si="51"/>
        <v>0</v>
      </c>
      <c r="AB368" s="573"/>
      <c r="AC368" s="487"/>
      <c r="AD368" s="573"/>
      <c r="AE368" s="487"/>
      <c r="AF368" s="577">
        <f t="shared" si="47"/>
        <v>28732083</v>
      </c>
      <c r="AG368" s="275">
        <f t="shared" si="48"/>
        <v>30111070</v>
      </c>
    </row>
    <row r="369" spans="1:33" ht="12" customHeight="1">
      <c r="A369" s="603" t="s">
        <v>1271</v>
      </c>
      <c r="B369" s="598" t="s">
        <v>1776</v>
      </c>
      <c r="C369" s="599" t="s">
        <v>1846</v>
      </c>
      <c r="D369" s="600">
        <v>107327</v>
      </c>
      <c r="E369" s="601">
        <v>10</v>
      </c>
      <c r="F369" s="461">
        <v>9917736</v>
      </c>
      <c r="G369" s="487">
        <v>9883247</v>
      </c>
      <c r="H369" s="573"/>
      <c r="I369" s="487"/>
      <c r="J369" s="461"/>
      <c r="K369" s="487"/>
      <c r="L369" s="461">
        <v>2323058</v>
      </c>
      <c r="M369" s="573"/>
      <c r="N369" s="456">
        <f t="shared" si="49"/>
        <v>2323058</v>
      </c>
      <c r="O369" s="487">
        <v>2216327</v>
      </c>
      <c r="P369" s="487"/>
      <c r="Q369" s="274">
        <f t="shared" si="44"/>
        <v>2216327</v>
      </c>
      <c r="R369" s="574">
        <f t="shared" si="45"/>
        <v>12240794</v>
      </c>
      <c r="S369" s="275">
        <f t="shared" si="46"/>
        <v>12099574</v>
      </c>
      <c r="T369" s="575"/>
      <c r="U369" s="487"/>
      <c r="V369" s="576"/>
      <c r="W369" s="573"/>
      <c r="X369" s="574">
        <f t="shared" si="50"/>
        <v>0</v>
      </c>
      <c r="Y369" s="487"/>
      <c r="Z369" s="487"/>
      <c r="AA369" s="276">
        <f t="shared" si="51"/>
        <v>0</v>
      </c>
      <c r="AB369" s="573"/>
      <c r="AC369" s="487"/>
      <c r="AD369" s="573"/>
      <c r="AE369" s="487"/>
      <c r="AF369" s="577">
        <f t="shared" si="47"/>
        <v>12240794</v>
      </c>
      <c r="AG369" s="275">
        <f t="shared" si="48"/>
        <v>12099574</v>
      </c>
    </row>
    <row r="370" spans="1:33" ht="12" customHeight="1">
      <c r="A370" s="603" t="s">
        <v>1271</v>
      </c>
      <c r="B370" s="598" t="s">
        <v>1776</v>
      </c>
      <c r="C370" s="599" t="s">
        <v>1847</v>
      </c>
      <c r="D370" s="600">
        <v>420538</v>
      </c>
      <c r="E370" s="601">
        <v>10</v>
      </c>
      <c r="F370" s="461">
        <v>4195729</v>
      </c>
      <c r="G370" s="487">
        <v>4165825</v>
      </c>
      <c r="H370" s="573"/>
      <c r="I370" s="487"/>
      <c r="J370" s="461">
        <v>1074144</v>
      </c>
      <c r="K370" s="487">
        <v>1075000</v>
      </c>
      <c r="L370" s="461">
        <v>2257818</v>
      </c>
      <c r="M370" s="573"/>
      <c r="N370" s="456">
        <f t="shared" si="49"/>
        <v>2257818</v>
      </c>
      <c r="O370" s="487">
        <v>2599500</v>
      </c>
      <c r="P370" s="487"/>
      <c r="Q370" s="274">
        <f t="shared" si="44"/>
        <v>2599500</v>
      </c>
      <c r="R370" s="574">
        <f t="shared" si="45"/>
        <v>7527691</v>
      </c>
      <c r="S370" s="275">
        <f t="shared" si="46"/>
        <v>7840325</v>
      </c>
      <c r="T370" s="575"/>
      <c r="U370" s="487"/>
      <c r="V370" s="576"/>
      <c r="W370" s="573"/>
      <c r="X370" s="574">
        <f t="shared" si="50"/>
        <v>0</v>
      </c>
      <c r="Y370" s="487"/>
      <c r="Z370" s="487"/>
      <c r="AA370" s="276">
        <f t="shared" si="51"/>
        <v>0</v>
      </c>
      <c r="AB370" s="573"/>
      <c r="AC370" s="487"/>
      <c r="AD370" s="573"/>
      <c r="AE370" s="487"/>
      <c r="AF370" s="577">
        <f t="shared" si="47"/>
        <v>7527691</v>
      </c>
      <c r="AG370" s="275">
        <f t="shared" si="48"/>
        <v>7840325</v>
      </c>
    </row>
    <row r="371" spans="1:33" ht="12" customHeight="1">
      <c r="A371" s="603" t="s">
        <v>1271</v>
      </c>
      <c r="B371" s="598" t="s">
        <v>1776</v>
      </c>
      <c r="C371" s="599" t="s">
        <v>1848</v>
      </c>
      <c r="D371" s="600">
        <v>440402</v>
      </c>
      <c r="E371" s="601">
        <v>10</v>
      </c>
      <c r="F371" s="461">
        <v>4244026</v>
      </c>
      <c r="G371" s="487">
        <v>6993730</v>
      </c>
      <c r="H371" s="573"/>
      <c r="I371" s="487"/>
      <c r="J371" s="461">
        <v>880642</v>
      </c>
      <c r="K371" s="487">
        <v>880000</v>
      </c>
      <c r="L371" s="461">
        <v>2763956</v>
      </c>
      <c r="M371" s="573"/>
      <c r="N371" s="456">
        <f t="shared" si="49"/>
        <v>2763956</v>
      </c>
      <c r="O371" s="487">
        <f>2306275+645000</f>
        <v>2951275</v>
      </c>
      <c r="P371" s="487"/>
      <c r="Q371" s="274">
        <f t="shared" si="44"/>
        <v>2951275</v>
      </c>
      <c r="R371" s="574">
        <f t="shared" si="45"/>
        <v>7888624</v>
      </c>
      <c r="S371" s="275">
        <f t="shared" si="46"/>
        <v>10825005</v>
      </c>
      <c r="T371" s="575"/>
      <c r="U371" s="487"/>
      <c r="V371" s="576"/>
      <c r="W371" s="573"/>
      <c r="X371" s="574">
        <f t="shared" si="50"/>
        <v>0</v>
      </c>
      <c r="Y371" s="487"/>
      <c r="Z371" s="487"/>
      <c r="AA371" s="276">
        <f t="shared" si="51"/>
        <v>0</v>
      </c>
      <c r="AB371" s="573"/>
      <c r="AC371" s="487"/>
      <c r="AD371" s="573"/>
      <c r="AE371" s="487"/>
      <c r="AF371" s="577">
        <f t="shared" si="47"/>
        <v>7888624</v>
      </c>
      <c r="AG371" s="275">
        <f t="shared" si="48"/>
        <v>10825005</v>
      </c>
    </row>
    <row r="372" spans="1:33" ht="12" customHeight="1">
      <c r="A372" s="603" t="s">
        <v>1271</v>
      </c>
      <c r="B372" s="598" t="s">
        <v>1776</v>
      </c>
      <c r="C372" s="599" t="s">
        <v>1849</v>
      </c>
      <c r="D372" s="600">
        <v>106625</v>
      </c>
      <c r="E372" s="601">
        <v>10</v>
      </c>
      <c r="F372" s="461">
        <v>7826267</v>
      </c>
      <c r="G372" s="487">
        <v>7790004</v>
      </c>
      <c r="H372" s="573"/>
      <c r="I372" s="487"/>
      <c r="J372" s="461"/>
      <c r="K372" s="487"/>
      <c r="L372" s="461">
        <v>3807737</v>
      </c>
      <c r="M372" s="573"/>
      <c r="N372" s="456">
        <f t="shared" si="49"/>
        <v>3807737</v>
      </c>
      <c r="O372" s="487">
        <v>3100000</v>
      </c>
      <c r="P372" s="487"/>
      <c r="Q372" s="274">
        <f t="shared" si="44"/>
        <v>3100000</v>
      </c>
      <c r="R372" s="574">
        <f t="shared" si="45"/>
        <v>11634004</v>
      </c>
      <c r="S372" s="275">
        <f t="shared" si="46"/>
        <v>10890004</v>
      </c>
      <c r="T372" s="575"/>
      <c r="U372" s="487"/>
      <c r="V372" s="576"/>
      <c r="W372" s="573"/>
      <c r="X372" s="574">
        <f t="shared" si="50"/>
        <v>0</v>
      </c>
      <c r="Y372" s="487"/>
      <c r="Z372" s="487"/>
      <c r="AA372" s="276">
        <f t="shared" si="51"/>
        <v>0</v>
      </c>
      <c r="AB372" s="573"/>
      <c r="AC372" s="487"/>
      <c r="AD372" s="573"/>
      <c r="AE372" s="487"/>
      <c r="AF372" s="577">
        <f t="shared" si="47"/>
        <v>11634004</v>
      </c>
      <c r="AG372" s="275">
        <f t="shared" si="48"/>
        <v>10890004</v>
      </c>
    </row>
    <row r="373" spans="1:33" ht="12" customHeight="1">
      <c r="A373" s="603" t="s">
        <v>1271</v>
      </c>
      <c r="B373" s="598" t="s">
        <v>1776</v>
      </c>
      <c r="C373" s="599" t="s">
        <v>1850</v>
      </c>
      <c r="D373" s="600">
        <v>106795</v>
      </c>
      <c r="E373" s="601">
        <v>10</v>
      </c>
      <c r="F373" s="461">
        <v>4426991</v>
      </c>
      <c r="G373" s="487">
        <v>4371039</v>
      </c>
      <c r="H373" s="573"/>
      <c r="I373" s="487"/>
      <c r="J373" s="461">
        <v>1027124</v>
      </c>
      <c r="K373" s="487">
        <v>1025000</v>
      </c>
      <c r="L373" s="461">
        <v>1894234</v>
      </c>
      <c r="M373" s="573"/>
      <c r="N373" s="456">
        <f t="shared" si="49"/>
        <v>1894234</v>
      </c>
      <c r="O373" s="487">
        <v>1933000</v>
      </c>
      <c r="P373" s="487"/>
      <c r="Q373" s="274">
        <f t="shared" si="44"/>
        <v>1933000</v>
      </c>
      <c r="R373" s="574">
        <f t="shared" si="45"/>
        <v>7348349</v>
      </c>
      <c r="S373" s="275">
        <f t="shared" si="46"/>
        <v>7329039</v>
      </c>
      <c r="T373" s="575"/>
      <c r="U373" s="487"/>
      <c r="V373" s="576"/>
      <c r="W373" s="573"/>
      <c r="X373" s="574">
        <f t="shared" si="50"/>
        <v>0</v>
      </c>
      <c r="Y373" s="487"/>
      <c r="Z373" s="487"/>
      <c r="AA373" s="276">
        <f t="shared" si="51"/>
        <v>0</v>
      </c>
      <c r="AB373" s="573"/>
      <c r="AC373" s="487"/>
      <c r="AD373" s="573"/>
      <c r="AE373" s="487"/>
      <c r="AF373" s="577">
        <f t="shared" si="47"/>
        <v>7348349</v>
      </c>
      <c r="AG373" s="275">
        <f t="shared" si="48"/>
        <v>7329039</v>
      </c>
    </row>
    <row r="374" spans="1:33" ht="12" customHeight="1">
      <c r="A374" s="603" t="s">
        <v>1271</v>
      </c>
      <c r="B374" s="598" t="s">
        <v>1776</v>
      </c>
      <c r="C374" s="599" t="s">
        <v>1851</v>
      </c>
      <c r="D374" s="600">
        <v>106883</v>
      </c>
      <c r="E374" s="601">
        <v>10</v>
      </c>
      <c r="F374" s="461">
        <v>6553009</v>
      </c>
      <c r="G374" s="487">
        <v>6508957</v>
      </c>
      <c r="H374" s="573"/>
      <c r="I374" s="487"/>
      <c r="J374" s="461"/>
      <c r="K374" s="487"/>
      <c r="L374" s="461">
        <v>2430985.54</v>
      </c>
      <c r="M374" s="573"/>
      <c r="N374" s="456">
        <f t="shared" si="49"/>
        <v>2430985.54</v>
      </c>
      <c r="O374" s="487">
        <v>2550100</v>
      </c>
      <c r="P374" s="487"/>
      <c r="Q374" s="274">
        <f t="shared" si="44"/>
        <v>2550100</v>
      </c>
      <c r="R374" s="574">
        <f t="shared" si="45"/>
        <v>8983994.5399999991</v>
      </c>
      <c r="S374" s="275">
        <f t="shared" si="46"/>
        <v>9059057</v>
      </c>
      <c r="T374" s="575"/>
      <c r="U374" s="487"/>
      <c r="V374" s="576"/>
      <c r="W374" s="573"/>
      <c r="X374" s="574">
        <f t="shared" si="50"/>
        <v>0</v>
      </c>
      <c r="Y374" s="487"/>
      <c r="Z374" s="487"/>
      <c r="AA374" s="276">
        <f t="shared" si="51"/>
        <v>0</v>
      </c>
      <c r="AB374" s="573"/>
      <c r="AC374" s="487"/>
      <c r="AD374" s="573"/>
      <c r="AE374" s="487"/>
      <c r="AF374" s="577">
        <f t="shared" si="47"/>
        <v>8983994.5399999991</v>
      </c>
      <c r="AG374" s="275">
        <f t="shared" si="48"/>
        <v>9059057</v>
      </c>
    </row>
    <row r="375" spans="1:33" ht="12" customHeight="1">
      <c r="A375" s="603" t="s">
        <v>1271</v>
      </c>
      <c r="B375" s="598" t="s">
        <v>1776</v>
      </c>
      <c r="C375" s="599" t="s">
        <v>1852</v>
      </c>
      <c r="D375" s="600">
        <v>107318</v>
      </c>
      <c r="E375" s="601">
        <v>10</v>
      </c>
      <c r="F375" s="461">
        <v>5667937</v>
      </c>
      <c r="G375" s="487">
        <v>5542386</v>
      </c>
      <c r="H375" s="573"/>
      <c r="I375" s="487"/>
      <c r="J375" s="461">
        <v>108731</v>
      </c>
      <c r="K375" s="487">
        <v>108000</v>
      </c>
      <c r="L375" s="461">
        <v>2193371</v>
      </c>
      <c r="M375" s="573"/>
      <c r="N375" s="456">
        <f t="shared" si="49"/>
        <v>2193371</v>
      </c>
      <c r="O375" s="487">
        <v>2408528</v>
      </c>
      <c r="P375" s="487"/>
      <c r="Q375" s="274">
        <f t="shared" si="44"/>
        <v>2408528</v>
      </c>
      <c r="R375" s="574">
        <f t="shared" si="45"/>
        <v>7970039</v>
      </c>
      <c r="S375" s="275">
        <f t="shared" si="46"/>
        <v>8058914</v>
      </c>
      <c r="T375" s="575"/>
      <c r="U375" s="487"/>
      <c r="V375" s="576"/>
      <c r="W375" s="573"/>
      <c r="X375" s="574">
        <f t="shared" si="50"/>
        <v>0</v>
      </c>
      <c r="Y375" s="487"/>
      <c r="Z375" s="487"/>
      <c r="AA375" s="276">
        <f t="shared" si="51"/>
        <v>0</v>
      </c>
      <c r="AB375" s="573"/>
      <c r="AC375" s="487"/>
      <c r="AD375" s="573"/>
      <c r="AE375" s="487"/>
      <c r="AF375" s="577">
        <f t="shared" si="47"/>
        <v>7970039</v>
      </c>
      <c r="AG375" s="275">
        <f t="shared" si="48"/>
        <v>8058914</v>
      </c>
    </row>
    <row r="376" spans="1:33" ht="12" customHeight="1">
      <c r="A376" s="603" t="s">
        <v>1271</v>
      </c>
      <c r="B376" s="598" t="s">
        <v>1776</v>
      </c>
      <c r="C376" s="599" t="s">
        <v>1853</v>
      </c>
      <c r="D376" s="600">
        <v>106980</v>
      </c>
      <c r="E376" s="601">
        <v>10</v>
      </c>
      <c r="F376" s="461">
        <v>10498107</v>
      </c>
      <c r="G376" s="487">
        <v>10531346</v>
      </c>
      <c r="H376" s="573"/>
      <c r="I376" s="487"/>
      <c r="J376" s="461"/>
      <c r="K376" s="487"/>
      <c r="L376" s="461">
        <v>4046324</v>
      </c>
      <c r="M376" s="573"/>
      <c r="N376" s="456">
        <f t="shared" si="49"/>
        <v>4046324</v>
      </c>
      <c r="O376" s="487">
        <v>4559811.7</v>
      </c>
      <c r="P376" s="487"/>
      <c r="Q376" s="274">
        <f t="shared" si="44"/>
        <v>4559811.7</v>
      </c>
      <c r="R376" s="574">
        <f t="shared" si="45"/>
        <v>14544431</v>
      </c>
      <c r="S376" s="275">
        <f t="shared" si="46"/>
        <v>15091157.699999999</v>
      </c>
      <c r="T376" s="575"/>
      <c r="U376" s="487"/>
      <c r="V376" s="576"/>
      <c r="W376" s="573"/>
      <c r="X376" s="574">
        <f t="shared" si="50"/>
        <v>0</v>
      </c>
      <c r="Y376" s="487"/>
      <c r="Z376" s="487"/>
      <c r="AA376" s="276">
        <f t="shared" si="51"/>
        <v>0</v>
      </c>
      <c r="AB376" s="573"/>
      <c r="AC376" s="487"/>
      <c r="AD376" s="573"/>
      <c r="AE376" s="487"/>
      <c r="AF376" s="577">
        <f t="shared" si="47"/>
        <v>14544431</v>
      </c>
      <c r="AG376" s="275">
        <f t="shared" si="48"/>
        <v>15091157.699999999</v>
      </c>
    </row>
    <row r="377" spans="1:33" ht="12" customHeight="1">
      <c r="A377" s="603" t="s">
        <v>1271</v>
      </c>
      <c r="B377" s="598" t="s">
        <v>1776</v>
      </c>
      <c r="C377" s="599" t="s">
        <v>1854</v>
      </c>
      <c r="D377" s="600">
        <v>107460</v>
      </c>
      <c r="E377" s="601">
        <v>10</v>
      </c>
      <c r="F377" s="461">
        <v>8779078</v>
      </c>
      <c r="G377" s="487">
        <v>8831639</v>
      </c>
      <c r="H377" s="573"/>
      <c r="I377" s="487"/>
      <c r="J377" s="461"/>
      <c r="K377" s="487"/>
      <c r="L377" s="461">
        <v>3443144</v>
      </c>
      <c r="M377" s="573"/>
      <c r="N377" s="456">
        <f t="shared" si="49"/>
        <v>3443144</v>
      </c>
      <c r="O377" s="487">
        <v>3558884</v>
      </c>
      <c r="P377" s="487"/>
      <c r="Q377" s="274">
        <f t="shared" si="44"/>
        <v>3558884</v>
      </c>
      <c r="R377" s="574">
        <f t="shared" si="45"/>
        <v>12222222</v>
      </c>
      <c r="S377" s="275">
        <f t="shared" si="46"/>
        <v>12390523</v>
      </c>
      <c r="T377" s="575"/>
      <c r="U377" s="487"/>
      <c r="V377" s="576"/>
      <c r="W377" s="573"/>
      <c r="X377" s="574">
        <f t="shared" si="50"/>
        <v>0</v>
      </c>
      <c r="Y377" s="487"/>
      <c r="Z377" s="487"/>
      <c r="AA377" s="276">
        <f t="shared" si="51"/>
        <v>0</v>
      </c>
      <c r="AB377" s="573"/>
      <c r="AC377" s="487"/>
      <c r="AD377" s="573"/>
      <c r="AE377" s="487"/>
      <c r="AF377" s="577">
        <f t="shared" si="47"/>
        <v>12222222</v>
      </c>
      <c r="AG377" s="275">
        <f t="shared" si="48"/>
        <v>12390523</v>
      </c>
    </row>
    <row r="378" spans="1:33" ht="12" customHeight="1">
      <c r="A378" s="603" t="s">
        <v>1271</v>
      </c>
      <c r="B378" s="598" t="s">
        <v>1776</v>
      </c>
      <c r="C378" s="599" t="s">
        <v>1855</v>
      </c>
      <c r="D378" s="600">
        <v>107521</v>
      </c>
      <c r="E378" s="601">
        <v>10</v>
      </c>
      <c r="F378" s="461">
        <v>4444264</v>
      </c>
      <c r="G378" s="487">
        <v>4392330</v>
      </c>
      <c r="H378" s="573"/>
      <c r="I378" s="487"/>
      <c r="J378" s="461"/>
      <c r="K378" s="487"/>
      <c r="L378" s="461">
        <v>2316165</v>
      </c>
      <c r="M378" s="573"/>
      <c r="N378" s="456">
        <f t="shared" si="49"/>
        <v>2316165</v>
      </c>
      <c r="O378" s="487">
        <v>1764773</v>
      </c>
      <c r="P378" s="487"/>
      <c r="Q378" s="274">
        <f t="shared" si="44"/>
        <v>1764773</v>
      </c>
      <c r="R378" s="574">
        <f t="shared" si="45"/>
        <v>6760429</v>
      </c>
      <c r="S378" s="275">
        <f t="shared" si="46"/>
        <v>6157103</v>
      </c>
      <c r="T378" s="575"/>
      <c r="U378" s="487"/>
      <c r="V378" s="576"/>
      <c r="W378" s="573"/>
      <c r="X378" s="574">
        <f t="shared" si="50"/>
        <v>0</v>
      </c>
      <c r="Y378" s="487"/>
      <c r="Z378" s="487"/>
      <c r="AA378" s="276">
        <f t="shared" si="51"/>
        <v>0</v>
      </c>
      <c r="AB378" s="573"/>
      <c r="AC378" s="487"/>
      <c r="AD378" s="573"/>
      <c r="AE378" s="487"/>
      <c r="AF378" s="577">
        <f t="shared" si="47"/>
        <v>6760429</v>
      </c>
      <c r="AG378" s="275">
        <f t="shared" si="48"/>
        <v>6157103</v>
      </c>
    </row>
    <row r="379" spans="1:33" ht="12" customHeight="1">
      <c r="A379" s="603" t="s">
        <v>1271</v>
      </c>
      <c r="B379" s="598" t="s">
        <v>1776</v>
      </c>
      <c r="C379" s="599" t="s">
        <v>1856</v>
      </c>
      <c r="D379" s="600">
        <v>107549</v>
      </c>
      <c r="E379" s="601">
        <v>10</v>
      </c>
      <c r="F379" s="461">
        <v>4041862</v>
      </c>
      <c r="G379" s="487">
        <v>3950332</v>
      </c>
      <c r="H379" s="573"/>
      <c r="I379" s="487"/>
      <c r="J379" s="461"/>
      <c r="K379" s="487"/>
      <c r="L379" s="461">
        <v>2215143.7999999998</v>
      </c>
      <c r="M379" s="573"/>
      <c r="N379" s="456">
        <f t="shared" si="49"/>
        <v>2215143.7999999998</v>
      </c>
      <c r="O379" s="487">
        <v>2248146</v>
      </c>
      <c r="P379" s="487"/>
      <c r="Q379" s="274">
        <f t="shared" si="44"/>
        <v>2248146</v>
      </c>
      <c r="R379" s="574">
        <f t="shared" si="45"/>
        <v>6257005.7999999998</v>
      </c>
      <c r="S379" s="275">
        <f t="shared" si="46"/>
        <v>6198478</v>
      </c>
      <c r="T379" s="575"/>
      <c r="U379" s="487"/>
      <c r="V379" s="576"/>
      <c r="W379" s="573"/>
      <c r="X379" s="574">
        <f t="shared" si="50"/>
        <v>0</v>
      </c>
      <c r="Y379" s="487"/>
      <c r="Z379" s="487"/>
      <c r="AA379" s="276">
        <f t="shared" si="51"/>
        <v>0</v>
      </c>
      <c r="AB379" s="573"/>
      <c r="AC379" s="487"/>
      <c r="AD379" s="573"/>
      <c r="AE379" s="487"/>
      <c r="AF379" s="577">
        <f t="shared" si="47"/>
        <v>6257005.7999999998</v>
      </c>
      <c r="AG379" s="275">
        <f t="shared" si="48"/>
        <v>6198478</v>
      </c>
    </row>
    <row r="380" spans="1:33" ht="12" customHeight="1">
      <c r="A380" s="603" t="s">
        <v>1271</v>
      </c>
      <c r="B380" s="598" t="s">
        <v>1776</v>
      </c>
      <c r="C380" s="599" t="s">
        <v>1857</v>
      </c>
      <c r="D380" s="600">
        <v>107619</v>
      </c>
      <c r="E380" s="601">
        <v>10</v>
      </c>
      <c r="F380" s="461">
        <f>9994587+250000</f>
        <v>10244587</v>
      </c>
      <c r="G380" s="487">
        <v>10146013</v>
      </c>
      <c r="H380" s="573"/>
      <c r="I380" s="487"/>
      <c r="J380" s="461">
        <v>1742886</v>
      </c>
      <c r="K380" s="487">
        <v>1750000</v>
      </c>
      <c r="L380" s="461">
        <v>3776623</v>
      </c>
      <c r="M380" s="573"/>
      <c r="N380" s="456">
        <f t="shared" si="49"/>
        <v>3776623</v>
      </c>
      <c r="O380" s="487">
        <v>2976000</v>
      </c>
      <c r="P380" s="487"/>
      <c r="Q380" s="274">
        <f t="shared" si="44"/>
        <v>2976000</v>
      </c>
      <c r="R380" s="574">
        <f t="shared" si="45"/>
        <v>15764096</v>
      </c>
      <c r="S380" s="275">
        <f t="shared" si="46"/>
        <v>14872013</v>
      </c>
      <c r="T380" s="575"/>
      <c r="U380" s="487"/>
      <c r="V380" s="576"/>
      <c r="W380" s="573"/>
      <c r="X380" s="574">
        <f t="shared" si="50"/>
        <v>0</v>
      </c>
      <c r="Y380" s="487"/>
      <c r="Z380" s="487"/>
      <c r="AA380" s="276">
        <f t="shared" si="51"/>
        <v>0</v>
      </c>
      <c r="AB380" s="573"/>
      <c r="AC380" s="487"/>
      <c r="AD380" s="573"/>
      <c r="AE380" s="487"/>
      <c r="AF380" s="577">
        <f t="shared" si="47"/>
        <v>15764096</v>
      </c>
      <c r="AG380" s="275">
        <f t="shared" si="48"/>
        <v>14872013</v>
      </c>
    </row>
    <row r="381" spans="1:33" ht="12" customHeight="1">
      <c r="A381" s="603" t="s">
        <v>1271</v>
      </c>
      <c r="B381" s="598" t="s">
        <v>1776</v>
      </c>
      <c r="C381" s="599" t="s">
        <v>1858</v>
      </c>
      <c r="D381" s="600">
        <v>107743</v>
      </c>
      <c r="E381" s="601">
        <v>10</v>
      </c>
      <c r="F381" s="461">
        <v>3403996</v>
      </c>
      <c r="G381" s="487">
        <v>3351287</v>
      </c>
      <c r="H381" s="573"/>
      <c r="I381" s="487"/>
      <c r="J381" s="461">
        <v>0</v>
      </c>
      <c r="K381" s="487">
        <v>0</v>
      </c>
      <c r="L381" s="461">
        <v>1170731</v>
      </c>
      <c r="M381" s="573"/>
      <c r="N381" s="456">
        <f t="shared" si="49"/>
        <v>1170731</v>
      </c>
      <c r="O381" s="487">
        <v>998208</v>
      </c>
      <c r="P381" s="487"/>
      <c r="Q381" s="274">
        <f t="shared" si="44"/>
        <v>998208</v>
      </c>
      <c r="R381" s="574">
        <f t="shared" si="45"/>
        <v>4574727</v>
      </c>
      <c r="S381" s="275">
        <f t="shared" si="46"/>
        <v>4349495</v>
      </c>
      <c r="T381" s="575"/>
      <c r="U381" s="487"/>
      <c r="V381" s="576"/>
      <c r="W381" s="573"/>
      <c r="X381" s="574">
        <f t="shared" si="50"/>
        <v>0</v>
      </c>
      <c r="Y381" s="487"/>
      <c r="Z381" s="487"/>
      <c r="AA381" s="276">
        <f t="shared" si="51"/>
        <v>0</v>
      </c>
      <c r="AB381" s="573"/>
      <c r="AC381" s="487"/>
      <c r="AD381" s="573"/>
      <c r="AE381" s="487"/>
      <c r="AF381" s="577">
        <f t="shared" si="47"/>
        <v>4574727</v>
      </c>
      <c r="AG381" s="275">
        <f t="shared" si="48"/>
        <v>4349495</v>
      </c>
    </row>
    <row r="382" spans="1:33" ht="12" customHeight="1">
      <c r="A382" s="603" t="s">
        <v>1271</v>
      </c>
      <c r="B382" s="598" t="s">
        <v>1776</v>
      </c>
      <c r="C382" s="599" t="s">
        <v>1859</v>
      </c>
      <c r="D382" s="600">
        <v>107974</v>
      </c>
      <c r="E382" s="601">
        <v>10</v>
      </c>
      <c r="F382" s="461">
        <v>6861583</v>
      </c>
      <c r="G382" s="487">
        <v>6844083</v>
      </c>
      <c r="H382" s="573"/>
      <c r="I382" s="487"/>
      <c r="J382" s="461"/>
      <c r="K382" s="487"/>
      <c r="L382" s="461">
        <v>2803591</v>
      </c>
      <c r="M382" s="573"/>
      <c r="N382" s="456">
        <f t="shared" si="49"/>
        <v>2803591</v>
      </c>
      <c r="O382" s="487">
        <v>2773019</v>
      </c>
      <c r="P382" s="487"/>
      <c r="Q382" s="274">
        <f t="shared" si="44"/>
        <v>2773019</v>
      </c>
      <c r="R382" s="574">
        <f t="shared" si="45"/>
        <v>9665174</v>
      </c>
      <c r="S382" s="275">
        <f t="shared" si="46"/>
        <v>9617102</v>
      </c>
      <c r="T382" s="575"/>
      <c r="U382" s="487"/>
      <c r="V382" s="576"/>
      <c r="W382" s="573"/>
      <c r="X382" s="574">
        <f t="shared" si="50"/>
        <v>0</v>
      </c>
      <c r="Y382" s="487"/>
      <c r="Z382" s="487"/>
      <c r="AA382" s="276">
        <f t="shared" si="51"/>
        <v>0</v>
      </c>
      <c r="AB382" s="573"/>
      <c r="AC382" s="487"/>
      <c r="AD382" s="573"/>
      <c r="AE382" s="487"/>
      <c r="AF382" s="577">
        <f t="shared" si="47"/>
        <v>9665174</v>
      </c>
      <c r="AG382" s="275">
        <f t="shared" si="48"/>
        <v>9617102</v>
      </c>
    </row>
    <row r="383" spans="1:33" ht="12" customHeight="1">
      <c r="A383" s="603" t="s">
        <v>1271</v>
      </c>
      <c r="B383" s="598" t="s">
        <v>1776</v>
      </c>
      <c r="C383" s="599" t="s">
        <v>1860</v>
      </c>
      <c r="D383" s="600">
        <v>107637</v>
      </c>
      <c r="E383" s="601">
        <v>10</v>
      </c>
      <c r="F383" s="461">
        <v>7225060</v>
      </c>
      <c r="G383" s="487">
        <v>7199581</v>
      </c>
      <c r="H383" s="573"/>
      <c r="I383" s="487"/>
      <c r="J383" s="461"/>
      <c r="K383" s="487"/>
      <c r="L383" s="461">
        <v>3011464</v>
      </c>
      <c r="M383" s="573"/>
      <c r="N383" s="456">
        <f t="shared" si="49"/>
        <v>3011464</v>
      </c>
      <c r="O383" s="487">
        <v>3132126</v>
      </c>
      <c r="P383" s="487"/>
      <c r="Q383" s="274">
        <f t="shared" si="44"/>
        <v>3132126</v>
      </c>
      <c r="R383" s="574">
        <f t="shared" si="45"/>
        <v>10236524</v>
      </c>
      <c r="S383" s="275">
        <f t="shared" si="46"/>
        <v>10331707</v>
      </c>
      <c r="T383" s="575"/>
      <c r="U383" s="487"/>
      <c r="V383" s="576"/>
      <c r="W383" s="573"/>
      <c r="X383" s="574">
        <f t="shared" si="50"/>
        <v>0</v>
      </c>
      <c r="Y383" s="487"/>
      <c r="Z383" s="487"/>
      <c r="AA383" s="276">
        <f t="shared" si="51"/>
        <v>0</v>
      </c>
      <c r="AB383" s="573"/>
      <c r="AC383" s="487"/>
      <c r="AD383" s="573"/>
      <c r="AE383" s="487"/>
      <c r="AF383" s="577">
        <f t="shared" si="47"/>
        <v>10236524</v>
      </c>
      <c r="AG383" s="275">
        <f t="shared" si="48"/>
        <v>10331707</v>
      </c>
    </row>
    <row r="384" spans="1:33" ht="12" customHeight="1">
      <c r="A384" s="603" t="s">
        <v>1271</v>
      </c>
      <c r="B384" s="598" t="s">
        <v>1776</v>
      </c>
      <c r="C384" s="599" t="s">
        <v>1861</v>
      </c>
      <c r="D384" s="600">
        <v>107992</v>
      </c>
      <c r="E384" s="601">
        <v>10</v>
      </c>
      <c r="F384" s="461">
        <v>5660828</v>
      </c>
      <c r="G384" s="487">
        <v>5726149</v>
      </c>
      <c r="H384" s="573"/>
      <c r="I384" s="487"/>
      <c r="J384" s="461"/>
      <c r="K384" s="487"/>
      <c r="L384" s="461">
        <v>2876525</v>
      </c>
      <c r="M384" s="573"/>
      <c r="N384" s="456">
        <f t="shared" si="49"/>
        <v>2876525</v>
      </c>
      <c r="O384" s="487">
        <v>3542678</v>
      </c>
      <c r="P384" s="487"/>
      <c r="Q384" s="274">
        <f t="shared" si="44"/>
        <v>3542678</v>
      </c>
      <c r="R384" s="574">
        <f t="shared" si="45"/>
        <v>8537353</v>
      </c>
      <c r="S384" s="275">
        <f t="shared" si="46"/>
        <v>9268827</v>
      </c>
      <c r="T384" s="575"/>
      <c r="U384" s="487"/>
      <c r="V384" s="576"/>
      <c r="W384" s="573"/>
      <c r="X384" s="574">
        <f t="shared" si="50"/>
        <v>0</v>
      </c>
      <c r="Y384" s="487"/>
      <c r="Z384" s="487"/>
      <c r="AA384" s="276">
        <f t="shared" si="51"/>
        <v>0</v>
      </c>
      <c r="AB384" s="573"/>
      <c r="AC384" s="487"/>
      <c r="AD384" s="573"/>
      <c r="AE384" s="487"/>
      <c r="AF384" s="577">
        <f t="shared" si="47"/>
        <v>8537353</v>
      </c>
      <c r="AG384" s="275">
        <f t="shared" si="48"/>
        <v>9268827</v>
      </c>
    </row>
    <row r="385" spans="1:33" ht="12" customHeight="1">
      <c r="A385" s="603" t="s">
        <v>1271</v>
      </c>
      <c r="B385" s="598" t="s">
        <v>1778</v>
      </c>
      <c r="C385" s="605" t="s">
        <v>1862</v>
      </c>
      <c r="D385" s="600">
        <v>107992</v>
      </c>
      <c r="E385" s="601">
        <v>10</v>
      </c>
      <c r="F385" s="461"/>
      <c r="G385" s="487"/>
      <c r="H385" s="461">
        <f>401560+1860189</f>
        <v>2261749</v>
      </c>
      <c r="I385" s="1209">
        <f>400027+1692268</f>
        <v>2092295</v>
      </c>
      <c r="J385" s="461"/>
      <c r="K385" s="487"/>
      <c r="L385" s="461">
        <f>140005+219763</f>
        <v>359768</v>
      </c>
      <c r="M385" s="573"/>
      <c r="N385" s="456">
        <f t="shared" si="49"/>
        <v>359768</v>
      </c>
      <c r="O385" s="487">
        <f>102000+308480</f>
        <v>410480</v>
      </c>
      <c r="P385" s="487"/>
      <c r="Q385" s="274">
        <f t="shared" si="44"/>
        <v>410480</v>
      </c>
      <c r="R385" s="574">
        <f t="shared" si="45"/>
        <v>2621517</v>
      </c>
      <c r="S385" s="275">
        <f t="shared" si="46"/>
        <v>2502775</v>
      </c>
      <c r="T385" s="575"/>
      <c r="U385" s="487"/>
      <c r="V385" s="576"/>
      <c r="W385" s="573"/>
      <c r="X385" s="574">
        <f t="shared" si="50"/>
        <v>0</v>
      </c>
      <c r="Y385" s="487"/>
      <c r="Z385" s="487"/>
      <c r="AA385" s="276">
        <f t="shared" si="51"/>
        <v>0</v>
      </c>
      <c r="AB385" s="573"/>
      <c r="AC385" s="487"/>
      <c r="AD385" s="573"/>
      <c r="AE385" s="487"/>
      <c r="AF385" s="577">
        <f t="shared" si="47"/>
        <v>2621517</v>
      </c>
      <c r="AG385" s="275">
        <f t="shared" si="48"/>
        <v>2502775</v>
      </c>
    </row>
    <row r="386" spans="1:33" ht="12" customHeight="1">
      <c r="A386" s="603" t="s">
        <v>1271</v>
      </c>
      <c r="B386" s="598" t="s">
        <v>1776</v>
      </c>
      <c r="C386" s="599" t="s">
        <v>1863</v>
      </c>
      <c r="D386" s="600">
        <v>106999</v>
      </c>
      <c r="E386" s="601">
        <v>10</v>
      </c>
      <c r="F386" s="461">
        <v>4677973</v>
      </c>
      <c r="G386" s="487">
        <v>4662438</v>
      </c>
      <c r="H386" s="573"/>
      <c r="I386" s="487"/>
      <c r="J386" s="461">
        <v>1166200</v>
      </c>
      <c r="K386" s="487">
        <v>1150000</v>
      </c>
      <c r="L386" s="461">
        <v>2606272</v>
      </c>
      <c r="M386" s="573"/>
      <c r="N386" s="456">
        <f t="shared" si="49"/>
        <v>2606272</v>
      </c>
      <c r="O386" s="487">
        <v>2892065</v>
      </c>
      <c r="P386" s="487"/>
      <c r="Q386" s="274">
        <f t="shared" si="44"/>
        <v>2892065</v>
      </c>
      <c r="R386" s="574">
        <f t="shared" si="45"/>
        <v>8450445</v>
      </c>
      <c r="S386" s="275">
        <f t="shared" si="46"/>
        <v>8704503</v>
      </c>
      <c r="T386" s="575"/>
      <c r="U386" s="487"/>
      <c r="V386" s="576"/>
      <c r="W386" s="573"/>
      <c r="X386" s="574">
        <f t="shared" si="50"/>
        <v>0</v>
      </c>
      <c r="Y386" s="487"/>
      <c r="Z386" s="487"/>
      <c r="AA386" s="276">
        <f t="shared" si="51"/>
        <v>0</v>
      </c>
      <c r="AB386" s="573"/>
      <c r="AC386" s="487"/>
      <c r="AD386" s="573"/>
      <c r="AE386" s="487"/>
      <c r="AF386" s="577">
        <f t="shared" si="47"/>
        <v>8450445</v>
      </c>
      <c r="AG386" s="275">
        <f t="shared" si="48"/>
        <v>8704503</v>
      </c>
    </row>
    <row r="387" spans="1:33" ht="12" customHeight="1">
      <c r="A387" s="603" t="s">
        <v>1271</v>
      </c>
      <c r="B387" s="598" t="s">
        <v>1776</v>
      </c>
      <c r="C387" s="599" t="s">
        <v>1864</v>
      </c>
      <c r="D387" s="600">
        <v>107725</v>
      </c>
      <c r="E387" s="601">
        <v>10</v>
      </c>
      <c r="F387" s="461">
        <v>6199311</v>
      </c>
      <c r="G387" s="487">
        <v>6069330</v>
      </c>
      <c r="H387" s="573"/>
      <c r="I387" s="487"/>
      <c r="J387" s="461">
        <v>350000</v>
      </c>
      <c r="K387" s="487">
        <v>350000</v>
      </c>
      <c r="L387" s="461">
        <v>1909987</v>
      </c>
      <c r="M387" s="573"/>
      <c r="N387" s="456">
        <f t="shared" si="49"/>
        <v>1909987</v>
      </c>
      <c r="O387" s="487">
        <v>1819733</v>
      </c>
      <c r="P387" s="487"/>
      <c r="Q387" s="274">
        <f t="shared" si="44"/>
        <v>1819733</v>
      </c>
      <c r="R387" s="574">
        <f t="shared" si="45"/>
        <v>8459298</v>
      </c>
      <c r="S387" s="275">
        <f t="shared" si="46"/>
        <v>8239063</v>
      </c>
      <c r="T387" s="575"/>
      <c r="U387" s="487"/>
      <c r="V387" s="576"/>
      <c r="W387" s="573"/>
      <c r="X387" s="574">
        <f t="shared" si="50"/>
        <v>0</v>
      </c>
      <c r="Y387" s="487"/>
      <c r="Z387" s="487"/>
      <c r="AA387" s="276">
        <f t="shared" si="51"/>
        <v>0</v>
      </c>
      <c r="AB387" s="573"/>
      <c r="AC387" s="487"/>
      <c r="AD387" s="573"/>
      <c r="AE387" s="487"/>
      <c r="AF387" s="577">
        <f t="shared" si="47"/>
        <v>8459298</v>
      </c>
      <c r="AG387" s="275">
        <f t="shared" si="48"/>
        <v>8239063</v>
      </c>
    </row>
    <row r="388" spans="1:33" ht="12" customHeight="1">
      <c r="A388" s="603" t="s">
        <v>1271</v>
      </c>
      <c r="B388" s="598" t="s">
        <v>1776</v>
      </c>
      <c r="C388" s="599" t="s">
        <v>1865</v>
      </c>
      <c r="D388" s="600">
        <v>107585</v>
      </c>
      <c r="E388" s="601">
        <v>10</v>
      </c>
      <c r="F388" s="461">
        <v>5700883</v>
      </c>
      <c r="G388" s="487">
        <v>5717163</v>
      </c>
      <c r="H388" s="573"/>
      <c r="I388" s="487"/>
      <c r="J388" s="461">
        <v>770352</v>
      </c>
      <c r="K388" s="487">
        <v>770000</v>
      </c>
      <c r="L388" s="461">
        <v>3791763</v>
      </c>
      <c r="M388" s="573"/>
      <c r="N388" s="456">
        <f t="shared" si="49"/>
        <v>3791763</v>
      </c>
      <c r="O388" s="487">
        <v>3825700</v>
      </c>
      <c r="P388" s="487"/>
      <c r="Q388" s="274">
        <f t="shared" si="44"/>
        <v>3825700</v>
      </c>
      <c r="R388" s="574">
        <f t="shared" si="45"/>
        <v>10262998</v>
      </c>
      <c r="S388" s="275">
        <f t="shared" si="46"/>
        <v>10312863</v>
      </c>
      <c r="T388" s="575"/>
      <c r="U388" s="487"/>
      <c r="V388" s="576"/>
      <c r="W388" s="573"/>
      <c r="X388" s="574">
        <f t="shared" si="50"/>
        <v>0</v>
      </c>
      <c r="Y388" s="487"/>
      <c r="Z388" s="487"/>
      <c r="AA388" s="276">
        <f t="shared" si="51"/>
        <v>0</v>
      </c>
      <c r="AB388" s="573"/>
      <c r="AC388" s="487"/>
      <c r="AD388" s="573"/>
      <c r="AE388" s="487"/>
      <c r="AF388" s="577">
        <f t="shared" si="47"/>
        <v>10262998</v>
      </c>
      <c r="AG388" s="275">
        <f t="shared" si="48"/>
        <v>10312863</v>
      </c>
    </row>
    <row r="389" spans="1:33" ht="12" customHeight="1">
      <c r="A389" s="603" t="s">
        <v>1271</v>
      </c>
      <c r="B389" s="598" t="s">
        <v>1819</v>
      </c>
      <c r="C389" s="599" t="s">
        <v>1866</v>
      </c>
      <c r="D389" s="600">
        <v>106263</v>
      </c>
      <c r="E389" s="601">
        <v>15</v>
      </c>
      <c r="F389" s="573"/>
      <c r="G389" s="487"/>
      <c r="H389" s="573"/>
      <c r="I389" s="487"/>
      <c r="J389" s="573"/>
      <c r="K389" s="487"/>
      <c r="L389" s="573"/>
      <c r="M389" s="573"/>
      <c r="N389" s="456">
        <f t="shared" si="49"/>
        <v>0</v>
      </c>
      <c r="O389" s="487"/>
      <c r="P389" s="487"/>
      <c r="Q389" s="274">
        <f t="shared" si="44"/>
        <v>0</v>
      </c>
      <c r="R389" s="574">
        <f t="shared" si="45"/>
        <v>0</v>
      </c>
      <c r="S389" s="275">
        <f t="shared" si="46"/>
        <v>0</v>
      </c>
      <c r="T389" s="575"/>
      <c r="U389" s="487"/>
      <c r="V389" s="576"/>
      <c r="W389" s="573"/>
      <c r="X389" s="574">
        <f t="shared" si="50"/>
        <v>0</v>
      </c>
      <c r="Y389" s="487"/>
      <c r="Z389" s="487"/>
      <c r="AA389" s="276">
        <f t="shared" si="51"/>
        <v>0</v>
      </c>
      <c r="AB389" s="461">
        <v>104006516</v>
      </c>
      <c r="AC389" s="487">
        <v>102272246</v>
      </c>
      <c r="AD389" s="461">
        <v>18677967</v>
      </c>
      <c r="AE389" s="487">
        <v>23046000</v>
      </c>
      <c r="AF389" s="577">
        <f t="shared" si="47"/>
        <v>122684483</v>
      </c>
      <c r="AG389" s="275">
        <f t="shared" si="48"/>
        <v>125318246</v>
      </c>
    </row>
    <row r="390" spans="1:33" ht="12" customHeight="1">
      <c r="A390" s="603" t="s">
        <v>1271</v>
      </c>
      <c r="B390" s="598" t="s">
        <v>1821</v>
      </c>
      <c r="C390" s="294" t="s">
        <v>1867</v>
      </c>
      <c r="D390" s="606"/>
      <c r="E390" s="607"/>
      <c r="F390" s="573"/>
      <c r="G390" s="487"/>
      <c r="H390" s="573"/>
      <c r="I390" s="487"/>
      <c r="J390" s="573"/>
      <c r="K390" s="487"/>
      <c r="L390" s="573"/>
      <c r="M390" s="573"/>
      <c r="N390" s="456">
        <f t="shared" si="49"/>
        <v>0</v>
      </c>
      <c r="O390" s="487"/>
      <c r="P390" s="487"/>
      <c r="Q390" s="274">
        <f t="shared" si="44"/>
        <v>0</v>
      </c>
      <c r="R390" s="574">
        <f t="shared" si="45"/>
        <v>0</v>
      </c>
      <c r="S390" s="275">
        <f t="shared" si="46"/>
        <v>0</v>
      </c>
      <c r="T390" s="575"/>
      <c r="U390" s="487"/>
      <c r="V390" s="576"/>
      <c r="W390" s="573"/>
      <c r="X390" s="574">
        <f t="shared" si="50"/>
        <v>0</v>
      </c>
      <c r="Y390" s="487"/>
      <c r="Z390" s="487"/>
      <c r="AA390" s="276">
        <f t="shared" si="51"/>
        <v>0</v>
      </c>
      <c r="AB390" s="573"/>
      <c r="AC390" s="487"/>
      <c r="AD390" s="573"/>
      <c r="AE390" s="487"/>
      <c r="AF390" s="577">
        <f t="shared" si="47"/>
        <v>0</v>
      </c>
      <c r="AG390" s="275">
        <f t="shared" si="48"/>
        <v>0</v>
      </c>
    </row>
    <row r="391" spans="1:33" ht="12" customHeight="1">
      <c r="A391" s="603" t="s">
        <v>1271</v>
      </c>
      <c r="B391" s="598" t="s">
        <v>1821</v>
      </c>
      <c r="C391" s="608" t="s">
        <v>1868</v>
      </c>
      <c r="D391" s="606"/>
      <c r="E391" s="607"/>
      <c r="F391" s="573"/>
      <c r="G391" s="487"/>
      <c r="H391" s="573">
        <v>75000</v>
      </c>
      <c r="I391" s="487">
        <v>75000</v>
      </c>
      <c r="J391" s="573"/>
      <c r="K391" s="487"/>
      <c r="L391" s="573"/>
      <c r="M391" s="573"/>
      <c r="N391" s="456">
        <f t="shared" si="49"/>
        <v>0</v>
      </c>
      <c r="O391" s="487"/>
      <c r="P391" s="487"/>
      <c r="Q391" s="274">
        <f t="shared" si="44"/>
        <v>0</v>
      </c>
      <c r="R391" s="574">
        <f t="shared" si="45"/>
        <v>75000</v>
      </c>
      <c r="S391" s="275">
        <f t="shared" si="46"/>
        <v>75000</v>
      </c>
      <c r="T391" s="575"/>
      <c r="U391" s="487"/>
      <c r="V391" s="576"/>
      <c r="W391" s="573"/>
      <c r="X391" s="574">
        <f t="shared" si="50"/>
        <v>0</v>
      </c>
      <c r="Y391" s="487"/>
      <c r="Z391" s="487"/>
      <c r="AA391" s="276">
        <f t="shared" si="51"/>
        <v>0</v>
      </c>
      <c r="AB391" s="573"/>
      <c r="AC391" s="487"/>
      <c r="AD391" s="573"/>
      <c r="AE391" s="487"/>
      <c r="AF391" s="577">
        <f t="shared" si="47"/>
        <v>75000</v>
      </c>
      <c r="AG391" s="275">
        <f t="shared" si="48"/>
        <v>75000</v>
      </c>
    </row>
    <row r="392" spans="1:33" ht="12" customHeight="1">
      <c r="A392" s="603" t="s">
        <v>1271</v>
      </c>
      <c r="B392" s="598" t="s">
        <v>1821</v>
      </c>
      <c r="C392" s="608" t="s">
        <v>1869</v>
      </c>
      <c r="D392" s="606"/>
      <c r="E392" s="607"/>
      <c r="F392" s="573"/>
      <c r="G392" s="487"/>
      <c r="H392" s="573">
        <v>350000</v>
      </c>
      <c r="I392" s="487">
        <v>350000</v>
      </c>
      <c r="J392" s="573"/>
      <c r="K392" s="487"/>
      <c r="L392" s="573"/>
      <c r="M392" s="573"/>
      <c r="N392" s="456">
        <f t="shared" si="49"/>
        <v>0</v>
      </c>
      <c r="O392" s="487"/>
      <c r="P392" s="487"/>
      <c r="Q392" s="274">
        <f t="shared" si="44"/>
        <v>0</v>
      </c>
      <c r="R392" s="574">
        <f t="shared" si="45"/>
        <v>350000</v>
      </c>
      <c r="S392" s="275">
        <f t="shared" si="46"/>
        <v>350000</v>
      </c>
      <c r="T392" s="575"/>
      <c r="U392" s="487"/>
      <c r="V392" s="576"/>
      <c r="W392" s="573"/>
      <c r="X392" s="574">
        <f t="shared" si="50"/>
        <v>0</v>
      </c>
      <c r="Y392" s="487"/>
      <c r="Z392" s="487"/>
      <c r="AA392" s="276">
        <f t="shared" si="51"/>
        <v>0</v>
      </c>
      <c r="AB392" s="573"/>
      <c r="AC392" s="487"/>
      <c r="AD392" s="573"/>
      <c r="AE392" s="487"/>
      <c r="AF392" s="577">
        <f t="shared" si="47"/>
        <v>350000</v>
      </c>
      <c r="AG392" s="275">
        <f t="shared" si="48"/>
        <v>350000</v>
      </c>
    </row>
    <row r="393" spans="1:33" ht="12" customHeight="1">
      <c r="A393" s="603" t="s">
        <v>1271</v>
      </c>
      <c r="B393" s="598" t="s">
        <v>1794</v>
      </c>
      <c r="C393" s="294" t="s">
        <v>849</v>
      </c>
      <c r="D393" s="606"/>
      <c r="E393" s="607"/>
      <c r="F393" s="573"/>
      <c r="G393" s="487"/>
      <c r="H393" s="573"/>
      <c r="I393" s="487"/>
      <c r="J393" s="573"/>
      <c r="K393" s="487"/>
      <c r="L393" s="573"/>
      <c r="M393" s="573"/>
      <c r="N393" s="456">
        <f t="shared" si="49"/>
        <v>0</v>
      </c>
      <c r="O393" s="487"/>
      <c r="P393" s="487"/>
      <c r="Q393" s="274">
        <f t="shared" si="44"/>
        <v>0</v>
      </c>
      <c r="R393" s="574">
        <f t="shared" si="45"/>
        <v>0</v>
      </c>
      <c r="S393" s="275">
        <f t="shared" si="46"/>
        <v>0</v>
      </c>
      <c r="T393" s="575"/>
      <c r="U393" s="487"/>
      <c r="V393" s="576"/>
      <c r="W393" s="573"/>
      <c r="X393" s="574">
        <f t="shared" si="50"/>
        <v>0</v>
      </c>
      <c r="Y393" s="487"/>
      <c r="Z393" s="487"/>
      <c r="AA393" s="276">
        <f t="shared" si="51"/>
        <v>0</v>
      </c>
      <c r="AB393" s="573"/>
      <c r="AC393" s="487"/>
      <c r="AD393" s="573"/>
      <c r="AE393" s="487"/>
      <c r="AF393" s="577">
        <f t="shared" si="47"/>
        <v>0</v>
      </c>
      <c r="AG393" s="275">
        <f t="shared" si="48"/>
        <v>0</v>
      </c>
    </row>
    <row r="394" spans="1:33" ht="12" customHeight="1">
      <c r="A394" s="603" t="s">
        <v>1271</v>
      </c>
      <c r="B394" s="598" t="s">
        <v>1795</v>
      </c>
      <c r="C394" s="293" t="s">
        <v>957</v>
      </c>
      <c r="D394" s="606"/>
      <c r="E394" s="607"/>
      <c r="F394" s="573"/>
      <c r="G394" s="487"/>
      <c r="H394" s="573"/>
      <c r="I394" s="487"/>
      <c r="J394" s="573"/>
      <c r="K394" s="487"/>
      <c r="L394" s="573"/>
      <c r="M394" s="573"/>
      <c r="N394" s="456">
        <f t="shared" si="49"/>
        <v>0</v>
      </c>
      <c r="O394" s="487"/>
      <c r="P394" s="487"/>
      <c r="Q394" s="274">
        <f t="shared" ref="Q394:Q457" si="52">SUM(O394:P394)</f>
        <v>0</v>
      </c>
      <c r="R394" s="574">
        <f t="shared" ref="R394:R457" si="53">SUM(F394,H394,J394,L394)</f>
        <v>0</v>
      </c>
      <c r="S394" s="275">
        <f t="shared" ref="S394:S457" si="54">SUM(G394,I394,K394,O394)</f>
        <v>0</v>
      </c>
      <c r="T394" s="575"/>
      <c r="U394" s="487"/>
      <c r="V394" s="576"/>
      <c r="W394" s="573"/>
      <c r="X394" s="574">
        <f t="shared" si="50"/>
        <v>0</v>
      </c>
      <c r="Y394" s="487"/>
      <c r="Z394" s="487"/>
      <c r="AA394" s="276">
        <f t="shared" si="51"/>
        <v>0</v>
      </c>
      <c r="AB394" s="573"/>
      <c r="AC394" s="487"/>
      <c r="AD394" s="573"/>
      <c r="AE394" s="487"/>
      <c r="AF394" s="577">
        <f t="shared" ref="AF394:AF457" si="55">SUM(R394,T394,V394,AB394,AD394)</f>
        <v>0</v>
      </c>
      <c r="AG394" s="275">
        <f t="shared" ref="AG394:AG457" si="56">SUM(S394,U394,Y394,AC394,AE394)</f>
        <v>0</v>
      </c>
    </row>
    <row r="395" spans="1:33" ht="12" customHeight="1">
      <c r="A395" s="603" t="s">
        <v>1271</v>
      </c>
      <c r="B395" s="598" t="s">
        <v>1795</v>
      </c>
      <c r="C395" s="608" t="s">
        <v>1870</v>
      </c>
      <c r="D395" s="606"/>
      <c r="E395" s="607"/>
      <c r="F395" s="573"/>
      <c r="G395" s="487"/>
      <c r="H395" s="573"/>
      <c r="I395" s="487"/>
      <c r="J395" s="573"/>
      <c r="K395" s="487"/>
      <c r="L395" s="573"/>
      <c r="M395" s="573"/>
      <c r="N395" s="456">
        <f t="shared" si="49"/>
        <v>0</v>
      </c>
      <c r="O395" s="487"/>
      <c r="P395" s="487"/>
      <c r="Q395" s="274">
        <f t="shared" si="52"/>
        <v>0</v>
      </c>
      <c r="R395" s="574">
        <f t="shared" si="53"/>
        <v>0</v>
      </c>
      <c r="S395" s="275">
        <f t="shared" si="54"/>
        <v>0</v>
      </c>
      <c r="T395" s="575">
        <f>3475218-75000+4380+570303</f>
        <v>3974901</v>
      </c>
      <c r="U395" s="487">
        <f>3533204-75000+4380+570303</f>
        <v>4032887</v>
      </c>
      <c r="V395" s="576"/>
      <c r="W395" s="573"/>
      <c r="X395" s="574">
        <f t="shared" si="50"/>
        <v>0</v>
      </c>
      <c r="Y395" s="487"/>
      <c r="Z395" s="487"/>
      <c r="AA395" s="276">
        <f t="shared" si="51"/>
        <v>0</v>
      </c>
      <c r="AB395" s="573"/>
      <c r="AC395" s="487"/>
      <c r="AD395" s="573"/>
      <c r="AE395" s="487"/>
      <c r="AF395" s="577">
        <f t="shared" si="55"/>
        <v>3974901</v>
      </c>
      <c r="AG395" s="275">
        <f t="shared" si="56"/>
        <v>4032887</v>
      </c>
    </row>
    <row r="396" spans="1:33" ht="12" customHeight="1">
      <c r="A396" s="603" t="s">
        <v>1271</v>
      </c>
      <c r="B396" s="598" t="s">
        <v>1795</v>
      </c>
      <c r="C396" s="608" t="s">
        <v>1871</v>
      </c>
      <c r="D396" s="606"/>
      <c r="E396" s="607"/>
      <c r="F396" s="573"/>
      <c r="G396" s="487"/>
      <c r="H396" s="573"/>
      <c r="I396" s="487"/>
      <c r="J396" s="573"/>
      <c r="K396" s="487"/>
      <c r="L396" s="573"/>
      <c r="M396" s="573"/>
      <c r="N396" s="456">
        <f t="shared" si="49"/>
        <v>0</v>
      </c>
      <c r="O396" s="487"/>
      <c r="P396" s="487"/>
      <c r="Q396" s="274">
        <f t="shared" si="52"/>
        <v>0</v>
      </c>
      <c r="R396" s="574">
        <f t="shared" si="53"/>
        <v>0</v>
      </c>
      <c r="S396" s="275">
        <f t="shared" si="54"/>
        <v>0</v>
      </c>
      <c r="T396" s="462">
        <v>3734941</v>
      </c>
      <c r="U396" s="487">
        <v>3598573</v>
      </c>
      <c r="V396" s="576"/>
      <c r="W396" s="573"/>
      <c r="X396" s="574">
        <f t="shared" si="50"/>
        <v>0</v>
      </c>
      <c r="Y396" s="487"/>
      <c r="Z396" s="487"/>
      <c r="AA396" s="276">
        <f t="shared" si="51"/>
        <v>0</v>
      </c>
      <c r="AB396" s="573"/>
      <c r="AC396" s="487"/>
      <c r="AD396" s="573"/>
      <c r="AE396" s="487"/>
      <c r="AF396" s="577">
        <f t="shared" si="55"/>
        <v>3734941</v>
      </c>
      <c r="AG396" s="275">
        <f t="shared" si="56"/>
        <v>3598573</v>
      </c>
    </row>
    <row r="397" spans="1:33" ht="12" customHeight="1">
      <c r="A397" s="603" t="s">
        <v>1271</v>
      </c>
      <c r="B397" s="598" t="s">
        <v>1795</v>
      </c>
      <c r="C397" s="608" t="s">
        <v>1872</v>
      </c>
      <c r="D397" s="606"/>
      <c r="E397" s="607"/>
      <c r="F397" s="573"/>
      <c r="G397" s="487"/>
      <c r="H397" s="573"/>
      <c r="I397" s="487"/>
      <c r="J397" s="573"/>
      <c r="K397" s="487"/>
      <c r="L397" s="573"/>
      <c r="M397" s="573"/>
      <c r="N397" s="456">
        <f t="shared" si="49"/>
        <v>0</v>
      </c>
      <c r="O397" s="487"/>
      <c r="P397" s="487"/>
      <c r="Q397" s="274">
        <f t="shared" si="52"/>
        <v>0</v>
      </c>
      <c r="R397" s="574">
        <f t="shared" si="53"/>
        <v>0</v>
      </c>
      <c r="S397" s="275">
        <f t="shared" si="54"/>
        <v>0</v>
      </c>
      <c r="T397" s="462">
        <v>2399160</v>
      </c>
      <c r="U397" s="487">
        <v>2327652</v>
      </c>
      <c r="V397" s="576"/>
      <c r="W397" s="573"/>
      <c r="X397" s="574">
        <f t="shared" si="50"/>
        <v>0</v>
      </c>
      <c r="Y397" s="487"/>
      <c r="Z397" s="487"/>
      <c r="AA397" s="276">
        <f t="shared" si="51"/>
        <v>0</v>
      </c>
      <c r="AB397" s="573"/>
      <c r="AC397" s="487"/>
      <c r="AD397" s="573"/>
      <c r="AE397" s="487"/>
      <c r="AF397" s="577">
        <f t="shared" si="55"/>
        <v>2399160</v>
      </c>
      <c r="AG397" s="275">
        <f t="shared" si="56"/>
        <v>2327652</v>
      </c>
    </row>
    <row r="398" spans="1:33" ht="12" customHeight="1">
      <c r="A398" s="603" t="s">
        <v>1271</v>
      </c>
      <c r="B398" s="598" t="s">
        <v>1797</v>
      </c>
      <c r="C398" s="293" t="s">
        <v>955</v>
      </c>
      <c r="D398" s="606"/>
      <c r="E398" s="607"/>
      <c r="F398" s="573"/>
      <c r="G398" s="487"/>
      <c r="H398" s="573"/>
      <c r="I398" s="487"/>
      <c r="J398" s="573"/>
      <c r="K398" s="487"/>
      <c r="L398" s="573"/>
      <c r="M398" s="573"/>
      <c r="N398" s="456">
        <f t="shared" si="49"/>
        <v>0</v>
      </c>
      <c r="O398" s="487"/>
      <c r="P398" s="487"/>
      <c r="Q398" s="274">
        <f t="shared" si="52"/>
        <v>0</v>
      </c>
      <c r="R398" s="574">
        <f t="shared" si="53"/>
        <v>0</v>
      </c>
      <c r="S398" s="275">
        <f t="shared" si="54"/>
        <v>0</v>
      </c>
      <c r="T398" s="575"/>
      <c r="U398" s="487"/>
      <c r="V398" s="576"/>
      <c r="W398" s="573"/>
      <c r="X398" s="574">
        <f t="shared" si="50"/>
        <v>0</v>
      </c>
      <c r="Y398" s="487"/>
      <c r="Z398" s="487"/>
      <c r="AA398" s="276">
        <f t="shared" si="51"/>
        <v>0</v>
      </c>
      <c r="AB398" s="573"/>
      <c r="AC398" s="487"/>
      <c r="AD398" s="573"/>
      <c r="AE398" s="487"/>
      <c r="AF398" s="577">
        <f t="shared" si="55"/>
        <v>0</v>
      </c>
      <c r="AG398" s="275">
        <f t="shared" si="56"/>
        <v>0</v>
      </c>
    </row>
    <row r="399" spans="1:33" ht="12" customHeight="1">
      <c r="A399" s="603" t="s">
        <v>1271</v>
      </c>
      <c r="B399" s="598" t="s">
        <v>1797</v>
      </c>
      <c r="C399" s="608" t="s">
        <v>1873</v>
      </c>
      <c r="D399" s="606"/>
      <c r="E399" s="607"/>
      <c r="F399" s="573"/>
      <c r="G399" s="487"/>
      <c r="H399" s="573"/>
      <c r="I399" s="487"/>
      <c r="J399" s="573"/>
      <c r="K399" s="487"/>
      <c r="L399" s="573"/>
      <c r="M399" s="573"/>
      <c r="N399" s="456">
        <f t="shared" si="49"/>
        <v>0</v>
      </c>
      <c r="O399" s="487"/>
      <c r="P399" s="487"/>
      <c r="Q399" s="274">
        <f t="shared" si="52"/>
        <v>0</v>
      </c>
      <c r="R399" s="574">
        <f t="shared" si="53"/>
        <v>0</v>
      </c>
      <c r="S399" s="275">
        <f t="shared" si="54"/>
        <v>0</v>
      </c>
      <c r="T399" s="575"/>
      <c r="U399" s="487"/>
      <c r="V399" s="576"/>
      <c r="W399" s="573"/>
      <c r="X399" s="574">
        <f t="shared" si="50"/>
        <v>0</v>
      </c>
      <c r="Y399" s="487"/>
      <c r="Z399" s="487"/>
      <c r="AA399" s="276">
        <f t="shared" si="51"/>
        <v>0</v>
      </c>
      <c r="AB399" s="573"/>
      <c r="AC399" s="487"/>
      <c r="AD399" s="573"/>
      <c r="AE399" s="487"/>
      <c r="AF399" s="577">
        <f t="shared" si="55"/>
        <v>0</v>
      </c>
      <c r="AG399" s="275">
        <f t="shared" si="56"/>
        <v>0</v>
      </c>
    </row>
    <row r="400" spans="1:33" ht="12" customHeight="1">
      <c r="A400" s="603" t="s">
        <v>1271</v>
      </c>
      <c r="B400" s="598" t="s">
        <v>1798</v>
      </c>
      <c r="C400" s="295" t="s">
        <v>1606</v>
      </c>
      <c r="D400" s="606"/>
      <c r="E400" s="607"/>
      <c r="F400" s="573"/>
      <c r="G400" s="487"/>
      <c r="H400" s="573"/>
      <c r="I400" s="487"/>
      <c r="J400" s="573"/>
      <c r="K400" s="487"/>
      <c r="L400" s="573"/>
      <c r="M400" s="573"/>
      <c r="N400" s="456">
        <f t="shared" si="49"/>
        <v>0</v>
      </c>
      <c r="O400" s="487"/>
      <c r="P400" s="487"/>
      <c r="Q400" s="274">
        <f t="shared" si="52"/>
        <v>0</v>
      </c>
      <c r="R400" s="574">
        <f t="shared" si="53"/>
        <v>0</v>
      </c>
      <c r="S400" s="275">
        <f t="shared" si="54"/>
        <v>0</v>
      </c>
      <c r="T400" s="575"/>
      <c r="U400" s="487"/>
      <c r="V400" s="576"/>
      <c r="W400" s="573"/>
      <c r="X400" s="574">
        <f t="shared" si="50"/>
        <v>0</v>
      </c>
      <c r="Y400" s="487"/>
      <c r="Z400" s="487"/>
      <c r="AA400" s="276">
        <f t="shared" si="51"/>
        <v>0</v>
      </c>
      <c r="AB400" s="573"/>
      <c r="AC400" s="487"/>
      <c r="AD400" s="573"/>
      <c r="AE400" s="487"/>
      <c r="AF400" s="577">
        <f t="shared" si="55"/>
        <v>0</v>
      </c>
      <c r="AG400" s="275">
        <f t="shared" si="56"/>
        <v>0</v>
      </c>
    </row>
    <row r="401" spans="1:33" ht="12" customHeight="1">
      <c r="A401" s="603" t="s">
        <v>1271</v>
      </c>
      <c r="B401" s="598" t="s">
        <v>1799</v>
      </c>
      <c r="C401" s="294" t="s">
        <v>853</v>
      </c>
      <c r="D401" s="606"/>
      <c r="E401" s="607"/>
      <c r="F401" s="573"/>
      <c r="G401" s="487"/>
      <c r="H401" s="573"/>
      <c r="I401" s="487"/>
      <c r="J401" s="573"/>
      <c r="K401" s="487"/>
      <c r="L401" s="573"/>
      <c r="M401" s="573"/>
      <c r="N401" s="456">
        <f t="shared" si="49"/>
        <v>0</v>
      </c>
      <c r="O401" s="487"/>
      <c r="P401" s="487"/>
      <c r="Q401" s="274">
        <f t="shared" si="52"/>
        <v>0</v>
      </c>
      <c r="R401" s="574">
        <f t="shared" si="53"/>
        <v>0</v>
      </c>
      <c r="S401" s="275">
        <f t="shared" si="54"/>
        <v>0</v>
      </c>
      <c r="T401" s="575"/>
      <c r="U401" s="487"/>
      <c r="V401" s="576"/>
      <c r="W401" s="573"/>
      <c r="X401" s="574">
        <f t="shared" si="50"/>
        <v>0</v>
      </c>
      <c r="Y401" s="487"/>
      <c r="Z401" s="487"/>
      <c r="AA401" s="276">
        <f t="shared" si="51"/>
        <v>0</v>
      </c>
      <c r="AB401" s="573"/>
      <c r="AC401" s="487"/>
      <c r="AD401" s="573"/>
      <c r="AE401" s="487"/>
      <c r="AF401" s="577">
        <f t="shared" si="55"/>
        <v>0</v>
      </c>
      <c r="AG401" s="275">
        <f t="shared" si="56"/>
        <v>0</v>
      </c>
    </row>
    <row r="402" spans="1:33" ht="12" customHeight="1">
      <c r="A402" s="603" t="s">
        <v>1271</v>
      </c>
      <c r="B402" s="598" t="s">
        <v>1800</v>
      </c>
      <c r="C402" s="294" t="s">
        <v>858</v>
      </c>
      <c r="D402" s="606"/>
      <c r="E402" s="607"/>
      <c r="F402" s="573"/>
      <c r="G402" s="487"/>
      <c r="H402" s="573"/>
      <c r="I402" s="487"/>
      <c r="J402" s="573"/>
      <c r="K402" s="487"/>
      <c r="L402" s="573"/>
      <c r="M402" s="573"/>
      <c r="N402" s="456">
        <f t="shared" si="49"/>
        <v>0</v>
      </c>
      <c r="O402" s="487"/>
      <c r="P402" s="487"/>
      <c r="Q402" s="274">
        <f t="shared" si="52"/>
        <v>0</v>
      </c>
      <c r="R402" s="574">
        <f t="shared" si="53"/>
        <v>0</v>
      </c>
      <c r="S402" s="275">
        <f t="shared" si="54"/>
        <v>0</v>
      </c>
      <c r="T402" s="575"/>
      <c r="U402" s="487"/>
      <c r="V402" s="576"/>
      <c r="W402" s="573"/>
      <c r="X402" s="574">
        <f t="shared" si="50"/>
        <v>0</v>
      </c>
      <c r="Y402" s="487"/>
      <c r="Z402" s="487"/>
      <c r="AA402" s="276">
        <f t="shared" si="51"/>
        <v>0</v>
      </c>
      <c r="AB402" s="573"/>
      <c r="AC402" s="487"/>
      <c r="AD402" s="573"/>
      <c r="AE402" s="487"/>
      <c r="AF402" s="577">
        <f t="shared" si="55"/>
        <v>0</v>
      </c>
      <c r="AG402" s="275">
        <f t="shared" si="56"/>
        <v>0</v>
      </c>
    </row>
    <row r="403" spans="1:33" ht="12" customHeight="1">
      <c r="A403" s="603" t="s">
        <v>1271</v>
      </c>
      <c r="B403" s="598" t="s">
        <v>1801</v>
      </c>
      <c r="C403" s="293" t="s">
        <v>859</v>
      </c>
      <c r="D403" s="606"/>
      <c r="E403" s="607"/>
      <c r="F403" s="573"/>
      <c r="G403" s="487"/>
      <c r="H403" s="573"/>
      <c r="I403" s="487"/>
      <c r="J403" s="573"/>
      <c r="K403" s="487"/>
      <c r="L403" s="573"/>
      <c r="M403" s="573"/>
      <c r="N403" s="456">
        <f t="shared" ref="N403:N466" si="57">SUM(L403:M403)</f>
        <v>0</v>
      </c>
      <c r="O403" s="487"/>
      <c r="P403" s="487"/>
      <c r="Q403" s="274">
        <f t="shared" si="52"/>
        <v>0</v>
      </c>
      <c r="R403" s="574">
        <f t="shared" si="53"/>
        <v>0</v>
      </c>
      <c r="S403" s="275">
        <f t="shared" si="54"/>
        <v>0</v>
      </c>
      <c r="T403" s="575"/>
      <c r="U403" s="487"/>
      <c r="V403" s="576"/>
      <c r="W403" s="573"/>
      <c r="X403" s="574">
        <f t="shared" ref="X403:X466" si="58">SUM(V403:W403)</f>
        <v>0</v>
      </c>
      <c r="Y403" s="487"/>
      <c r="Z403" s="487"/>
      <c r="AA403" s="276">
        <f t="shared" ref="AA403:AA466" si="59">SUM(Y403:Z403)</f>
        <v>0</v>
      </c>
      <c r="AB403" s="573"/>
      <c r="AC403" s="487"/>
      <c r="AD403" s="573"/>
      <c r="AE403" s="487"/>
      <c r="AF403" s="577">
        <f t="shared" si="55"/>
        <v>0</v>
      </c>
      <c r="AG403" s="275">
        <f t="shared" si="56"/>
        <v>0</v>
      </c>
    </row>
    <row r="404" spans="1:33" ht="12" customHeight="1">
      <c r="A404" s="603" t="s">
        <v>1271</v>
      </c>
      <c r="B404" s="598" t="s">
        <v>1801</v>
      </c>
      <c r="C404" s="608" t="s">
        <v>702</v>
      </c>
      <c r="D404" s="606"/>
      <c r="E404" s="607"/>
      <c r="F404" s="573"/>
      <c r="G404" s="487"/>
      <c r="H404" s="573"/>
      <c r="I404" s="487"/>
      <c r="J404" s="573"/>
      <c r="K404" s="487"/>
      <c r="L404" s="573"/>
      <c r="M404" s="573"/>
      <c r="N404" s="456">
        <f t="shared" si="57"/>
        <v>0</v>
      </c>
      <c r="O404" s="487"/>
      <c r="P404" s="487"/>
      <c r="Q404" s="274">
        <f t="shared" si="52"/>
        <v>0</v>
      </c>
      <c r="R404" s="574">
        <f t="shared" si="53"/>
        <v>0</v>
      </c>
      <c r="S404" s="275">
        <f t="shared" si="54"/>
        <v>0</v>
      </c>
      <c r="T404" s="463">
        <v>0</v>
      </c>
      <c r="U404" s="464">
        <v>0</v>
      </c>
      <c r="V404" s="589"/>
      <c r="W404" s="573"/>
      <c r="X404" s="574">
        <f t="shared" si="58"/>
        <v>0</v>
      </c>
      <c r="Y404" s="487"/>
      <c r="Z404" s="487"/>
      <c r="AA404" s="276">
        <f t="shared" si="59"/>
        <v>0</v>
      </c>
      <c r="AB404" s="573"/>
      <c r="AC404" s="487"/>
      <c r="AD404" s="573"/>
      <c r="AE404" s="487"/>
      <c r="AF404" s="577">
        <f t="shared" si="55"/>
        <v>0</v>
      </c>
      <c r="AG404" s="275">
        <f t="shared" si="56"/>
        <v>0</v>
      </c>
    </row>
    <row r="405" spans="1:33" ht="12" customHeight="1">
      <c r="A405" s="603" t="s">
        <v>1271</v>
      </c>
      <c r="B405" s="598" t="s">
        <v>1801</v>
      </c>
      <c r="C405" s="608" t="s">
        <v>1874</v>
      </c>
      <c r="D405" s="606"/>
      <c r="E405" s="607"/>
      <c r="F405" s="573"/>
      <c r="G405" s="487"/>
      <c r="H405" s="573"/>
      <c r="I405" s="487"/>
      <c r="J405" s="573"/>
      <c r="K405" s="487"/>
      <c r="L405" s="573"/>
      <c r="M405" s="573"/>
      <c r="N405" s="456">
        <f t="shared" si="57"/>
        <v>0</v>
      </c>
      <c r="O405" s="487"/>
      <c r="P405" s="487"/>
      <c r="Q405" s="274">
        <f t="shared" si="52"/>
        <v>0</v>
      </c>
      <c r="R405" s="574">
        <f t="shared" si="53"/>
        <v>0</v>
      </c>
      <c r="S405" s="275">
        <f t="shared" si="54"/>
        <v>0</v>
      </c>
      <c r="T405" s="463">
        <v>30000</v>
      </c>
      <c r="U405" s="464">
        <v>30000</v>
      </c>
      <c r="V405" s="589"/>
      <c r="W405" s="573"/>
      <c r="X405" s="574">
        <f t="shared" si="58"/>
        <v>0</v>
      </c>
      <c r="Y405" s="487"/>
      <c r="Z405" s="487"/>
      <c r="AA405" s="276">
        <f t="shared" si="59"/>
        <v>0</v>
      </c>
      <c r="AB405" s="573"/>
      <c r="AC405" s="487"/>
      <c r="AD405" s="573"/>
      <c r="AE405" s="487"/>
      <c r="AF405" s="577">
        <f t="shared" si="55"/>
        <v>30000</v>
      </c>
      <c r="AG405" s="275">
        <f t="shared" si="56"/>
        <v>30000</v>
      </c>
    </row>
    <row r="406" spans="1:33" ht="12" customHeight="1">
      <c r="A406" s="603" t="s">
        <v>1271</v>
      </c>
      <c r="B406" s="598" t="s">
        <v>1801</v>
      </c>
      <c r="C406" s="608" t="s">
        <v>1875</v>
      </c>
      <c r="D406" s="606"/>
      <c r="E406" s="607"/>
      <c r="F406" s="573"/>
      <c r="G406" s="487"/>
      <c r="H406" s="573"/>
      <c r="I406" s="487"/>
      <c r="J406" s="573"/>
      <c r="K406" s="487"/>
      <c r="L406" s="573"/>
      <c r="M406" s="573"/>
      <c r="N406" s="456">
        <f t="shared" si="57"/>
        <v>0</v>
      </c>
      <c r="O406" s="487"/>
      <c r="P406" s="487"/>
      <c r="Q406" s="274">
        <f t="shared" si="52"/>
        <v>0</v>
      </c>
      <c r="R406" s="574">
        <f t="shared" si="53"/>
        <v>0</v>
      </c>
      <c r="S406" s="275">
        <f t="shared" si="54"/>
        <v>0</v>
      </c>
      <c r="T406" s="463">
        <v>8900</v>
      </c>
      <c r="U406" s="464">
        <v>8900</v>
      </c>
      <c r="V406" s="589"/>
      <c r="W406" s="573"/>
      <c r="X406" s="574">
        <f t="shared" si="58"/>
        <v>0</v>
      </c>
      <c r="Y406" s="487"/>
      <c r="Z406" s="487"/>
      <c r="AA406" s="276">
        <f t="shared" si="59"/>
        <v>0</v>
      </c>
      <c r="AB406" s="573"/>
      <c r="AC406" s="487"/>
      <c r="AD406" s="573"/>
      <c r="AE406" s="487"/>
      <c r="AF406" s="577">
        <f t="shared" si="55"/>
        <v>8900</v>
      </c>
      <c r="AG406" s="275">
        <f t="shared" si="56"/>
        <v>8900</v>
      </c>
    </row>
    <row r="407" spans="1:33" ht="12" customHeight="1">
      <c r="A407" s="603" t="s">
        <v>1271</v>
      </c>
      <c r="B407" s="598" t="s">
        <v>1801</v>
      </c>
      <c r="C407" s="608" t="s">
        <v>704</v>
      </c>
      <c r="D407" s="606"/>
      <c r="E407" s="607"/>
      <c r="F407" s="573"/>
      <c r="G407" s="487"/>
      <c r="H407" s="573"/>
      <c r="I407" s="487"/>
      <c r="J407" s="573"/>
      <c r="K407" s="487"/>
      <c r="L407" s="573"/>
      <c r="M407" s="573"/>
      <c r="N407" s="456">
        <f t="shared" si="57"/>
        <v>0</v>
      </c>
      <c r="O407" s="487"/>
      <c r="P407" s="487"/>
      <c r="Q407" s="274">
        <f t="shared" si="52"/>
        <v>0</v>
      </c>
      <c r="R407" s="574">
        <f t="shared" si="53"/>
        <v>0</v>
      </c>
      <c r="S407" s="275">
        <f t="shared" si="54"/>
        <v>0</v>
      </c>
      <c r="T407" s="463">
        <v>262000</v>
      </c>
      <c r="U407" s="464">
        <v>262000</v>
      </c>
      <c r="V407" s="589"/>
      <c r="W407" s="573"/>
      <c r="X407" s="574">
        <f t="shared" si="58"/>
        <v>0</v>
      </c>
      <c r="Y407" s="487"/>
      <c r="Z407" s="487"/>
      <c r="AA407" s="276">
        <f t="shared" si="59"/>
        <v>0</v>
      </c>
      <c r="AB407" s="573"/>
      <c r="AC407" s="487"/>
      <c r="AD407" s="573"/>
      <c r="AE407" s="487"/>
      <c r="AF407" s="577">
        <f t="shared" si="55"/>
        <v>262000</v>
      </c>
      <c r="AG407" s="275">
        <f t="shared" si="56"/>
        <v>262000</v>
      </c>
    </row>
    <row r="408" spans="1:33" ht="12" customHeight="1">
      <c r="A408" s="603" t="s">
        <v>1271</v>
      </c>
      <c r="B408" s="598" t="s">
        <v>1801</v>
      </c>
      <c r="C408" s="608" t="s">
        <v>1876</v>
      </c>
      <c r="D408" s="606"/>
      <c r="E408" s="607"/>
      <c r="F408" s="573"/>
      <c r="G408" s="487"/>
      <c r="H408" s="573"/>
      <c r="I408" s="487"/>
      <c r="J408" s="573"/>
      <c r="K408" s="487"/>
      <c r="L408" s="573"/>
      <c r="M408" s="573"/>
      <c r="N408" s="456">
        <f t="shared" si="57"/>
        <v>0</v>
      </c>
      <c r="O408" s="487"/>
      <c r="P408" s="487"/>
      <c r="Q408" s="274">
        <f t="shared" si="52"/>
        <v>0</v>
      </c>
      <c r="R408" s="574">
        <f t="shared" si="53"/>
        <v>0</v>
      </c>
      <c r="S408" s="275">
        <f t="shared" si="54"/>
        <v>0</v>
      </c>
      <c r="T408" s="462">
        <v>13100</v>
      </c>
      <c r="U408" s="487">
        <v>26200</v>
      </c>
      <c r="V408" s="576"/>
      <c r="W408" s="573"/>
      <c r="X408" s="574">
        <f t="shared" si="58"/>
        <v>0</v>
      </c>
      <c r="Y408" s="487"/>
      <c r="Z408" s="487"/>
      <c r="AA408" s="276">
        <f t="shared" si="59"/>
        <v>0</v>
      </c>
      <c r="AB408" s="573"/>
      <c r="AC408" s="487"/>
      <c r="AD408" s="573"/>
      <c r="AE408" s="487"/>
      <c r="AF408" s="577">
        <f t="shared" si="55"/>
        <v>13100</v>
      </c>
      <c r="AG408" s="275">
        <f t="shared" si="56"/>
        <v>26200</v>
      </c>
    </row>
    <row r="409" spans="1:33" ht="12" customHeight="1">
      <c r="A409" s="603" t="s">
        <v>1271</v>
      </c>
      <c r="B409" s="598" t="s">
        <v>1801</v>
      </c>
      <c r="C409" s="465" t="s">
        <v>147</v>
      </c>
      <c r="D409" s="606"/>
      <c r="E409" s="607"/>
      <c r="F409" s="573"/>
      <c r="G409" s="487"/>
      <c r="H409" s="573"/>
      <c r="I409" s="487"/>
      <c r="J409" s="573"/>
      <c r="K409" s="487"/>
      <c r="L409" s="573"/>
      <c r="M409" s="573"/>
      <c r="N409" s="456">
        <f t="shared" si="57"/>
        <v>0</v>
      </c>
      <c r="O409" s="487"/>
      <c r="P409" s="487"/>
      <c r="Q409" s="274">
        <f t="shared" si="52"/>
        <v>0</v>
      </c>
      <c r="R409" s="574">
        <f t="shared" si="53"/>
        <v>0</v>
      </c>
      <c r="S409" s="275">
        <f t="shared" si="54"/>
        <v>0</v>
      </c>
      <c r="T409" s="462">
        <v>13100</v>
      </c>
      <c r="U409" s="487">
        <v>13100</v>
      </c>
      <c r="V409" s="576"/>
      <c r="W409" s="573"/>
      <c r="X409" s="574">
        <f t="shared" si="58"/>
        <v>0</v>
      </c>
      <c r="Y409" s="487"/>
      <c r="Z409" s="487"/>
      <c r="AA409" s="276">
        <f t="shared" si="59"/>
        <v>0</v>
      </c>
      <c r="AB409" s="573"/>
      <c r="AC409" s="487"/>
      <c r="AD409" s="573"/>
      <c r="AE409" s="487"/>
      <c r="AF409" s="577">
        <f t="shared" si="55"/>
        <v>13100</v>
      </c>
      <c r="AG409" s="275">
        <f t="shared" si="56"/>
        <v>13100</v>
      </c>
    </row>
    <row r="410" spans="1:33" ht="12" customHeight="1">
      <c r="A410" s="603" t="s">
        <v>1271</v>
      </c>
      <c r="B410" s="598" t="s">
        <v>1802</v>
      </c>
      <c r="C410" s="293" t="s">
        <v>861</v>
      </c>
      <c r="D410" s="606"/>
      <c r="E410" s="607"/>
      <c r="F410" s="573"/>
      <c r="G410" s="487"/>
      <c r="H410" s="573"/>
      <c r="I410" s="487"/>
      <c r="J410" s="573"/>
      <c r="K410" s="487"/>
      <c r="L410" s="573"/>
      <c r="M410" s="573"/>
      <c r="N410" s="456">
        <f t="shared" si="57"/>
        <v>0</v>
      </c>
      <c r="O410" s="487"/>
      <c r="P410" s="487"/>
      <c r="Q410" s="274">
        <f t="shared" si="52"/>
        <v>0</v>
      </c>
      <c r="R410" s="574">
        <f t="shared" si="53"/>
        <v>0</v>
      </c>
      <c r="S410" s="275">
        <f t="shared" si="54"/>
        <v>0</v>
      </c>
      <c r="T410" s="575"/>
      <c r="U410" s="487"/>
      <c r="V410" s="576"/>
      <c r="W410" s="573"/>
      <c r="X410" s="574">
        <f t="shared" si="58"/>
        <v>0</v>
      </c>
      <c r="Y410" s="487"/>
      <c r="Z410" s="487"/>
      <c r="AA410" s="276">
        <f t="shared" si="59"/>
        <v>0</v>
      </c>
      <c r="AB410" s="573"/>
      <c r="AC410" s="487"/>
      <c r="AD410" s="573"/>
      <c r="AE410" s="487"/>
      <c r="AF410" s="577">
        <f t="shared" si="55"/>
        <v>0</v>
      </c>
      <c r="AG410" s="275">
        <f t="shared" si="56"/>
        <v>0</v>
      </c>
    </row>
    <row r="411" spans="1:33" ht="12" customHeight="1">
      <c r="A411" s="603" t="s">
        <v>1271</v>
      </c>
      <c r="B411" s="598" t="s">
        <v>1802</v>
      </c>
      <c r="C411" s="608" t="s">
        <v>1877</v>
      </c>
      <c r="D411" s="606"/>
      <c r="E411" s="607"/>
      <c r="F411" s="573"/>
      <c r="G411" s="487"/>
      <c r="H411" s="573"/>
      <c r="I411" s="487"/>
      <c r="J411" s="573"/>
      <c r="K411" s="487"/>
      <c r="L411" s="573"/>
      <c r="M411" s="573"/>
      <c r="N411" s="456">
        <f t="shared" si="57"/>
        <v>0</v>
      </c>
      <c r="O411" s="487"/>
      <c r="P411" s="487"/>
      <c r="Q411" s="274">
        <f t="shared" si="52"/>
        <v>0</v>
      </c>
      <c r="R411" s="574">
        <f t="shared" si="53"/>
        <v>0</v>
      </c>
      <c r="S411" s="275">
        <f t="shared" si="54"/>
        <v>0</v>
      </c>
      <c r="T411" s="462">
        <v>135000</v>
      </c>
      <c r="U411" s="487">
        <v>135000</v>
      </c>
      <c r="V411" s="576"/>
      <c r="W411" s="573"/>
      <c r="X411" s="574">
        <f t="shared" si="58"/>
        <v>0</v>
      </c>
      <c r="Y411" s="487"/>
      <c r="Z411" s="487"/>
      <c r="AA411" s="276">
        <f t="shared" si="59"/>
        <v>0</v>
      </c>
      <c r="AB411" s="573"/>
      <c r="AC411" s="487"/>
      <c r="AD411" s="573"/>
      <c r="AE411" s="487"/>
      <c r="AF411" s="577">
        <f t="shared" si="55"/>
        <v>135000</v>
      </c>
      <c r="AG411" s="275">
        <f t="shared" si="56"/>
        <v>135000</v>
      </c>
    </row>
    <row r="412" spans="1:33" ht="12" customHeight="1">
      <c r="A412" s="603" t="s">
        <v>1271</v>
      </c>
      <c r="B412" s="598" t="s">
        <v>1802</v>
      </c>
      <c r="C412" s="608" t="s">
        <v>1878</v>
      </c>
      <c r="D412" s="606"/>
      <c r="E412" s="607"/>
      <c r="F412" s="573"/>
      <c r="G412" s="487"/>
      <c r="H412" s="573"/>
      <c r="I412" s="487"/>
      <c r="J412" s="573"/>
      <c r="K412" s="487"/>
      <c r="L412" s="573"/>
      <c r="M412" s="573"/>
      <c r="N412" s="456">
        <f t="shared" si="57"/>
        <v>0</v>
      </c>
      <c r="O412" s="487"/>
      <c r="P412" s="487"/>
      <c r="Q412" s="274">
        <f t="shared" si="52"/>
        <v>0</v>
      </c>
      <c r="R412" s="574">
        <f t="shared" si="53"/>
        <v>0</v>
      </c>
      <c r="S412" s="275">
        <f t="shared" si="54"/>
        <v>0</v>
      </c>
      <c r="T412" s="462">
        <v>44800</v>
      </c>
      <c r="U412" s="487">
        <v>44800</v>
      </c>
      <c r="V412" s="576"/>
      <c r="W412" s="573"/>
      <c r="X412" s="574">
        <f t="shared" si="58"/>
        <v>0</v>
      </c>
      <c r="Y412" s="487"/>
      <c r="Z412" s="487"/>
      <c r="AA412" s="276">
        <f t="shared" si="59"/>
        <v>0</v>
      </c>
      <c r="AB412" s="573"/>
      <c r="AC412" s="487"/>
      <c r="AD412" s="573"/>
      <c r="AE412" s="487"/>
      <c r="AF412" s="577">
        <f t="shared" si="55"/>
        <v>44800</v>
      </c>
      <c r="AG412" s="275">
        <f t="shared" si="56"/>
        <v>44800</v>
      </c>
    </row>
    <row r="413" spans="1:33" ht="12" customHeight="1">
      <c r="A413" s="603" t="s">
        <v>1271</v>
      </c>
      <c r="B413" s="598" t="s">
        <v>1802</v>
      </c>
      <c r="C413" s="608" t="s">
        <v>766</v>
      </c>
      <c r="D413" s="606"/>
      <c r="E413" s="607"/>
      <c r="F413" s="573"/>
      <c r="G413" s="487"/>
      <c r="H413" s="573"/>
      <c r="I413" s="487"/>
      <c r="J413" s="573"/>
      <c r="K413" s="487"/>
      <c r="L413" s="573"/>
      <c r="M413" s="573"/>
      <c r="N413" s="456">
        <f t="shared" si="57"/>
        <v>0</v>
      </c>
      <c r="O413" s="487"/>
      <c r="P413" s="487"/>
      <c r="Q413" s="274">
        <f t="shared" si="52"/>
        <v>0</v>
      </c>
      <c r="R413" s="574">
        <f t="shared" si="53"/>
        <v>0</v>
      </c>
      <c r="S413" s="275">
        <f t="shared" si="54"/>
        <v>0</v>
      </c>
      <c r="T413" s="462">
        <v>39300</v>
      </c>
      <c r="U413" s="487">
        <v>65500</v>
      </c>
      <c r="V413" s="576"/>
      <c r="W413" s="573"/>
      <c r="X413" s="574">
        <f t="shared" si="58"/>
        <v>0</v>
      </c>
      <c r="Y413" s="487"/>
      <c r="Z413" s="487"/>
      <c r="AA413" s="276">
        <f t="shared" si="59"/>
        <v>0</v>
      </c>
      <c r="AB413" s="573"/>
      <c r="AC413" s="487"/>
      <c r="AD413" s="573"/>
      <c r="AE413" s="487"/>
      <c r="AF413" s="577">
        <f t="shared" si="55"/>
        <v>39300</v>
      </c>
      <c r="AG413" s="275">
        <f t="shared" si="56"/>
        <v>65500</v>
      </c>
    </row>
    <row r="414" spans="1:33" ht="12" customHeight="1">
      <c r="A414" s="603" t="s">
        <v>1271</v>
      </c>
      <c r="B414" s="598" t="s">
        <v>1802</v>
      </c>
      <c r="C414" s="608" t="s">
        <v>767</v>
      </c>
      <c r="D414" s="606"/>
      <c r="E414" s="607"/>
      <c r="F414" s="573"/>
      <c r="G414" s="487"/>
      <c r="H414" s="573"/>
      <c r="I414" s="487"/>
      <c r="J414" s="573"/>
      <c r="K414" s="487"/>
      <c r="L414" s="573"/>
      <c r="M414" s="573"/>
      <c r="N414" s="456">
        <f t="shared" si="57"/>
        <v>0</v>
      </c>
      <c r="O414" s="487"/>
      <c r="P414" s="487"/>
      <c r="Q414" s="274">
        <f t="shared" si="52"/>
        <v>0</v>
      </c>
      <c r="R414" s="574">
        <f t="shared" si="53"/>
        <v>0</v>
      </c>
      <c r="S414" s="275">
        <f t="shared" si="54"/>
        <v>0</v>
      </c>
      <c r="T414" s="462">
        <v>1012000</v>
      </c>
      <c r="U414" s="487">
        <v>1035500</v>
      </c>
      <c r="V414" s="576"/>
      <c r="W414" s="573"/>
      <c r="X414" s="574">
        <f t="shared" si="58"/>
        <v>0</v>
      </c>
      <c r="Y414" s="487"/>
      <c r="Z414" s="487"/>
      <c r="AA414" s="276">
        <f t="shared" si="59"/>
        <v>0</v>
      </c>
      <c r="AB414" s="573"/>
      <c r="AC414" s="487"/>
      <c r="AD414" s="573"/>
      <c r="AE414" s="487"/>
      <c r="AF414" s="577">
        <f t="shared" si="55"/>
        <v>1012000</v>
      </c>
      <c r="AG414" s="275">
        <f t="shared" si="56"/>
        <v>1035500</v>
      </c>
    </row>
    <row r="415" spans="1:33" ht="12" customHeight="1">
      <c r="A415" s="603" t="s">
        <v>1271</v>
      </c>
      <c r="B415" s="598" t="s">
        <v>1802</v>
      </c>
      <c r="C415" s="608" t="s">
        <v>768</v>
      </c>
      <c r="D415" s="606"/>
      <c r="E415" s="607"/>
      <c r="F415" s="573"/>
      <c r="G415" s="487"/>
      <c r="H415" s="573"/>
      <c r="I415" s="487"/>
      <c r="J415" s="573"/>
      <c r="K415" s="487"/>
      <c r="L415" s="573"/>
      <c r="M415" s="573"/>
      <c r="N415" s="456">
        <f t="shared" si="57"/>
        <v>0</v>
      </c>
      <c r="O415" s="487"/>
      <c r="P415" s="487"/>
      <c r="Q415" s="274">
        <f t="shared" si="52"/>
        <v>0</v>
      </c>
      <c r="R415" s="574">
        <f t="shared" si="53"/>
        <v>0</v>
      </c>
      <c r="S415" s="275">
        <f t="shared" si="54"/>
        <v>0</v>
      </c>
      <c r="T415" s="462">
        <v>44880</v>
      </c>
      <c r="U415" s="487">
        <v>15000</v>
      </c>
      <c r="V415" s="576"/>
      <c r="W415" s="573"/>
      <c r="X415" s="574">
        <f t="shared" si="58"/>
        <v>0</v>
      </c>
      <c r="Y415" s="487"/>
      <c r="Z415" s="487"/>
      <c r="AA415" s="276">
        <f t="shared" si="59"/>
        <v>0</v>
      </c>
      <c r="AB415" s="573"/>
      <c r="AC415" s="487"/>
      <c r="AD415" s="573"/>
      <c r="AE415" s="487"/>
      <c r="AF415" s="577">
        <f t="shared" si="55"/>
        <v>44880</v>
      </c>
      <c r="AG415" s="275">
        <f t="shared" si="56"/>
        <v>15000</v>
      </c>
    </row>
    <row r="416" spans="1:33" ht="12" customHeight="1">
      <c r="A416" s="603" t="s">
        <v>1271</v>
      </c>
      <c r="B416" s="598" t="s">
        <v>1802</v>
      </c>
      <c r="C416" s="608" t="s">
        <v>769</v>
      </c>
      <c r="D416" s="606"/>
      <c r="E416" s="607"/>
      <c r="F416" s="573"/>
      <c r="G416" s="487"/>
      <c r="H416" s="573"/>
      <c r="I416" s="487"/>
      <c r="J416" s="573"/>
      <c r="K416" s="487"/>
      <c r="L416" s="573"/>
      <c r="M416" s="573"/>
      <c r="N416" s="456">
        <f t="shared" si="57"/>
        <v>0</v>
      </c>
      <c r="O416" s="487"/>
      <c r="P416" s="487"/>
      <c r="Q416" s="274">
        <f t="shared" si="52"/>
        <v>0</v>
      </c>
      <c r="R416" s="574">
        <f t="shared" si="53"/>
        <v>0</v>
      </c>
      <c r="S416" s="275">
        <f t="shared" si="54"/>
        <v>0</v>
      </c>
      <c r="T416" s="462">
        <v>60000</v>
      </c>
      <c r="U416" s="487">
        <v>60000</v>
      </c>
      <c r="V416" s="576"/>
      <c r="W416" s="573"/>
      <c r="X416" s="574">
        <f t="shared" si="58"/>
        <v>0</v>
      </c>
      <c r="Y416" s="487"/>
      <c r="Z416" s="487"/>
      <c r="AA416" s="276">
        <f t="shared" si="59"/>
        <v>0</v>
      </c>
      <c r="AB416" s="573"/>
      <c r="AC416" s="487"/>
      <c r="AD416" s="573"/>
      <c r="AE416" s="487"/>
      <c r="AF416" s="577">
        <f t="shared" si="55"/>
        <v>60000</v>
      </c>
      <c r="AG416" s="275">
        <f t="shared" si="56"/>
        <v>60000</v>
      </c>
    </row>
    <row r="417" spans="1:33" ht="12" customHeight="1">
      <c r="A417" s="603" t="s">
        <v>1271</v>
      </c>
      <c r="B417" s="598" t="s">
        <v>1802</v>
      </c>
      <c r="C417" s="608" t="s">
        <v>770</v>
      </c>
      <c r="D417" s="606"/>
      <c r="E417" s="607"/>
      <c r="F417" s="573"/>
      <c r="G417" s="487"/>
      <c r="H417" s="573"/>
      <c r="I417" s="487"/>
      <c r="J417" s="573"/>
      <c r="K417" s="487"/>
      <c r="L417" s="573"/>
      <c r="M417" s="573"/>
      <c r="N417" s="456">
        <f t="shared" si="57"/>
        <v>0</v>
      </c>
      <c r="O417" s="487"/>
      <c r="P417" s="487"/>
      <c r="Q417" s="274">
        <f t="shared" si="52"/>
        <v>0</v>
      </c>
      <c r="R417" s="574">
        <f t="shared" si="53"/>
        <v>0</v>
      </c>
      <c r="S417" s="275">
        <f t="shared" si="54"/>
        <v>0</v>
      </c>
      <c r="T417" s="462">
        <v>784000</v>
      </c>
      <c r="U417" s="487">
        <v>772800</v>
      </c>
      <c r="V417" s="576"/>
      <c r="W417" s="573"/>
      <c r="X417" s="574">
        <f t="shared" si="58"/>
        <v>0</v>
      </c>
      <c r="Y417" s="487"/>
      <c r="Z417" s="487"/>
      <c r="AA417" s="276">
        <f t="shared" si="59"/>
        <v>0</v>
      </c>
      <c r="AB417" s="573"/>
      <c r="AC417" s="487"/>
      <c r="AD417" s="573"/>
      <c r="AE417" s="487"/>
      <c r="AF417" s="577">
        <f t="shared" si="55"/>
        <v>784000</v>
      </c>
      <c r="AG417" s="275">
        <f t="shared" si="56"/>
        <v>772800</v>
      </c>
    </row>
    <row r="418" spans="1:33" ht="12" customHeight="1">
      <c r="A418" s="603" t="s">
        <v>1271</v>
      </c>
      <c r="B418" s="598" t="s">
        <v>1802</v>
      </c>
      <c r="C418" s="608" t="s">
        <v>1664</v>
      </c>
      <c r="D418" s="606"/>
      <c r="E418" s="607"/>
      <c r="F418" s="573"/>
      <c r="G418" s="487"/>
      <c r="H418" s="573"/>
      <c r="I418" s="487"/>
      <c r="J418" s="573"/>
      <c r="K418" s="487"/>
      <c r="L418" s="573"/>
      <c r="M418" s="573"/>
      <c r="N418" s="456">
        <f t="shared" si="57"/>
        <v>0</v>
      </c>
      <c r="O418" s="487"/>
      <c r="P418" s="487"/>
      <c r="Q418" s="274">
        <f t="shared" si="52"/>
        <v>0</v>
      </c>
      <c r="R418" s="574">
        <f t="shared" si="53"/>
        <v>0</v>
      </c>
      <c r="S418" s="275">
        <f t="shared" si="54"/>
        <v>0</v>
      </c>
      <c r="T418" s="462">
        <v>65500</v>
      </c>
      <c r="U418" s="487">
        <v>78600</v>
      </c>
      <c r="V418" s="576"/>
      <c r="W418" s="573"/>
      <c r="X418" s="574">
        <f t="shared" si="58"/>
        <v>0</v>
      </c>
      <c r="Y418" s="487"/>
      <c r="Z418" s="487"/>
      <c r="AA418" s="276">
        <f t="shared" si="59"/>
        <v>0</v>
      </c>
      <c r="AB418" s="573"/>
      <c r="AC418" s="487"/>
      <c r="AD418" s="573"/>
      <c r="AE418" s="487"/>
      <c r="AF418" s="577">
        <f t="shared" si="55"/>
        <v>65500</v>
      </c>
      <c r="AG418" s="275">
        <f t="shared" si="56"/>
        <v>78600</v>
      </c>
    </row>
    <row r="419" spans="1:33" ht="12" customHeight="1">
      <c r="A419" s="603" t="s">
        <v>1271</v>
      </c>
      <c r="B419" s="598" t="s">
        <v>1802</v>
      </c>
      <c r="C419" s="608" t="s">
        <v>1665</v>
      </c>
      <c r="D419" s="606"/>
      <c r="E419" s="607"/>
      <c r="F419" s="573"/>
      <c r="G419" s="487"/>
      <c r="H419" s="573"/>
      <c r="I419" s="487"/>
      <c r="J419" s="573"/>
      <c r="K419" s="487"/>
      <c r="L419" s="573"/>
      <c r="M419" s="573"/>
      <c r="N419" s="456">
        <f t="shared" si="57"/>
        <v>0</v>
      </c>
      <c r="O419" s="487"/>
      <c r="P419" s="487"/>
      <c r="Q419" s="274">
        <f t="shared" si="52"/>
        <v>0</v>
      </c>
      <c r="R419" s="574">
        <f t="shared" si="53"/>
        <v>0</v>
      </c>
      <c r="S419" s="275">
        <f t="shared" si="54"/>
        <v>0</v>
      </c>
      <c r="T419" s="462">
        <v>90000</v>
      </c>
      <c r="U419" s="487">
        <v>75000</v>
      </c>
      <c r="V419" s="576"/>
      <c r="W419" s="573"/>
      <c r="X419" s="574">
        <f t="shared" si="58"/>
        <v>0</v>
      </c>
      <c r="Y419" s="487"/>
      <c r="Z419" s="487"/>
      <c r="AA419" s="276">
        <f t="shared" si="59"/>
        <v>0</v>
      </c>
      <c r="AB419" s="573"/>
      <c r="AC419" s="487"/>
      <c r="AD419" s="573"/>
      <c r="AE419" s="487"/>
      <c r="AF419" s="577">
        <f t="shared" si="55"/>
        <v>90000</v>
      </c>
      <c r="AG419" s="275">
        <f t="shared" si="56"/>
        <v>75000</v>
      </c>
    </row>
    <row r="420" spans="1:33" ht="12" customHeight="1">
      <c r="A420" s="603" t="s">
        <v>1271</v>
      </c>
      <c r="B420" s="598" t="s">
        <v>1802</v>
      </c>
      <c r="C420" s="608" t="s">
        <v>1666</v>
      </c>
      <c r="D420" s="606"/>
      <c r="E420" s="607"/>
      <c r="F420" s="573"/>
      <c r="G420" s="487"/>
      <c r="H420" s="573"/>
      <c r="I420" s="487"/>
      <c r="J420" s="573"/>
      <c r="K420" s="487"/>
      <c r="L420" s="573"/>
      <c r="M420" s="573"/>
      <c r="N420" s="456">
        <f t="shared" si="57"/>
        <v>0</v>
      </c>
      <c r="O420" s="487"/>
      <c r="P420" s="487"/>
      <c r="Q420" s="274">
        <f t="shared" si="52"/>
        <v>0</v>
      </c>
      <c r="R420" s="574">
        <f t="shared" si="53"/>
        <v>0</v>
      </c>
      <c r="S420" s="275">
        <f t="shared" si="54"/>
        <v>0</v>
      </c>
      <c r="T420" s="575">
        <v>15000</v>
      </c>
      <c r="U420" s="487">
        <v>15000</v>
      </c>
      <c r="V420" s="576"/>
      <c r="W420" s="573"/>
      <c r="X420" s="574">
        <f t="shared" si="58"/>
        <v>0</v>
      </c>
      <c r="Y420" s="487"/>
      <c r="Z420" s="487"/>
      <c r="AA420" s="276">
        <f t="shared" si="59"/>
        <v>0</v>
      </c>
      <c r="AB420" s="573"/>
      <c r="AC420" s="487"/>
      <c r="AD420" s="573"/>
      <c r="AE420" s="487"/>
      <c r="AF420" s="577">
        <f t="shared" si="55"/>
        <v>15000</v>
      </c>
      <c r="AG420" s="275">
        <f t="shared" si="56"/>
        <v>15000</v>
      </c>
    </row>
    <row r="421" spans="1:33" ht="12" customHeight="1">
      <c r="A421" s="603" t="s">
        <v>1271</v>
      </c>
      <c r="B421" s="598" t="s">
        <v>1803</v>
      </c>
      <c r="C421" s="293" t="s">
        <v>954</v>
      </c>
      <c r="D421" s="606"/>
      <c r="E421" s="607"/>
      <c r="F421" s="573"/>
      <c r="G421" s="487"/>
      <c r="H421" s="573"/>
      <c r="I421" s="487"/>
      <c r="J421" s="573"/>
      <c r="K421" s="487"/>
      <c r="L421" s="573"/>
      <c r="M421" s="573"/>
      <c r="N421" s="456">
        <f t="shared" si="57"/>
        <v>0</v>
      </c>
      <c r="O421" s="487"/>
      <c r="P421" s="487"/>
      <c r="Q421" s="274">
        <f t="shared" si="52"/>
        <v>0</v>
      </c>
      <c r="R421" s="574">
        <f t="shared" si="53"/>
        <v>0</v>
      </c>
      <c r="S421" s="275">
        <f t="shared" si="54"/>
        <v>0</v>
      </c>
      <c r="T421" s="462">
        <v>377100</v>
      </c>
      <c r="U421" s="487">
        <v>438200</v>
      </c>
      <c r="V421" s="576"/>
      <c r="W421" s="573"/>
      <c r="X421" s="574">
        <f t="shared" si="58"/>
        <v>0</v>
      </c>
      <c r="Y421" s="487"/>
      <c r="Z421" s="487"/>
      <c r="AA421" s="276">
        <f t="shared" si="59"/>
        <v>0</v>
      </c>
      <c r="AB421" s="573"/>
      <c r="AC421" s="487"/>
      <c r="AD421" s="573"/>
      <c r="AE421" s="487"/>
      <c r="AF421" s="577">
        <f t="shared" si="55"/>
        <v>377100</v>
      </c>
      <c r="AG421" s="275">
        <f t="shared" si="56"/>
        <v>438200</v>
      </c>
    </row>
    <row r="422" spans="1:33" ht="12" customHeight="1">
      <c r="A422" s="603" t="s">
        <v>1271</v>
      </c>
      <c r="B422" s="598" t="s">
        <v>1804</v>
      </c>
      <c r="C422" s="294" t="s">
        <v>418</v>
      </c>
      <c r="D422" s="606"/>
      <c r="E422" s="607"/>
      <c r="F422" s="573"/>
      <c r="G422" s="487"/>
      <c r="H422" s="573"/>
      <c r="I422" s="487"/>
      <c r="J422" s="573"/>
      <c r="K422" s="487"/>
      <c r="L422" s="573"/>
      <c r="M422" s="573"/>
      <c r="N422" s="456">
        <f t="shared" si="57"/>
        <v>0</v>
      </c>
      <c r="O422" s="487"/>
      <c r="P422" s="487"/>
      <c r="Q422" s="274">
        <f t="shared" si="52"/>
        <v>0</v>
      </c>
      <c r="R422" s="574">
        <f t="shared" si="53"/>
        <v>0</v>
      </c>
      <c r="S422" s="275">
        <f t="shared" si="54"/>
        <v>0</v>
      </c>
      <c r="T422" s="575"/>
      <c r="U422" s="487"/>
      <c r="V422" s="576"/>
      <c r="W422" s="573"/>
      <c r="X422" s="574">
        <f t="shared" si="58"/>
        <v>0</v>
      </c>
      <c r="Y422" s="487"/>
      <c r="Z422" s="487"/>
      <c r="AA422" s="276">
        <f t="shared" si="59"/>
        <v>0</v>
      </c>
      <c r="AB422" s="573"/>
      <c r="AC422" s="487"/>
      <c r="AD422" s="573"/>
      <c r="AE422" s="487"/>
      <c r="AF422" s="577">
        <f t="shared" si="55"/>
        <v>0</v>
      </c>
      <c r="AG422" s="275">
        <f t="shared" si="56"/>
        <v>0</v>
      </c>
    </row>
    <row r="423" spans="1:33" ht="12" customHeight="1">
      <c r="A423" s="603" t="s">
        <v>1271</v>
      </c>
      <c r="B423" s="598" t="s">
        <v>1805</v>
      </c>
      <c r="C423" s="466" t="s">
        <v>419</v>
      </c>
      <c r="D423" s="606"/>
      <c r="E423" s="607"/>
      <c r="F423" s="573"/>
      <c r="G423" s="487"/>
      <c r="H423" s="573"/>
      <c r="I423" s="487"/>
      <c r="J423" s="573"/>
      <c r="K423" s="487"/>
      <c r="L423" s="573"/>
      <c r="M423" s="573"/>
      <c r="N423" s="456">
        <f t="shared" si="57"/>
        <v>0</v>
      </c>
      <c r="O423" s="487"/>
      <c r="P423" s="487"/>
      <c r="Q423" s="274">
        <f t="shared" si="52"/>
        <v>0</v>
      </c>
      <c r="R423" s="574">
        <f t="shared" si="53"/>
        <v>0</v>
      </c>
      <c r="S423" s="275">
        <f t="shared" si="54"/>
        <v>0</v>
      </c>
      <c r="T423" s="575"/>
      <c r="U423" s="487"/>
      <c r="V423" s="576"/>
      <c r="W423" s="573"/>
      <c r="X423" s="574">
        <f t="shared" si="58"/>
        <v>0</v>
      </c>
      <c r="Y423" s="487"/>
      <c r="Z423" s="487"/>
      <c r="AA423" s="276">
        <f t="shared" si="59"/>
        <v>0</v>
      </c>
      <c r="AB423" s="573"/>
      <c r="AC423" s="487"/>
      <c r="AD423" s="573"/>
      <c r="AE423" s="487"/>
      <c r="AF423" s="577">
        <f t="shared" si="55"/>
        <v>0</v>
      </c>
      <c r="AG423" s="275">
        <f t="shared" si="56"/>
        <v>0</v>
      </c>
    </row>
    <row r="424" spans="1:33" ht="12" customHeight="1">
      <c r="A424" s="603" t="s">
        <v>1271</v>
      </c>
      <c r="B424" s="598" t="s">
        <v>1805</v>
      </c>
      <c r="C424" s="296" t="s">
        <v>1667</v>
      </c>
      <c r="D424" s="606"/>
      <c r="E424" s="607"/>
      <c r="F424" s="573"/>
      <c r="G424" s="487"/>
      <c r="H424" s="573"/>
      <c r="I424" s="487"/>
      <c r="J424" s="573"/>
      <c r="K424" s="487"/>
      <c r="L424" s="573"/>
      <c r="M424" s="573"/>
      <c r="N424" s="456">
        <f t="shared" si="57"/>
        <v>0</v>
      </c>
      <c r="O424" s="487"/>
      <c r="P424" s="487"/>
      <c r="Q424" s="274">
        <f t="shared" si="52"/>
        <v>0</v>
      </c>
      <c r="R424" s="574">
        <f t="shared" si="53"/>
        <v>0</v>
      </c>
      <c r="S424" s="275">
        <f t="shared" si="54"/>
        <v>0</v>
      </c>
      <c r="T424" s="575"/>
      <c r="U424" s="487"/>
      <c r="V424" s="576"/>
      <c r="W424" s="573"/>
      <c r="X424" s="574">
        <f t="shared" si="58"/>
        <v>0</v>
      </c>
      <c r="Y424" s="487"/>
      <c r="Z424" s="487"/>
      <c r="AA424" s="276">
        <f t="shared" si="59"/>
        <v>0</v>
      </c>
      <c r="AB424" s="573"/>
      <c r="AC424" s="487"/>
      <c r="AD424" s="573"/>
      <c r="AE424" s="487"/>
      <c r="AF424" s="577">
        <f t="shared" si="55"/>
        <v>0</v>
      </c>
      <c r="AG424" s="275">
        <f t="shared" si="56"/>
        <v>0</v>
      </c>
    </row>
    <row r="425" spans="1:33" ht="12" customHeight="1">
      <c r="A425" s="603" t="s">
        <v>1271</v>
      </c>
      <c r="B425" s="609" t="s">
        <v>1510</v>
      </c>
      <c r="C425" s="610" t="s">
        <v>421</v>
      </c>
      <c r="D425" s="606"/>
      <c r="E425" s="607"/>
      <c r="F425" s="573"/>
      <c r="G425" s="487"/>
      <c r="H425" s="573"/>
      <c r="I425" s="487"/>
      <c r="J425" s="573"/>
      <c r="K425" s="487"/>
      <c r="L425" s="573"/>
      <c r="M425" s="573"/>
      <c r="N425" s="456">
        <f t="shared" si="57"/>
        <v>0</v>
      </c>
      <c r="O425" s="487"/>
      <c r="P425" s="487"/>
      <c r="Q425" s="274">
        <f t="shared" si="52"/>
        <v>0</v>
      </c>
      <c r="R425" s="574">
        <f t="shared" si="53"/>
        <v>0</v>
      </c>
      <c r="S425" s="275">
        <f t="shared" si="54"/>
        <v>0</v>
      </c>
      <c r="T425" s="575"/>
      <c r="U425" s="487"/>
      <c r="V425" s="576"/>
      <c r="W425" s="573"/>
      <c r="X425" s="574">
        <f t="shared" si="58"/>
        <v>0</v>
      </c>
      <c r="Y425" s="487"/>
      <c r="Z425" s="487"/>
      <c r="AA425" s="276">
        <f t="shared" si="59"/>
        <v>0</v>
      </c>
      <c r="AB425" s="573"/>
      <c r="AC425" s="487"/>
      <c r="AD425" s="573"/>
      <c r="AE425" s="487"/>
      <c r="AF425" s="577">
        <f t="shared" si="55"/>
        <v>0</v>
      </c>
      <c r="AG425" s="275">
        <f t="shared" si="56"/>
        <v>0</v>
      </c>
    </row>
    <row r="426" spans="1:33" ht="12" customHeight="1">
      <c r="A426" s="603" t="s">
        <v>1271</v>
      </c>
      <c r="B426" s="609" t="s">
        <v>1511</v>
      </c>
      <c r="C426" s="610" t="s">
        <v>1883</v>
      </c>
      <c r="D426" s="606"/>
      <c r="E426" s="607"/>
      <c r="F426" s="573"/>
      <c r="G426" s="487"/>
      <c r="H426" s="573"/>
      <c r="I426" s="487"/>
      <c r="J426" s="573"/>
      <c r="K426" s="487"/>
      <c r="L426" s="573"/>
      <c r="M426" s="573"/>
      <c r="N426" s="456">
        <f t="shared" si="57"/>
        <v>0</v>
      </c>
      <c r="O426" s="487"/>
      <c r="P426" s="487"/>
      <c r="Q426" s="274">
        <f t="shared" si="52"/>
        <v>0</v>
      </c>
      <c r="R426" s="574">
        <f t="shared" si="53"/>
        <v>0</v>
      </c>
      <c r="S426" s="275">
        <f t="shared" si="54"/>
        <v>0</v>
      </c>
      <c r="T426" s="575"/>
      <c r="U426" s="487"/>
      <c r="V426" s="576"/>
      <c r="W426" s="573"/>
      <c r="X426" s="574">
        <f t="shared" si="58"/>
        <v>0</v>
      </c>
      <c r="Y426" s="487"/>
      <c r="Z426" s="487"/>
      <c r="AA426" s="276">
        <f t="shared" si="59"/>
        <v>0</v>
      </c>
      <c r="AB426" s="573"/>
      <c r="AC426" s="487"/>
      <c r="AD426" s="573"/>
      <c r="AE426" s="487"/>
      <c r="AF426" s="577">
        <f t="shared" si="55"/>
        <v>0</v>
      </c>
      <c r="AG426" s="275">
        <f t="shared" si="56"/>
        <v>0</v>
      </c>
    </row>
    <row r="427" spans="1:33" ht="12" customHeight="1">
      <c r="A427" s="603" t="s">
        <v>1271</v>
      </c>
      <c r="B427" s="609" t="s">
        <v>1412</v>
      </c>
      <c r="C427" s="610" t="s">
        <v>1761</v>
      </c>
      <c r="D427" s="606"/>
      <c r="E427" s="607"/>
      <c r="F427" s="573"/>
      <c r="G427" s="487"/>
      <c r="H427" s="573"/>
      <c r="I427" s="487"/>
      <c r="J427" s="573"/>
      <c r="K427" s="487"/>
      <c r="L427" s="573"/>
      <c r="M427" s="573"/>
      <c r="N427" s="456">
        <f t="shared" si="57"/>
        <v>0</v>
      </c>
      <c r="O427" s="487"/>
      <c r="P427" s="487"/>
      <c r="Q427" s="274">
        <f t="shared" si="52"/>
        <v>0</v>
      </c>
      <c r="R427" s="574">
        <f t="shared" si="53"/>
        <v>0</v>
      </c>
      <c r="S427" s="275">
        <f t="shared" si="54"/>
        <v>0</v>
      </c>
      <c r="T427" s="462">
        <v>6739650</v>
      </c>
      <c r="U427" s="487">
        <v>7248760</v>
      </c>
      <c r="V427" s="576"/>
      <c r="W427" s="573"/>
      <c r="X427" s="574">
        <f t="shared" si="58"/>
        <v>0</v>
      </c>
      <c r="Y427" s="487"/>
      <c r="Z427" s="487"/>
      <c r="AA427" s="276">
        <f t="shared" si="59"/>
        <v>0</v>
      </c>
      <c r="AB427" s="573"/>
      <c r="AC427" s="487"/>
      <c r="AD427" s="573"/>
      <c r="AE427" s="487"/>
      <c r="AF427" s="577">
        <f t="shared" si="55"/>
        <v>6739650</v>
      </c>
      <c r="AG427" s="275">
        <f t="shared" si="56"/>
        <v>7248760</v>
      </c>
    </row>
    <row r="428" spans="1:33" ht="12" customHeight="1">
      <c r="A428" s="603" t="s">
        <v>1271</v>
      </c>
      <c r="B428" s="609" t="s">
        <v>1413</v>
      </c>
      <c r="C428" s="610" t="s">
        <v>422</v>
      </c>
      <c r="D428" s="606"/>
      <c r="E428" s="607"/>
      <c r="F428" s="573"/>
      <c r="G428" s="487"/>
      <c r="H428" s="573"/>
      <c r="I428" s="487"/>
      <c r="J428" s="573"/>
      <c r="K428" s="487"/>
      <c r="L428" s="573"/>
      <c r="M428" s="573"/>
      <c r="N428" s="456">
        <f t="shared" si="57"/>
        <v>0</v>
      </c>
      <c r="O428" s="487"/>
      <c r="P428" s="487"/>
      <c r="Q428" s="274">
        <f t="shared" si="52"/>
        <v>0</v>
      </c>
      <c r="R428" s="574">
        <f t="shared" si="53"/>
        <v>0</v>
      </c>
      <c r="S428" s="275">
        <f t="shared" si="54"/>
        <v>0</v>
      </c>
      <c r="T428" s="462"/>
      <c r="U428" s="487"/>
      <c r="V428" s="576"/>
      <c r="W428" s="573"/>
      <c r="X428" s="574">
        <f t="shared" si="58"/>
        <v>0</v>
      </c>
      <c r="Y428" s="487"/>
      <c r="Z428" s="487"/>
      <c r="AA428" s="276">
        <f t="shared" si="59"/>
        <v>0</v>
      </c>
      <c r="AB428" s="573"/>
      <c r="AC428" s="487"/>
      <c r="AD428" s="573"/>
      <c r="AE428" s="487"/>
      <c r="AF428" s="577">
        <f t="shared" si="55"/>
        <v>0</v>
      </c>
      <c r="AG428" s="275">
        <f t="shared" si="56"/>
        <v>0</v>
      </c>
    </row>
    <row r="429" spans="1:33" ht="12" customHeight="1">
      <c r="A429" s="603" t="s">
        <v>1271</v>
      </c>
      <c r="B429" s="609" t="s">
        <v>1582</v>
      </c>
      <c r="C429" s="610" t="s">
        <v>1883</v>
      </c>
      <c r="D429" s="606"/>
      <c r="E429" s="607"/>
      <c r="F429" s="573"/>
      <c r="G429" s="487"/>
      <c r="H429" s="573"/>
      <c r="I429" s="487"/>
      <c r="J429" s="573"/>
      <c r="K429" s="487"/>
      <c r="L429" s="573"/>
      <c r="M429" s="573"/>
      <c r="N429" s="456">
        <f t="shared" si="57"/>
        <v>0</v>
      </c>
      <c r="O429" s="487"/>
      <c r="P429" s="487"/>
      <c r="Q429" s="274">
        <f t="shared" si="52"/>
        <v>0</v>
      </c>
      <c r="R429" s="574">
        <f t="shared" si="53"/>
        <v>0</v>
      </c>
      <c r="S429" s="275">
        <f t="shared" si="54"/>
        <v>0</v>
      </c>
      <c r="T429" s="462"/>
      <c r="U429" s="487"/>
      <c r="V429" s="576"/>
      <c r="W429" s="573"/>
      <c r="X429" s="574">
        <f t="shared" si="58"/>
        <v>0</v>
      </c>
      <c r="Y429" s="487"/>
      <c r="Z429" s="487"/>
      <c r="AA429" s="276">
        <f t="shared" si="59"/>
        <v>0</v>
      </c>
      <c r="AB429" s="573"/>
      <c r="AC429" s="487"/>
      <c r="AD429" s="573"/>
      <c r="AE429" s="487"/>
      <c r="AF429" s="577">
        <f t="shared" si="55"/>
        <v>0</v>
      </c>
      <c r="AG429" s="275">
        <f t="shared" si="56"/>
        <v>0</v>
      </c>
    </row>
    <row r="430" spans="1:33" ht="12" customHeight="1">
      <c r="A430" s="603" t="s">
        <v>1271</v>
      </c>
      <c r="B430" s="609" t="s">
        <v>1583</v>
      </c>
      <c r="C430" s="610" t="s">
        <v>1761</v>
      </c>
      <c r="D430" s="606"/>
      <c r="E430" s="607"/>
      <c r="F430" s="573"/>
      <c r="G430" s="487"/>
      <c r="H430" s="573"/>
      <c r="I430" s="487"/>
      <c r="J430" s="573"/>
      <c r="K430" s="487"/>
      <c r="L430" s="573"/>
      <c r="M430" s="573"/>
      <c r="N430" s="456">
        <f t="shared" si="57"/>
        <v>0</v>
      </c>
      <c r="O430" s="487"/>
      <c r="P430" s="487"/>
      <c r="Q430" s="274">
        <f t="shared" si="52"/>
        <v>0</v>
      </c>
      <c r="R430" s="574">
        <f t="shared" si="53"/>
        <v>0</v>
      </c>
      <c r="S430" s="275">
        <f t="shared" si="54"/>
        <v>0</v>
      </c>
      <c r="T430" s="462">
        <v>2557040</v>
      </c>
      <c r="U430" s="487">
        <v>2729000</v>
      </c>
      <c r="V430" s="576"/>
      <c r="W430" s="573"/>
      <c r="X430" s="574">
        <f t="shared" si="58"/>
        <v>0</v>
      </c>
      <c r="Y430" s="487"/>
      <c r="Z430" s="487"/>
      <c r="AA430" s="276">
        <f t="shared" si="59"/>
        <v>0</v>
      </c>
      <c r="AB430" s="573"/>
      <c r="AC430" s="487"/>
      <c r="AD430" s="573"/>
      <c r="AE430" s="487"/>
      <c r="AF430" s="577">
        <f t="shared" si="55"/>
        <v>2557040</v>
      </c>
      <c r="AG430" s="275">
        <f t="shared" si="56"/>
        <v>2729000</v>
      </c>
    </row>
    <row r="431" spans="1:33" ht="12" customHeight="1">
      <c r="A431" s="603" t="s">
        <v>1271</v>
      </c>
      <c r="B431" s="598" t="s">
        <v>1805</v>
      </c>
      <c r="C431" s="296" t="s">
        <v>1668</v>
      </c>
      <c r="D431" s="606"/>
      <c r="E431" s="607"/>
      <c r="F431" s="573"/>
      <c r="G431" s="487"/>
      <c r="H431" s="573"/>
      <c r="I431" s="487"/>
      <c r="J431" s="573"/>
      <c r="K431" s="487"/>
      <c r="L431" s="573"/>
      <c r="M431" s="573"/>
      <c r="N431" s="456">
        <f t="shared" si="57"/>
        <v>0</v>
      </c>
      <c r="O431" s="487"/>
      <c r="P431" s="487"/>
      <c r="Q431" s="274">
        <f t="shared" si="52"/>
        <v>0</v>
      </c>
      <c r="R431" s="574">
        <f t="shared" si="53"/>
        <v>0</v>
      </c>
      <c r="S431" s="275">
        <f t="shared" si="54"/>
        <v>0</v>
      </c>
      <c r="T431" s="462"/>
      <c r="U431" s="487"/>
      <c r="V431" s="576"/>
      <c r="W431" s="573"/>
      <c r="X431" s="574">
        <f t="shared" si="58"/>
        <v>0</v>
      </c>
      <c r="Y431" s="487"/>
      <c r="Z431" s="487"/>
      <c r="AA431" s="276">
        <f t="shared" si="59"/>
        <v>0</v>
      </c>
      <c r="AB431" s="573"/>
      <c r="AC431" s="487"/>
      <c r="AD431" s="573"/>
      <c r="AE431" s="487"/>
      <c r="AF431" s="577">
        <f t="shared" si="55"/>
        <v>0</v>
      </c>
      <c r="AG431" s="275">
        <f t="shared" si="56"/>
        <v>0</v>
      </c>
    </row>
    <row r="432" spans="1:33" ht="12" customHeight="1">
      <c r="A432" s="603" t="s">
        <v>1271</v>
      </c>
      <c r="B432" s="609" t="s">
        <v>1510</v>
      </c>
      <c r="C432" s="610" t="s">
        <v>421</v>
      </c>
      <c r="D432" s="606"/>
      <c r="E432" s="607"/>
      <c r="F432" s="573"/>
      <c r="G432" s="487"/>
      <c r="H432" s="573"/>
      <c r="I432" s="487"/>
      <c r="J432" s="573"/>
      <c r="K432" s="487"/>
      <c r="L432" s="573"/>
      <c r="M432" s="573"/>
      <c r="N432" s="456">
        <f t="shared" si="57"/>
        <v>0</v>
      </c>
      <c r="O432" s="487"/>
      <c r="P432" s="487"/>
      <c r="Q432" s="274">
        <f t="shared" si="52"/>
        <v>0</v>
      </c>
      <c r="R432" s="574">
        <f t="shared" si="53"/>
        <v>0</v>
      </c>
      <c r="S432" s="275">
        <f t="shared" si="54"/>
        <v>0</v>
      </c>
      <c r="T432" s="462"/>
      <c r="U432" s="487"/>
      <c r="V432" s="576"/>
      <c r="W432" s="573"/>
      <c r="X432" s="574">
        <f t="shared" si="58"/>
        <v>0</v>
      </c>
      <c r="Y432" s="487"/>
      <c r="Z432" s="487"/>
      <c r="AA432" s="276">
        <f t="shared" si="59"/>
        <v>0</v>
      </c>
      <c r="AB432" s="573"/>
      <c r="AC432" s="487"/>
      <c r="AD432" s="573"/>
      <c r="AE432" s="487"/>
      <c r="AF432" s="577">
        <f t="shared" si="55"/>
        <v>0</v>
      </c>
      <c r="AG432" s="275">
        <f t="shared" si="56"/>
        <v>0</v>
      </c>
    </row>
    <row r="433" spans="1:33" ht="12" customHeight="1">
      <c r="A433" s="603" t="s">
        <v>1271</v>
      </c>
      <c r="B433" s="609" t="s">
        <v>1511</v>
      </c>
      <c r="C433" s="610" t="s">
        <v>1883</v>
      </c>
      <c r="D433" s="606"/>
      <c r="E433" s="607"/>
      <c r="F433" s="573"/>
      <c r="G433" s="487"/>
      <c r="H433" s="573"/>
      <c r="I433" s="487"/>
      <c r="J433" s="573"/>
      <c r="K433" s="487"/>
      <c r="L433" s="573"/>
      <c r="M433" s="573"/>
      <c r="N433" s="456">
        <f t="shared" si="57"/>
        <v>0</v>
      </c>
      <c r="O433" s="487"/>
      <c r="P433" s="487"/>
      <c r="Q433" s="274">
        <f t="shared" si="52"/>
        <v>0</v>
      </c>
      <c r="R433" s="574">
        <f t="shared" si="53"/>
        <v>0</v>
      </c>
      <c r="S433" s="275">
        <f t="shared" si="54"/>
        <v>0</v>
      </c>
      <c r="T433" s="462">
        <v>16772601</v>
      </c>
      <c r="U433" s="487">
        <v>18600000</v>
      </c>
      <c r="V433" s="576"/>
      <c r="W433" s="573"/>
      <c r="X433" s="574">
        <f t="shared" si="58"/>
        <v>0</v>
      </c>
      <c r="Y433" s="487"/>
      <c r="Z433" s="487"/>
      <c r="AA433" s="276">
        <f t="shared" si="59"/>
        <v>0</v>
      </c>
      <c r="AB433" s="573"/>
      <c r="AC433" s="487"/>
      <c r="AD433" s="573"/>
      <c r="AE433" s="487"/>
      <c r="AF433" s="577">
        <f t="shared" si="55"/>
        <v>16772601</v>
      </c>
      <c r="AG433" s="275">
        <f t="shared" si="56"/>
        <v>18600000</v>
      </c>
    </row>
    <row r="434" spans="1:33" ht="12" customHeight="1">
      <c r="A434" s="603" t="s">
        <v>1271</v>
      </c>
      <c r="B434" s="609" t="s">
        <v>1412</v>
      </c>
      <c r="C434" s="610" t="s">
        <v>1761</v>
      </c>
      <c r="D434" s="606"/>
      <c r="E434" s="607"/>
      <c r="F434" s="573"/>
      <c r="G434" s="487"/>
      <c r="H434" s="573"/>
      <c r="I434" s="487"/>
      <c r="J434" s="573"/>
      <c r="K434" s="487"/>
      <c r="L434" s="573"/>
      <c r="M434" s="573"/>
      <c r="N434" s="456">
        <f t="shared" si="57"/>
        <v>0</v>
      </c>
      <c r="O434" s="487"/>
      <c r="P434" s="487"/>
      <c r="Q434" s="274">
        <f t="shared" si="52"/>
        <v>0</v>
      </c>
      <c r="R434" s="574">
        <f t="shared" si="53"/>
        <v>0</v>
      </c>
      <c r="S434" s="275">
        <f t="shared" si="54"/>
        <v>0</v>
      </c>
      <c r="T434" s="462"/>
      <c r="U434" s="487"/>
      <c r="V434" s="576"/>
      <c r="W434" s="573"/>
      <c r="X434" s="574">
        <f t="shared" si="58"/>
        <v>0</v>
      </c>
      <c r="Y434" s="487"/>
      <c r="Z434" s="487"/>
      <c r="AA434" s="276">
        <f t="shared" si="59"/>
        <v>0</v>
      </c>
      <c r="AB434" s="573"/>
      <c r="AC434" s="487"/>
      <c r="AD434" s="573"/>
      <c r="AE434" s="487"/>
      <c r="AF434" s="577">
        <f t="shared" si="55"/>
        <v>0</v>
      </c>
      <c r="AG434" s="275">
        <f t="shared" si="56"/>
        <v>0</v>
      </c>
    </row>
    <row r="435" spans="1:33" ht="12" customHeight="1">
      <c r="A435" s="603" t="s">
        <v>1271</v>
      </c>
      <c r="B435" s="609" t="s">
        <v>1413</v>
      </c>
      <c r="C435" s="610" t="s">
        <v>422</v>
      </c>
      <c r="D435" s="606"/>
      <c r="E435" s="607"/>
      <c r="F435" s="573"/>
      <c r="G435" s="487"/>
      <c r="H435" s="573"/>
      <c r="I435" s="487"/>
      <c r="J435" s="573"/>
      <c r="K435" s="487"/>
      <c r="L435" s="573"/>
      <c r="M435" s="573"/>
      <c r="N435" s="456">
        <f t="shared" si="57"/>
        <v>0</v>
      </c>
      <c r="O435" s="487"/>
      <c r="P435" s="487"/>
      <c r="Q435" s="274">
        <f t="shared" si="52"/>
        <v>0</v>
      </c>
      <c r="R435" s="574">
        <f t="shared" si="53"/>
        <v>0</v>
      </c>
      <c r="S435" s="275">
        <f t="shared" si="54"/>
        <v>0</v>
      </c>
      <c r="T435" s="462"/>
      <c r="U435" s="487"/>
      <c r="V435" s="576"/>
      <c r="W435" s="573"/>
      <c r="X435" s="574">
        <f t="shared" si="58"/>
        <v>0</v>
      </c>
      <c r="Y435" s="487"/>
      <c r="Z435" s="487"/>
      <c r="AA435" s="276">
        <f t="shared" si="59"/>
        <v>0</v>
      </c>
      <c r="AB435" s="573"/>
      <c r="AC435" s="487"/>
      <c r="AD435" s="573"/>
      <c r="AE435" s="487"/>
      <c r="AF435" s="577">
        <f t="shared" si="55"/>
        <v>0</v>
      </c>
      <c r="AG435" s="275">
        <f t="shared" si="56"/>
        <v>0</v>
      </c>
    </row>
    <row r="436" spans="1:33" ht="12" customHeight="1">
      <c r="A436" s="603" t="s">
        <v>1271</v>
      </c>
      <c r="B436" s="609" t="s">
        <v>1582</v>
      </c>
      <c r="C436" s="610" t="s">
        <v>1883</v>
      </c>
      <c r="D436" s="606"/>
      <c r="E436" s="607"/>
      <c r="F436" s="573"/>
      <c r="G436" s="487"/>
      <c r="H436" s="573"/>
      <c r="I436" s="487"/>
      <c r="J436" s="573"/>
      <c r="K436" s="487"/>
      <c r="L436" s="573"/>
      <c r="M436" s="573"/>
      <c r="N436" s="456">
        <f t="shared" si="57"/>
        <v>0</v>
      </c>
      <c r="O436" s="487"/>
      <c r="P436" s="487"/>
      <c r="Q436" s="274">
        <f t="shared" si="52"/>
        <v>0</v>
      </c>
      <c r="R436" s="574">
        <f t="shared" si="53"/>
        <v>0</v>
      </c>
      <c r="S436" s="275">
        <f t="shared" si="54"/>
        <v>0</v>
      </c>
      <c r="T436" s="462">
        <v>2207070</v>
      </c>
      <c r="U436" s="487">
        <v>2390000</v>
      </c>
      <c r="V436" s="576"/>
      <c r="W436" s="573"/>
      <c r="X436" s="574">
        <f t="shared" si="58"/>
        <v>0</v>
      </c>
      <c r="Y436" s="487"/>
      <c r="Z436" s="487"/>
      <c r="AA436" s="276">
        <f t="shared" si="59"/>
        <v>0</v>
      </c>
      <c r="AB436" s="573"/>
      <c r="AC436" s="487"/>
      <c r="AD436" s="573"/>
      <c r="AE436" s="487"/>
      <c r="AF436" s="577">
        <f t="shared" si="55"/>
        <v>2207070</v>
      </c>
      <c r="AG436" s="275">
        <f t="shared" si="56"/>
        <v>2390000</v>
      </c>
    </row>
    <row r="437" spans="1:33" ht="12" customHeight="1">
      <c r="A437" s="603" t="s">
        <v>1271</v>
      </c>
      <c r="B437" s="609" t="s">
        <v>1583</v>
      </c>
      <c r="C437" s="610" t="s">
        <v>1761</v>
      </c>
      <c r="D437" s="606"/>
      <c r="E437" s="607"/>
      <c r="F437" s="573"/>
      <c r="G437" s="487"/>
      <c r="H437" s="573"/>
      <c r="I437" s="487"/>
      <c r="J437" s="573"/>
      <c r="K437" s="487"/>
      <c r="L437" s="573"/>
      <c r="M437" s="573"/>
      <c r="N437" s="456">
        <f t="shared" si="57"/>
        <v>0</v>
      </c>
      <c r="O437" s="487"/>
      <c r="P437" s="487"/>
      <c r="Q437" s="274">
        <f t="shared" si="52"/>
        <v>0</v>
      </c>
      <c r="R437" s="574">
        <f t="shared" si="53"/>
        <v>0</v>
      </c>
      <c r="S437" s="275">
        <f t="shared" si="54"/>
        <v>0</v>
      </c>
      <c r="T437" s="462"/>
      <c r="U437" s="487"/>
      <c r="V437" s="576"/>
      <c r="W437" s="573"/>
      <c r="X437" s="574">
        <f t="shared" si="58"/>
        <v>0</v>
      </c>
      <c r="Y437" s="487"/>
      <c r="Z437" s="487"/>
      <c r="AA437" s="276">
        <f t="shared" si="59"/>
        <v>0</v>
      </c>
      <c r="AB437" s="573"/>
      <c r="AC437" s="487"/>
      <c r="AD437" s="573"/>
      <c r="AE437" s="487"/>
      <c r="AF437" s="577">
        <f t="shared" si="55"/>
        <v>0</v>
      </c>
      <c r="AG437" s="275">
        <f t="shared" si="56"/>
        <v>0</v>
      </c>
    </row>
    <row r="438" spans="1:33" ht="12" customHeight="1">
      <c r="A438" s="603" t="s">
        <v>1271</v>
      </c>
      <c r="B438" s="598" t="s">
        <v>1805</v>
      </c>
      <c r="C438" s="467" t="s">
        <v>148</v>
      </c>
      <c r="D438" s="606"/>
      <c r="E438" s="607"/>
      <c r="F438" s="573"/>
      <c r="G438" s="487"/>
      <c r="H438" s="573"/>
      <c r="I438" s="487"/>
      <c r="J438" s="573"/>
      <c r="K438" s="487"/>
      <c r="L438" s="573"/>
      <c r="M438" s="573"/>
      <c r="N438" s="456">
        <f t="shared" si="57"/>
        <v>0</v>
      </c>
      <c r="O438" s="487"/>
      <c r="P438" s="487"/>
      <c r="Q438" s="274">
        <f t="shared" si="52"/>
        <v>0</v>
      </c>
      <c r="R438" s="574">
        <f t="shared" si="53"/>
        <v>0</v>
      </c>
      <c r="S438" s="275">
        <f t="shared" si="54"/>
        <v>0</v>
      </c>
      <c r="T438" s="462"/>
      <c r="U438" s="487"/>
      <c r="V438" s="576"/>
      <c r="W438" s="573"/>
      <c r="X438" s="574">
        <f t="shared" si="58"/>
        <v>0</v>
      </c>
      <c r="Y438" s="487"/>
      <c r="Z438" s="487"/>
      <c r="AA438" s="276">
        <f t="shared" si="59"/>
        <v>0</v>
      </c>
      <c r="AB438" s="573"/>
      <c r="AC438" s="487"/>
      <c r="AD438" s="573"/>
      <c r="AE438" s="487"/>
      <c r="AF438" s="577">
        <f t="shared" si="55"/>
        <v>0</v>
      </c>
      <c r="AG438" s="275">
        <f t="shared" si="56"/>
        <v>0</v>
      </c>
    </row>
    <row r="439" spans="1:33" ht="12" customHeight="1">
      <c r="A439" s="603" t="s">
        <v>1271</v>
      </c>
      <c r="B439" s="609" t="s">
        <v>1510</v>
      </c>
      <c r="C439" s="468" t="s">
        <v>421</v>
      </c>
      <c r="D439" s="606"/>
      <c r="E439" s="607"/>
      <c r="F439" s="573"/>
      <c r="G439" s="487"/>
      <c r="H439" s="573"/>
      <c r="I439" s="487"/>
      <c r="J439" s="573"/>
      <c r="K439" s="487"/>
      <c r="L439" s="573"/>
      <c r="M439" s="573"/>
      <c r="N439" s="456">
        <f t="shared" si="57"/>
        <v>0</v>
      </c>
      <c r="O439" s="487"/>
      <c r="P439" s="487"/>
      <c r="Q439" s="274">
        <f t="shared" si="52"/>
        <v>0</v>
      </c>
      <c r="R439" s="574">
        <f t="shared" si="53"/>
        <v>0</v>
      </c>
      <c r="S439" s="275">
        <f t="shared" si="54"/>
        <v>0</v>
      </c>
      <c r="T439" s="462"/>
      <c r="U439" s="487"/>
      <c r="V439" s="576"/>
      <c r="W439" s="573"/>
      <c r="X439" s="574">
        <f t="shared" si="58"/>
        <v>0</v>
      </c>
      <c r="Y439" s="487"/>
      <c r="Z439" s="487"/>
      <c r="AA439" s="276">
        <f t="shared" si="59"/>
        <v>0</v>
      </c>
      <c r="AB439" s="573"/>
      <c r="AC439" s="487"/>
      <c r="AD439" s="573"/>
      <c r="AE439" s="487"/>
      <c r="AF439" s="577">
        <f t="shared" si="55"/>
        <v>0</v>
      </c>
      <c r="AG439" s="275">
        <f t="shared" si="56"/>
        <v>0</v>
      </c>
    </row>
    <row r="440" spans="1:33" ht="12" customHeight="1">
      <c r="A440" s="603" t="s">
        <v>1271</v>
      </c>
      <c r="B440" s="609" t="s">
        <v>1511</v>
      </c>
      <c r="C440" s="468" t="s">
        <v>1883</v>
      </c>
      <c r="D440" s="606"/>
      <c r="E440" s="607"/>
      <c r="F440" s="573"/>
      <c r="G440" s="487"/>
      <c r="H440" s="573"/>
      <c r="I440" s="487"/>
      <c r="J440" s="573"/>
      <c r="K440" s="487"/>
      <c r="L440" s="573"/>
      <c r="M440" s="573"/>
      <c r="N440" s="456">
        <f t="shared" si="57"/>
        <v>0</v>
      </c>
      <c r="O440" s="487"/>
      <c r="P440" s="487"/>
      <c r="Q440" s="274">
        <f t="shared" si="52"/>
        <v>0</v>
      </c>
      <c r="R440" s="574">
        <f t="shared" si="53"/>
        <v>0</v>
      </c>
      <c r="S440" s="275">
        <f t="shared" si="54"/>
        <v>0</v>
      </c>
      <c r="T440" s="462">
        <v>888506</v>
      </c>
      <c r="U440" s="487">
        <v>1278722</v>
      </c>
      <c r="V440" s="576"/>
      <c r="W440" s="573"/>
      <c r="X440" s="574">
        <f t="shared" si="58"/>
        <v>0</v>
      </c>
      <c r="Y440" s="487"/>
      <c r="Z440" s="487"/>
      <c r="AA440" s="276">
        <f t="shared" si="59"/>
        <v>0</v>
      </c>
      <c r="AB440" s="573"/>
      <c r="AC440" s="487"/>
      <c r="AD440" s="573"/>
      <c r="AE440" s="487"/>
      <c r="AF440" s="577">
        <f t="shared" si="55"/>
        <v>888506</v>
      </c>
      <c r="AG440" s="275">
        <f t="shared" si="56"/>
        <v>1278722</v>
      </c>
    </row>
    <row r="441" spans="1:33" ht="12" customHeight="1">
      <c r="A441" s="603" t="s">
        <v>1271</v>
      </c>
      <c r="B441" s="609" t="s">
        <v>1412</v>
      </c>
      <c r="C441" s="468" t="s">
        <v>1761</v>
      </c>
      <c r="D441" s="606"/>
      <c r="E441" s="607"/>
      <c r="F441" s="573"/>
      <c r="G441" s="487"/>
      <c r="H441" s="573"/>
      <c r="I441" s="487"/>
      <c r="J441" s="573"/>
      <c r="K441" s="487"/>
      <c r="L441" s="573"/>
      <c r="M441" s="573"/>
      <c r="N441" s="456">
        <f t="shared" si="57"/>
        <v>0</v>
      </c>
      <c r="O441" s="487"/>
      <c r="P441" s="487"/>
      <c r="Q441" s="274">
        <f t="shared" si="52"/>
        <v>0</v>
      </c>
      <c r="R441" s="574">
        <f t="shared" si="53"/>
        <v>0</v>
      </c>
      <c r="S441" s="275">
        <f t="shared" si="54"/>
        <v>0</v>
      </c>
      <c r="T441" s="462"/>
      <c r="U441" s="487"/>
      <c r="V441" s="576"/>
      <c r="W441" s="573"/>
      <c r="X441" s="574">
        <f t="shared" si="58"/>
        <v>0</v>
      </c>
      <c r="Y441" s="487"/>
      <c r="Z441" s="487"/>
      <c r="AA441" s="276">
        <f t="shared" si="59"/>
        <v>0</v>
      </c>
      <c r="AB441" s="573"/>
      <c r="AC441" s="487"/>
      <c r="AD441" s="573"/>
      <c r="AE441" s="487"/>
      <c r="AF441" s="577">
        <f t="shared" si="55"/>
        <v>0</v>
      </c>
      <c r="AG441" s="275">
        <f t="shared" si="56"/>
        <v>0</v>
      </c>
    </row>
    <row r="442" spans="1:33" ht="12" customHeight="1">
      <c r="A442" s="603" t="s">
        <v>1271</v>
      </c>
      <c r="B442" s="609" t="s">
        <v>1413</v>
      </c>
      <c r="C442" s="468" t="s">
        <v>422</v>
      </c>
      <c r="D442" s="606"/>
      <c r="E442" s="607"/>
      <c r="F442" s="573"/>
      <c r="G442" s="487"/>
      <c r="H442" s="573"/>
      <c r="I442" s="487"/>
      <c r="J442" s="573"/>
      <c r="K442" s="487"/>
      <c r="L442" s="573"/>
      <c r="M442" s="573"/>
      <c r="N442" s="456">
        <f t="shared" si="57"/>
        <v>0</v>
      </c>
      <c r="O442" s="487"/>
      <c r="P442" s="487"/>
      <c r="Q442" s="274">
        <f t="shared" si="52"/>
        <v>0</v>
      </c>
      <c r="R442" s="574">
        <f t="shared" si="53"/>
        <v>0</v>
      </c>
      <c r="S442" s="275">
        <f t="shared" si="54"/>
        <v>0</v>
      </c>
      <c r="T442" s="462"/>
      <c r="U442" s="487"/>
      <c r="V442" s="576"/>
      <c r="W442" s="573"/>
      <c r="X442" s="574">
        <f t="shared" si="58"/>
        <v>0</v>
      </c>
      <c r="Y442" s="487"/>
      <c r="Z442" s="487"/>
      <c r="AA442" s="276">
        <f t="shared" si="59"/>
        <v>0</v>
      </c>
      <c r="AB442" s="573"/>
      <c r="AC442" s="487"/>
      <c r="AD442" s="573"/>
      <c r="AE442" s="487"/>
      <c r="AF442" s="577">
        <f t="shared" si="55"/>
        <v>0</v>
      </c>
      <c r="AG442" s="275">
        <f t="shared" si="56"/>
        <v>0</v>
      </c>
    </row>
    <row r="443" spans="1:33" ht="12" customHeight="1">
      <c r="A443" s="603" t="s">
        <v>1271</v>
      </c>
      <c r="B443" s="609" t="s">
        <v>1582</v>
      </c>
      <c r="C443" s="468" t="s">
        <v>1883</v>
      </c>
      <c r="D443" s="606"/>
      <c r="E443" s="607"/>
      <c r="F443" s="573"/>
      <c r="G443" s="487"/>
      <c r="H443" s="573"/>
      <c r="I443" s="487"/>
      <c r="J443" s="573"/>
      <c r="K443" s="487"/>
      <c r="L443" s="573"/>
      <c r="M443" s="573"/>
      <c r="N443" s="456">
        <f t="shared" si="57"/>
        <v>0</v>
      </c>
      <c r="O443" s="487"/>
      <c r="P443" s="487"/>
      <c r="Q443" s="274">
        <f t="shared" si="52"/>
        <v>0</v>
      </c>
      <c r="R443" s="574">
        <f t="shared" si="53"/>
        <v>0</v>
      </c>
      <c r="S443" s="275">
        <f t="shared" si="54"/>
        <v>0</v>
      </c>
      <c r="T443" s="462">
        <v>97750</v>
      </c>
      <c r="U443" s="487">
        <v>152500</v>
      </c>
      <c r="V443" s="576"/>
      <c r="W443" s="573"/>
      <c r="X443" s="574">
        <f t="shared" si="58"/>
        <v>0</v>
      </c>
      <c r="Y443" s="487"/>
      <c r="Z443" s="487"/>
      <c r="AA443" s="276">
        <f t="shared" si="59"/>
        <v>0</v>
      </c>
      <c r="AB443" s="573"/>
      <c r="AC443" s="487"/>
      <c r="AD443" s="573"/>
      <c r="AE443" s="487"/>
      <c r="AF443" s="577">
        <f t="shared" si="55"/>
        <v>97750</v>
      </c>
      <c r="AG443" s="275">
        <f t="shared" si="56"/>
        <v>152500</v>
      </c>
    </row>
    <row r="444" spans="1:33" ht="12" customHeight="1">
      <c r="A444" s="603" t="s">
        <v>1271</v>
      </c>
      <c r="B444" s="609" t="s">
        <v>1583</v>
      </c>
      <c r="C444" s="468" t="s">
        <v>1761</v>
      </c>
      <c r="D444" s="606"/>
      <c r="E444" s="607"/>
      <c r="F444" s="573"/>
      <c r="G444" s="487"/>
      <c r="H444" s="573"/>
      <c r="I444" s="487"/>
      <c r="J444" s="573"/>
      <c r="K444" s="487"/>
      <c r="L444" s="573"/>
      <c r="M444" s="573"/>
      <c r="N444" s="456">
        <f t="shared" si="57"/>
        <v>0</v>
      </c>
      <c r="O444" s="487"/>
      <c r="P444" s="487"/>
      <c r="Q444" s="274">
        <f t="shared" si="52"/>
        <v>0</v>
      </c>
      <c r="R444" s="574">
        <f t="shared" si="53"/>
        <v>0</v>
      </c>
      <c r="S444" s="275">
        <f t="shared" si="54"/>
        <v>0</v>
      </c>
      <c r="T444" s="462"/>
      <c r="U444" s="487"/>
      <c r="V444" s="576"/>
      <c r="W444" s="573"/>
      <c r="X444" s="574">
        <f t="shared" si="58"/>
        <v>0</v>
      </c>
      <c r="Y444" s="487"/>
      <c r="Z444" s="487"/>
      <c r="AA444" s="276">
        <f t="shared" si="59"/>
        <v>0</v>
      </c>
      <c r="AB444" s="573"/>
      <c r="AC444" s="487"/>
      <c r="AD444" s="573"/>
      <c r="AE444" s="487"/>
      <c r="AF444" s="577">
        <f t="shared" si="55"/>
        <v>0</v>
      </c>
      <c r="AG444" s="275">
        <f t="shared" si="56"/>
        <v>0</v>
      </c>
    </row>
    <row r="445" spans="1:33" ht="12" customHeight="1">
      <c r="A445" s="603" t="s">
        <v>1271</v>
      </c>
      <c r="B445" s="598" t="s">
        <v>1805</v>
      </c>
      <c r="C445" s="296" t="s">
        <v>1669</v>
      </c>
      <c r="D445" s="606"/>
      <c r="E445" s="607"/>
      <c r="F445" s="573"/>
      <c r="G445" s="487"/>
      <c r="H445" s="573"/>
      <c r="I445" s="487"/>
      <c r="J445" s="573"/>
      <c r="K445" s="487"/>
      <c r="L445" s="573"/>
      <c r="M445" s="573"/>
      <c r="N445" s="456">
        <f t="shared" si="57"/>
        <v>0</v>
      </c>
      <c r="O445" s="487"/>
      <c r="P445" s="487"/>
      <c r="Q445" s="274">
        <f t="shared" si="52"/>
        <v>0</v>
      </c>
      <c r="R445" s="574">
        <f t="shared" si="53"/>
        <v>0</v>
      </c>
      <c r="S445" s="275">
        <f t="shared" si="54"/>
        <v>0</v>
      </c>
      <c r="T445" s="462"/>
      <c r="U445" s="487"/>
      <c r="V445" s="576"/>
      <c r="W445" s="573"/>
      <c r="X445" s="574">
        <f t="shared" si="58"/>
        <v>0</v>
      </c>
      <c r="Y445" s="487"/>
      <c r="Z445" s="487"/>
      <c r="AA445" s="276">
        <f t="shared" si="59"/>
        <v>0</v>
      </c>
      <c r="AB445" s="573"/>
      <c r="AC445" s="487"/>
      <c r="AD445" s="573"/>
      <c r="AE445" s="487"/>
      <c r="AF445" s="577">
        <f t="shared" si="55"/>
        <v>0</v>
      </c>
      <c r="AG445" s="275">
        <f t="shared" si="56"/>
        <v>0</v>
      </c>
    </row>
    <row r="446" spans="1:33" ht="12" customHeight="1">
      <c r="A446" s="603" t="s">
        <v>1271</v>
      </c>
      <c r="B446" s="609" t="s">
        <v>1510</v>
      </c>
      <c r="C446" s="610" t="s">
        <v>421</v>
      </c>
      <c r="D446" s="606"/>
      <c r="E446" s="607"/>
      <c r="F446" s="573"/>
      <c r="G446" s="487"/>
      <c r="H446" s="573"/>
      <c r="I446" s="487"/>
      <c r="J446" s="573"/>
      <c r="K446" s="487"/>
      <c r="L446" s="573"/>
      <c r="M446" s="573"/>
      <c r="N446" s="456">
        <f t="shared" si="57"/>
        <v>0</v>
      </c>
      <c r="O446" s="487"/>
      <c r="P446" s="487"/>
      <c r="Q446" s="274">
        <f t="shared" si="52"/>
        <v>0</v>
      </c>
      <c r="R446" s="574">
        <f t="shared" si="53"/>
        <v>0</v>
      </c>
      <c r="S446" s="275">
        <f t="shared" si="54"/>
        <v>0</v>
      </c>
      <c r="T446" s="462"/>
      <c r="U446" s="487"/>
      <c r="V446" s="576"/>
      <c r="W446" s="573"/>
      <c r="X446" s="574">
        <f t="shared" si="58"/>
        <v>0</v>
      </c>
      <c r="Y446" s="487"/>
      <c r="Z446" s="487"/>
      <c r="AA446" s="276">
        <f t="shared" si="59"/>
        <v>0</v>
      </c>
      <c r="AB446" s="573"/>
      <c r="AC446" s="487"/>
      <c r="AD446" s="573"/>
      <c r="AE446" s="487"/>
      <c r="AF446" s="577">
        <f t="shared" si="55"/>
        <v>0</v>
      </c>
      <c r="AG446" s="275">
        <f t="shared" si="56"/>
        <v>0</v>
      </c>
    </row>
    <row r="447" spans="1:33" ht="12" customHeight="1">
      <c r="A447" s="603" t="s">
        <v>1271</v>
      </c>
      <c r="B447" s="609" t="s">
        <v>1511</v>
      </c>
      <c r="C447" s="610" t="s">
        <v>1883</v>
      </c>
      <c r="D447" s="606"/>
      <c r="E447" s="607"/>
      <c r="F447" s="573"/>
      <c r="G447" s="487"/>
      <c r="H447" s="573"/>
      <c r="I447" s="487"/>
      <c r="J447" s="573"/>
      <c r="K447" s="487"/>
      <c r="L447" s="573"/>
      <c r="M447" s="573"/>
      <c r="N447" s="456">
        <f t="shared" si="57"/>
        <v>0</v>
      </c>
      <c r="O447" s="487"/>
      <c r="P447" s="487"/>
      <c r="Q447" s="274">
        <f t="shared" si="52"/>
        <v>0</v>
      </c>
      <c r="R447" s="574">
        <f t="shared" si="53"/>
        <v>0</v>
      </c>
      <c r="S447" s="275">
        <f t="shared" si="54"/>
        <v>0</v>
      </c>
      <c r="T447" s="462"/>
      <c r="U447" s="487"/>
      <c r="V447" s="576"/>
      <c r="W447" s="573"/>
      <c r="X447" s="574">
        <f t="shared" si="58"/>
        <v>0</v>
      </c>
      <c r="Y447" s="487"/>
      <c r="Z447" s="487"/>
      <c r="AA447" s="276">
        <f t="shared" si="59"/>
        <v>0</v>
      </c>
      <c r="AB447" s="573"/>
      <c r="AC447" s="487"/>
      <c r="AD447" s="573"/>
      <c r="AE447" s="487"/>
      <c r="AF447" s="577">
        <f t="shared" si="55"/>
        <v>0</v>
      </c>
      <c r="AG447" s="275">
        <f t="shared" si="56"/>
        <v>0</v>
      </c>
    </row>
    <row r="448" spans="1:33" ht="12" customHeight="1">
      <c r="A448" s="603" t="s">
        <v>1271</v>
      </c>
      <c r="B448" s="609" t="s">
        <v>1412</v>
      </c>
      <c r="C448" s="610" t="s">
        <v>1761</v>
      </c>
      <c r="D448" s="606"/>
      <c r="E448" s="607"/>
      <c r="F448" s="573"/>
      <c r="G448" s="487"/>
      <c r="H448" s="573"/>
      <c r="I448" s="487"/>
      <c r="J448" s="573"/>
      <c r="K448" s="487"/>
      <c r="L448" s="573"/>
      <c r="M448" s="573"/>
      <c r="N448" s="456">
        <f t="shared" si="57"/>
        <v>0</v>
      </c>
      <c r="O448" s="487"/>
      <c r="P448" s="487"/>
      <c r="Q448" s="274">
        <f t="shared" si="52"/>
        <v>0</v>
      </c>
      <c r="R448" s="574">
        <f t="shared" si="53"/>
        <v>0</v>
      </c>
      <c r="S448" s="275">
        <f t="shared" si="54"/>
        <v>0</v>
      </c>
      <c r="T448" s="462">
        <v>55829</v>
      </c>
      <c r="U448" s="487">
        <v>75000</v>
      </c>
      <c r="V448" s="576"/>
      <c r="W448" s="573"/>
      <c r="X448" s="574">
        <f t="shared" si="58"/>
        <v>0</v>
      </c>
      <c r="Y448" s="487"/>
      <c r="Z448" s="487"/>
      <c r="AA448" s="276">
        <f t="shared" si="59"/>
        <v>0</v>
      </c>
      <c r="AB448" s="573"/>
      <c r="AC448" s="487"/>
      <c r="AD448" s="573"/>
      <c r="AE448" s="487"/>
      <c r="AF448" s="577">
        <f t="shared" si="55"/>
        <v>55829</v>
      </c>
      <c r="AG448" s="275">
        <f t="shared" si="56"/>
        <v>75000</v>
      </c>
    </row>
    <row r="449" spans="1:33" ht="12" customHeight="1">
      <c r="A449" s="603" t="s">
        <v>1271</v>
      </c>
      <c r="B449" s="609" t="s">
        <v>1413</v>
      </c>
      <c r="C449" s="610" t="s">
        <v>422</v>
      </c>
      <c r="D449" s="606"/>
      <c r="E449" s="607"/>
      <c r="F449" s="573"/>
      <c r="G449" s="487"/>
      <c r="H449" s="573"/>
      <c r="I449" s="487"/>
      <c r="J449" s="573"/>
      <c r="K449" s="487"/>
      <c r="L449" s="573"/>
      <c r="M449" s="573"/>
      <c r="N449" s="456">
        <f t="shared" si="57"/>
        <v>0</v>
      </c>
      <c r="O449" s="487"/>
      <c r="P449" s="487"/>
      <c r="Q449" s="274">
        <f t="shared" si="52"/>
        <v>0</v>
      </c>
      <c r="R449" s="574">
        <f t="shared" si="53"/>
        <v>0</v>
      </c>
      <c r="S449" s="275">
        <f t="shared" si="54"/>
        <v>0</v>
      </c>
      <c r="T449" s="462"/>
      <c r="U449" s="487"/>
      <c r="V449" s="576"/>
      <c r="W449" s="573"/>
      <c r="X449" s="574">
        <f t="shared" si="58"/>
        <v>0</v>
      </c>
      <c r="Y449" s="487"/>
      <c r="Z449" s="487"/>
      <c r="AA449" s="276">
        <f t="shared" si="59"/>
        <v>0</v>
      </c>
      <c r="AB449" s="573"/>
      <c r="AC449" s="487"/>
      <c r="AD449" s="573"/>
      <c r="AE449" s="487"/>
      <c r="AF449" s="577">
        <f t="shared" si="55"/>
        <v>0</v>
      </c>
      <c r="AG449" s="275">
        <f t="shared" si="56"/>
        <v>0</v>
      </c>
    </row>
    <row r="450" spans="1:33" ht="12" customHeight="1">
      <c r="A450" s="603" t="s">
        <v>1271</v>
      </c>
      <c r="B450" s="609" t="s">
        <v>1582</v>
      </c>
      <c r="C450" s="610" t="s">
        <v>1883</v>
      </c>
      <c r="D450" s="606"/>
      <c r="E450" s="607"/>
      <c r="F450" s="573"/>
      <c r="G450" s="487"/>
      <c r="H450" s="573"/>
      <c r="I450" s="487"/>
      <c r="J450" s="573"/>
      <c r="K450" s="487"/>
      <c r="L450" s="573"/>
      <c r="M450" s="573"/>
      <c r="N450" s="456">
        <f t="shared" si="57"/>
        <v>0</v>
      </c>
      <c r="O450" s="487"/>
      <c r="P450" s="487"/>
      <c r="Q450" s="274">
        <f t="shared" si="52"/>
        <v>0</v>
      </c>
      <c r="R450" s="574">
        <f t="shared" si="53"/>
        <v>0</v>
      </c>
      <c r="S450" s="275">
        <f t="shared" si="54"/>
        <v>0</v>
      </c>
      <c r="T450" s="462"/>
      <c r="U450" s="487"/>
      <c r="V450" s="576"/>
      <c r="W450" s="573"/>
      <c r="X450" s="574">
        <f t="shared" si="58"/>
        <v>0</v>
      </c>
      <c r="Y450" s="487"/>
      <c r="Z450" s="487"/>
      <c r="AA450" s="276">
        <f t="shared" si="59"/>
        <v>0</v>
      </c>
      <c r="AB450" s="573"/>
      <c r="AC450" s="487"/>
      <c r="AD450" s="573"/>
      <c r="AE450" s="487"/>
      <c r="AF450" s="577">
        <f t="shared" si="55"/>
        <v>0</v>
      </c>
      <c r="AG450" s="275">
        <f t="shared" si="56"/>
        <v>0</v>
      </c>
    </row>
    <row r="451" spans="1:33" ht="12" customHeight="1">
      <c r="A451" s="603" t="s">
        <v>1271</v>
      </c>
      <c r="B451" s="609" t="s">
        <v>1583</v>
      </c>
      <c r="C451" s="610" t="s">
        <v>1761</v>
      </c>
      <c r="D451" s="606"/>
      <c r="E451" s="607"/>
      <c r="F451" s="573"/>
      <c r="G451" s="487"/>
      <c r="H451" s="573"/>
      <c r="I451" s="487"/>
      <c r="J451" s="573"/>
      <c r="K451" s="487"/>
      <c r="L451" s="573"/>
      <c r="M451" s="573"/>
      <c r="N451" s="456">
        <f t="shared" si="57"/>
        <v>0</v>
      </c>
      <c r="O451" s="487"/>
      <c r="P451" s="487"/>
      <c r="Q451" s="274">
        <f t="shared" si="52"/>
        <v>0</v>
      </c>
      <c r="R451" s="574">
        <f t="shared" si="53"/>
        <v>0</v>
      </c>
      <c r="S451" s="275">
        <f t="shared" si="54"/>
        <v>0</v>
      </c>
      <c r="T451" s="462">
        <v>7627</v>
      </c>
      <c r="U451" s="487">
        <v>5000</v>
      </c>
      <c r="V451" s="576"/>
      <c r="W451" s="573"/>
      <c r="X451" s="574">
        <f t="shared" si="58"/>
        <v>0</v>
      </c>
      <c r="Y451" s="487"/>
      <c r="Z451" s="487"/>
      <c r="AA451" s="276">
        <f t="shared" si="59"/>
        <v>0</v>
      </c>
      <c r="AB451" s="573"/>
      <c r="AC451" s="487"/>
      <c r="AD451" s="573"/>
      <c r="AE451" s="487"/>
      <c r="AF451" s="577">
        <f t="shared" si="55"/>
        <v>7627</v>
      </c>
      <c r="AG451" s="275">
        <f t="shared" si="56"/>
        <v>5000</v>
      </c>
    </row>
    <row r="452" spans="1:33" ht="12" customHeight="1">
      <c r="A452" s="603" t="s">
        <v>1271</v>
      </c>
      <c r="B452" s="598" t="s">
        <v>1805</v>
      </c>
      <c r="C452" s="296" t="s">
        <v>1670</v>
      </c>
      <c r="D452" s="606"/>
      <c r="E452" s="607"/>
      <c r="F452" s="573"/>
      <c r="G452" s="487"/>
      <c r="H452" s="573"/>
      <c r="I452" s="487"/>
      <c r="J452" s="573"/>
      <c r="K452" s="487"/>
      <c r="L452" s="573"/>
      <c r="M452" s="573"/>
      <c r="N452" s="456">
        <f t="shared" si="57"/>
        <v>0</v>
      </c>
      <c r="O452" s="487"/>
      <c r="P452" s="487"/>
      <c r="Q452" s="274">
        <f t="shared" si="52"/>
        <v>0</v>
      </c>
      <c r="R452" s="574">
        <f t="shared" si="53"/>
        <v>0</v>
      </c>
      <c r="S452" s="275">
        <f t="shared" si="54"/>
        <v>0</v>
      </c>
      <c r="T452" s="462"/>
      <c r="U452" s="487"/>
      <c r="V452" s="576"/>
      <c r="W452" s="573"/>
      <c r="X452" s="574">
        <f t="shared" si="58"/>
        <v>0</v>
      </c>
      <c r="Y452" s="487"/>
      <c r="Z452" s="487"/>
      <c r="AA452" s="276">
        <f t="shared" si="59"/>
        <v>0</v>
      </c>
      <c r="AB452" s="573"/>
      <c r="AC452" s="487"/>
      <c r="AD452" s="573"/>
      <c r="AE452" s="487"/>
      <c r="AF452" s="577">
        <f t="shared" si="55"/>
        <v>0</v>
      </c>
      <c r="AG452" s="275">
        <f t="shared" si="56"/>
        <v>0</v>
      </c>
    </row>
    <row r="453" spans="1:33" ht="12" customHeight="1">
      <c r="A453" s="603" t="s">
        <v>1271</v>
      </c>
      <c r="B453" s="609" t="s">
        <v>1510</v>
      </c>
      <c r="C453" s="610" t="s">
        <v>421</v>
      </c>
      <c r="D453" s="606"/>
      <c r="E453" s="607"/>
      <c r="F453" s="573"/>
      <c r="G453" s="487"/>
      <c r="H453" s="573"/>
      <c r="I453" s="487"/>
      <c r="J453" s="573"/>
      <c r="K453" s="487"/>
      <c r="L453" s="573"/>
      <c r="M453" s="573"/>
      <c r="N453" s="456">
        <f t="shared" si="57"/>
        <v>0</v>
      </c>
      <c r="O453" s="487"/>
      <c r="P453" s="487"/>
      <c r="Q453" s="274">
        <f t="shared" si="52"/>
        <v>0</v>
      </c>
      <c r="R453" s="574">
        <f t="shared" si="53"/>
        <v>0</v>
      </c>
      <c r="S453" s="275">
        <f t="shared" si="54"/>
        <v>0</v>
      </c>
      <c r="T453" s="462"/>
      <c r="U453" s="487"/>
      <c r="V453" s="576"/>
      <c r="W453" s="573"/>
      <c r="X453" s="574">
        <f t="shared" si="58"/>
        <v>0</v>
      </c>
      <c r="Y453" s="487"/>
      <c r="Z453" s="487"/>
      <c r="AA453" s="276">
        <f t="shared" si="59"/>
        <v>0</v>
      </c>
      <c r="AB453" s="573"/>
      <c r="AC453" s="487"/>
      <c r="AD453" s="573"/>
      <c r="AE453" s="487"/>
      <c r="AF453" s="577">
        <f t="shared" si="55"/>
        <v>0</v>
      </c>
      <c r="AG453" s="275">
        <f t="shared" si="56"/>
        <v>0</v>
      </c>
    </row>
    <row r="454" spans="1:33" ht="12" customHeight="1">
      <c r="A454" s="603" t="s">
        <v>1271</v>
      </c>
      <c r="B454" s="609" t="s">
        <v>1511</v>
      </c>
      <c r="C454" s="610" t="s">
        <v>1883</v>
      </c>
      <c r="D454" s="606"/>
      <c r="E454" s="607"/>
      <c r="F454" s="573"/>
      <c r="G454" s="487"/>
      <c r="H454" s="573"/>
      <c r="I454" s="487"/>
      <c r="J454" s="573"/>
      <c r="K454" s="487"/>
      <c r="L454" s="573"/>
      <c r="M454" s="573"/>
      <c r="N454" s="456">
        <f t="shared" si="57"/>
        <v>0</v>
      </c>
      <c r="O454" s="487"/>
      <c r="P454" s="487"/>
      <c r="Q454" s="274">
        <f t="shared" si="52"/>
        <v>0</v>
      </c>
      <c r="R454" s="574">
        <f t="shared" si="53"/>
        <v>0</v>
      </c>
      <c r="S454" s="275">
        <f t="shared" si="54"/>
        <v>0</v>
      </c>
      <c r="T454" s="462"/>
      <c r="U454" s="487"/>
      <c r="V454" s="576"/>
      <c r="W454" s="573"/>
      <c r="X454" s="574">
        <f t="shared" si="58"/>
        <v>0</v>
      </c>
      <c r="Y454" s="487"/>
      <c r="Z454" s="487"/>
      <c r="AA454" s="276">
        <f t="shared" si="59"/>
        <v>0</v>
      </c>
      <c r="AB454" s="573"/>
      <c r="AC454" s="487"/>
      <c r="AD454" s="573"/>
      <c r="AE454" s="487"/>
      <c r="AF454" s="577">
        <f t="shared" si="55"/>
        <v>0</v>
      </c>
      <c r="AG454" s="275">
        <f t="shared" si="56"/>
        <v>0</v>
      </c>
    </row>
    <row r="455" spans="1:33" ht="12" customHeight="1">
      <c r="A455" s="603" t="s">
        <v>1271</v>
      </c>
      <c r="B455" s="609" t="s">
        <v>1412</v>
      </c>
      <c r="C455" s="610" t="s">
        <v>1761</v>
      </c>
      <c r="D455" s="606"/>
      <c r="E455" s="607"/>
      <c r="F455" s="573"/>
      <c r="G455" s="487"/>
      <c r="H455" s="573"/>
      <c r="I455" s="487"/>
      <c r="J455" s="573"/>
      <c r="K455" s="487"/>
      <c r="L455" s="573"/>
      <c r="M455" s="573"/>
      <c r="N455" s="456">
        <f t="shared" si="57"/>
        <v>0</v>
      </c>
      <c r="O455" s="487"/>
      <c r="P455" s="487"/>
      <c r="Q455" s="274">
        <f t="shared" si="52"/>
        <v>0</v>
      </c>
      <c r="R455" s="574">
        <f t="shared" si="53"/>
        <v>0</v>
      </c>
      <c r="S455" s="275">
        <f t="shared" si="54"/>
        <v>0</v>
      </c>
      <c r="T455" s="462">
        <v>14917</v>
      </c>
      <c r="U455" s="487">
        <v>13958</v>
      </c>
      <c r="V455" s="576"/>
      <c r="W455" s="573"/>
      <c r="X455" s="574">
        <f t="shared" si="58"/>
        <v>0</v>
      </c>
      <c r="Y455" s="487"/>
      <c r="Z455" s="487"/>
      <c r="AA455" s="276">
        <f t="shared" si="59"/>
        <v>0</v>
      </c>
      <c r="AB455" s="573"/>
      <c r="AC455" s="487"/>
      <c r="AD455" s="573"/>
      <c r="AE455" s="487"/>
      <c r="AF455" s="577">
        <f t="shared" si="55"/>
        <v>14917</v>
      </c>
      <c r="AG455" s="275">
        <f t="shared" si="56"/>
        <v>13958</v>
      </c>
    </row>
    <row r="456" spans="1:33" ht="12" customHeight="1">
      <c r="A456" s="603" t="s">
        <v>1271</v>
      </c>
      <c r="B456" s="609" t="s">
        <v>1413</v>
      </c>
      <c r="C456" s="610" t="s">
        <v>422</v>
      </c>
      <c r="D456" s="606"/>
      <c r="E456" s="607"/>
      <c r="F456" s="573"/>
      <c r="G456" s="487"/>
      <c r="H456" s="573"/>
      <c r="I456" s="487"/>
      <c r="J456" s="573"/>
      <c r="K456" s="487"/>
      <c r="L456" s="573"/>
      <c r="M456" s="573"/>
      <c r="N456" s="456">
        <f t="shared" si="57"/>
        <v>0</v>
      </c>
      <c r="O456" s="487"/>
      <c r="P456" s="487"/>
      <c r="Q456" s="274">
        <f t="shared" si="52"/>
        <v>0</v>
      </c>
      <c r="R456" s="574">
        <f t="shared" si="53"/>
        <v>0</v>
      </c>
      <c r="S456" s="275">
        <f t="shared" si="54"/>
        <v>0</v>
      </c>
      <c r="T456" s="462"/>
      <c r="U456" s="487"/>
      <c r="V456" s="576"/>
      <c r="W456" s="573"/>
      <c r="X456" s="574">
        <f t="shared" si="58"/>
        <v>0</v>
      </c>
      <c r="Y456" s="487"/>
      <c r="Z456" s="487"/>
      <c r="AA456" s="276">
        <f t="shared" si="59"/>
        <v>0</v>
      </c>
      <c r="AB456" s="573"/>
      <c r="AC456" s="487"/>
      <c r="AD456" s="573"/>
      <c r="AE456" s="487"/>
      <c r="AF456" s="577">
        <f t="shared" si="55"/>
        <v>0</v>
      </c>
      <c r="AG456" s="275">
        <f t="shared" si="56"/>
        <v>0</v>
      </c>
    </row>
    <row r="457" spans="1:33" ht="12" customHeight="1">
      <c r="A457" s="603" t="s">
        <v>1271</v>
      </c>
      <c r="B457" s="609" t="s">
        <v>1582</v>
      </c>
      <c r="C457" s="610" t="s">
        <v>1883</v>
      </c>
      <c r="D457" s="606"/>
      <c r="E457" s="607"/>
      <c r="F457" s="573"/>
      <c r="G457" s="487"/>
      <c r="H457" s="573"/>
      <c r="I457" s="487"/>
      <c r="J457" s="573"/>
      <c r="K457" s="487"/>
      <c r="L457" s="573"/>
      <c r="M457" s="573"/>
      <c r="N457" s="456">
        <f t="shared" si="57"/>
        <v>0</v>
      </c>
      <c r="O457" s="487"/>
      <c r="P457" s="487"/>
      <c r="Q457" s="274">
        <f t="shared" si="52"/>
        <v>0</v>
      </c>
      <c r="R457" s="574">
        <f t="shared" si="53"/>
        <v>0</v>
      </c>
      <c r="S457" s="275">
        <f t="shared" si="54"/>
        <v>0</v>
      </c>
      <c r="T457" s="462"/>
      <c r="U457" s="487"/>
      <c r="V457" s="576"/>
      <c r="W457" s="573"/>
      <c r="X457" s="574">
        <f t="shared" si="58"/>
        <v>0</v>
      </c>
      <c r="Y457" s="487"/>
      <c r="Z457" s="487"/>
      <c r="AA457" s="276">
        <f t="shared" si="59"/>
        <v>0</v>
      </c>
      <c r="AB457" s="573"/>
      <c r="AC457" s="487"/>
      <c r="AD457" s="573"/>
      <c r="AE457" s="487"/>
      <c r="AF457" s="577">
        <f t="shared" si="55"/>
        <v>0</v>
      </c>
      <c r="AG457" s="275">
        <f t="shared" si="56"/>
        <v>0</v>
      </c>
    </row>
    <row r="458" spans="1:33" ht="12" customHeight="1">
      <c r="A458" s="603" t="s">
        <v>1271</v>
      </c>
      <c r="B458" s="609" t="s">
        <v>1583</v>
      </c>
      <c r="C458" s="610" t="s">
        <v>1761</v>
      </c>
      <c r="D458" s="606"/>
      <c r="E458" s="607"/>
      <c r="F458" s="573"/>
      <c r="G458" s="487"/>
      <c r="H458" s="573"/>
      <c r="I458" s="487"/>
      <c r="J458" s="573"/>
      <c r="K458" s="487"/>
      <c r="L458" s="573"/>
      <c r="M458" s="573"/>
      <c r="N458" s="456">
        <f t="shared" si="57"/>
        <v>0</v>
      </c>
      <c r="O458" s="487"/>
      <c r="P458" s="487"/>
      <c r="Q458" s="274">
        <f t="shared" ref="Q458:Q521" si="60">SUM(O458:P458)</f>
        <v>0</v>
      </c>
      <c r="R458" s="574">
        <f t="shared" ref="R458:R521" si="61">SUM(F458,H458,J458,L458)</f>
        <v>0</v>
      </c>
      <c r="S458" s="275">
        <f t="shared" ref="S458:S521" si="62">SUM(G458,I458,K458,O458)</f>
        <v>0</v>
      </c>
      <c r="T458" s="462">
        <v>1000</v>
      </c>
      <c r="U458" s="487">
        <v>0</v>
      </c>
      <c r="V458" s="576"/>
      <c r="W458" s="573"/>
      <c r="X458" s="574">
        <f t="shared" si="58"/>
        <v>0</v>
      </c>
      <c r="Y458" s="487"/>
      <c r="Z458" s="487"/>
      <c r="AA458" s="276">
        <f t="shared" si="59"/>
        <v>0</v>
      </c>
      <c r="AB458" s="573"/>
      <c r="AC458" s="487"/>
      <c r="AD458" s="573"/>
      <c r="AE458" s="487"/>
      <c r="AF458" s="577">
        <f t="shared" ref="AF458:AF521" si="63">SUM(R458,T458,V458,AB458,AD458)</f>
        <v>1000</v>
      </c>
      <c r="AG458" s="275">
        <f t="shared" ref="AG458:AG521" si="64">SUM(S458,U458,Y458,AC458,AE458)</f>
        <v>0</v>
      </c>
    </row>
    <row r="459" spans="1:33" ht="12" customHeight="1">
      <c r="A459" s="603" t="s">
        <v>1271</v>
      </c>
      <c r="B459" s="598" t="s">
        <v>1805</v>
      </c>
      <c r="C459" s="296" t="s">
        <v>1671</v>
      </c>
      <c r="D459" s="606"/>
      <c r="E459" s="607"/>
      <c r="F459" s="573"/>
      <c r="G459" s="487"/>
      <c r="H459" s="573"/>
      <c r="I459" s="487"/>
      <c r="J459" s="573"/>
      <c r="K459" s="487"/>
      <c r="L459" s="573"/>
      <c r="M459" s="573"/>
      <c r="N459" s="456">
        <f t="shared" si="57"/>
        <v>0</v>
      </c>
      <c r="O459" s="487"/>
      <c r="P459" s="487"/>
      <c r="Q459" s="274">
        <f t="shared" si="60"/>
        <v>0</v>
      </c>
      <c r="R459" s="574">
        <f t="shared" si="61"/>
        <v>0</v>
      </c>
      <c r="S459" s="275">
        <f t="shared" si="62"/>
        <v>0</v>
      </c>
      <c r="T459" s="462"/>
      <c r="U459" s="487"/>
      <c r="V459" s="576"/>
      <c r="W459" s="573"/>
      <c r="X459" s="574">
        <f t="shared" si="58"/>
        <v>0</v>
      </c>
      <c r="Y459" s="487"/>
      <c r="Z459" s="487"/>
      <c r="AA459" s="276">
        <f t="shared" si="59"/>
        <v>0</v>
      </c>
      <c r="AB459" s="573"/>
      <c r="AC459" s="487"/>
      <c r="AD459" s="573"/>
      <c r="AE459" s="487"/>
      <c r="AF459" s="577">
        <f t="shared" si="63"/>
        <v>0</v>
      </c>
      <c r="AG459" s="275">
        <f t="shared" si="64"/>
        <v>0</v>
      </c>
    </row>
    <row r="460" spans="1:33" ht="12" customHeight="1">
      <c r="A460" s="603" t="s">
        <v>1271</v>
      </c>
      <c r="B460" s="609" t="s">
        <v>1510</v>
      </c>
      <c r="C460" s="610" t="s">
        <v>421</v>
      </c>
      <c r="D460" s="606"/>
      <c r="E460" s="607"/>
      <c r="F460" s="573"/>
      <c r="G460" s="487"/>
      <c r="H460" s="573"/>
      <c r="I460" s="487"/>
      <c r="J460" s="573"/>
      <c r="K460" s="487"/>
      <c r="L460" s="573"/>
      <c r="M460" s="573"/>
      <c r="N460" s="456">
        <f t="shared" si="57"/>
        <v>0</v>
      </c>
      <c r="O460" s="487"/>
      <c r="P460" s="487"/>
      <c r="Q460" s="274">
        <f t="shared" si="60"/>
        <v>0</v>
      </c>
      <c r="R460" s="574">
        <f t="shared" si="61"/>
        <v>0</v>
      </c>
      <c r="S460" s="275">
        <f t="shared" si="62"/>
        <v>0</v>
      </c>
      <c r="T460" s="462"/>
      <c r="U460" s="487"/>
      <c r="V460" s="576"/>
      <c r="W460" s="573"/>
      <c r="X460" s="574">
        <f t="shared" si="58"/>
        <v>0</v>
      </c>
      <c r="Y460" s="487"/>
      <c r="Z460" s="487"/>
      <c r="AA460" s="276">
        <f t="shared" si="59"/>
        <v>0</v>
      </c>
      <c r="AB460" s="573"/>
      <c r="AC460" s="487"/>
      <c r="AD460" s="573"/>
      <c r="AE460" s="487"/>
      <c r="AF460" s="577">
        <f t="shared" si="63"/>
        <v>0</v>
      </c>
      <c r="AG460" s="275">
        <f t="shared" si="64"/>
        <v>0</v>
      </c>
    </row>
    <row r="461" spans="1:33" ht="12" customHeight="1">
      <c r="A461" s="603" t="s">
        <v>1271</v>
      </c>
      <c r="B461" s="609" t="s">
        <v>1511</v>
      </c>
      <c r="C461" s="610" t="s">
        <v>1883</v>
      </c>
      <c r="D461" s="606"/>
      <c r="E461" s="607"/>
      <c r="F461" s="573"/>
      <c r="G461" s="487"/>
      <c r="H461" s="573"/>
      <c r="I461" s="487"/>
      <c r="J461" s="573"/>
      <c r="K461" s="487"/>
      <c r="L461" s="573"/>
      <c r="M461" s="573"/>
      <c r="N461" s="456">
        <f t="shared" si="57"/>
        <v>0</v>
      </c>
      <c r="O461" s="487"/>
      <c r="P461" s="487"/>
      <c r="Q461" s="274">
        <f t="shared" si="60"/>
        <v>0</v>
      </c>
      <c r="R461" s="574">
        <f t="shared" si="61"/>
        <v>0</v>
      </c>
      <c r="S461" s="275">
        <f t="shared" si="62"/>
        <v>0</v>
      </c>
      <c r="T461" s="462"/>
      <c r="U461" s="487"/>
      <c r="V461" s="576"/>
      <c r="W461" s="573"/>
      <c r="X461" s="574">
        <f t="shared" si="58"/>
        <v>0</v>
      </c>
      <c r="Y461" s="487"/>
      <c r="Z461" s="487"/>
      <c r="AA461" s="276">
        <f t="shared" si="59"/>
        <v>0</v>
      </c>
      <c r="AB461" s="573"/>
      <c r="AC461" s="487"/>
      <c r="AD461" s="573"/>
      <c r="AE461" s="487"/>
      <c r="AF461" s="577">
        <f t="shared" si="63"/>
        <v>0</v>
      </c>
      <c r="AG461" s="275">
        <f t="shared" si="64"/>
        <v>0</v>
      </c>
    </row>
    <row r="462" spans="1:33" ht="12" customHeight="1">
      <c r="A462" s="603" t="s">
        <v>1271</v>
      </c>
      <c r="B462" s="609" t="s">
        <v>1412</v>
      </c>
      <c r="C462" s="610" t="s">
        <v>1761</v>
      </c>
      <c r="D462" s="606"/>
      <c r="E462" s="607"/>
      <c r="F462" s="573"/>
      <c r="G462" s="487"/>
      <c r="H462" s="573"/>
      <c r="I462" s="487"/>
      <c r="J462" s="573"/>
      <c r="K462" s="487"/>
      <c r="L462" s="573"/>
      <c r="M462" s="573"/>
      <c r="N462" s="456">
        <f t="shared" si="57"/>
        <v>0</v>
      </c>
      <c r="O462" s="487"/>
      <c r="P462" s="487"/>
      <c r="Q462" s="274">
        <f t="shared" si="60"/>
        <v>0</v>
      </c>
      <c r="R462" s="574">
        <f t="shared" si="61"/>
        <v>0</v>
      </c>
      <c r="S462" s="275">
        <f t="shared" si="62"/>
        <v>0</v>
      </c>
      <c r="T462" s="462">
        <v>192000</v>
      </c>
      <c r="U462" s="487">
        <v>279000</v>
      </c>
      <c r="V462" s="576"/>
      <c r="W462" s="573"/>
      <c r="X462" s="574">
        <f t="shared" si="58"/>
        <v>0</v>
      </c>
      <c r="Y462" s="487"/>
      <c r="Z462" s="487"/>
      <c r="AA462" s="276">
        <f t="shared" si="59"/>
        <v>0</v>
      </c>
      <c r="AB462" s="573"/>
      <c r="AC462" s="487"/>
      <c r="AD462" s="573"/>
      <c r="AE462" s="487"/>
      <c r="AF462" s="577">
        <f t="shared" si="63"/>
        <v>192000</v>
      </c>
      <c r="AG462" s="275">
        <f t="shared" si="64"/>
        <v>279000</v>
      </c>
    </row>
    <row r="463" spans="1:33" ht="12" customHeight="1">
      <c r="A463" s="603" t="s">
        <v>1271</v>
      </c>
      <c r="B463" s="609" t="s">
        <v>1413</v>
      </c>
      <c r="C463" s="610" t="s">
        <v>422</v>
      </c>
      <c r="D463" s="606"/>
      <c r="E463" s="607"/>
      <c r="F463" s="573"/>
      <c r="G463" s="487"/>
      <c r="H463" s="573"/>
      <c r="I463" s="487"/>
      <c r="J463" s="573"/>
      <c r="K463" s="487"/>
      <c r="L463" s="573"/>
      <c r="M463" s="573"/>
      <c r="N463" s="456">
        <f t="shared" si="57"/>
        <v>0</v>
      </c>
      <c r="O463" s="487"/>
      <c r="P463" s="487"/>
      <c r="Q463" s="274">
        <f t="shared" si="60"/>
        <v>0</v>
      </c>
      <c r="R463" s="574">
        <f t="shared" si="61"/>
        <v>0</v>
      </c>
      <c r="S463" s="275">
        <f t="shared" si="62"/>
        <v>0</v>
      </c>
      <c r="T463" s="1144" t="s">
        <v>149</v>
      </c>
      <c r="U463" s="487"/>
      <c r="V463" s="576"/>
      <c r="W463" s="573"/>
      <c r="X463" s="574">
        <f t="shared" si="58"/>
        <v>0</v>
      </c>
      <c r="Y463" s="487"/>
      <c r="Z463" s="487"/>
      <c r="AA463" s="276">
        <f t="shared" si="59"/>
        <v>0</v>
      </c>
      <c r="AB463" s="573"/>
      <c r="AC463" s="487"/>
      <c r="AD463" s="573"/>
      <c r="AE463" s="487"/>
      <c r="AF463" s="577">
        <f t="shared" si="63"/>
        <v>0</v>
      </c>
      <c r="AG463" s="275">
        <f t="shared" si="64"/>
        <v>0</v>
      </c>
    </row>
    <row r="464" spans="1:33" ht="12" customHeight="1">
      <c r="A464" s="603" t="s">
        <v>1271</v>
      </c>
      <c r="B464" s="609" t="s">
        <v>1582</v>
      </c>
      <c r="C464" s="610" t="s">
        <v>1883</v>
      </c>
      <c r="D464" s="606"/>
      <c r="E464" s="607"/>
      <c r="F464" s="573"/>
      <c r="G464" s="487"/>
      <c r="H464" s="573"/>
      <c r="I464" s="487"/>
      <c r="J464" s="573"/>
      <c r="K464" s="487"/>
      <c r="L464" s="573"/>
      <c r="M464" s="573"/>
      <c r="N464" s="456">
        <f t="shared" si="57"/>
        <v>0</v>
      </c>
      <c r="O464" s="487"/>
      <c r="P464" s="487"/>
      <c r="Q464" s="274">
        <f t="shared" si="60"/>
        <v>0</v>
      </c>
      <c r="R464" s="574">
        <f t="shared" si="61"/>
        <v>0</v>
      </c>
      <c r="S464" s="275">
        <f t="shared" si="62"/>
        <v>0</v>
      </c>
      <c r="T464" s="1147"/>
      <c r="U464" s="487"/>
      <c r="V464" s="576"/>
      <c r="W464" s="573"/>
      <c r="X464" s="574">
        <f t="shared" si="58"/>
        <v>0</v>
      </c>
      <c r="Y464" s="487"/>
      <c r="Z464" s="487"/>
      <c r="AA464" s="276">
        <f t="shared" si="59"/>
        <v>0</v>
      </c>
      <c r="AB464" s="573"/>
      <c r="AC464" s="487"/>
      <c r="AD464" s="573"/>
      <c r="AE464" s="487"/>
      <c r="AF464" s="577">
        <f t="shared" si="63"/>
        <v>0</v>
      </c>
      <c r="AG464" s="275">
        <f t="shared" si="64"/>
        <v>0</v>
      </c>
    </row>
    <row r="465" spans="1:33" ht="12" customHeight="1">
      <c r="A465" s="603" t="s">
        <v>1271</v>
      </c>
      <c r="B465" s="609" t="s">
        <v>1583</v>
      </c>
      <c r="C465" s="610" t="s">
        <v>1761</v>
      </c>
      <c r="D465" s="606"/>
      <c r="E465" s="607"/>
      <c r="F465" s="573"/>
      <c r="G465" s="487"/>
      <c r="H465" s="573"/>
      <c r="I465" s="487"/>
      <c r="J465" s="573"/>
      <c r="K465" s="487"/>
      <c r="L465" s="573"/>
      <c r="M465" s="573"/>
      <c r="N465" s="456">
        <f t="shared" si="57"/>
        <v>0</v>
      </c>
      <c r="O465" s="487"/>
      <c r="P465" s="487"/>
      <c r="Q465" s="274">
        <f t="shared" si="60"/>
        <v>0</v>
      </c>
      <c r="R465" s="574">
        <f t="shared" si="61"/>
        <v>0</v>
      </c>
      <c r="S465" s="275">
        <f t="shared" si="62"/>
        <v>0</v>
      </c>
      <c r="T465" s="575"/>
      <c r="U465" s="487"/>
      <c r="V465" s="576"/>
      <c r="W465" s="573"/>
      <c r="X465" s="574">
        <f t="shared" si="58"/>
        <v>0</v>
      </c>
      <c r="Y465" s="487"/>
      <c r="Z465" s="487"/>
      <c r="AA465" s="276">
        <f t="shared" si="59"/>
        <v>0</v>
      </c>
      <c r="AB465" s="573"/>
      <c r="AC465" s="487"/>
      <c r="AD465" s="573"/>
      <c r="AE465" s="487"/>
      <c r="AF465" s="577">
        <f t="shared" si="63"/>
        <v>0</v>
      </c>
      <c r="AG465" s="275">
        <f t="shared" si="64"/>
        <v>0</v>
      </c>
    </row>
    <row r="466" spans="1:33" ht="12" customHeight="1">
      <c r="A466" s="603" t="s">
        <v>1271</v>
      </c>
      <c r="B466" s="598" t="s">
        <v>1805</v>
      </c>
      <c r="C466" s="296" t="s">
        <v>1672</v>
      </c>
      <c r="D466" s="606"/>
      <c r="E466" s="607"/>
      <c r="F466" s="573"/>
      <c r="G466" s="487"/>
      <c r="H466" s="573"/>
      <c r="I466" s="487"/>
      <c r="J466" s="573"/>
      <c r="K466" s="487"/>
      <c r="L466" s="573"/>
      <c r="M466" s="573"/>
      <c r="N466" s="456">
        <f t="shared" si="57"/>
        <v>0</v>
      </c>
      <c r="O466" s="487"/>
      <c r="P466" s="487"/>
      <c r="Q466" s="274">
        <f t="shared" si="60"/>
        <v>0</v>
      </c>
      <c r="R466" s="574">
        <f t="shared" si="61"/>
        <v>0</v>
      </c>
      <c r="S466" s="275">
        <f t="shared" si="62"/>
        <v>0</v>
      </c>
      <c r="T466" s="575"/>
      <c r="U466" s="487"/>
      <c r="V466" s="576"/>
      <c r="W466" s="573"/>
      <c r="X466" s="574">
        <f t="shared" si="58"/>
        <v>0</v>
      </c>
      <c r="Y466" s="487"/>
      <c r="Z466" s="487"/>
      <c r="AA466" s="276">
        <f t="shared" si="59"/>
        <v>0</v>
      </c>
      <c r="AB466" s="573"/>
      <c r="AC466" s="487"/>
      <c r="AD466" s="573"/>
      <c r="AE466" s="487"/>
      <c r="AF466" s="577">
        <f t="shared" si="63"/>
        <v>0</v>
      </c>
      <c r="AG466" s="275">
        <f t="shared" si="64"/>
        <v>0</v>
      </c>
    </row>
    <row r="467" spans="1:33" ht="12" customHeight="1">
      <c r="A467" s="603" t="s">
        <v>1271</v>
      </c>
      <c r="B467" s="609" t="s">
        <v>1510</v>
      </c>
      <c r="C467" s="610" t="s">
        <v>421</v>
      </c>
      <c r="D467" s="606"/>
      <c r="E467" s="607"/>
      <c r="F467" s="573"/>
      <c r="G467" s="487"/>
      <c r="H467" s="573"/>
      <c r="I467" s="487"/>
      <c r="J467" s="573"/>
      <c r="K467" s="487"/>
      <c r="L467" s="573"/>
      <c r="M467" s="573"/>
      <c r="N467" s="456">
        <f t="shared" ref="N467:N530" si="65">SUM(L467:M467)</f>
        <v>0</v>
      </c>
      <c r="O467" s="487"/>
      <c r="P467" s="487"/>
      <c r="Q467" s="274">
        <f t="shared" si="60"/>
        <v>0</v>
      </c>
      <c r="R467" s="574">
        <f t="shared" si="61"/>
        <v>0</v>
      </c>
      <c r="S467" s="275">
        <f t="shared" si="62"/>
        <v>0</v>
      </c>
      <c r="T467" s="575"/>
      <c r="U467" s="487"/>
      <c r="V467" s="576"/>
      <c r="W467" s="573"/>
      <c r="X467" s="574">
        <f t="shared" ref="X467:X530" si="66">SUM(V467:W467)</f>
        <v>0</v>
      </c>
      <c r="Y467" s="487"/>
      <c r="Z467" s="487"/>
      <c r="AA467" s="276">
        <f t="shared" ref="AA467:AA530" si="67">SUM(Y467:Z467)</f>
        <v>0</v>
      </c>
      <c r="AB467" s="573"/>
      <c r="AC467" s="487"/>
      <c r="AD467" s="573"/>
      <c r="AE467" s="487"/>
      <c r="AF467" s="577">
        <f t="shared" si="63"/>
        <v>0</v>
      </c>
      <c r="AG467" s="275">
        <f t="shared" si="64"/>
        <v>0</v>
      </c>
    </row>
    <row r="468" spans="1:33" ht="12" customHeight="1">
      <c r="A468" s="603" t="s">
        <v>1271</v>
      </c>
      <c r="B468" s="609" t="s">
        <v>1511</v>
      </c>
      <c r="C468" s="610" t="s">
        <v>1883</v>
      </c>
      <c r="D468" s="606"/>
      <c r="E468" s="607"/>
      <c r="F468" s="573"/>
      <c r="G468" s="487"/>
      <c r="H468" s="573"/>
      <c r="I468" s="487"/>
      <c r="J468" s="573"/>
      <c r="K468" s="487"/>
      <c r="L468" s="573"/>
      <c r="M468" s="573"/>
      <c r="N468" s="456">
        <f t="shared" si="65"/>
        <v>0</v>
      </c>
      <c r="O468" s="487"/>
      <c r="P468" s="487"/>
      <c r="Q468" s="274">
        <f t="shared" si="60"/>
        <v>0</v>
      </c>
      <c r="R468" s="574">
        <f t="shared" si="61"/>
        <v>0</v>
      </c>
      <c r="S468" s="275">
        <f t="shared" si="62"/>
        <v>0</v>
      </c>
      <c r="T468" s="575"/>
      <c r="U468" s="487"/>
      <c r="V468" s="576"/>
      <c r="W468" s="573"/>
      <c r="X468" s="574">
        <f t="shared" si="66"/>
        <v>0</v>
      </c>
      <c r="Y468" s="487"/>
      <c r="Z468" s="487"/>
      <c r="AA468" s="276">
        <f t="shared" si="67"/>
        <v>0</v>
      </c>
      <c r="AB468" s="573"/>
      <c r="AC468" s="487"/>
      <c r="AD468" s="573"/>
      <c r="AE468" s="487"/>
      <c r="AF468" s="577">
        <f t="shared" si="63"/>
        <v>0</v>
      </c>
      <c r="AG468" s="275">
        <f t="shared" si="64"/>
        <v>0</v>
      </c>
    </row>
    <row r="469" spans="1:33" ht="12" customHeight="1">
      <c r="A469" s="603" t="s">
        <v>1271</v>
      </c>
      <c r="B469" s="609" t="s">
        <v>1412</v>
      </c>
      <c r="C469" s="610" t="s">
        <v>1761</v>
      </c>
      <c r="D469" s="606"/>
      <c r="E469" s="607"/>
      <c r="F469" s="573"/>
      <c r="G469" s="487"/>
      <c r="H469" s="573"/>
      <c r="I469" s="487"/>
      <c r="J469" s="573"/>
      <c r="K469" s="487"/>
      <c r="L469" s="573"/>
      <c r="M469" s="573"/>
      <c r="N469" s="456">
        <f t="shared" si="65"/>
        <v>0</v>
      </c>
      <c r="O469" s="487"/>
      <c r="P469" s="487"/>
      <c r="Q469" s="274">
        <f t="shared" si="60"/>
        <v>0</v>
      </c>
      <c r="R469" s="574">
        <f t="shared" si="61"/>
        <v>0</v>
      </c>
      <c r="S469" s="275">
        <f t="shared" si="62"/>
        <v>0</v>
      </c>
      <c r="T469" s="462">
        <v>455000</v>
      </c>
      <c r="U469" s="487">
        <v>458500</v>
      </c>
      <c r="V469" s="576"/>
      <c r="W469" s="573"/>
      <c r="X469" s="574">
        <f t="shared" si="66"/>
        <v>0</v>
      </c>
      <c r="Y469" s="487"/>
      <c r="Z469" s="487"/>
      <c r="AA469" s="276">
        <f t="shared" si="67"/>
        <v>0</v>
      </c>
      <c r="AB469" s="573"/>
      <c r="AC469" s="487"/>
      <c r="AD469" s="573"/>
      <c r="AE469" s="487"/>
      <c r="AF469" s="577">
        <f t="shared" si="63"/>
        <v>455000</v>
      </c>
      <c r="AG469" s="275">
        <f t="shared" si="64"/>
        <v>458500</v>
      </c>
    </row>
    <row r="470" spans="1:33" ht="12" customHeight="1">
      <c r="A470" s="603" t="s">
        <v>1271</v>
      </c>
      <c r="B470" s="609" t="s">
        <v>1413</v>
      </c>
      <c r="C470" s="610" t="s">
        <v>422</v>
      </c>
      <c r="D470" s="606"/>
      <c r="E470" s="607"/>
      <c r="F470" s="573"/>
      <c r="G470" s="487"/>
      <c r="H470" s="573"/>
      <c r="I470" s="487"/>
      <c r="J470" s="573"/>
      <c r="K470" s="487"/>
      <c r="L470" s="573"/>
      <c r="M470" s="573"/>
      <c r="N470" s="456">
        <f t="shared" si="65"/>
        <v>0</v>
      </c>
      <c r="O470" s="487"/>
      <c r="P470" s="487"/>
      <c r="Q470" s="274">
        <f t="shared" si="60"/>
        <v>0</v>
      </c>
      <c r="R470" s="574">
        <f t="shared" si="61"/>
        <v>0</v>
      </c>
      <c r="S470" s="275">
        <f t="shared" si="62"/>
        <v>0</v>
      </c>
      <c r="T470" s="462"/>
      <c r="U470" s="487"/>
      <c r="V470" s="576"/>
      <c r="W470" s="573"/>
      <c r="X470" s="574">
        <f t="shared" si="66"/>
        <v>0</v>
      </c>
      <c r="Y470" s="487"/>
      <c r="Z470" s="487"/>
      <c r="AA470" s="276">
        <f t="shared" si="67"/>
        <v>0</v>
      </c>
      <c r="AB470" s="573"/>
      <c r="AC470" s="487"/>
      <c r="AD470" s="573"/>
      <c r="AE470" s="487"/>
      <c r="AF470" s="577">
        <f t="shared" si="63"/>
        <v>0</v>
      </c>
      <c r="AG470" s="275">
        <f t="shared" si="64"/>
        <v>0</v>
      </c>
    </row>
    <row r="471" spans="1:33" ht="12" customHeight="1">
      <c r="A471" s="603" t="s">
        <v>1271</v>
      </c>
      <c r="B471" s="609" t="s">
        <v>1582</v>
      </c>
      <c r="C471" s="610" t="s">
        <v>1883</v>
      </c>
      <c r="D471" s="606"/>
      <c r="E471" s="607"/>
      <c r="F471" s="573"/>
      <c r="G471" s="487"/>
      <c r="H471" s="573"/>
      <c r="I471" s="487"/>
      <c r="J471" s="573"/>
      <c r="K471" s="487"/>
      <c r="L471" s="573"/>
      <c r="M471" s="573"/>
      <c r="N471" s="456">
        <f t="shared" si="65"/>
        <v>0</v>
      </c>
      <c r="O471" s="487"/>
      <c r="P471" s="487"/>
      <c r="Q471" s="274">
        <f t="shared" si="60"/>
        <v>0</v>
      </c>
      <c r="R471" s="574">
        <f t="shared" si="61"/>
        <v>0</v>
      </c>
      <c r="S471" s="275">
        <f t="shared" si="62"/>
        <v>0</v>
      </c>
      <c r="T471" s="462"/>
      <c r="U471" s="487"/>
      <c r="V471" s="576"/>
      <c r="W471" s="573"/>
      <c r="X471" s="574">
        <f t="shared" si="66"/>
        <v>0</v>
      </c>
      <c r="Y471" s="487"/>
      <c r="Z471" s="487"/>
      <c r="AA471" s="276">
        <f t="shared" si="67"/>
        <v>0</v>
      </c>
      <c r="AB471" s="573"/>
      <c r="AC471" s="487"/>
      <c r="AD471" s="573"/>
      <c r="AE471" s="487"/>
      <c r="AF471" s="577">
        <f t="shared" si="63"/>
        <v>0</v>
      </c>
      <c r="AG471" s="275">
        <f t="shared" si="64"/>
        <v>0</v>
      </c>
    </row>
    <row r="472" spans="1:33" ht="12" customHeight="1">
      <c r="A472" s="603" t="s">
        <v>1271</v>
      </c>
      <c r="B472" s="609" t="s">
        <v>1583</v>
      </c>
      <c r="C472" s="610" t="s">
        <v>1761</v>
      </c>
      <c r="D472" s="606"/>
      <c r="E472" s="607"/>
      <c r="F472" s="573"/>
      <c r="G472" s="487"/>
      <c r="H472" s="573"/>
      <c r="I472" s="487"/>
      <c r="J472" s="573"/>
      <c r="K472" s="487"/>
      <c r="L472" s="573"/>
      <c r="M472" s="573"/>
      <c r="N472" s="456">
        <f t="shared" si="65"/>
        <v>0</v>
      </c>
      <c r="O472" s="487"/>
      <c r="P472" s="487"/>
      <c r="Q472" s="274">
        <f t="shared" si="60"/>
        <v>0</v>
      </c>
      <c r="R472" s="574">
        <f t="shared" si="61"/>
        <v>0</v>
      </c>
      <c r="S472" s="275">
        <f t="shared" si="62"/>
        <v>0</v>
      </c>
      <c r="T472" s="462">
        <v>45000</v>
      </c>
      <c r="U472" s="487">
        <v>41500</v>
      </c>
      <c r="V472" s="576"/>
      <c r="W472" s="573"/>
      <c r="X472" s="574">
        <f t="shared" si="66"/>
        <v>0</v>
      </c>
      <c r="Y472" s="487"/>
      <c r="Z472" s="487"/>
      <c r="AA472" s="276">
        <f t="shared" si="67"/>
        <v>0</v>
      </c>
      <c r="AB472" s="573"/>
      <c r="AC472" s="487"/>
      <c r="AD472" s="573"/>
      <c r="AE472" s="487"/>
      <c r="AF472" s="577">
        <f t="shared" si="63"/>
        <v>45000</v>
      </c>
      <c r="AG472" s="275">
        <f t="shared" si="64"/>
        <v>41500</v>
      </c>
    </row>
    <row r="473" spans="1:33" ht="12" customHeight="1">
      <c r="A473" s="603" t="s">
        <v>1271</v>
      </c>
      <c r="B473" s="598" t="s">
        <v>1805</v>
      </c>
      <c r="C473" s="296" t="s">
        <v>1673</v>
      </c>
      <c r="D473" s="606"/>
      <c r="E473" s="607"/>
      <c r="F473" s="573"/>
      <c r="G473" s="487"/>
      <c r="H473" s="573"/>
      <c r="I473" s="487"/>
      <c r="J473" s="573"/>
      <c r="K473" s="487"/>
      <c r="L473" s="573"/>
      <c r="M473" s="573"/>
      <c r="N473" s="456">
        <f t="shared" si="65"/>
        <v>0</v>
      </c>
      <c r="O473" s="487"/>
      <c r="P473" s="487"/>
      <c r="Q473" s="274">
        <f t="shared" si="60"/>
        <v>0</v>
      </c>
      <c r="R473" s="574">
        <f t="shared" si="61"/>
        <v>0</v>
      </c>
      <c r="S473" s="275">
        <f t="shared" si="62"/>
        <v>0</v>
      </c>
      <c r="T473" s="462"/>
      <c r="U473" s="487"/>
      <c r="V473" s="576"/>
      <c r="W473" s="573"/>
      <c r="X473" s="574">
        <f t="shared" si="66"/>
        <v>0</v>
      </c>
      <c r="Y473" s="487"/>
      <c r="Z473" s="487"/>
      <c r="AA473" s="276">
        <f t="shared" si="67"/>
        <v>0</v>
      </c>
      <c r="AB473" s="573"/>
      <c r="AC473" s="487"/>
      <c r="AD473" s="573"/>
      <c r="AE473" s="487"/>
      <c r="AF473" s="577">
        <f t="shared" si="63"/>
        <v>0</v>
      </c>
      <c r="AG473" s="275">
        <f t="shared" si="64"/>
        <v>0</v>
      </c>
    </row>
    <row r="474" spans="1:33" ht="12" customHeight="1">
      <c r="A474" s="603" t="s">
        <v>1271</v>
      </c>
      <c r="B474" s="609" t="s">
        <v>1510</v>
      </c>
      <c r="C474" s="610" t="s">
        <v>421</v>
      </c>
      <c r="D474" s="606"/>
      <c r="E474" s="607"/>
      <c r="F474" s="573"/>
      <c r="G474" s="487"/>
      <c r="H474" s="573"/>
      <c r="I474" s="487"/>
      <c r="J474" s="573"/>
      <c r="K474" s="487"/>
      <c r="L474" s="573"/>
      <c r="M474" s="573"/>
      <c r="N474" s="456">
        <f t="shared" si="65"/>
        <v>0</v>
      </c>
      <c r="O474" s="487"/>
      <c r="P474" s="487"/>
      <c r="Q474" s="274">
        <f t="shared" si="60"/>
        <v>0</v>
      </c>
      <c r="R474" s="574">
        <f t="shared" si="61"/>
        <v>0</v>
      </c>
      <c r="S474" s="275">
        <f t="shared" si="62"/>
        <v>0</v>
      </c>
      <c r="T474" s="462"/>
      <c r="U474" s="487"/>
      <c r="V474" s="576"/>
      <c r="W474" s="573"/>
      <c r="X474" s="574">
        <f t="shared" si="66"/>
        <v>0</v>
      </c>
      <c r="Y474" s="487"/>
      <c r="Z474" s="487"/>
      <c r="AA474" s="276">
        <f t="shared" si="67"/>
        <v>0</v>
      </c>
      <c r="AB474" s="573"/>
      <c r="AC474" s="487"/>
      <c r="AD474" s="573"/>
      <c r="AE474" s="487"/>
      <c r="AF474" s="577">
        <f t="shared" si="63"/>
        <v>0</v>
      </c>
      <c r="AG474" s="275">
        <f t="shared" si="64"/>
        <v>0</v>
      </c>
    </row>
    <row r="475" spans="1:33" ht="12" customHeight="1">
      <c r="A475" s="603" t="s">
        <v>1271</v>
      </c>
      <c r="B475" s="609" t="s">
        <v>1511</v>
      </c>
      <c r="C475" s="610" t="s">
        <v>1883</v>
      </c>
      <c r="D475" s="606"/>
      <c r="E475" s="607"/>
      <c r="F475" s="573"/>
      <c r="G475" s="487"/>
      <c r="H475" s="573"/>
      <c r="I475" s="487"/>
      <c r="J475" s="573"/>
      <c r="K475" s="487"/>
      <c r="L475" s="573"/>
      <c r="M475" s="573"/>
      <c r="N475" s="456">
        <f t="shared" si="65"/>
        <v>0</v>
      </c>
      <c r="O475" s="487"/>
      <c r="P475" s="487"/>
      <c r="Q475" s="274">
        <f t="shared" si="60"/>
        <v>0</v>
      </c>
      <c r="R475" s="574">
        <f t="shared" si="61"/>
        <v>0</v>
      </c>
      <c r="S475" s="275">
        <f t="shared" si="62"/>
        <v>0</v>
      </c>
      <c r="T475" s="462"/>
      <c r="U475" s="487"/>
      <c r="V475" s="576"/>
      <c r="W475" s="573"/>
      <c r="X475" s="574">
        <f t="shared" si="66"/>
        <v>0</v>
      </c>
      <c r="Y475" s="487"/>
      <c r="Z475" s="487"/>
      <c r="AA475" s="276">
        <f t="shared" si="67"/>
        <v>0</v>
      </c>
      <c r="AB475" s="573"/>
      <c r="AC475" s="487"/>
      <c r="AD475" s="573"/>
      <c r="AE475" s="487"/>
      <c r="AF475" s="577">
        <f t="shared" si="63"/>
        <v>0</v>
      </c>
      <c r="AG475" s="275">
        <f t="shared" si="64"/>
        <v>0</v>
      </c>
    </row>
    <row r="476" spans="1:33" ht="12" customHeight="1">
      <c r="A476" s="603" t="s">
        <v>1271</v>
      </c>
      <c r="B476" s="609" t="s">
        <v>1412</v>
      </c>
      <c r="C476" s="610" t="s">
        <v>1761</v>
      </c>
      <c r="D476" s="606"/>
      <c r="E476" s="607"/>
      <c r="F476" s="573"/>
      <c r="G476" s="487"/>
      <c r="H476" s="573"/>
      <c r="I476" s="487"/>
      <c r="J476" s="573"/>
      <c r="K476" s="487"/>
      <c r="L476" s="573"/>
      <c r="M476" s="573"/>
      <c r="N476" s="456">
        <f t="shared" si="65"/>
        <v>0</v>
      </c>
      <c r="O476" s="487"/>
      <c r="P476" s="487"/>
      <c r="Q476" s="274">
        <f t="shared" si="60"/>
        <v>0</v>
      </c>
      <c r="R476" s="574">
        <f t="shared" si="61"/>
        <v>0</v>
      </c>
      <c r="S476" s="275">
        <f t="shared" si="62"/>
        <v>0</v>
      </c>
      <c r="T476" s="462">
        <v>206868</v>
      </c>
      <c r="U476" s="487">
        <v>267465</v>
      </c>
      <c r="V476" s="576"/>
      <c r="W476" s="573"/>
      <c r="X476" s="574">
        <f t="shared" si="66"/>
        <v>0</v>
      </c>
      <c r="Y476" s="487"/>
      <c r="Z476" s="487"/>
      <c r="AA476" s="276">
        <f t="shared" si="67"/>
        <v>0</v>
      </c>
      <c r="AB476" s="573"/>
      <c r="AC476" s="487"/>
      <c r="AD476" s="573"/>
      <c r="AE476" s="487"/>
      <c r="AF476" s="577">
        <f t="shared" si="63"/>
        <v>206868</v>
      </c>
      <c r="AG476" s="275">
        <f t="shared" si="64"/>
        <v>267465</v>
      </c>
    </row>
    <row r="477" spans="1:33" ht="12" customHeight="1">
      <c r="A477" s="603" t="s">
        <v>1271</v>
      </c>
      <c r="B477" s="609" t="s">
        <v>1413</v>
      </c>
      <c r="C477" s="610" t="s">
        <v>422</v>
      </c>
      <c r="D477" s="606"/>
      <c r="E477" s="607"/>
      <c r="F477" s="573"/>
      <c r="G477" s="487"/>
      <c r="H477" s="573"/>
      <c r="I477" s="487"/>
      <c r="J477" s="573"/>
      <c r="K477" s="487"/>
      <c r="L477" s="573"/>
      <c r="M477" s="573"/>
      <c r="N477" s="456">
        <f t="shared" si="65"/>
        <v>0</v>
      </c>
      <c r="O477" s="487"/>
      <c r="P477" s="487"/>
      <c r="Q477" s="274">
        <f t="shared" si="60"/>
        <v>0</v>
      </c>
      <c r="R477" s="574">
        <f t="shared" si="61"/>
        <v>0</v>
      </c>
      <c r="S477" s="275">
        <f t="shared" si="62"/>
        <v>0</v>
      </c>
      <c r="T477" s="462"/>
      <c r="U477" s="487"/>
      <c r="V477" s="576"/>
      <c r="W477" s="573"/>
      <c r="X477" s="574">
        <f t="shared" si="66"/>
        <v>0</v>
      </c>
      <c r="Y477" s="487"/>
      <c r="Z477" s="487"/>
      <c r="AA477" s="276">
        <f t="shared" si="67"/>
        <v>0</v>
      </c>
      <c r="AB477" s="573"/>
      <c r="AC477" s="487"/>
      <c r="AD477" s="573"/>
      <c r="AE477" s="487"/>
      <c r="AF477" s="577">
        <f t="shared" si="63"/>
        <v>0</v>
      </c>
      <c r="AG477" s="275">
        <f t="shared" si="64"/>
        <v>0</v>
      </c>
    </row>
    <row r="478" spans="1:33" ht="12" customHeight="1">
      <c r="A478" s="603" t="s">
        <v>1271</v>
      </c>
      <c r="B478" s="609" t="s">
        <v>1582</v>
      </c>
      <c r="C478" s="610" t="s">
        <v>1883</v>
      </c>
      <c r="D478" s="606"/>
      <c r="E478" s="607"/>
      <c r="F478" s="573"/>
      <c r="G478" s="487"/>
      <c r="H478" s="573"/>
      <c r="I478" s="487"/>
      <c r="J478" s="573"/>
      <c r="K478" s="487"/>
      <c r="L478" s="573"/>
      <c r="M478" s="573"/>
      <c r="N478" s="456">
        <f t="shared" si="65"/>
        <v>0</v>
      </c>
      <c r="O478" s="487"/>
      <c r="P478" s="487"/>
      <c r="Q478" s="274">
        <f t="shared" si="60"/>
        <v>0</v>
      </c>
      <c r="R478" s="574">
        <f t="shared" si="61"/>
        <v>0</v>
      </c>
      <c r="S478" s="275">
        <f t="shared" si="62"/>
        <v>0</v>
      </c>
      <c r="T478" s="462"/>
      <c r="U478" s="487"/>
      <c r="V478" s="576"/>
      <c r="W478" s="573"/>
      <c r="X478" s="574">
        <f t="shared" si="66"/>
        <v>0</v>
      </c>
      <c r="Y478" s="487"/>
      <c r="Z478" s="487"/>
      <c r="AA478" s="276">
        <f t="shared" si="67"/>
        <v>0</v>
      </c>
      <c r="AB478" s="573"/>
      <c r="AC478" s="487"/>
      <c r="AD478" s="573"/>
      <c r="AE478" s="487"/>
      <c r="AF478" s="577">
        <f t="shared" si="63"/>
        <v>0</v>
      </c>
      <c r="AG478" s="275">
        <f t="shared" si="64"/>
        <v>0</v>
      </c>
    </row>
    <row r="479" spans="1:33" ht="12" customHeight="1">
      <c r="A479" s="603" t="s">
        <v>1271</v>
      </c>
      <c r="B479" s="609" t="s">
        <v>1583</v>
      </c>
      <c r="C479" s="610" t="s">
        <v>1761</v>
      </c>
      <c r="D479" s="606"/>
      <c r="E479" s="607"/>
      <c r="F479" s="573"/>
      <c r="G479" s="487"/>
      <c r="H479" s="573"/>
      <c r="I479" s="487"/>
      <c r="J479" s="573"/>
      <c r="K479" s="487"/>
      <c r="L479" s="573"/>
      <c r="M479" s="573"/>
      <c r="N479" s="456">
        <f t="shared" si="65"/>
        <v>0</v>
      </c>
      <c r="O479" s="487"/>
      <c r="P479" s="487"/>
      <c r="Q479" s="274">
        <f t="shared" si="60"/>
        <v>0</v>
      </c>
      <c r="R479" s="574">
        <f t="shared" si="61"/>
        <v>0</v>
      </c>
      <c r="S479" s="275">
        <f t="shared" si="62"/>
        <v>0</v>
      </c>
      <c r="T479" s="462">
        <v>10000</v>
      </c>
      <c r="U479" s="487">
        <v>10000</v>
      </c>
      <c r="V479" s="576"/>
      <c r="W479" s="573"/>
      <c r="X479" s="574">
        <f t="shared" si="66"/>
        <v>0</v>
      </c>
      <c r="Y479" s="487"/>
      <c r="Z479" s="487"/>
      <c r="AA479" s="276">
        <f t="shared" si="67"/>
        <v>0</v>
      </c>
      <c r="AB479" s="573"/>
      <c r="AC479" s="487"/>
      <c r="AD479" s="573"/>
      <c r="AE479" s="487"/>
      <c r="AF479" s="577">
        <f t="shared" si="63"/>
        <v>10000</v>
      </c>
      <c r="AG479" s="275">
        <f t="shared" si="64"/>
        <v>10000</v>
      </c>
    </row>
    <row r="480" spans="1:33" ht="12" customHeight="1">
      <c r="A480" s="603" t="s">
        <v>1271</v>
      </c>
      <c r="B480" s="598" t="s">
        <v>1805</v>
      </c>
      <c r="C480" s="296" t="s">
        <v>1674</v>
      </c>
      <c r="D480" s="606"/>
      <c r="E480" s="607"/>
      <c r="F480" s="573"/>
      <c r="G480" s="487"/>
      <c r="H480" s="573"/>
      <c r="I480" s="487"/>
      <c r="J480" s="573"/>
      <c r="K480" s="487"/>
      <c r="L480" s="573"/>
      <c r="M480" s="573"/>
      <c r="N480" s="456">
        <f t="shared" si="65"/>
        <v>0</v>
      </c>
      <c r="O480" s="487"/>
      <c r="P480" s="487"/>
      <c r="Q480" s="274">
        <f t="shared" si="60"/>
        <v>0</v>
      </c>
      <c r="R480" s="574">
        <f t="shared" si="61"/>
        <v>0</v>
      </c>
      <c r="S480" s="275">
        <f t="shared" si="62"/>
        <v>0</v>
      </c>
      <c r="T480" s="462"/>
      <c r="U480" s="487"/>
      <c r="V480" s="576"/>
      <c r="W480" s="573"/>
      <c r="X480" s="574">
        <f t="shared" si="66"/>
        <v>0</v>
      </c>
      <c r="Y480" s="487"/>
      <c r="Z480" s="487"/>
      <c r="AA480" s="276">
        <f t="shared" si="67"/>
        <v>0</v>
      </c>
      <c r="AB480" s="573"/>
      <c r="AC480" s="487"/>
      <c r="AD480" s="573"/>
      <c r="AE480" s="487"/>
      <c r="AF480" s="577">
        <f t="shared" si="63"/>
        <v>0</v>
      </c>
      <c r="AG480" s="275">
        <f t="shared" si="64"/>
        <v>0</v>
      </c>
    </row>
    <row r="481" spans="1:33" ht="12" customHeight="1">
      <c r="A481" s="603" t="s">
        <v>1271</v>
      </c>
      <c r="B481" s="609" t="s">
        <v>1510</v>
      </c>
      <c r="C481" s="610" t="s">
        <v>421</v>
      </c>
      <c r="D481" s="606"/>
      <c r="E481" s="607"/>
      <c r="F481" s="573"/>
      <c r="G481" s="487"/>
      <c r="H481" s="573"/>
      <c r="I481" s="487"/>
      <c r="J481" s="573"/>
      <c r="K481" s="487"/>
      <c r="L481" s="573"/>
      <c r="M481" s="573"/>
      <c r="N481" s="456">
        <f t="shared" si="65"/>
        <v>0</v>
      </c>
      <c r="O481" s="487"/>
      <c r="P481" s="487"/>
      <c r="Q481" s="274">
        <f t="shared" si="60"/>
        <v>0</v>
      </c>
      <c r="R481" s="574">
        <f t="shared" si="61"/>
        <v>0</v>
      </c>
      <c r="S481" s="275">
        <f t="shared" si="62"/>
        <v>0</v>
      </c>
      <c r="T481" s="462"/>
      <c r="U481" s="487"/>
      <c r="V481" s="576"/>
      <c r="W481" s="573"/>
      <c r="X481" s="574">
        <f t="shared" si="66"/>
        <v>0</v>
      </c>
      <c r="Y481" s="487"/>
      <c r="Z481" s="487"/>
      <c r="AA481" s="276">
        <f t="shared" si="67"/>
        <v>0</v>
      </c>
      <c r="AB481" s="573"/>
      <c r="AC481" s="487"/>
      <c r="AD481" s="573"/>
      <c r="AE481" s="487"/>
      <c r="AF481" s="577">
        <f t="shared" si="63"/>
        <v>0</v>
      </c>
      <c r="AG481" s="275">
        <f t="shared" si="64"/>
        <v>0</v>
      </c>
    </row>
    <row r="482" spans="1:33" ht="12" customHeight="1">
      <c r="A482" s="603" t="s">
        <v>1271</v>
      </c>
      <c r="B482" s="609" t="s">
        <v>1511</v>
      </c>
      <c r="C482" s="610" t="s">
        <v>1883</v>
      </c>
      <c r="D482" s="606"/>
      <c r="E482" s="607"/>
      <c r="F482" s="573"/>
      <c r="G482" s="487"/>
      <c r="H482" s="573"/>
      <c r="I482" s="487"/>
      <c r="J482" s="573"/>
      <c r="K482" s="487"/>
      <c r="L482" s="573"/>
      <c r="M482" s="573"/>
      <c r="N482" s="456">
        <f t="shared" si="65"/>
        <v>0</v>
      </c>
      <c r="O482" s="487"/>
      <c r="P482" s="487"/>
      <c r="Q482" s="274">
        <f t="shared" si="60"/>
        <v>0</v>
      </c>
      <c r="R482" s="574">
        <f t="shared" si="61"/>
        <v>0</v>
      </c>
      <c r="S482" s="275">
        <f t="shared" si="62"/>
        <v>0</v>
      </c>
      <c r="T482" s="462"/>
      <c r="U482" s="487"/>
      <c r="V482" s="576"/>
      <c r="W482" s="573"/>
      <c r="X482" s="574">
        <f t="shared" si="66"/>
        <v>0</v>
      </c>
      <c r="Y482" s="487"/>
      <c r="Z482" s="487"/>
      <c r="AA482" s="276">
        <f t="shared" si="67"/>
        <v>0</v>
      </c>
      <c r="AB482" s="573"/>
      <c r="AC482" s="487"/>
      <c r="AD482" s="573"/>
      <c r="AE482" s="487"/>
      <c r="AF482" s="577">
        <f t="shared" si="63"/>
        <v>0</v>
      </c>
      <c r="AG482" s="275">
        <f t="shared" si="64"/>
        <v>0</v>
      </c>
    </row>
    <row r="483" spans="1:33" ht="12" customHeight="1">
      <c r="A483" s="603" t="s">
        <v>1271</v>
      </c>
      <c r="B483" s="609" t="s">
        <v>1412</v>
      </c>
      <c r="C483" s="610" t="s">
        <v>1761</v>
      </c>
      <c r="D483" s="606"/>
      <c r="E483" s="607"/>
      <c r="F483" s="573"/>
      <c r="G483" s="487"/>
      <c r="H483" s="573"/>
      <c r="I483" s="487"/>
      <c r="J483" s="573"/>
      <c r="K483" s="487"/>
      <c r="L483" s="573"/>
      <c r="M483" s="573"/>
      <c r="N483" s="456">
        <f t="shared" si="65"/>
        <v>0</v>
      </c>
      <c r="O483" s="487"/>
      <c r="P483" s="487"/>
      <c r="Q483" s="274">
        <f t="shared" si="60"/>
        <v>0</v>
      </c>
      <c r="R483" s="574">
        <f t="shared" si="61"/>
        <v>0</v>
      </c>
      <c r="S483" s="275">
        <f t="shared" si="62"/>
        <v>0</v>
      </c>
      <c r="T483" s="462">
        <v>132500</v>
      </c>
      <c r="U483" s="487">
        <v>328750</v>
      </c>
      <c r="V483" s="576"/>
      <c r="W483" s="573"/>
      <c r="X483" s="574">
        <f t="shared" si="66"/>
        <v>0</v>
      </c>
      <c r="Y483" s="487"/>
      <c r="Z483" s="487"/>
      <c r="AA483" s="276">
        <f t="shared" si="67"/>
        <v>0</v>
      </c>
      <c r="AB483" s="573"/>
      <c r="AC483" s="487"/>
      <c r="AD483" s="573"/>
      <c r="AE483" s="487"/>
      <c r="AF483" s="577">
        <f t="shared" si="63"/>
        <v>132500</v>
      </c>
      <c r="AG483" s="275">
        <f t="shared" si="64"/>
        <v>328750</v>
      </c>
    </row>
    <row r="484" spans="1:33" ht="12" customHeight="1">
      <c r="A484" s="603" t="s">
        <v>1271</v>
      </c>
      <c r="B484" s="609" t="s">
        <v>1413</v>
      </c>
      <c r="C484" s="610" t="s">
        <v>422</v>
      </c>
      <c r="D484" s="606"/>
      <c r="E484" s="607"/>
      <c r="F484" s="573"/>
      <c r="G484" s="487"/>
      <c r="H484" s="573"/>
      <c r="I484" s="487"/>
      <c r="J484" s="573"/>
      <c r="K484" s="487"/>
      <c r="L484" s="573"/>
      <c r="M484" s="573"/>
      <c r="N484" s="456">
        <f t="shared" si="65"/>
        <v>0</v>
      </c>
      <c r="O484" s="487"/>
      <c r="P484" s="487"/>
      <c r="Q484" s="274">
        <f t="shared" si="60"/>
        <v>0</v>
      </c>
      <c r="R484" s="574">
        <f t="shared" si="61"/>
        <v>0</v>
      </c>
      <c r="S484" s="275">
        <f t="shared" si="62"/>
        <v>0</v>
      </c>
      <c r="T484" s="462"/>
      <c r="U484" s="487"/>
      <c r="V484" s="576"/>
      <c r="W484" s="573"/>
      <c r="X484" s="574">
        <f t="shared" si="66"/>
        <v>0</v>
      </c>
      <c r="Y484" s="487"/>
      <c r="Z484" s="487"/>
      <c r="AA484" s="276">
        <f t="shared" si="67"/>
        <v>0</v>
      </c>
      <c r="AB484" s="573"/>
      <c r="AC484" s="487"/>
      <c r="AD484" s="573"/>
      <c r="AE484" s="487"/>
      <c r="AF484" s="577">
        <f t="shared" si="63"/>
        <v>0</v>
      </c>
      <c r="AG484" s="275">
        <f t="shared" si="64"/>
        <v>0</v>
      </c>
    </row>
    <row r="485" spans="1:33" ht="12" customHeight="1">
      <c r="A485" s="603" t="s">
        <v>1271</v>
      </c>
      <c r="B485" s="609" t="s">
        <v>1582</v>
      </c>
      <c r="C485" s="610" t="s">
        <v>1883</v>
      </c>
      <c r="D485" s="606"/>
      <c r="E485" s="607"/>
      <c r="F485" s="573"/>
      <c r="G485" s="487"/>
      <c r="H485" s="573"/>
      <c r="I485" s="487"/>
      <c r="J485" s="573"/>
      <c r="K485" s="487"/>
      <c r="L485" s="573"/>
      <c r="M485" s="573"/>
      <c r="N485" s="456">
        <f t="shared" si="65"/>
        <v>0</v>
      </c>
      <c r="O485" s="487"/>
      <c r="P485" s="487"/>
      <c r="Q485" s="274">
        <f t="shared" si="60"/>
        <v>0</v>
      </c>
      <c r="R485" s="574">
        <f t="shared" si="61"/>
        <v>0</v>
      </c>
      <c r="S485" s="275">
        <f t="shared" si="62"/>
        <v>0</v>
      </c>
      <c r="T485" s="462"/>
      <c r="U485" s="487"/>
      <c r="V485" s="576"/>
      <c r="W485" s="573"/>
      <c r="X485" s="574">
        <f t="shared" si="66"/>
        <v>0</v>
      </c>
      <c r="Y485" s="487"/>
      <c r="Z485" s="487"/>
      <c r="AA485" s="276">
        <f t="shared" si="67"/>
        <v>0</v>
      </c>
      <c r="AB485" s="573"/>
      <c r="AC485" s="487"/>
      <c r="AD485" s="573"/>
      <c r="AE485" s="487"/>
      <c r="AF485" s="577">
        <f t="shared" si="63"/>
        <v>0</v>
      </c>
      <c r="AG485" s="275">
        <f t="shared" si="64"/>
        <v>0</v>
      </c>
    </row>
    <row r="486" spans="1:33" ht="12" customHeight="1">
      <c r="A486" s="603" t="s">
        <v>1271</v>
      </c>
      <c r="B486" s="609" t="s">
        <v>1583</v>
      </c>
      <c r="C486" s="610" t="s">
        <v>1761</v>
      </c>
      <c r="D486" s="606"/>
      <c r="E486" s="607"/>
      <c r="F486" s="573"/>
      <c r="G486" s="487"/>
      <c r="H486" s="573"/>
      <c r="I486" s="487"/>
      <c r="J486" s="573"/>
      <c r="K486" s="487"/>
      <c r="L486" s="573"/>
      <c r="M486" s="573"/>
      <c r="N486" s="456">
        <f t="shared" si="65"/>
        <v>0</v>
      </c>
      <c r="O486" s="487"/>
      <c r="P486" s="487"/>
      <c r="Q486" s="274">
        <f t="shared" si="60"/>
        <v>0</v>
      </c>
      <c r="R486" s="574">
        <f t="shared" si="61"/>
        <v>0</v>
      </c>
      <c r="S486" s="275">
        <f t="shared" si="62"/>
        <v>0</v>
      </c>
      <c r="T486" s="462">
        <v>0</v>
      </c>
      <c r="U486" s="487">
        <v>57500</v>
      </c>
      <c r="V486" s="576"/>
      <c r="W486" s="573"/>
      <c r="X486" s="574">
        <f t="shared" si="66"/>
        <v>0</v>
      </c>
      <c r="Y486" s="487"/>
      <c r="Z486" s="487"/>
      <c r="AA486" s="276">
        <f t="shared" si="67"/>
        <v>0</v>
      </c>
      <c r="AB486" s="573"/>
      <c r="AC486" s="487"/>
      <c r="AD486" s="573"/>
      <c r="AE486" s="487"/>
      <c r="AF486" s="577">
        <f t="shared" si="63"/>
        <v>0</v>
      </c>
      <c r="AG486" s="275">
        <f t="shared" si="64"/>
        <v>57500</v>
      </c>
    </row>
    <row r="487" spans="1:33" ht="12" customHeight="1">
      <c r="A487" s="603" t="s">
        <v>1271</v>
      </c>
      <c r="B487" s="598" t="s">
        <v>1805</v>
      </c>
      <c r="C487" s="296" t="s">
        <v>621</v>
      </c>
      <c r="D487" s="606"/>
      <c r="E487" s="607"/>
      <c r="F487" s="573"/>
      <c r="G487" s="487"/>
      <c r="H487" s="573"/>
      <c r="I487" s="487"/>
      <c r="J487" s="573"/>
      <c r="K487" s="487"/>
      <c r="L487" s="573"/>
      <c r="M487" s="573"/>
      <c r="N487" s="456">
        <f t="shared" si="65"/>
        <v>0</v>
      </c>
      <c r="O487" s="487"/>
      <c r="P487" s="487"/>
      <c r="Q487" s="274">
        <f t="shared" si="60"/>
        <v>0</v>
      </c>
      <c r="R487" s="574">
        <f t="shared" si="61"/>
        <v>0</v>
      </c>
      <c r="S487" s="275">
        <f t="shared" si="62"/>
        <v>0</v>
      </c>
      <c r="T487" s="575"/>
      <c r="U487" s="487"/>
      <c r="V487" s="576"/>
      <c r="W487" s="573"/>
      <c r="X487" s="574">
        <f t="shared" si="66"/>
        <v>0</v>
      </c>
      <c r="Y487" s="487"/>
      <c r="Z487" s="487"/>
      <c r="AA487" s="276">
        <f t="shared" si="67"/>
        <v>0</v>
      </c>
      <c r="AB487" s="573"/>
      <c r="AC487" s="487"/>
      <c r="AD487" s="573"/>
      <c r="AE487" s="487"/>
      <c r="AF487" s="577">
        <f t="shared" si="63"/>
        <v>0</v>
      </c>
      <c r="AG487" s="275">
        <f t="shared" si="64"/>
        <v>0</v>
      </c>
    </row>
    <row r="488" spans="1:33" ht="12" customHeight="1">
      <c r="A488" s="603" t="s">
        <v>1271</v>
      </c>
      <c r="B488" s="609" t="s">
        <v>1882</v>
      </c>
      <c r="C488" s="610" t="s">
        <v>1883</v>
      </c>
      <c r="D488" s="606"/>
      <c r="E488" s="607"/>
      <c r="F488" s="573"/>
      <c r="G488" s="487"/>
      <c r="H488" s="573"/>
      <c r="I488" s="487"/>
      <c r="J488" s="573"/>
      <c r="K488" s="487"/>
      <c r="L488" s="573"/>
      <c r="M488" s="573"/>
      <c r="N488" s="456">
        <f t="shared" si="65"/>
        <v>0</v>
      </c>
      <c r="O488" s="487"/>
      <c r="P488" s="487"/>
      <c r="Q488" s="274">
        <f t="shared" si="60"/>
        <v>0</v>
      </c>
      <c r="R488" s="574">
        <f t="shared" si="61"/>
        <v>0</v>
      </c>
      <c r="S488" s="275">
        <f t="shared" si="62"/>
        <v>0</v>
      </c>
      <c r="T488" s="575"/>
      <c r="U488" s="487"/>
      <c r="V488" s="576"/>
      <c r="W488" s="573"/>
      <c r="X488" s="574">
        <f t="shared" si="66"/>
        <v>0</v>
      </c>
      <c r="Y488" s="487"/>
      <c r="Z488" s="487"/>
      <c r="AA488" s="276">
        <f t="shared" si="67"/>
        <v>0</v>
      </c>
      <c r="AB488" s="573"/>
      <c r="AC488" s="487"/>
      <c r="AD488" s="573"/>
      <c r="AE488" s="487"/>
      <c r="AF488" s="577">
        <f t="shared" si="63"/>
        <v>0</v>
      </c>
      <c r="AG488" s="275">
        <f t="shared" si="64"/>
        <v>0</v>
      </c>
    </row>
    <row r="489" spans="1:33" ht="12" customHeight="1">
      <c r="A489" s="603" t="s">
        <v>1271</v>
      </c>
      <c r="B489" s="609" t="s">
        <v>1763</v>
      </c>
      <c r="C489" s="610" t="s">
        <v>1761</v>
      </c>
      <c r="D489" s="606"/>
      <c r="E489" s="607"/>
      <c r="F489" s="573"/>
      <c r="G489" s="487"/>
      <c r="H489" s="573"/>
      <c r="I489" s="487"/>
      <c r="J489" s="573"/>
      <c r="K489" s="487"/>
      <c r="L489" s="573"/>
      <c r="M489" s="573"/>
      <c r="N489" s="456">
        <f t="shared" si="65"/>
        <v>0</v>
      </c>
      <c r="O489" s="487"/>
      <c r="P489" s="487"/>
      <c r="Q489" s="274">
        <f t="shared" si="60"/>
        <v>0</v>
      </c>
      <c r="R489" s="574">
        <f t="shared" si="61"/>
        <v>0</v>
      </c>
      <c r="S489" s="275">
        <f t="shared" si="62"/>
        <v>0</v>
      </c>
      <c r="T489" s="575">
        <v>200000</v>
      </c>
      <c r="U489" s="487">
        <v>200000</v>
      </c>
      <c r="V489" s="576"/>
      <c r="W489" s="573"/>
      <c r="X489" s="574">
        <f t="shared" si="66"/>
        <v>0</v>
      </c>
      <c r="Y489" s="487"/>
      <c r="Z489" s="487"/>
      <c r="AA489" s="276">
        <f t="shared" si="67"/>
        <v>0</v>
      </c>
      <c r="AB489" s="573"/>
      <c r="AC489" s="487"/>
      <c r="AD489" s="573"/>
      <c r="AE489" s="487"/>
      <c r="AF489" s="577">
        <f t="shared" si="63"/>
        <v>200000</v>
      </c>
      <c r="AG489" s="275">
        <f t="shared" si="64"/>
        <v>200000</v>
      </c>
    </row>
    <row r="490" spans="1:33" ht="12" customHeight="1">
      <c r="A490" s="603" t="s">
        <v>1271</v>
      </c>
      <c r="B490" s="609" t="s">
        <v>1510</v>
      </c>
      <c r="C490" s="610" t="s">
        <v>421</v>
      </c>
      <c r="D490" s="606"/>
      <c r="E490" s="607"/>
      <c r="F490" s="573"/>
      <c r="G490" s="487"/>
      <c r="H490" s="573"/>
      <c r="I490" s="487"/>
      <c r="J490" s="573"/>
      <c r="K490" s="487"/>
      <c r="L490" s="573"/>
      <c r="M490" s="573"/>
      <c r="N490" s="456">
        <f t="shared" si="65"/>
        <v>0</v>
      </c>
      <c r="O490" s="487"/>
      <c r="P490" s="487"/>
      <c r="Q490" s="274">
        <f t="shared" si="60"/>
        <v>0</v>
      </c>
      <c r="R490" s="574">
        <f t="shared" si="61"/>
        <v>0</v>
      </c>
      <c r="S490" s="275">
        <f t="shared" si="62"/>
        <v>0</v>
      </c>
      <c r="T490" s="1144" t="s">
        <v>150</v>
      </c>
      <c r="U490" s="487"/>
      <c r="V490" s="576"/>
      <c r="W490" s="573"/>
      <c r="X490" s="574">
        <f t="shared" si="66"/>
        <v>0</v>
      </c>
      <c r="Y490" s="487"/>
      <c r="Z490" s="487"/>
      <c r="AA490" s="276">
        <f t="shared" si="67"/>
        <v>0</v>
      </c>
      <c r="AB490" s="573"/>
      <c r="AC490" s="487"/>
      <c r="AD490" s="573"/>
      <c r="AE490" s="487"/>
      <c r="AF490" s="577">
        <f t="shared" si="63"/>
        <v>0</v>
      </c>
      <c r="AG490" s="275">
        <f t="shared" si="64"/>
        <v>0</v>
      </c>
    </row>
    <row r="491" spans="1:33" ht="12" customHeight="1">
      <c r="A491" s="603" t="s">
        <v>1271</v>
      </c>
      <c r="B491" s="609" t="s">
        <v>1511</v>
      </c>
      <c r="C491" s="610" t="s">
        <v>1883</v>
      </c>
      <c r="D491" s="606"/>
      <c r="E491" s="607"/>
      <c r="F491" s="573"/>
      <c r="G491" s="487"/>
      <c r="H491" s="573"/>
      <c r="I491" s="487"/>
      <c r="J491" s="573"/>
      <c r="K491" s="487"/>
      <c r="L491" s="573"/>
      <c r="M491" s="573"/>
      <c r="N491" s="456">
        <f t="shared" si="65"/>
        <v>0</v>
      </c>
      <c r="O491" s="487"/>
      <c r="P491" s="487"/>
      <c r="Q491" s="274">
        <f t="shared" si="60"/>
        <v>0</v>
      </c>
      <c r="R491" s="574">
        <f t="shared" si="61"/>
        <v>0</v>
      </c>
      <c r="S491" s="275">
        <f t="shared" si="62"/>
        <v>0</v>
      </c>
      <c r="T491" s="1145"/>
      <c r="U491" s="487"/>
      <c r="V491" s="576"/>
      <c r="W491" s="573"/>
      <c r="X491" s="574">
        <f t="shared" si="66"/>
        <v>0</v>
      </c>
      <c r="Y491" s="487"/>
      <c r="Z491" s="487"/>
      <c r="AA491" s="276">
        <f t="shared" si="67"/>
        <v>0</v>
      </c>
      <c r="AB491" s="573"/>
      <c r="AC491" s="487"/>
      <c r="AD491" s="573"/>
      <c r="AE491" s="487"/>
      <c r="AF491" s="577">
        <f t="shared" si="63"/>
        <v>0</v>
      </c>
      <c r="AG491" s="275">
        <f t="shared" si="64"/>
        <v>0</v>
      </c>
    </row>
    <row r="492" spans="1:33" ht="12" customHeight="1">
      <c r="A492" s="603" t="s">
        <v>1271</v>
      </c>
      <c r="B492" s="609" t="s">
        <v>1412</v>
      </c>
      <c r="C492" s="610" t="s">
        <v>1761</v>
      </c>
      <c r="D492" s="606"/>
      <c r="E492" s="607"/>
      <c r="F492" s="573"/>
      <c r="G492" s="487"/>
      <c r="H492" s="573"/>
      <c r="I492" s="487"/>
      <c r="J492" s="573"/>
      <c r="K492" s="487"/>
      <c r="L492" s="573"/>
      <c r="M492" s="573"/>
      <c r="N492" s="456">
        <f t="shared" si="65"/>
        <v>0</v>
      </c>
      <c r="O492" s="487"/>
      <c r="P492" s="487"/>
      <c r="Q492" s="274">
        <f t="shared" si="60"/>
        <v>0</v>
      </c>
      <c r="R492" s="574">
        <f t="shared" si="61"/>
        <v>0</v>
      </c>
      <c r="S492" s="275">
        <f t="shared" si="62"/>
        <v>0</v>
      </c>
      <c r="T492" s="1145"/>
      <c r="U492" s="487"/>
      <c r="V492" s="576"/>
      <c r="W492" s="573"/>
      <c r="X492" s="574">
        <f t="shared" si="66"/>
        <v>0</v>
      </c>
      <c r="Y492" s="487"/>
      <c r="Z492" s="487"/>
      <c r="AA492" s="276">
        <f t="shared" si="67"/>
        <v>0</v>
      </c>
      <c r="AB492" s="573"/>
      <c r="AC492" s="487"/>
      <c r="AD492" s="573"/>
      <c r="AE492" s="487"/>
      <c r="AF492" s="577">
        <f t="shared" si="63"/>
        <v>0</v>
      </c>
      <c r="AG492" s="275">
        <f t="shared" si="64"/>
        <v>0</v>
      </c>
    </row>
    <row r="493" spans="1:33" ht="12" customHeight="1">
      <c r="A493" s="603" t="s">
        <v>1271</v>
      </c>
      <c r="B493" s="609" t="s">
        <v>1413</v>
      </c>
      <c r="C493" s="610" t="s">
        <v>422</v>
      </c>
      <c r="D493" s="606"/>
      <c r="E493" s="607"/>
      <c r="F493" s="573"/>
      <c r="G493" s="487"/>
      <c r="H493" s="573"/>
      <c r="I493" s="487"/>
      <c r="J493" s="573"/>
      <c r="K493" s="487"/>
      <c r="L493" s="573"/>
      <c r="M493" s="573"/>
      <c r="N493" s="456">
        <f t="shared" si="65"/>
        <v>0</v>
      </c>
      <c r="O493" s="487"/>
      <c r="P493" s="487"/>
      <c r="Q493" s="274">
        <f t="shared" si="60"/>
        <v>0</v>
      </c>
      <c r="R493" s="574">
        <f t="shared" si="61"/>
        <v>0</v>
      </c>
      <c r="S493" s="275">
        <f t="shared" si="62"/>
        <v>0</v>
      </c>
      <c r="T493" s="1145"/>
      <c r="U493" s="487"/>
      <c r="V493" s="576"/>
      <c r="W493" s="573"/>
      <c r="X493" s="574">
        <f t="shared" si="66"/>
        <v>0</v>
      </c>
      <c r="Y493" s="487"/>
      <c r="Z493" s="487"/>
      <c r="AA493" s="276">
        <f t="shared" si="67"/>
        <v>0</v>
      </c>
      <c r="AB493" s="573"/>
      <c r="AC493" s="487"/>
      <c r="AD493" s="573"/>
      <c r="AE493" s="487"/>
      <c r="AF493" s="577">
        <f t="shared" si="63"/>
        <v>0</v>
      </c>
      <c r="AG493" s="275">
        <f t="shared" si="64"/>
        <v>0</v>
      </c>
    </row>
    <row r="494" spans="1:33" ht="12" customHeight="1">
      <c r="A494" s="603" t="s">
        <v>1271</v>
      </c>
      <c r="B494" s="609" t="s">
        <v>1582</v>
      </c>
      <c r="C494" s="610" t="s">
        <v>1883</v>
      </c>
      <c r="D494" s="606"/>
      <c r="E494" s="607"/>
      <c r="F494" s="573"/>
      <c r="G494" s="487"/>
      <c r="H494" s="573"/>
      <c r="I494" s="487"/>
      <c r="J494" s="573"/>
      <c r="K494" s="487"/>
      <c r="L494" s="573"/>
      <c r="M494" s="573"/>
      <c r="N494" s="456">
        <f t="shared" si="65"/>
        <v>0</v>
      </c>
      <c r="O494" s="487"/>
      <c r="P494" s="487"/>
      <c r="Q494" s="274">
        <f t="shared" si="60"/>
        <v>0</v>
      </c>
      <c r="R494" s="574">
        <f t="shared" si="61"/>
        <v>0</v>
      </c>
      <c r="S494" s="275">
        <f t="shared" si="62"/>
        <v>0</v>
      </c>
      <c r="T494" s="1147"/>
      <c r="U494" s="487"/>
      <c r="V494" s="576"/>
      <c r="W494" s="573"/>
      <c r="X494" s="574">
        <f t="shared" si="66"/>
        <v>0</v>
      </c>
      <c r="Y494" s="487"/>
      <c r="Z494" s="487"/>
      <c r="AA494" s="276">
        <f t="shared" si="67"/>
        <v>0</v>
      </c>
      <c r="AB494" s="573"/>
      <c r="AC494" s="487"/>
      <c r="AD494" s="573"/>
      <c r="AE494" s="487"/>
      <c r="AF494" s="577">
        <f t="shared" si="63"/>
        <v>0</v>
      </c>
      <c r="AG494" s="275">
        <f t="shared" si="64"/>
        <v>0</v>
      </c>
    </row>
    <row r="495" spans="1:33" ht="12" customHeight="1">
      <c r="A495" s="603" t="s">
        <v>1271</v>
      </c>
      <c r="B495" s="609" t="s">
        <v>1583</v>
      </c>
      <c r="C495" s="610" t="s">
        <v>1761</v>
      </c>
      <c r="D495" s="606"/>
      <c r="E495" s="607"/>
      <c r="F495" s="573"/>
      <c r="G495" s="487"/>
      <c r="H495" s="573"/>
      <c r="I495" s="487"/>
      <c r="J495" s="573"/>
      <c r="K495" s="487"/>
      <c r="L495" s="573"/>
      <c r="M495" s="573"/>
      <c r="N495" s="456">
        <f t="shared" si="65"/>
        <v>0</v>
      </c>
      <c r="O495" s="487"/>
      <c r="P495" s="487"/>
      <c r="Q495" s="274">
        <f t="shared" si="60"/>
        <v>0</v>
      </c>
      <c r="R495" s="574">
        <f t="shared" si="61"/>
        <v>0</v>
      </c>
      <c r="S495" s="275">
        <f t="shared" si="62"/>
        <v>0</v>
      </c>
      <c r="T495" s="575"/>
      <c r="U495" s="487"/>
      <c r="V495" s="576"/>
      <c r="W495" s="573"/>
      <c r="X495" s="574">
        <f t="shared" si="66"/>
        <v>0</v>
      </c>
      <c r="Y495" s="487"/>
      <c r="Z495" s="487"/>
      <c r="AA495" s="276">
        <f t="shared" si="67"/>
        <v>0</v>
      </c>
      <c r="AB495" s="573"/>
      <c r="AC495" s="487"/>
      <c r="AD495" s="573"/>
      <c r="AE495" s="487"/>
      <c r="AF495" s="577">
        <f t="shared" si="63"/>
        <v>0</v>
      </c>
      <c r="AG495" s="275">
        <f t="shared" si="64"/>
        <v>0</v>
      </c>
    </row>
    <row r="496" spans="1:33" ht="12" customHeight="1">
      <c r="A496" s="603" t="s">
        <v>1271</v>
      </c>
      <c r="B496" s="598" t="s">
        <v>1805</v>
      </c>
      <c r="C496" s="296" t="s">
        <v>622</v>
      </c>
      <c r="D496" s="606"/>
      <c r="E496" s="607"/>
      <c r="F496" s="573"/>
      <c r="G496" s="487"/>
      <c r="H496" s="573"/>
      <c r="I496" s="487"/>
      <c r="J496" s="573"/>
      <c r="K496" s="487"/>
      <c r="L496" s="573"/>
      <c r="M496" s="573"/>
      <c r="N496" s="456">
        <f t="shared" si="65"/>
        <v>0</v>
      </c>
      <c r="O496" s="487"/>
      <c r="P496" s="487"/>
      <c r="Q496" s="274">
        <f t="shared" si="60"/>
        <v>0</v>
      </c>
      <c r="R496" s="574">
        <f t="shared" si="61"/>
        <v>0</v>
      </c>
      <c r="S496" s="275">
        <f t="shared" si="62"/>
        <v>0</v>
      </c>
      <c r="T496" s="575"/>
      <c r="U496" s="487"/>
      <c r="V496" s="576"/>
      <c r="W496" s="573"/>
      <c r="X496" s="574">
        <f t="shared" si="66"/>
        <v>0</v>
      </c>
      <c r="Y496" s="487"/>
      <c r="Z496" s="487"/>
      <c r="AA496" s="276">
        <f t="shared" si="67"/>
        <v>0</v>
      </c>
      <c r="AB496" s="573"/>
      <c r="AC496" s="487"/>
      <c r="AD496" s="573"/>
      <c r="AE496" s="487"/>
      <c r="AF496" s="577">
        <f t="shared" si="63"/>
        <v>0</v>
      </c>
      <c r="AG496" s="275">
        <f t="shared" si="64"/>
        <v>0</v>
      </c>
    </row>
    <row r="497" spans="1:33" ht="12" customHeight="1">
      <c r="A497" s="603" t="s">
        <v>1271</v>
      </c>
      <c r="B497" s="609" t="s">
        <v>1510</v>
      </c>
      <c r="C497" s="610" t="s">
        <v>421</v>
      </c>
      <c r="D497" s="606"/>
      <c r="E497" s="607"/>
      <c r="F497" s="573"/>
      <c r="G497" s="487"/>
      <c r="H497" s="573"/>
      <c r="I497" s="487"/>
      <c r="J497" s="573"/>
      <c r="K497" s="487"/>
      <c r="L497" s="573"/>
      <c r="M497" s="573"/>
      <c r="N497" s="456">
        <f t="shared" si="65"/>
        <v>0</v>
      </c>
      <c r="O497" s="487"/>
      <c r="P497" s="487"/>
      <c r="Q497" s="274">
        <f t="shared" si="60"/>
        <v>0</v>
      </c>
      <c r="R497" s="574">
        <f t="shared" si="61"/>
        <v>0</v>
      </c>
      <c r="S497" s="275">
        <f t="shared" si="62"/>
        <v>0</v>
      </c>
      <c r="T497" s="575"/>
      <c r="U497" s="487"/>
      <c r="V497" s="576"/>
      <c r="W497" s="573"/>
      <c r="X497" s="574">
        <f t="shared" si="66"/>
        <v>0</v>
      </c>
      <c r="Y497" s="487"/>
      <c r="Z497" s="487"/>
      <c r="AA497" s="276">
        <f t="shared" si="67"/>
        <v>0</v>
      </c>
      <c r="AB497" s="573"/>
      <c r="AC497" s="487"/>
      <c r="AD497" s="573"/>
      <c r="AE497" s="487"/>
      <c r="AF497" s="577">
        <f t="shared" si="63"/>
        <v>0</v>
      </c>
      <c r="AG497" s="275">
        <f t="shared" si="64"/>
        <v>0</v>
      </c>
    </row>
    <row r="498" spans="1:33" ht="12" customHeight="1">
      <c r="A498" s="603" t="s">
        <v>1271</v>
      </c>
      <c r="B498" s="609" t="s">
        <v>1511</v>
      </c>
      <c r="C498" s="610" t="s">
        <v>1883</v>
      </c>
      <c r="D498" s="606"/>
      <c r="E498" s="607"/>
      <c r="F498" s="573"/>
      <c r="G498" s="487"/>
      <c r="H498" s="573"/>
      <c r="I498" s="487"/>
      <c r="J498" s="573"/>
      <c r="K498" s="487"/>
      <c r="L498" s="573"/>
      <c r="M498" s="573"/>
      <c r="N498" s="456">
        <f t="shared" si="65"/>
        <v>0</v>
      </c>
      <c r="O498" s="487"/>
      <c r="P498" s="487"/>
      <c r="Q498" s="274">
        <f t="shared" si="60"/>
        <v>0</v>
      </c>
      <c r="R498" s="574">
        <f t="shared" si="61"/>
        <v>0</v>
      </c>
      <c r="S498" s="275">
        <f t="shared" si="62"/>
        <v>0</v>
      </c>
      <c r="T498" s="575"/>
      <c r="U498" s="487"/>
      <c r="V498" s="576"/>
      <c r="W498" s="573"/>
      <c r="X498" s="574">
        <f t="shared" si="66"/>
        <v>0</v>
      </c>
      <c r="Y498" s="487"/>
      <c r="Z498" s="487"/>
      <c r="AA498" s="276">
        <f t="shared" si="67"/>
        <v>0</v>
      </c>
      <c r="AB498" s="573"/>
      <c r="AC498" s="487"/>
      <c r="AD498" s="573"/>
      <c r="AE498" s="487"/>
      <c r="AF498" s="577">
        <f t="shared" si="63"/>
        <v>0</v>
      </c>
      <c r="AG498" s="275">
        <f t="shared" si="64"/>
        <v>0</v>
      </c>
    </row>
    <row r="499" spans="1:33" ht="12" customHeight="1">
      <c r="A499" s="603" t="s">
        <v>1271</v>
      </c>
      <c r="B499" s="609" t="s">
        <v>1412</v>
      </c>
      <c r="C499" s="610" t="s">
        <v>1761</v>
      </c>
      <c r="D499" s="606"/>
      <c r="E499" s="607"/>
      <c r="F499" s="573"/>
      <c r="G499" s="487"/>
      <c r="H499" s="573"/>
      <c r="I499" s="487"/>
      <c r="J499" s="573"/>
      <c r="K499" s="487"/>
      <c r="L499" s="573"/>
      <c r="M499" s="573"/>
      <c r="N499" s="456">
        <f t="shared" si="65"/>
        <v>0</v>
      </c>
      <c r="O499" s="487"/>
      <c r="P499" s="487"/>
      <c r="Q499" s="274">
        <f t="shared" si="60"/>
        <v>0</v>
      </c>
      <c r="R499" s="574">
        <f t="shared" si="61"/>
        <v>0</v>
      </c>
      <c r="S499" s="275">
        <f t="shared" si="62"/>
        <v>0</v>
      </c>
      <c r="T499" s="462">
        <v>109125</v>
      </c>
      <c r="U499" s="487">
        <v>121875</v>
      </c>
      <c r="V499" s="576"/>
      <c r="W499" s="573"/>
      <c r="X499" s="574">
        <f t="shared" si="66"/>
        <v>0</v>
      </c>
      <c r="Y499" s="487"/>
      <c r="Z499" s="487"/>
      <c r="AA499" s="276">
        <f t="shared" si="67"/>
        <v>0</v>
      </c>
      <c r="AB499" s="573"/>
      <c r="AC499" s="487"/>
      <c r="AD499" s="573"/>
      <c r="AE499" s="487"/>
      <c r="AF499" s="577">
        <f t="shared" si="63"/>
        <v>109125</v>
      </c>
      <c r="AG499" s="275">
        <f t="shared" si="64"/>
        <v>121875</v>
      </c>
    </row>
    <row r="500" spans="1:33" ht="12" customHeight="1">
      <c r="A500" s="603" t="s">
        <v>1271</v>
      </c>
      <c r="B500" s="609" t="s">
        <v>1413</v>
      </c>
      <c r="C500" s="610" t="s">
        <v>422</v>
      </c>
      <c r="D500" s="606"/>
      <c r="E500" s="607"/>
      <c r="F500" s="573"/>
      <c r="G500" s="487"/>
      <c r="H500" s="573"/>
      <c r="I500" s="487"/>
      <c r="J500" s="573"/>
      <c r="K500" s="487"/>
      <c r="L500" s="573"/>
      <c r="M500" s="573"/>
      <c r="N500" s="456">
        <f t="shared" si="65"/>
        <v>0</v>
      </c>
      <c r="O500" s="487"/>
      <c r="P500" s="487"/>
      <c r="Q500" s="274">
        <f t="shared" si="60"/>
        <v>0</v>
      </c>
      <c r="R500" s="574">
        <f t="shared" si="61"/>
        <v>0</v>
      </c>
      <c r="S500" s="275">
        <f t="shared" si="62"/>
        <v>0</v>
      </c>
      <c r="T500" s="575"/>
      <c r="U500" s="487"/>
      <c r="V500" s="576"/>
      <c r="W500" s="573"/>
      <c r="X500" s="574">
        <f t="shared" si="66"/>
        <v>0</v>
      </c>
      <c r="Y500" s="487"/>
      <c r="Z500" s="487"/>
      <c r="AA500" s="276">
        <f t="shared" si="67"/>
        <v>0</v>
      </c>
      <c r="AB500" s="573"/>
      <c r="AC500" s="487"/>
      <c r="AD500" s="573"/>
      <c r="AE500" s="487"/>
      <c r="AF500" s="577">
        <f t="shared" si="63"/>
        <v>0</v>
      </c>
      <c r="AG500" s="275">
        <f t="shared" si="64"/>
        <v>0</v>
      </c>
    </row>
    <row r="501" spans="1:33" ht="12" customHeight="1">
      <c r="A501" s="603" t="s">
        <v>1271</v>
      </c>
      <c r="B501" s="609" t="s">
        <v>1582</v>
      </c>
      <c r="C501" s="610" t="s">
        <v>1883</v>
      </c>
      <c r="D501" s="606"/>
      <c r="E501" s="607"/>
      <c r="F501" s="573"/>
      <c r="G501" s="487"/>
      <c r="H501" s="573"/>
      <c r="I501" s="487"/>
      <c r="J501" s="573"/>
      <c r="K501" s="487"/>
      <c r="L501" s="573"/>
      <c r="M501" s="573"/>
      <c r="N501" s="456">
        <f t="shared" si="65"/>
        <v>0</v>
      </c>
      <c r="O501" s="487"/>
      <c r="P501" s="487"/>
      <c r="Q501" s="274">
        <f t="shared" si="60"/>
        <v>0</v>
      </c>
      <c r="R501" s="574">
        <f t="shared" si="61"/>
        <v>0</v>
      </c>
      <c r="S501" s="275">
        <f t="shared" si="62"/>
        <v>0</v>
      </c>
      <c r="T501" s="575"/>
      <c r="U501" s="487"/>
      <c r="V501" s="576"/>
      <c r="W501" s="573"/>
      <c r="X501" s="574">
        <f t="shared" si="66"/>
        <v>0</v>
      </c>
      <c r="Y501" s="487"/>
      <c r="Z501" s="487"/>
      <c r="AA501" s="276">
        <f t="shared" si="67"/>
        <v>0</v>
      </c>
      <c r="AB501" s="573"/>
      <c r="AC501" s="487"/>
      <c r="AD501" s="573"/>
      <c r="AE501" s="487"/>
      <c r="AF501" s="577">
        <f t="shared" si="63"/>
        <v>0</v>
      </c>
      <c r="AG501" s="275">
        <f t="shared" si="64"/>
        <v>0</v>
      </c>
    </row>
    <row r="502" spans="1:33" ht="12" customHeight="1">
      <c r="A502" s="603" t="s">
        <v>1271</v>
      </c>
      <c r="B502" s="609" t="s">
        <v>1583</v>
      </c>
      <c r="C502" s="610" t="s">
        <v>1761</v>
      </c>
      <c r="D502" s="606"/>
      <c r="E502" s="607"/>
      <c r="F502" s="573"/>
      <c r="G502" s="487"/>
      <c r="H502" s="573"/>
      <c r="I502" s="487"/>
      <c r="J502" s="573"/>
      <c r="K502" s="487"/>
      <c r="L502" s="573"/>
      <c r="M502" s="573"/>
      <c r="N502" s="456">
        <f t="shared" si="65"/>
        <v>0</v>
      </c>
      <c r="O502" s="487"/>
      <c r="P502" s="487"/>
      <c r="Q502" s="274">
        <f t="shared" si="60"/>
        <v>0</v>
      </c>
      <c r="R502" s="574">
        <f t="shared" si="61"/>
        <v>0</v>
      </c>
      <c r="S502" s="275">
        <f t="shared" si="62"/>
        <v>0</v>
      </c>
      <c r="T502" s="462">
        <v>5250</v>
      </c>
      <c r="U502" s="487">
        <v>1500</v>
      </c>
      <c r="V502" s="576"/>
      <c r="W502" s="573"/>
      <c r="X502" s="574">
        <f t="shared" si="66"/>
        <v>0</v>
      </c>
      <c r="Y502" s="487"/>
      <c r="Z502" s="487"/>
      <c r="AA502" s="276">
        <f t="shared" si="67"/>
        <v>0</v>
      </c>
      <c r="AB502" s="573"/>
      <c r="AC502" s="487"/>
      <c r="AD502" s="573"/>
      <c r="AE502" s="487"/>
      <c r="AF502" s="577">
        <f t="shared" si="63"/>
        <v>5250</v>
      </c>
      <c r="AG502" s="275">
        <f t="shared" si="64"/>
        <v>1500</v>
      </c>
    </row>
    <row r="503" spans="1:33" ht="12" customHeight="1">
      <c r="A503" s="603" t="s">
        <v>1271</v>
      </c>
      <c r="B503" s="598" t="s">
        <v>1805</v>
      </c>
      <c r="C503" s="296" t="s">
        <v>623</v>
      </c>
      <c r="D503" s="611"/>
      <c r="E503" s="612"/>
      <c r="F503" s="573"/>
      <c r="G503" s="487"/>
      <c r="H503" s="573"/>
      <c r="I503" s="487"/>
      <c r="J503" s="573"/>
      <c r="K503" s="487"/>
      <c r="L503" s="573"/>
      <c r="M503" s="573"/>
      <c r="N503" s="456">
        <f t="shared" si="65"/>
        <v>0</v>
      </c>
      <c r="O503" s="487"/>
      <c r="P503" s="487"/>
      <c r="Q503" s="274">
        <f t="shared" si="60"/>
        <v>0</v>
      </c>
      <c r="R503" s="574">
        <f t="shared" si="61"/>
        <v>0</v>
      </c>
      <c r="S503" s="275">
        <f t="shared" si="62"/>
        <v>0</v>
      </c>
      <c r="T503" s="575"/>
      <c r="U503" s="487"/>
      <c r="V503" s="576"/>
      <c r="W503" s="573"/>
      <c r="X503" s="574">
        <f t="shared" si="66"/>
        <v>0</v>
      </c>
      <c r="Y503" s="487"/>
      <c r="Z503" s="487"/>
      <c r="AA503" s="276">
        <f t="shared" si="67"/>
        <v>0</v>
      </c>
      <c r="AB503" s="573"/>
      <c r="AC503" s="487"/>
      <c r="AD503" s="573"/>
      <c r="AE503" s="487"/>
      <c r="AF503" s="577">
        <f t="shared" si="63"/>
        <v>0</v>
      </c>
      <c r="AG503" s="275">
        <f t="shared" si="64"/>
        <v>0</v>
      </c>
    </row>
    <row r="504" spans="1:33" ht="12" customHeight="1">
      <c r="A504" s="603" t="s">
        <v>1271</v>
      </c>
      <c r="B504" s="613" t="s">
        <v>1510</v>
      </c>
      <c r="C504" s="610" t="s">
        <v>421</v>
      </c>
      <c r="D504" s="611"/>
      <c r="E504" s="612"/>
      <c r="F504" s="573"/>
      <c r="G504" s="487"/>
      <c r="H504" s="573"/>
      <c r="I504" s="487"/>
      <c r="J504" s="573"/>
      <c r="K504" s="487"/>
      <c r="L504" s="573"/>
      <c r="M504" s="573"/>
      <c r="N504" s="456">
        <f t="shared" si="65"/>
        <v>0</v>
      </c>
      <c r="O504" s="487"/>
      <c r="P504" s="487"/>
      <c r="Q504" s="274">
        <f t="shared" si="60"/>
        <v>0</v>
      </c>
      <c r="R504" s="574">
        <f t="shared" si="61"/>
        <v>0</v>
      </c>
      <c r="S504" s="275">
        <f t="shared" si="62"/>
        <v>0</v>
      </c>
      <c r="T504" s="575"/>
      <c r="U504" s="487"/>
      <c r="V504" s="576"/>
      <c r="W504" s="573"/>
      <c r="X504" s="574">
        <f t="shared" si="66"/>
        <v>0</v>
      </c>
      <c r="Y504" s="487"/>
      <c r="Z504" s="487"/>
      <c r="AA504" s="276">
        <f t="shared" si="67"/>
        <v>0</v>
      </c>
      <c r="AB504" s="573"/>
      <c r="AC504" s="487"/>
      <c r="AD504" s="573"/>
      <c r="AE504" s="487"/>
      <c r="AF504" s="577">
        <f t="shared" si="63"/>
        <v>0</v>
      </c>
      <c r="AG504" s="275">
        <f t="shared" si="64"/>
        <v>0</v>
      </c>
    </row>
    <row r="505" spans="1:33" ht="12" customHeight="1">
      <c r="A505" s="603" t="s">
        <v>1271</v>
      </c>
      <c r="B505" s="609" t="s">
        <v>1511</v>
      </c>
      <c r="C505" s="610" t="s">
        <v>1883</v>
      </c>
      <c r="D505" s="611"/>
      <c r="E505" s="612"/>
      <c r="F505" s="573"/>
      <c r="G505" s="487"/>
      <c r="H505" s="573"/>
      <c r="I505" s="487"/>
      <c r="J505" s="573"/>
      <c r="K505" s="487"/>
      <c r="L505" s="573"/>
      <c r="M505" s="573"/>
      <c r="N505" s="456">
        <f t="shared" si="65"/>
        <v>0</v>
      </c>
      <c r="O505" s="487"/>
      <c r="P505" s="487"/>
      <c r="Q505" s="274">
        <f t="shared" si="60"/>
        <v>0</v>
      </c>
      <c r="R505" s="574">
        <f t="shared" si="61"/>
        <v>0</v>
      </c>
      <c r="S505" s="275">
        <f t="shared" si="62"/>
        <v>0</v>
      </c>
      <c r="T505" s="462">
        <v>3538938</v>
      </c>
      <c r="U505" s="487">
        <v>3429828</v>
      </c>
      <c r="V505" s="576"/>
      <c r="W505" s="573"/>
      <c r="X505" s="574">
        <f t="shared" si="66"/>
        <v>0</v>
      </c>
      <c r="Y505" s="487"/>
      <c r="Z505" s="487"/>
      <c r="AA505" s="276">
        <f t="shared" si="67"/>
        <v>0</v>
      </c>
      <c r="AB505" s="573"/>
      <c r="AC505" s="487"/>
      <c r="AD505" s="573"/>
      <c r="AE505" s="487"/>
      <c r="AF505" s="577">
        <f t="shared" si="63"/>
        <v>3538938</v>
      </c>
      <c r="AG505" s="275">
        <f t="shared" si="64"/>
        <v>3429828</v>
      </c>
    </row>
    <row r="506" spans="1:33" ht="12" customHeight="1">
      <c r="A506" s="603" t="s">
        <v>1271</v>
      </c>
      <c r="B506" s="609" t="s">
        <v>1412</v>
      </c>
      <c r="C506" s="610" t="s">
        <v>1761</v>
      </c>
      <c r="D506" s="611"/>
      <c r="E506" s="612"/>
      <c r="F506" s="573"/>
      <c r="G506" s="487"/>
      <c r="H506" s="573"/>
      <c r="I506" s="487"/>
      <c r="J506" s="573"/>
      <c r="K506" s="487"/>
      <c r="L506" s="573"/>
      <c r="M506" s="573"/>
      <c r="N506" s="456">
        <f t="shared" si="65"/>
        <v>0</v>
      </c>
      <c r="O506" s="487"/>
      <c r="P506" s="487"/>
      <c r="Q506" s="274">
        <f t="shared" si="60"/>
        <v>0</v>
      </c>
      <c r="R506" s="574">
        <f t="shared" si="61"/>
        <v>0</v>
      </c>
      <c r="S506" s="275">
        <f t="shared" si="62"/>
        <v>0</v>
      </c>
      <c r="T506" s="462"/>
      <c r="U506" s="487"/>
      <c r="V506" s="576"/>
      <c r="W506" s="573"/>
      <c r="X506" s="574">
        <f t="shared" si="66"/>
        <v>0</v>
      </c>
      <c r="Y506" s="487"/>
      <c r="Z506" s="487"/>
      <c r="AA506" s="276">
        <f t="shared" si="67"/>
        <v>0</v>
      </c>
      <c r="AB506" s="573"/>
      <c r="AC506" s="487"/>
      <c r="AD506" s="573"/>
      <c r="AE506" s="487"/>
      <c r="AF506" s="577">
        <f t="shared" si="63"/>
        <v>0</v>
      </c>
      <c r="AG506" s="275">
        <f t="shared" si="64"/>
        <v>0</v>
      </c>
    </row>
    <row r="507" spans="1:33" ht="12" customHeight="1">
      <c r="A507" s="603" t="s">
        <v>1271</v>
      </c>
      <c r="B507" s="609" t="s">
        <v>1413</v>
      </c>
      <c r="C507" s="610" t="s">
        <v>422</v>
      </c>
      <c r="D507" s="611" t="s">
        <v>648</v>
      </c>
      <c r="E507" s="612"/>
      <c r="F507" s="573"/>
      <c r="G507" s="487"/>
      <c r="H507" s="573"/>
      <c r="I507" s="487"/>
      <c r="J507" s="573"/>
      <c r="K507" s="487"/>
      <c r="L507" s="573"/>
      <c r="M507" s="573"/>
      <c r="N507" s="456">
        <f t="shared" si="65"/>
        <v>0</v>
      </c>
      <c r="O507" s="487"/>
      <c r="P507" s="487"/>
      <c r="Q507" s="274">
        <f t="shared" si="60"/>
        <v>0</v>
      </c>
      <c r="R507" s="574">
        <f t="shared" si="61"/>
        <v>0</v>
      </c>
      <c r="S507" s="275">
        <f t="shared" si="62"/>
        <v>0</v>
      </c>
      <c r="T507" s="462"/>
      <c r="U507" s="487"/>
      <c r="V507" s="576"/>
      <c r="W507" s="573"/>
      <c r="X507" s="574">
        <f t="shared" si="66"/>
        <v>0</v>
      </c>
      <c r="Y507" s="487"/>
      <c r="Z507" s="487"/>
      <c r="AA507" s="276">
        <f t="shared" si="67"/>
        <v>0</v>
      </c>
      <c r="AB507" s="573"/>
      <c r="AC507" s="487"/>
      <c r="AD507" s="573"/>
      <c r="AE507" s="487"/>
      <c r="AF507" s="577">
        <f t="shared" si="63"/>
        <v>0</v>
      </c>
      <c r="AG507" s="275">
        <f t="shared" si="64"/>
        <v>0</v>
      </c>
    </row>
    <row r="508" spans="1:33" ht="12" customHeight="1">
      <c r="A508" s="603" t="s">
        <v>1271</v>
      </c>
      <c r="B508" s="609" t="s">
        <v>1582</v>
      </c>
      <c r="C508" s="610" t="s">
        <v>1883</v>
      </c>
      <c r="D508" s="611"/>
      <c r="E508" s="612"/>
      <c r="F508" s="573"/>
      <c r="G508" s="487"/>
      <c r="H508" s="573"/>
      <c r="I508" s="487"/>
      <c r="J508" s="573"/>
      <c r="K508" s="487"/>
      <c r="L508" s="573"/>
      <c r="M508" s="573"/>
      <c r="N508" s="456">
        <f t="shared" si="65"/>
        <v>0</v>
      </c>
      <c r="O508" s="487"/>
      <c r="P508" s="487"/>
      <c r="Q508" s="274">
        <f t="shared" si="60"/>
        <v>0</v>
      </c>
      <c r="R508" s="574">
        <f t="shared" si="61"/>
        <v>0</v>
      </c>
      <c r="S508" s="275">
        <f t="shared" si="62"/>
        <v>0</v>
      </c>
      <c r="T508" s="462">
        <v>180329</v>
      </c>
      <c r="U508" s="487">
        <v>180517</v>
      </c>
      <c r="V508" s="576"/>
      <c r="W508" s="573"/>
      <c r="X508" s="574">
        <f t="shared" si="66"/>
        <v>0</v>
      </c>
      <c r="Y508" s="487"/>
      <c r="Z508" s="487"/>
      <c r="AA508" s="276">
        <f t="shared" si="67"/>
        <v>0</v>
      </c>
      <c r="AB508" s="573"/>
      <c r="AC508" s="487"/>
      <c r="AD508" s="573"/>
      <c r="AE508" s="487"/>
      <c r="AF508" s="577">
        <f t="shared" si="63"/>
        <v>180329</v>
      </c>
      <c r="AG508" s="275">
        <f t="shared" si="64"/>
        <v>180517</v>
      </c>
    </row>
    <row r="509" spans="1:33" ht="12" customHeight="1">
      <c r="A509" s="603" t="s">
        <v>1271</v>
      </c>
      <c r="B509" s="609" t="s">
        <v>1583</v>
      </c>
      <c r="C509" s="610" t="s">
        <v>1761</v>
      </c>
      <c r="D509" s="611"/>
      <c r="E509" s="612"/>
      <c r="F509" s="573"/>
      <c r="G509" s="487"/>
      <c r="H509" s="573"/>
      <c r="I509" s="487"/>
      <c r="J509" s="573"/>
      <c r="K509" s="487"/>
      <c r="L509" s="573"/>
      <c r="M509" s="573"/>
      <c r="N509" s="456">
        <f t="shared" si="65"/>
        <v>0</v>
      </c>
      <c r="O509" s="487"/>
      <c r="P509" s="487"/>
      <c r="Q509" s="274">
        <f t="shared" si="60"/>
        <v>0</v>
      </c>
      <c r="R509" s="574">
        <f t="shared" si="61"/>
        <v>0</v>
      </c>
      <c r="S509" s="275">
        <f t="shared" si="62"/>
        <v>0</v>
      </c>
      <c r="T509" s="575"/>
      <c r="U509" s="487"/>
      <c r="V509" s="576"/>
      <c r="W509" s="573"/>
      <c r="X509" s="574">
        <f t="shared" si="66"/>
        <v>0</v>
      </c>
      <c r="Y509" s="487"/>
      <c r="Z509" s="487"/>
      <c r="AA509" s="276">
        <f t="shared" si="67"/>
        <v>0</v>
      </c>
      <c r="AB509" s="573"/>
      <c r="AC509" s="487"/>
      <c r="AD509" s="573"/>
      <c r="AE509" s="487"/>
      <c r="AF509" s="577">
        <f t="shared" si="63"/>
        <v>0</v>
      </c>
      <c r="AG509" s="275">
        <f t="shared" si="64"/>
        <v>0</v>
      </c>
    </row>
    <row r="510" spans="1:33" ht="12" customHeight="1">
      <c r="A510" s="603" t="s">
        <v>1271</v>
      </c>
      <c r="B510" s="598" t="s">
        <v>1805</v>
      </c>
      <c r="C510" s="296" t="s">
        <v>624</v>
      </c>
      <c r="D510" s="611"/>
      <c r="E510" s="612"/>
      <c r="F510" s="573"/>
      <c r="G510" s="487"/>
      <c r="H510" s="573"/>
      <c r="I510" s="487"/>
      <c r="J510" s="573"/>
      <c r="K510" s="487"/>
      <c r="L510" s="573"/>
      <c r="M510" s="573"/>
      <c r="N510" s="456">
        <f t="shared" si="65"/>
        <v>0</v>
      </c>
      <c r="O510" s="487"/>
      <c r="P510" s="487"/>
      <c r="Q510" s="274">
        <f t="shared" si="60"/>
        <v>0</v>
      </c>
      <c r="R510" s="574">
        <f t="shared" si="61"/>
        <v>0</v>
      </c>
      <c r="S510" s="275">
        <f t="shared" si="62"/>
        <v>0</v>
      </c>
      <c r="T510" s="575"/>
      <c r="U510" s="487"/>
      <c r="V510" s="576"/>
      <c r="W510" s="573"/>
      <c r="X510" s="574">
        <f t="shared" si="66"/>
        <v>0</v>
      </c>
      <c r="Y510" s="487"/>
      <c r="Z510" s="487"/>
      <c r="AA510" s="276">
        <f t="shared" si="67"/>
        <v>0</v>
      </c>
      <c r="AB510" s="573"/>
      <c r="AC510" s="487"/>
      <c r="AD510" s="573"/>
      <c r="AE510" s="487"/>
      <c r="AF510" s="577">
        <f t="shared" si="63"/>
        <v>0</v>
      </c>
      <c r="AG510" s="275">
        <f t="shared" si="64"/>
        <v>0</v>
      </c>
    </row>
    <row r="511" spans="1:33" ht="12" customHeight="1">
      <c r="A511" s="603" t="s">
        <v>1271</v>
      </c>
      <c r="B511" s="613" t="s">
        <v>1510</v>
      </c>
      <c r="C511" s="610" t="s">
        <v>421</v>
      </c>
      <c r="D511" s="611"/>
      <c r="E511" s="612"/>
      <c r="F511" s="573"/>
      <c r="G511" s="487"/>
      <c r="H511" s="573"/>
      <c r="I511" s="487"/>
      <c r="J511" s="573"/>
      <c r="K511" s="487"/>
      <c r="L511" s="573"/>
      <c r="M511" s="573"/>
      <c r="N511" s="456">
        <f t="shared" si="65"/>
        <v>0</v>
      </c>
      <c r="O511" s="487"/>
      <c r="P511" s="487"/>
      <c r="Q511" s="274">
        <f t="shared" si="60"/>
        <v>0</v>
      </c>
      <c r="R511" s="574">
        <f t="shared" si="61"/>
        <v>0</v>
      </c>
      <c r="S511" s="275">
        <f t="shared" si="62"/>
        <v>0</v>
      </c>
      <c r="T511" s="575"/>
      <c r="U511" s="487"/>
      <c r="V511" s="576"/>
      <c r="W511" s="573"/>
      <c r="X511" s="574">
        <f t="shared" si="66"/>
        <v>0</v>
      </c>
      <c r="Y511" s="487"/>
      <c r="Z511" s="487"/>
      <c r="AA511" s="276">
        <f t="shared" si="67"/>
        <v>0</v>
      </c>
      <c r="AB511" s="573"/>
      <c r="AC511" s="487"/>
      <c r="AD511" s="573"/>
      <c r="AE511" s="487"/>
      <c r="AF511" s="577">
        <f t="shared" si="63"/>
        <v>0</v>
      </c>
      <c r="AG511" s="275">
        <f t="shared" si="64"/>
        <v>0</v>
      </c>
    </row>
    <row r="512" spans="1:33" ht="12" customHeight="1">
      <c r="A512" s="603" t="s">
        <v>1271</v>
      </c>
      <c r="B512" s="609" t="s">
        <v>1511</v>
      </c>
      <c r="C512" s="610" t="s">
        <v>1883</v>
      </c>
      <c r="D512" s="611"/>
      <c r="E512" s="612"/>
      <c r="F512" s="573"/>
      <c r="G512" s="487"/>
      <c r="H512" s="573"/>
      <c r="I512" s="487"/>
      <c r="J512" s="573"/>
      <c r="K512" s="487"/>
      <c r="L512" s="573"/>
      <c r="M512" s="573"/>
      <c r="N512" s="456">
        <f t="shared" si="65"/>
        <v>0</v>
      </c>
      <c r="O512" s="487"/>
      <c r="P512" s="487"/>
      <c r="Q512" s="274">
        <f t="shared" si="60"/>
        <v>0</v>
      </c>
      <c r="R512" s="574">
        <f t="shared" si="61"/>
        <v>0</v>
      </c>
      <c r="S512" s="275">
        <f t="shared" si="62"/>
        <v>0</v>
      </c>
      <c r="T512" s="575"/>
      <c r="U512" s="487"/>
      <c r="V512" s="576"/>
      <c r="W512" s="573"/>
      <c r="X512" s="574">
        <f t="shared" si="66"/>
        <v>0</v>
      </c>
      <c r="Y512" s="487"/>
      <c r="Z512" s="487"/>
      <c r="AA512" s="276">
        <f t="shared" si="67"/>
        <v>0</v>
      </c>
      <c r="AB512" s="573"/>
      <c r="AC512" s="487"/>
      <c r="AD512" s="573"/>
      <c r="AE512" s="487"/>
      <c r="AF512" s="577">
        <f t="shared" si="63"/>
        <v>0</v>
      </c>
      <c r="AG512" s="275">
        <f t="shared" si="64"/>
        <v>0</v>
      </c>
    </row>
    <row r="513" spans="1:33" ht="12" customHeight="1">
      <c r="A513" s="603" t="s">
        <v>1271</v>
      </c>
      <c r="B513" s="609" t="s">
        <v>1412</v>
      </c>
      <c r="C513" s="610" t="s">
        <v>1761</v>
      </c>
      <c r="D513" s="611"/>
      <c r="E513" s="612"/>
      <c r="F513" s="573"/>
      <c r="G513" s="487"/>
      <c r="H513" s="573"/>
      <c r="I513" s="487"/>
      <c r="J513" s="573"/>
      <c r="K513" s="487"/>
      <c r="L513" s="573"/>
      <c r="M513" s="573"/>
      <c r="N513" s="456">
        <f t="shared" si="65"/>
        <v>0</v>
      </c>
      <c r="O513" s="487"/>
      <c r="P513" s="487"/>
      <c r="Q513" s="274">
        <f t="shared" si="60"/>
        <v>0</v>
      </c>
      <c r="R513" s="574">
        <f t="shared" si="61"/>
        <v>0</v>
      </c>
      <c r="S513" s="275">
        <f t="shared" si="62"/>
        <v>0</v>
      </c>
      <c r="T513" s="462">
        <v>1717656</v>
      </c>
      <c r="U513" s="487">
        <v>1213627</v>
      </c>
      <c r="V513" s="576"/>
      <c r="W513" s="573"/>
      <c r="X513" s="574">
        <f t="shared" si="66"/>
        <v>0</v>
      </c>
      <c r="Y513" s="487"/>
      <c r="Z513" s="487"/>
      <c r="AA513" s="276">
        <f t="shared" si="67"/>
        <v>0</v>
      </c>
      <c r="AB513" s="573"/>
      <c r="AC513" s="487"/>
      <c r="AD513" s="573"/>
      <c r="AE513" s="487"/>
      <c r="AF513" s="577">
        <f t="shared" si="63"/>
        <v>1717656</v>
      </c>
      <c r="AG513" s="275">
        <f t="shared" si="64"/>
        <v>1213627</v>
      </c>
    </row>
    <row r="514" spans="1:33" ht="12" customHeight="1">
      <c r="A514" s="603" t="s">
        <v>1271</v>
      </c>
      <c r="B514" s="609" t="s">
        <v>1413</v>
      </c>
      <c r="C514" s="610" t="s">
        <v>422</v>
      </c>
      <c r="D514" s="611"/>
      <c r="E514" s="612"/>
      <c r="F514" s="573"/>
      <c r="G514" s="487"/>
      <c r="H514" s="573"/>
      <c r="I514" s="487"/>
      <c r="J514" s="573"/>
      <c r="K514" s="487"/>
      <c r="L514" s="573"/>
      <c r="M514" s="573"/>
      <c r="N514" s="456">
        <f t="shared" si="65"/>
        <v>0</v>
      </c>
      <c r="O514" s="487"/>
      <c r="P514" s="487"/>
      <c r="Q514" s="274">
        <f t="shared" si="60"/>
        <v>0</v>
      </c>
      <c r="R514" s="574">
        <f t="shared" si="61"/>
        <v>0</v>
      </c>
      <c r="S514" s="275">
        <f t="shared" si="62"/>
        <v>0</v>
      </c>
      <c r="T514" s="462"/>
      <c r="U514" s="487"/>
      <c r="V514" s="576"/>
      <c r="W514" s="573"/>
      <c r="X514" s="574">
        <f t="shared" si="66"/>
        <v>0</v>
      </c>
      <c r="Y514" s="487"/>
      <c r="Z514" s="487"/>
      <c r="AA514" s="276">
        <f t="shared" si="67"/>
        <v>0</v>
      </c>
      <c r="AB514" s="573"/>
      <c r="AC514" s="487"/>
      <c r="AD514" s="573"/>
      <c r="AE514" s="487"/>
      <c r="AF514" s="577">
        <f t="shared" si="63"/>
        <v>0</v>
      </c>
      <c r="AG514" s="275">
        <f t="shared" si="64"/>
        <v>0</v>
      </c>
    </row>
    <row r="515" spans="1:33" ht="12" customHeight="1">
      <c r="A515" s="603" t="s">
        <v>1271</v>
      </c>
      <c r="B515" s="609" t="s">
        <v>1582</v>
      </c>
      <c r="C515" s="610" t="s">
        <v>1883</v>
      </c>
      <c r="D515" s="611"/>
      <c r="E515" s="612"/>
      <c r="F515" s="573"/>
      <c r="G515" s="487"/>
      <c r="H515" s="573"/>
      <c r="I515" s="487"/>
      <c r="J515" s="573"/>
      <c r="K515" s="487"/>
      <c r="L515" s="573"/>
      <c r="M515" s="573"/>
      <c r="N515" s="456">
        <f t="shared" si="65"/>
        <v>0</v>
      </c>
      <c r="O515" s="487"/>
      <c r="P515" s="487"/>
      <c r="Q515" s="274">
        <f t="shared" si="60"/>
        <v>0</v>
      </c>
      <c r="R515" s="574">
        <f t="shared" si="61"/>
        <v>0</v>
      </c>
      <c r="S515" s="275">
        <f t="shared" si="62"/>
        <v>0</v>
      </c>
      <c r="T515" s="462"/>
      <c r="U515" s="487"/>
      <c r="V515" s="576"/>
      <c r="W515" s="573"/>
      <c r="X515" s="574">
        <f t="shared" si="66"/>
        <v>0</v>
      </c>
      <c r="Y515" s="487"/>
      <c r="Z515" s="487"/>
      <c r="AA515" s="276">
        <f t="shared" si="67"/>
        <v>0</v>
      </c>
      <c r="AB515" s="573"/>
      <c r="AC515" s="487"/>
      <c r="AD515" s="573"/>
      <c r="AE515" s="487"/>
      <c r="AF515" s="577">
        <f t="shared" si="63"/>
        <v>0</v>
      </c>
      <c r="AG515" s="275">
        <f t="shared" si="64"/>
        <v>0</v>
      </c>
    </row>
    <row r="516" spans="1:33" ht="12" customHeight="1">
      <c r="A516" s="603" t="s">
        <v>1271</v>
      </c>
      <c r="B516" s="609" t="s">
        <v>1583</v>
      </c>
      <c r="C516" s="610" t="s">
        <v>1761</v>
      </c>
      <c r="D516" s="611"/>
      <c r="E516" s="612"/>
      <c r="F516" s="573"/>
      <c r="G516" s="487"/>
      <c r="H516" s="573"/>
      <c r="I516" s="487"/>
      <c r="J516" s="573"/>
      <c r="K516" s="487"/>
      <c r="L516" s="573"/>
      <c r="M516" s="573"/>
      <c r="N516" s="456">
        <f t="shared" si="65"/>
        <v>0</v>
      </c>
      <c r="O516" s="487"/>
      <c r="P516" s="487"/>
      <c r="Q516" s="274">
        <f t="shared" si="60"/>
        <v>0</v>
      </c>
      <c r="R516" s="574">
        <f t="shared" si="61"/>
        <v>0</v>
      </c>
      <c r="S516" s="275">
        <f t="shared" si="62"/>
        <v>0</v>
      </c>
      <c r="T516" s="462">
        <v>117000</v>
      </c>
      <c r="U516" s="487">
        <v>154500</v>
      </c>
      <c r="V516" s="576"/>
      <c r="W516" s="573"/>
      <c r="X516" s="574">
        <f t="shared" si="66"/>
        <v>0</v>
      </c>
      <c r="Y516" s="487"/>
      <c r="Z516" s="487"/>
      <c r="AA516" s="276">
        <f t="shared" si="67"/>
        <v>0</v>
      </c>
      <c r="AB516" s="573"/>
      <c r="AC516" s="487"/>
      <c r="AD516" s="573"/>
      <c r="AE516" s="487"/>
      <c r="AF516" s="577">
        <f t="shared" si="63"/>
        <v>117000</v>
      </c>
      <c r="AG516" s="275">
        <f t="shared" si="64"/>
        <v>154500</v>
      </c>
    </row>
    <row r="517" spans="1:33" ht="12" customHeight="1">
      <c r="A517" s="603" t="s">
        <v>1271</v>
      </c>
      <c r="B517" s="609" t="s">
        <v>1806</v>
      </c>
      <c r="C517" s="469" t="s">
        <v>193</v>
      </c>
      <c r="D517" s="606"/>
      <c r="E517" s="607"/>
      <c r="F517" s="573"/>
      <c r="G517" s="487"/>
      <c r="H517" s="573"/>
      <c r="I517" s="487"/>
      <c r="J517" s="573"/>
      <c r="K517" s="487"/>
      <c r="L517" s="573"/>
      <c r="M517" s="573"/>
      <c r="N517" s="456">
        <f t="shared" si="65"/>
        <v>0</v>
      </c>
      <c r="O517" s="487"/>
      <c r="P517" s="487"/>
      <c r="Q517" s="274">
        <f t="shared" si="60"/>
        <v>0</v>
      </c>
      <c r="R517" s="574">
        <f t="shared" si="61"/>
        <v>0</v>
      </c>
      <c r="S517" s="275">
        <f t="shared" si="62"/>
        <v>0</v>
      </c>
      <c r="T517" s="462"/>
      <c r="U517" s="487"/>
      <c r="V517" s="576"/>
      <c r="W517" s="573"/>
      <c r="X517" s="574">
        <f t="shared" si="66"/>
        <v>0</v>
      </c>
      <c r="Y517" s="487"/>
      <c r="Z517" s="487"/>
      <c r="AA517" s="276">
        <f t="shared" si="67"/>
        <v>0</v>
      </c>
      <c r="AB517" s="573"/>
      <c r="AC517" s="487"/>
      <c r="AD517" s="573"/>
      <c r="AE517" s="487"/>
      <c r="AF517" s="577">
        <f t="shared" si="63"/>
        <v>0</v>
      </c>
      <c r="AG517" s="275">
        <f t="shared" si="64"/>
        <v>0</v>
      </c>
    </row>
    <row r="518" spans="1:33" ht="12" customHeight="1">
      <c r="A518" s="603" t="s">
        <v>1271</v>
      </c>
      <c r="B518" s="598" t="s">
        <v>1806</v>
      </c>
      <c r="C518" s="296" t="s">
        <v>625</v>
      </c>
      <c r="D518" s="606"/>
      <c r="E518" s="607"/>
      <c r="F518" s="573"/>
      <c r="G518" s="487"/>
      <c r="H518" s="573"/>
      <c r="I518" s="487"/>
      <c r="J518" s="573"/>
      <c r="K518" s="487"/>
      <c r="L518" s="573"/>
      <c r="M518" s="573"/>
      <c r="N518" s="456">
        <f t="shared" si="65"/>
        <v>0</v>
      </c>
      <c r="O518" s="487"/>
      <c r="P518" s="487"/>
      <c r="Q518" s="274">
        <f t="shared" si="60"/>
        <v>0</v>
      </c>
      <c r="R518" s="574">
        <f t="shared" si="61"/>
        <v>0</v>
      </c>
      <c r="S518" s="275">
        <f t="shared" si="62"/>
        <v>0</v>
      </c>
      <c r="T518" s="462"/>
      <c r="U518" s="487"/>
      <c r="V518" s="576"/>
      <c r="W518" s="573"/>
      <c r="X518" s="574">
        <f t="shared" si="66"/>
        <v>0</v>
      </c>
      <c r="Y518" s="487"/>
      <c r="Z518" s="487"/>
      <c r="AA518" s="276">
        <f t="shared" si="67"/>
        <v>0</v>
      </c>
      <c r="AB518" s="573"/>
      <c r="AC518" s="487"/>
      <c r="AD518" s="573"/>
      <c r="AE518" s="487"/>
      <c r="AF518" s="577">
        <f t="shared" si="63"/>
        <v>0</v>
      </c>
      <c r="AG518" s="275">
        <f t="shared" si="64"/>
        <v>0</v>
      </c>
    </row>
    <row r="519" spans="1:33" ht="12" customHeight="1">
      <c r="A519" s="603" t="s">
        <v>1271</v>
      </c>
      <c r="B519" s="609" t="s">
        <v>1764</v>
      </c>
      <c r="C519" s="610" t="s">
        <v>1883</v>
      </c>
      <c r="D519" s="606"/>
      <c r="E519" s="607"/>
      <c r="F519" s="573"/>
      <c r="G519" s="487"/>
      <c r="H519" s="573"/>
      <c r="I519" s="487"/>
      <c r="J519" s="573"/>
      <c r="K519" s="487"/>
      <c r="L519" s="573"/>
      <c r="M519" s="573"/>
      <c r="N519" s="456">
        <f t="shared" si="65"/>
        <v>0</v>
      </c>
      <c r="O519" s="487"/>
      <c r="P519" s="487"/>
      <c r="Q519" s="274">
        <f t="shared" si="60"/>
        <v>0</v>
      </c>
      <c r="R519" s="574">
        <f t="shared" si="61"/>
        <v>0</v>
      </c>
      <c r="S519" s="275">
        <f t="shared" si="62"/>
        <v>0</v>
      </c>
      <c r="T519" s="462"/>
      <c r="U519" s="487"/>
      <c r="V519" s="576"/>
      <c r="W519" s="573"/>
      <c r="X519" s="574">
        <f t="shared" si="66"/>
        <v>0</v>
      </c>
      <c r="Y519" s="487"/>
      <c r="Z519" s="487"/>
      <c r="AA519" s="276">
        <f t="shared" si="67"/>
        <v>0</v>
      </c>
      <c r="AB519" s="573"/>
      <c r="AC519" s="487"/>
      <c r="AD519" s="573"/>
      <c r="AE519" s="487"/>
      <c r="AF519" s="577">
        <f t="shared" si="63"/>
        <v>0</v>
      </c>
      <c r="AG519" s="275">
        <f t="shared" si="64"/>
        <v>0</v>
      </c>
    </row>
    <row r="520" spans="1:33" ht="12" customHeight="1">
      <c r="A520" s="603" t="s">
        <v>1271</v>
      </c>
      <c r="B520" s="609" t="s">
        <v>1765</v>
      </c>
      <c r="C520" s="610" t="s">
        <v>1761</v>
      </c>
      <c r="D520" s="606"/>
      <c r="E520" s="607"/>
      <c r="F520" s="573"/>
      <c r="G520" s="487"/>
      <c r="H520" s="573"/>
      <c r="I520" s="487"/>
      <c r="J520" s="573"/>
      <c r="K520" s="487"/>
      <c r="L520" s="573"/>
      <c r="M520" s="573"/>
      <c r="N520" s="456">
        <f t="shared" si="65"/>
        <v>0</v>
      </c>
      <c r="O520" s="487"/>
      <c r="P520" s="487"/>
      <c r="Q520" s="274">
        <f t="shared" si="60"/>
        <v>0</v>
      </c>
      <c r="R520" s="574">
        <f t="shared" si="61"/>
        <v>0</v>
      </c>
      <c r="S520" s="275">
        <f t="shared" si="62"/>
        <v>0</v>
      </c>
      <c r="T520" s="462">
        <v>147755</v>
      </c>
      <c r="U520" s="487">
        <v>146000</v>
      </c>
      <c r="V520" s="576"/>
      <c r="W520" s="573"/>
      <c r="X520" s="574">
        <f t="shared" si="66"/>
        <v>0</v>
      </c>
      <c r="Y520" s="487"/>
      <c r="Z520" s="487"/>
      <c r="AA520" s="276">
        <f t="shared" si="67"/>
        <v>0</v>
      </c>
      <c r="AB520" s="573"/>
      <c r="AC520" s="487"/>
      <c r="AD520" s="573"/>
      <c r="AE520" s="487"/>
      <c r="AF520" s="577">
        <f t="shared" si="63"/>
        <v>147755</v>
      </c>
      <c r="AG520" s="275">
        <f t="shared" si="64"/>
        <v>146000</v>
      </c>
    </row>
    <row r="521" spans="1:33" s="578" customFormat="1" ht="12" customHeight="1">
      <c r="A521" s="821" t="s">
        <v>1276</v>
      </c>
      <c r="B521" s="714" t="s">
        <v>1776</v>
      </c>
      <c r="C521" s="822" t="s">
        <v>1932</v>
      </c>
      <c r="D521" s="717">
        <v>130943</v>
      </c>
      <c r="E521" s="718">
        <v>1</v>
      </c>
      <c r="F521" s="573">
        <v>122142600</v>
      </c>
      <c r="G521" s="487">
        <v>124927700</v>
      </c>
      <c r="H521" s="573"/>
      <c r="J521" s="573"/>
      <c r="K521" s="487"/>
      <c r="L521" s="573">
        <v>297872000</v>
      </c>
      <c r="M521" s="573">
        <v>0</v>
      </c>
      <c r="N521" s="456">
        <f t="shared" si="65"/>
        <v>297872000</v>
      </c>
      <c r="O521" s="487">
        <v>327814100</v>
      </c>
      <c r="P521" s="487"/>
      <c r="Q521" s="274">
        <f t="shared" si="60"/>
        <v>327814100</v>
      </c>
      <c r="R521" s="574">
        <f t="shared" si="61"/>
        <v>420014600</v>
      </c>
      <c r="S521" s="275">
        <f t="shared" si="62"/>
        <v>452741800</v>
      </c>
      <c r="T521" s="575"/>
      <c r="U521" s="487"/>
      <c r="V521" s="576"/>
      <c r="W521" s="573"/>
      <c r="X521" s="574">
        <f t="shared" si="66"/>
        <v>0</v>
      </c>
      <c r="Y521" s="487"/>
      <c r="Z521" s="487"/>
      <c r="AA521" s="276">
        <f t="shared" si="67"/>
        <v>0</v>
      </c>
      <c r="AB521" s="573"/>
      <c r="AC521" s="487"/>
      <c r="AD521" s="573"/>
      <c r="AE521" s="487"/>
      <c r="AF521" s="577">
        <f t="shared" si="63"/>
        <v>420014600</v>
      </c>
      <c r="AG521" s="275">
        <f t="shared" si="64"/>
        <v>452741800</v>
      </c>
    </row>
    <row r="522" spans="1:33" s="578" customFormat="1" ht="12" customHeight="1">
      <c r="A522" s="821" t="s">
        <v>1276</v>
      </c>
      <c r="B522" s="821" t="s">
        <v>1778</v>
      </c>
      <c r="C522" s="823" t="s">
        <v>1933</v>
      </c>
      <c r="D522" s="824">
        <v>130943</v>
      </c>
      <c r="E522" s="825">
        <v>1</v>
      </c>
      <c r="F522" s="573"/>
      <c r="G522" s="487"/>
      <c r="H522" s="573"/>
      <c r="I522" s="487"/>
      <c r="J522" s="573"/>
      <c r="K522" s="487"/>
      <c r="L522" s="573"/>
      <c r="M522" s="573"/>
      <c r="N522" s="456">
        <f t="shared" si="65"/>
        <v>0</v>
      </c>
      <c r="O522" s="487"/>
      <c r="P522" s="487"/>
      <c r="Q522" s="274">
        <f t="shared" ref="Q522:Q585" si="68">SUM(O522:P522)</f>
        <v>0</v>
      </c>
      <c r="R522" s="574">
        <f t="shared" ref="R522:R585" si="69">SUM(F522,H522,J522,L522)</f>
        <v>0</v>
      </c>
      <c r="S522" s="275">
        <f t="shared" ref="S522:S585" si="70">SUM(G522,I522,K522,O522)</f>
        <v>0</v>
      </c>
      <c r="T522" s="575"/>
      <c r="U522" s="487"/>
      <c r="V522" s="576"/>
      <c r="W522" s="573"/>
      <c r="X522" s="574">
        <f t="shared" si="66"/>
        <v>0</v>
      </c>
      <c r="Y522" s="487"/>
      <c r="Z522" s="487"/>
      <c r="AA522" s="276">
        <f t="shared" si="67"/>
        <v>0</v>
      </c>
      <c r="AB522" s="573"/>
      <c r="AC522" s="487"/>
      <c r="AD522" s="573"/>
      <c r="AE522" s="487"/>
      <c r="AF522" s="577">
        <f t="shared" ref="AF522:AF585" si="71">SUM(R522,T522,V522,AB522,AD522)</f>
        <v>0</v>
      </c>
      <c r="AG522" s="275">
        <f t="shared" ref="AG522:AG585" si="72">SUM(S522,U522,Y522,AC522,AE522)</f>
        <v>0</v>
      </c>
    </row>
    <row r="523" spans="1:33" s="578" customFormat="1" ht="12" customHeight="1">
      <c r="A523" s="821" t="s">
        <v>1276</v>
      </c>
      <c r="B523" s="821" t="s">
        <v>1778</v>
      </c>
      <c r="C523" s="826" t="s">
        <v>1934</v>
      </c>
      <c r="D523" s="824">
        <v>130943</v>
      </c>
      <c r="E523" s="825">
        <v>1</v>
      </c>
      <c r="F523" s="573"/>
      <c r="G523" s="487"/>
      <c r="H523" s="573">
        <v>91800</v>
      </c>
      <c r="I523" s="487">
        <v>91800</v>
      </c>
      <c r="J523" s="573"/>
      <c r="K523" s="487"/>
      <c r="L523" s="573"/>
      <c r="M523" s="573"/>
      <c r="N523" s="456">
        <f t="shared" si="65"/>
        <v>0</v>
      </c>
      <c r="O523" s="487"/>
      <c r="P523" s="487"/>
      <c r="Q523" s="274">
        <f t="shared" si="68"/>
        <v>0</v>
      </c>
      <c r="R523" s="574">
        <f t="shared" si="69"/>
        <v>91800</v>
      </c>
      <c r="S523" s="275">
        <f t="shared" si="70"/>
        <v>91800</v>
      </c>
      <c r="T523" s="575"/>
      <c r="U523" s="487"/>
      <c r="V523" s="576"/>
      <c r="W523" s="573"/>
      <c r="X523" s="574">
        <f t="shared" si="66"/>
        <v>0</v>
      </c>
      <c r="Y523" s="487"/>
      <c r="Z523" s="487"/>
      <c r="AA523" s="276">
        <f t="shared" si="67"/>
        <v>0</v>
      </c>
      <c r="AB523" s="573"/>
      <c r="AC523" s="487"/>
      <c r="AD523" s="573"/>
      <c r="AE523" s="487"/>
      <c r="AF523" s="577">
        <f t="shared" si="71"/>
        <v>91800</v>
      </c>
      <c r="AG523" s="275">
        <f t="shared" si="72"/>
        <v>91800</v>
      </c>
    </row>
    <row r="524" spans="1:33" s="578" customFormat="1" ht="12" customHeight="1">
      <c r="A524" s="821" t="s">
        <v>1276</v>
      </c>
      <c r="B524" s="821" t="s">
        <v>1780</v>
      </c>
      <c r="C524" s="823" t="s">
        <v>1769</v>
      </c>
      <c r="D524" s="824">
        <v>130943</v>
      </c>
      <c r="E524" s="825">
        <v>1</v>
      </c>
      <c r="F524" s="573"/>
      <c r="G524" s="487"/>
      <c r="H524" s="573">
        <v>2651300</v>
      </c>
      <c r="I524" s="487">
        <v>2471100</v>
      </c>
      <c r="J524" s="573"/>
      <c r="K524" s="487"/>
      <c r="L524" s="573"/>
      <c r="M524" s="573"/>
      <c r="N524" s="456">
        <f t="shared" si="65"/>
        <v>0</v>
      </c>
      <c r="O524" s="487"/>
      <c r="P524" s="487"/>
      <c r="Q524" s="274">
        <f t="shared" si="68"/>
        <v>0</v>
      </c>
      <c r="R524" s="574">
        <f t="shared" si="69"/>
        <v>2651300</v>
      </c>
      <c r="S524" s="275">
        <f t="shared" si="70"/>
        <v>2471100</v>
      </c>
      <c r="T524" s="575"/>
      <c r="U524" s="487"/>
      <c r="V524" s="576"/>
      <c r="W524" s="573"/>
      <c r="X524" s="574">
        <f t="shared" si="66"/>
        <v>0</v>
      </c>
      <c r="Y524" s="487"/>
      <c r="Z524" s="487"/>
      <c r="AA524" s="276">
        <f t="shared" si="67"/>
        <v>0</v>
      </c>
      <c r="AB524" s="573"/>
      <c r="AC524" s="487"/>
      <c r="AD524" s="573"/>
      <c r="AE524" s="487"/>
      <c r="AF524" s="577">
        <f t="shared" si="71"/>
        <v>2651300</v>
      </c>
      <c r="AG524" s="275">
        <f t="shared" si="72"/>
        <v>2471100</v>
      </c>
    </row>
    <row r="525" spans="1:33" s="578" customFormat="1" ht="12" customHeight="1">
      <c r="A525" s="821" t="s">
        <v>1276</v>
      </c>
      <c r="B525" s="821" t="s">
        <v>1781</v>
      </c>
      <c r="C525" s="823" t="s">
        <v>1768</v>
      </c>
      <c r="D525" s="824">
        <v>130943</v>
      </c>
      <c r="E525" s="825">
        <v>1</v>
      </c>
      <c r="F525" s="573"/>
      <c r="G525" s="487"/>
      <c r="H525" s="573">
        <v>2271300</v>
      </c>
      <c r="I525" s="487">
        <v>2817000</v>
      </c>
      <c r="J525" s="573"/>
      <c r="K525" s="487"/>
      <c r="L525" s="573"/>
      <c r="M525" s="573"/>
      <c r="N525" s="456">
        <f t="shared" si="65"/>
        <v>0</v>
      </c>
      <c r="O525" s="487"/>
      <c r="P525" s="487"/>
      <c r="Q525" s="274">
        <f t="shared" si="68"/>
        <v>0</v>
      </c>
      <c r="R525" s="574">
        <f t="shared" si="69"/>
        <v>2271300</v>
      </c>
      <c r="S525" s="275">
        <f t="shared" si="70"/>
        <v>2817000</v>
      </c>
      <c r="T525" s="575"/>
      <c r="U525" s="487"/>
      <c r="V525" s="576"/>
      <c r="W525" s="573"/>
      <c r="X525" s="574">
        <f t="shared" si="66"/>
        <v>0</v>
      </c>
      <c r="Y525" s="487"/>
      <c r="Z525" s="487"/>
      <c r="AA525" s="276">
        <f t="shared" si="67"/>
        <v>0</v>
      </c>
      <c r="AB525" s="573"/>
      <c r="AC525" s="487"/>
      <c r="AD525" s="573"/>
      <c r="AE525" s="487"/>
      <c r="AF525" s="577">
        <f t="shared" si="71"/>
        <v>2271300</v>
      </c>
      <c r="AG525" s="275">
        <f t="shared" si="72"/>
        <v>2817000</v>
      </c>
    </row>
    <row r="526" spans="1:33" s="578" customFormat="1" ht="12" customHeight="1">
      <c r="A526" s="821" t="s">
        <v>1276</v>
      </c>
      <c r="B526" s="821" t="s">
        <v>1783</v>
      </c>
      <c r="C526" s="823" t="s">
        <v>1881</v>
      </c>
      <c r="D526" s="824">
        <v>130943</v>
      </c>
      <c r="E526" s="825">
        <v>1</v>
      </c>
      <c r="F526" s="573"/>
      <c r="G526" s="487"/>
      <c r="H526" s="573"/>
      <c r="I526" s="487"/>
      <c r="J526" s="573"/>
      <c r="K526" s="487"/>
      <c r="L526" s="573"/>
      <c r="M526" s="573"/>
      <c r="N526" s="456">
        <f t="shared" si="65"/>
        <v>0</v>
      </c>
      <c r="O526" s="487"/>
      <c r="P526" s="487"/>
      <c r="Q526" s="274">
        <f t="shared" si="68"/>
        <v>0</v>
      </c>
      <c r="R526" s="574">
        <f t="shared" si="69"/>
        <v>0</v>
      </c>
      <c r="S526" s="275">
        <f t="shared" si="70"/>
        <v>0</v>
      </c>
      <c r="T526" s="575"/>
      <c r="U526" s="487"/>
      <c r="V526" s="576"/>
      <c r="W526" s="573"/>
      <c r="X526" s="574">
        <f t="shared" si="66"/>
        <v>0</v>
      </c>
      <c r="Y526" s="487"/>
      <c r="Z526" s="487"/>
      <c r="AA526" s="276">
        <f t="shared" si="67"/>
        <v>0</v>
      </c>
      <c r="AB526" s="573"/>
      <c r="AC526" s="487"/>
      <c r="AD526" s="573"/>
      <c r="AE526" s="487"/>
      <c r="AF526" s="577">
        <f t="shared" si="71"/>
        <v>0</v>
      </c>
      <c r="AG526" s="275">
        <f t="shared" si="72"/>
        <v>0</v>
      </c>
    </row>
    <row r="527" spans="1:33" s="578" customFormat="1" ht="12" customHeight="1">
      <c r="A527" s="714" t="s">
        <v>1276</v>
      </c>
      <c r="B527" s="821" t="s">
        <v>1783</v>
      </c>
      <c r="C527" s="826" t="s">
        <v>1935</v>
      </c>
      <c r="D527" s="824">
        <v>130943</v>
      </c>
      <c r="E527" s="825">
        <v>1</v>
      </c>
      <c r="F527" s="573"/>
      <c r="G527" s="487"/>
      <c r="H527" s="573">
        <v>584800</v>
      </c>
      <c r="I527" s="487">
        <v>734300</v>
      </c>
      <c r="J527" s="573"/>
      <c r="K527" s="487"/>
      <c r="L527" s="573"/>
      <c r="M527" s="573"/>
      <c r="N527" s="456">
        <f t="shared" si="65"/>
        <v>0</v>
      </c>
      <c r="O527" s="487"/>
      <c r="P527" s="487"/>
      <c r="Q527" s="274">
        <f t="shared" si="68"/>
        <v>0</v>
      </c>
      <c r="R527" s="574">
        <f t="shared" si="69"/>
        <v>584800</v>
      </c>
      <c r="S527" s="275">
        <f t="shared" si="70"/>
        <v>734300</v>
      </c>
      <c r="T527" s="575"/>
      <c r="U527" s="487"/>
      <c r="V527" s="576"/>
      <c r="W527" s="573"/>
      <c r="X527" s="574">
        <f t="shared" si="66"/>
        <v>0</v>
      </c>
      <c r="Y527" s="487"/>
      <c r="Z527" s="487"/>
      <c r="AA527" s="276">
        <f t="shared" si="67"/>
        <v>0</v>
      </c>
      <c r="AB527" s="573"/>
      <c r="AC527" s="487"/>
      <c r="AD527" s="573"/>
      <c r="AE527" s="487"/>
      <c r="AF527" s="577">
        <f t="shared" si="71"/>
        <v>584800</v>
      </c>
      <c r="AG527" s="275">
        <f t="shared" si="72"/>
        <v>734300</v>
      </c>
    </row>
    <row r="528" spans="1:33" s="578" customFormat="1" ht="12" customHeight="1">
      <c r="A528" s="714" t="s">
        <v>1276</v>
      </c>
      <c r="B528" s="821" t="s">
        <v>1783</v>
      </c>
      <c r="C528" s="826" t="s">
        <v>1936</v>
      </c>
      <c r="D528" s="824">
        <v>130943</v>
      </c>
      <c r="E528" s="825">
        <v>1</v>
      </c>
      <c r="F528" s="573"/>
      <c r="G528" s="487"/>
      <c r="H528" s="573">
        <v>559000</v>
      </c>
      <c r="I528" s="487">
        <v>559000</v>
      </c>
      <c r="J528" s="573"/>
      <c r="K528" s="487"/>
      <c r="L528" s="573"/>
      <c r="M528" s="573"/>
      <c r="N528" s="456">
        <f t="shared" si="65"/>
        <v>0</v>
      </c>
      <c r="O528" s="487"/>
      <c r="P528" s="487"/>
      <c r="Q528" s="274">
        <f t="shared" si="68"/>
        <v>0</v>
      </c>
      <c r="R528" s="574">
        <f t="shared" si="69"/>
        <v>559000</v>
      </c>
      <c r="S528" s="275">
        <f t="shared" si="70"/>
        <v>559000</v>
      </c>
      <c r="T528" s="575"/>
      <c r="U528" s="487"/>
      <c r="V528" s="576"/>
      <c r="W528" s="573"/>
      <c r="X528" s="574">
        <f t="shared" si="66"/>
        <v>0</v>
      </c>
      <c r="Y528" s="487"/>
      <c r="Z528" s="487"/>
      <c r="AA528" s="276">
        <f t="shared" si="67"/>
        <v>0</v>
      </c>
      <c r="AB528" s="573"/>
      <c r="AC528" s="487"/>
      <c r="AD528" s="573"/>
      <c r="AE528" s="487"/>
      <c r="AF528" s="577">
        <f t="shared" si="71"/>
        <v>559000</v>
      </c>
      <c r="AG528" s="275">
        <f t="shared" si="72"/>
        <v>559000</v>
      </c>
    </row>
    <row r="529" spans="1:33" s="578" customFormat="1" ht="12" customHeight="1">
      <c r="A529" s="714" t="s">
        <v>1276</v>
      </c>
      <c r="B529" s="821" t="s">
        <v>1783</v>
      </c>
      <c r="C529" s="826" t="s">
        <v>1937</v>
      </c>
      <c r="D529" s="824">
        <v>130943</v>
      </c>
      <c r="E529" s="825">
        <v>1</v>
      </c>
      <c r="F529" s="573"/>
      <c r="G529" s="487"/>
      <c r="H529" s="573">
        <v>135600</v>
      </c>
      <c r="I529" s="487">
        <v>135600</v>
      </c>
      <c r="J529" s="573"/>
      <c r="K529" s="487"/>
      <c r="L529" s="573"/>
      <c r="M529" s="573"/>
      <c r="N529" s="456">
        <f t="shared" si="65"/>
        <v>0</v>
      </c>
      <c r="O529" s="487"/>
      <c r="P529" s="487"/>
      <c r="Q529" s="274">
        <f t="shared" si="68"/>
        <v>0</v>
      </c>
      <c r="R529" s="574">
        <f t="shared" si="69"/>
        <v>135600</v>
      </c>
      <c r="S529" s="275">
        <f t="shared" si="70"/>
        <v>135600</v>
      </c>
      <c r="T529" s="575"/>
      <c r="U529" s="487"/>
      <c r="V529" s="576"/>
      <c r="W529" s="573"/>
      <c r="X529" s="574">
        <f t="shared" si="66"/>
        <v>0</v>
      </c>
      <c r="Y529" s="487"/>
      <c r="Z529" s="487"/>
      <c r="AA529" s="276">
        <f t="shared" si="67"/>
        <v>0</v>
      </c>
      <c r="AB529" s="573"/>
      <c r="AC529" s="487"/>
      <c r="AD529" s="573"/>
      <c r="AE529" s="487"/>
      <c r="AF529" s="577">
        <f t="shared" si="71"/>
        <v>135600</v>
      </c>
      <c r="AG529" s="275">
        <f t="shared" si="72"/>
        <v>135600</v>
      </c>
    </row>
    <row r="530" spans="1:33" s="578" customFormat="1" ht="12" customHeight="1">
      <c r="A530" s="714" t="s">
        <v>1276</v>
      </c>
      <c r="B530" s="821" t="s">
        <v>1783</v>
      </c>
      <c r="C530" s="826" t="s">
        <v>1938</v>
      </c>
      <c r="D530" s="824">
        <v>130943</v>
      </c>
      <c r="E530" s="825">
        <v>1</v>
      </c>
      <c r="F530" s="573"/>
      <c r="G530" s="487"/>
      <c r="H530" s="573">
        <v>452900</v>
      </c>
      <c r="I530" s="487">
        <v>452900</v>
      </c>
      <c r="J530" s="573"/>
      <c r="K530" s="487"/>
      <c r="L530" s="573"/>
      <c r="M530" s="573"/>
      <c r="N530" s="456">
        <f t="shared" si="65"/>
        <v>0</v>
      </c>
      <c r="O530" s="487"/>
      <c r="P530" s="487"/>
      <c r="Q530" s="274">
        <f t="shared" si="68"/>
        <v>0</v>
      </c>
      <c r="R530" s="574">
        <f t="shared" si="69"/>
        <v>452900</v>
      </c>
      <c r="S530" s="275">
        <f t="shared" si="70"/>
        <v>452900</v>
      </c>
      <c r="T530" s="575"/>
      <c r="U530" s="487"/>
      <c r="V530" s="576"/>
      <c r="W530" s="573"/>
      <c r="X530" s="574">
        <f t="shared" si="66"/>
        <v>0</v>
      </c>
      <c r="Y530" s="487"/>
      <c r="Z530" s="487"/>
      <c r="AA530" s="276">
        <f t="shared" si="67"/>
        <v>0</v>
      </c>
      <c r="AB530" s="573"/>
      <c r="AC530" s="487"/>
      <c r="AD530" s="573"/>
      <c r="AE530" s="487"/>
      <c r="AF530" s="577">
        <f t="shared" si="71"/>
        <v>452900</v>
      </c>
      <c r="AG530" s="275">
        <f t="shared" si="72"/>
        <v>452900</v>
      </c>
    </row>
    <row r="531" spans="1:33" s="578" customFormat="1" ht="12" customHeight="1">
      <c r="A531" s="714" t="s">
        <v>1276</v>
      </c>
      <c r="B531" s="821" t="s">
        <v>1783</v>
      </c>
      <c r="C531" s="826" t="s">
        <v>1939</v>
      </c>
      <c r="D531" s="824">
        <v>130943</v>
      </c>
      <c r="E531" s="825">
        <v>1</v>
      </c>
      <c r="F531" s="573"/>
      <c r="G531" s="487"/>
      <c r="H531" s="573">
        <v>238700</v>
      </c>
      <c r="I531" s="487">
        <v>238700</v>
      </c>
      <c r="J531" s="573"/>
      <c r="K531" s="487"/>
      <c r="L531" s="573"/>
      <c r="M531" s="573"/>
      <c r="N531" s="456">
        <f t="shared" ref="N531:N594" si="73">SUM(L531:M531)</f>
        <v>0</v>
      </c>
      <c r="O531" s="487"/>
      <c r="P531" s="487"/>
      <c r="Q531" s="274">
        <f t="shared" si="68"/>
        <v>0</v>
      </c>
      <c r="R531" s="574">
        <f t="shared" si="69"/>
        <v>238700</v>
      </c>
      <c r="S531" s="275">
        <f t="shared" si="70"/>
        <v>238700</v>
      </c>
      <c r="T531" s="575"/>
      <c r="U531" s="487"/>
      <c r="V531" s="576"/>
      <c r="W531" s="573"/>
      <c r="X531" s="574">
        <f t="shared" ref="X531:X594" si="74">SUM(V531:W531)</f>
        <v>0</v>
      </c>
      <c r="Y531" s="487"/>
      <c r="Z531" s="487"/>
      <c r="AA531" s="276">
        <f t="shared" ref="AA531:AA594" si="75">SUM(Y531:Z531)</f>
        <v>0</v>
      </c>
      <c r="AB531" s="573"/>
      <c r="AC531" s="487"/>
      <c r="AD531" s="573"/>
      <c r="AE531" s="487"/>
      <c r="AF531" s="577">
        <f t="shared" si="71"/>
        <v>238700</v>
      </c>
      <c r="AG531" s="275">
        <f t="shared" si="72"/>
        <v>238700</v>
      </c>
    </row>
    <row r="532" spans="1:33" s="578" customFormat="1" ht="12" customHeight="1">
      <c r="A532" s="714" t="s">
        <v>1276</v>
      </c>
      <c r="B532" s="821" t="s">
        <v>1783</v>
      </c>
      <c r="C532" s="826" t="s">
        <v>1940</v>
      </c>
      <c r="D532" s="824">
        <v>130943</v>
      </c>
      <c r="E532" s="825">
        <v>1</v>
      </c>
      <c r="F532" s="573"/>
      <c r="G532" s="487"/>
      <c r="H532" s="573">
        <v>90500</v>
      </c>
      <c r="I532" s="487">
        <v>90500</v>
      </c>
      <c r="J532" s="573"/>
      <c r="K532" s="487"/>
      <c r="L532" s="573"/>
      <c r="M532" s="573"/>
      <c r="N532" s="456">
        <f t="shared" si="73"/>
        <v>0</v>
      </c>
      <c r="O532" s="487"/>
      <c r="P532" s="487"/>
      <c r="Q532" s="274">
        <f t="shared" si="68"/>
        <v>0</v>
      </c>
      <c r="R532" s="574">
        <f t="shared" si="69"/>
        <v>90500</v>
      </c>
      <c r="S532" s="275">
        <f t="shared" si="70"/>
        <v>90500</v>
      </c>
      <c r="T532" s="575"/>
      <c r="U532" s="487"/>
      <c r="V532" s="576"/>
      <c r="W532" s="573"/>
      <c r="X532" s="574">
        <f t="shared" si="74"/>
        <v>0</v>
      </c>
      <c r="Y532" s="487"/>
      <c r="Z532" s="487"/>
      <c r="AA532" s="276">
        <f t="shared" si="75"/>
        <v>0</v>
      </c>
      <c r="AB532" s="573"/>
      <c r="AC532" s="487"/>
      <c r="AD532" s="573"/>
      <c r="AE532" s="487"/>
      <c r="AF532" s="577">
        <f t="shared" si="71"/>
        <v>90500</v>
      </c>
      <c r="AG532" s="275">
        <f t="shared" si="72"/>
        <v>90500</v>
      </c>
    </row>
    <row r="533" spans="1:33" s="578" customFormat="1" ht="12" customHeight="1">
      <c r="A533" s="714" t="s">
        <v>1276</v>
      </c>
      <c r="B533" s="821" t="s">
        <v>1783</v>
      </c>
      <c r="C533" s="826" t="s">
        <v>1941</v>
      </c>
      <c r="D533" s="824">
        <v>130943</v>
      </c>
      <c r="E533" s="825">
        <v>1</v>
      </c>
      <c r="F533" s="573"/>
      <c r="G533" s="487"/>
      <c r="H533" s="573">
        <v>235100</v>
      </c>
      <c r="I533" s="487">
        <v>235100</v>
      </c>
      <c r="J533" s="573"/>
      <c r="K533" s="487"/>
      <c r="L533" s="573"/>
      <c r="M533" s="573"/>
      <c r="N533" s="456">
        <f t="shared" si="73"/>
        <v>0</v>
      </c>
      <c r="O533" s="487"/>
      <c r="P533" s="487"/>
      <c r="Q533" s="274">
        <f t="shared" si="68"/>
        <v>0</v>
      </c>
      <c r="R533" s="574">
        <f t="shared" si="69"/>
        <v>235100</v>
      </c>
      <c r="S533" s="275">
        <f t="shared" si="70"/>
        <v>235100</v>
      </c>
      <c r="T533" s="575"/>
      <c r="U533" s="487"/>
      <c r="V533" s="576"/>
      <c r="W533" s="573"/>
      <c r="X533" s="574">
        <f t="shared" si="74"/>
        <v>0</v>
      </c>
      <c r="Y533" s="487"/>
      <c r="Z533" s="487"/>
      <c r="AA533" s="276">
        <f t="shared" si="75"/>
        <v>0</v>
      </c>
      <c r="AB533" s="573"/>
      <c r="AC533" s="487"/>
      <c r="AD533" s="573"/>
      <c r="AE533" s="487"/>
      <c r="AF533" s="577">
        <f t="shared" si="71"/>
        <v>235100</v>
      </c>
      <c r="AG533" s="275">
        <f t="shared" si="72"/>
        <v>235100</v>
      </c>
    </row>
    <row r="534" spans="1:33" s="578" customFormat="1" ht="12" customHeight="1">
      <c r="A534" s="714" t="s">
        <v>1276</v>
      </c>
      <c r="B534" s="821" t="s">
        <v>1783</v>
      </c>
      <c r="C534" s="826" t="s">
        <v>1942</v>
      </c>
      <c r="D534" s="824">
        <v>130943</v>
      </c>
      <c r="E534" s="825">
        <v>1</v>
      </c>
      <c r="F534" s="573"/>
      <c r="G534" s="487"/>
      <c r="H534" s="573">
        <v>1741900</v>
      </c>
      <c r="I534" s="487">
        <v>1766100</v>
      </c>
      <c r="J534" s="573"/>
      <c r="K534" s="487"/>
      <c r="L534" s="573"/>
      <c r="M534" s="573"/>
      <c r="N534" s="456">
        <f t="shared" si="73"/>
        <v>0</v>
      </c>
      <c r="O534" s="487"/>
      <c r="P534" s="487"/>
      <c r="Q534" s="274">
        <f t="shared" si="68"/>
        <v>0</v>
      </c>
      <c r="R534" s="574">
        <f t="shared" si="69"/>
        <v>1741900</v>
      </c>
      <c r="S534" s="275">
        <f t="shared" si="70"/>
        <v>1766100</v>
      </c>
      <c r="T534" s="575"/>
      <c r="U534" s="487"/>
      <c r="V534" s="576"/>
      <c r="W534" s="573"/>
      <c r="X534" s="574">
        <f t="shared" si="74"/>
        <v>0</v>
      </c>
      <c r="Y534" s="487"/>
      <c r="Z534" s="487"/>
      <c r="AA534" s="276">
        <f t="shared" si="75"/>
        <v>0</v>
      </c>
      <c r="AB534" s="573"/>
      <c r="AC534" s="487"/>
      <c r="AD534" s="573"/>
      <c r="AE534" s="487"/>
      <c r="AF534" s="577">
        <f t="shared" si="71"/>
        <v>1741900</v>
      </c>
      <c r="AG534" s="275">
        <f t="shared" si="72"/>
        <v>1766100</v>
      </c>
    </row>
    <row r="535" spans="1:33" s="578" customFormat="1" ht="12" customHeight="1">
      <c r="A535" s="714" t="s">
        <v>1276</v>
      </c>
      <c r="B535" s="821" t="s">
        <v>1776</v>
      </c>
      <c r="C535" s="968" t="s">
        <v>1943</v>
      </c>
      <c r="D535" s="824">
        <v>130934</v>
      </c>
      <c r="E535" s="825">
        <v>4</v>
      </c>
      <c r="F535" s="573">
        <v>35357200</v>
      </c>
      <c r="G535" s="487">
        <v>38787500</v>
      </c>
      <c r="H535" s="573"/>
      <c r="I535" s="487"/>
      <c r="J535" s="573"/>
      <c r="K535" s="487"/>
      <c r="L535" s="573">
        <v>34455846</v>
      </c>
      <c r="M535" s="573">
        <v>1630932</v>
      </c>
      <c r="N535" s="456">
        <f t="shared" si="73"/>
        <v>36086778</v>
      </c>
      <c r="O535" s="487">
        <v>28275584</v>
      </c>
      <c r="P535" s="487">
        <v>3369319</v>
      </c>
      <c r="Q535" s="274">
        <f t="shared" si="68"/>
        <v>31644903</v>
      </c>
      <c r="R535" s="574">
        <f t="shared" si="69"/>
        <v>69813046</v>
      </c>
      <c r="S535" s="275">
        <f t="shared" si="70"/>
        <v>67063084</v>
      </c>
      <c r="T535" s="575"/>
      <c r="U535" s="487"/>
      <c r="V535" s="576"/>
      <c r="W535" s="573"/>
      <c r="X535" s="574">
        <f t="shared" si="74"/>
        <v>0</v>
      </c>
      <c r="Y535" s="487"/>
      <c r="Z535" s="487"/>
      <c r="AA535" s="276">
        <f t="shared" si="75"/>
        <v>0</v>
      </c>
      <c r="AB535" s="573"/>
      <c r="AC535" s="487"/>
      <c r="AD535" s="573"/>
      <c r="AE535" s="487"/>
      <c r="AF535" s="577">
        <f t="shared" si="71"/>
        <v>69813046</v>
      </c>
      <c r="AG535" s="275">
        <f t="shared" si="72"/>
        <v>67063084</v>
      </c>
    </row>
    <row r="536" spans="1:33" s="578" customFormat="1" ht="12" customHeight="1">
      <c r="A536" s="714" t="s">
        <v>1276</v>
      </c>
      <c r="B536" s="821" t="s">
        <v>1780</v>
      </c>
      <c r="C536" s="823" t="s">
        <v>1769</v>
      </c>
      <c r="D536" s="717">
        <v>130934</v>
      </c>
      <c r="E536" s="718">
        <v>4</v>
      </c>
      <c r="F536" s="573" t="s">
        <v>648</v>
      </c>
      <c r="G536" s="487"/>
      <c r="H536" s="573">
        <v>254300</v>
      </c>
      <c r="I536" s="487"/>
      <c r="J536" s="573"/>
      <c r="K536" s="487"/>
      <c r="L536" s="573"/>
      <c r="M536" s="573"/>
      <c r="N536" s="456">
        <f t="shared" si="73"/>
        <v>0</v>
      </c>
      <c r="O536" s="487"/>
      <c r="P536" s="487"/>
      <c r="Q536" s="274">
        <f t="shared" si="68"/>
        <v>0</v>
      </c>
      <c r="R536" s="574">
        <f t="shared" si="69"/>
        <v>254300</v>
      </c>
      <c r="S536" s="275">
        <f t="shared" si="70"/>
        <v>0</v>
      </c>
      <c r="T536" s="575"/>
      <c r="U536" s="487"/>
      <c r="V536" s="576"/>
      <c r="W536" s="573"/>
      <c r="X536" s="574">
        <f t="shared" si="74"/>
        <v>0</v>
      </c>
      <c r="Y536" s="487"/>
      <c r="Z536" s="487"/>
      <c r="AA536" s="276">
        <f t="shared" si="75"/>
        <v>0</v>
      </c>
      <c r="AB536" s="573"/>
      <c r="AC536" s="487"/>
      <c r="AD536" s="573"/>
      <c r="AE536" s="487"/>
      <c r="AF536" s="577">
        <f t="shared" si="71"/>
        <v>254300</v>
      </c>
      <c r="AG536" s="275">
        <f t="shared" si="72"/>
        <v>0</v>
      </c>
    </row>
    <row r="537" spans="1:33" s="578" customFormat="1" ht="12" customHeight="1">
      <c r="A537" s="714" t="s">
        <v>1276</v>
      </c>
      <c r="B537" s="821" t="s">
        <v>1781</v>
      </c>
      <c r="C537" s="823" t="s">
        <v>1768</v>
      </c>
      <c r="D537" s="717">
        <v>130934</v>
      </c>
      <c r="E537" s="718">
        <v>4</v>
      </c>
      <c r="F537" s="573" t="s">
        <v>648</v>
      </c>
      <c r="G537" s="487"/>
      <c r="H537" s="573">
        <v>338600</v>
      </c>
      <c r="I537" s="487"/>
      <c r="J537" s="573"/>
      <c r="K537" s="487"/>
      <c r="L537" s="573"/>
      <c r="M537" s="573"/>
      <c r="N537" s="456">
        <f t="shared" si="73"/>
        <v>0</v>
      </c>
      <c r="O537" s="487"/>
      <c r="P537" s="487"/>
      <c r="Q537" s="274">
        <f t="shared" si="68"/>
        <v>0</v>
      </c>
      <c r="R537" s="574">
        <f t="shared" si="69"/>
        <v>338600</v>
      </c>
      <c r="S537" s="275">
        <f t="shared" si="70"/>
        <v>0</v>
      </c>
      <c r="T537" s="575"/>
      <c r="U537" s="487"/>
      <c r="V537" s="576"/>
      <c r="W537" s="573"/>
      <c r="X537" s="574">
        <f t="shared" si="74"/>
        <v>0</v>
      </c>
      <c r="Y537" s="487"/>
      <c r="Z537" s="487"/>
      <c r="AA537" s="276">
        <f t="shared" si="75"/>
        <v>0</v>
      </c>
      <c r="AB537" s="573"/>
      <c r="AC537" s="487"/>
      <c r="AD537" s="573"/>
      <c r="AE537" s="487"/>
      <c r="AF537" s="577">
        <f t="shared" si="71"/>
        <v>338600</v>
      </c>
      <c r="AG537" s="275">
        <f t="shared" si="72"/>
        <v>0</v>
      </c>
    </row>
    <row r="538" spans="1:33" s="578" customFormat="1" ht="12" customHeight="1">
      <c r="A538" s="714" t="s">
        <v>1276</v>
      </c>
      <c r="B538" s="714" t="s">
        <v>1776</v>
      </c>
      <c r="C538" s="822" t="s">
        <v>1944</v>
      </c>
      <c r="D538" s="717">
        <v>130891</v>
      </c>
      <c r="E538" s="718">
        <v>9</v>
      </c>
      <c r="F538" s="573">
        <v>17203900</v>
      </c>
      <c r="G538" s="487">
        <v>18301200</v>
      </c>
      <c r="H538" s="573"/>
      <c r="I538" s="487"/>
      <c r="J538" s="573"/>
      <c r="K538" s="487"/>
      <c r="L538" s="573">
        <v>9401600</v>
      </c>
      <c r="M538" s="573">
        <v>0</v>
      </c>
      <c r="N538" s="456">
        <f t="shared" si="73"/>
        <v>9401600</v>
      </c>
      <c r="O538" s="487">
        <v>11092500</v>
      </c>
      <c r="P538" s="487"/>
      <c r="Q538" s="274">
        <f t="shared" si="68"/>
        <v>11092500</v>
      </c>
      <c r="R538" s="574">
        <f t="shared" si="69"/>
        <v>26605500</v>
      </c>
      <c r="S538" s="275">
        <f t="shared" si="70"/>
        <v>29393700</v>
      </c>
      <c r="T538" s="575"/>
      <c r="U538" s="487"/>
      <c r="V538" s="576"/>
      <c r="W538" s="573"/>
      <c r="X538" s="574">
        <f t="shared" si="74"/>
        <v>0</v>
      </c>
      <c r="Y538" s="487"/>
      <c r="Z538" s="487"/>
      <c r="AA538" s="276">
        <f t="shared" si="75"/>
        <v>0</v>
      </c>
      <c r="AB538" s="573"/>
      <c r="AC538" s="487"/>
      <c r="AD538" s="573"/>
      <c r="AE538" s="487"/>
      <c r="AF538" s="577">
        <f t="shared" si="71"/>
        <v>26605500</v>
      </c>
      <c r="AG538" s="275">
        <f t="shared" si="72"/>
        <v>29393700</v>
      </c>
    </row>
    <row r="539" spans="1:33" s="578" customFormat="1" ht="12" customHeight="1">
      <c r="A539" s="714" t="s">
        <v>1276</v>
      </c>
      <c r="B539" s="714" t="s">
        <v>1776</v>
      </c>
      <c r="C539" s="822" t="s">
        <v>1945</v>
      </c>
      <c r="D539" s="717">
        <v>130916</v>
      </c>
      <c r="E539" s="718">
        <v>9</v>
      </c>
      <c r="F539" s="573">
        <v>30094000</v>
      </c>
      <c r="G539" s="487">
        <v>30885000</v>
      </c>
      <c r="H539" s="573"/>
      <c r="I539" s="487"/>
      <c r="J539" s="573"/>
      <c r="K539" s="487"/>
      <c r="L539" s="573">
        <v>16732600</v>
      </c>
      <c r="M539" s="573">
        <v>0</v>
      </c>
      <c r="N539" s="456">
        <f t="shared" si="73"/>
        <v>16732600</v>
      </c>
      <c r="O539" s="487">
        <v>18390200</v>
      </c>
      <c r="P539" s="487"/>
      <c r="Q539" s="274">
        <f t="shared" si="68"/>
        <v>18390200</v>
      </c>
      <c r="R539" s="574">
        <f t="shared" si="69"/>
        <v>46826600</v>
      </c>
      <c r="S539" s="275">
        <f t="shared" si="70"/>
        <v>49275200</v>
      </c>
      <c r="T539" s="575"/>
      <c r="U539" s="487"/>
      <c r="V539" s="576"/>
      <c r="W539" s="573"/>
      <c r="X539" s="574">
        <f t="shared" si="74"/>
        <v>0</v>
      </c>
      <c r="Y539" s="487"/>
      <c r="Z539" s="487"/>
      <c r="AA539" s="276">
        <f t="shared" si="75"/>
        <v>0</v>
      </c>
      <c r="AB539" s="573"/>
      <c r="AC539" s="487"/>
      <c r="AD539" s="573"/>
      <c r="AE539" s="487"/>
      <c r="AF539" s="577">
        <f t="shared" si="71"/>
        <v>46826600</v>
      </c>
      <c r="AG539" s="275">
        <f t="shared" si="72"/>
        <v>49275200</v>
      </c>
    </row>
    <row r="540" spans="1:33" s="578" customFormat="1" ht="12" customHeight="1">
      <c r="A540" s="753" t="s">
        <v>1276</v>
      </c>
      <c r="B540" s="714" t="s">
        <v>1776</v>
      </c>
      <c r="C540" s="822" t="s">
        <v>1946</v>
      </c>
      <c r="D540" s="717">
        <v>130907</v>
      </c>
      <c r="E540" s="718">
        <v>10</v>
      </c>
      <c r="F540" s="573">
        <v>11323000</v>
      </c>
      <c r="G540" s="487">
        <v>11633900</v>
      </c>
      <c r="H540" s="573"/>
      <c r="I540" s="487"/>
      <c r="J540" s="573"/>
      <c r="K540" s="487"/>
      <c r="L540" s="573">
        <v>6480100</v>
      </c>
      <c r="M540" s="573">
        <v>0</v>
      </c>
      <c r="N540" s="456">
        <f t="shared" si="73"/>
        <v>6480100</v>
      </c>
      <c r="O540" s="487">
        <v>7931300</v>
      </c>
      <c r="P540" s="487" t="s">
        <v>648</v>
      </c>
      <c r="Q540" s="274">
        <f t="shared" si="68"/>
        <v>7931300</v>
      </c>
      <c r="R540" s="574">
        <f t="shared" si="69"/>
        <v>17803100</v>
      </c>
      <c r="S540" s="275">
        <f t="shared" si="70"/>
        <v>19565200</v>
      </c>
      <c r="T540" s="575"/>
      <c r="U540" s="487"/>
      <c r="V540" s="576"/>
      <c r="W540" s="573"/>
      <c r="X540" s="574">
        <f t="shared" si="74"/>
        <v>0</v>
      </c>
      <c r="Y540" s="487"/>
      <c r="Z540" s="487"/>
      <c r="AA540" s="276">
        <f t="shared" si="75"/>
        <v>0</v>
      </c>
      <c r="AB540" s="573"/>
      <c r="AC540" s="487"/>
      <c r="AD540" s="573"/>
      <c r="AE540" s="487"/>
      <c r="AF540" s="577">
        <f t="shared" si="71"/>
        <v>17803100</v>
      </c>
      <c r="AG540" s="275">
        <f t="shared" si="72"/>
        <v>19565200</v>
      </c>
    </row>
    <row r="541" spans="1:33" s="578" customFormat="1" ht="12" customHeight="1" thickBot="1">
      <c r="A541" s="714" t="s">
        <v>1276</v>
      </c>
      <c r="B541" s="714" t="s">
        <v>1821</v>
      </c>
      <c r="C541" s="827" t="s">
        <v>642</v>
      </c>
      <c r="D541" s="717"/>
      <c r="E541" s="718"/>
      <c r="F541" s="573"/>
      <c r="G541" s="487"/>
      <c r="H541" s="573"/>
      <c r="I541" s="487"/>
      <c r="J541" s="573"/>
      <c r="K541" s="487"/>
      <c r="L541" s="573"/>
      <c r="M541" s="573"/>
      <c r="N541" s="456">
        <f t="shared" si="73"/>
        <v>0</v>
      </c>
      <c r="O541" s="487"/>
      <c r="P541" s="487"/>
      <c r="Q541" s="274">
        <f t="shared" si="68"/>
        <v>0</v>
      </c>
      <c r="R541" s="574">
        <f t="shared" si="69"/>
        <v>0</v>
      </c>
      <c r="S541" s="275">
        <f t="shared" si="70"/>
        <v>0</v>
      </c>
      <c r="T541" s="575"/>
      <c r="U541" s="487"/>
      <c r="V541" s="576"/>
      <c r="W541" s="573"/>
      <c r="X541" s="574">
        <f t="shared" si="74"/>
        <v>0</v>
      </c>
      <c r="Y541" s="487"/>
      <c r="Z541" s="487"/>
      <c r="AA541" s="276">
        <f t="shared" si="75"/>
        <v>0</v>
      </c>
      <c r="AB541" s="573"/>
      <c r="AC541" s="487"/>
      <c r="AD541" s="573"/>
      <c r="AE541" s="487"/>
      <c r="AF541" s="577">
        <f t="shared" si="71"/>
        <v>0</v>
      </c>
      <c r="AG541" s="275">
        <f t="shared" si="72"/>
        <v>0</v>
      </c>
    </row>
    <row r="542" spans="1:33" s="578" customFormat="1" ht="12" customHeight="1">
      <c r="A542" s="714" t="s">
        <v>1276</v>
      </c>
      <c r="B542" s="714" t="s">
        <v>1821</v>
      </c>
      <c r="C542" s="713" t="s">
        <v>1947</v>
      </c>
      <c r="D542" s="717"/>
      <c r="E542" s="718"/>
      <c r="F542" s="573"/>
      <c r="G542" s="487"/>
      <c r="H542" s="587">
        <v>30000</v>
      </c>
      <c r="I542" s="523">
        <v>30000</v>
      </c>
      <c r="J542" s="589"/>
      <c r="K542" s="487"/>
      <c r="L542" s="573"/>
      <c r="M542" s="573"/>
      <c r="N542" s="456">
        <f t="shared" si="73"/>
        <v>0</v>
      </c>
      <c r="O542" s="487"/>
      <c r="P542" s="487"/>
      <c r="Q542" s="274">
        <f t="shared" si="68"/>
        <v>0</v>
      </c>
      <c r="R542" s="574">
        <f t="shared" si="69"/>
        <v>30000</v>
      </c>
      <c r="S542" s="275">
        <f t="shared" si="70"/>
        <v>30000</v>
      </c>
      <c r="T542" s="575"/>
      <c r="U542" s="487"/>
      <c r="V542" s="576"/>
      <c r="W542" s="573"/>
      <c r="X542" s="574">
        <f t="shared" si="74"/>
        <v>0</v>
      </c>
      <c r="Y542" s="487"/>
      <c r="Z542" s="487"/>
      <c r="AA542" s="276">
        <f t="shared" si="75"/>
        <v>0</v>
      </c>
      <c r="AB542" s="573"/>
      <c r="AC542" s="487"/>
      <c r="AD542" s="573"/>
      <c r="AE542" s="487"/>
      <c r="AF542" s="577">
        <f t="shared" si="71"/>
        <v>30000</v>
      </c>
      <c r="AG542" s="275">
        <f t="shared" si="72"/>
        <v>30000</v>
      </c>
    </row>
    <row r="543" spans="1:33" s="578" customFormat="1" ht="12" customHeight="1">
      <c r="A543" s="714" t="s">
        <v>1276</v>
      </c>
      <c r="B543" s="714" t="s">
        <v>1821</v>
      </c>
      <c r="C543" s="713" t="s">
        <v>1948</v>
      </c>
      <c r="D543" s="717"/>
      <c r="E543" s="718"/>
      <c r="F543" s="573"/>
      <c r="G543" s="487"/>
      <c r="H543" s="576">
        <v>255000</v>
      </c>
      <c r="I543" s="464">
        <v>255000</v>
      </c>
      <c r="J543" s="589"/>
      <c r="K543" s="487"/>
      <c r="L543" s="573"/>
      <c r="M543" s="573"/>
      <c r="N543" s="456">
        <f t="shared" si="73"/>
        <v>0</v>
      </c>
      <c r="O543" s="487"/>
      <c r="P543" s="487"/>
      <c r="Q543" s="274">
        <f t="shared" si="68"/>
        <v>0</v>
      </c>
      <c r="R543" s="574">
        <f t="shared" si="69"/>
        <v>255000</v>
      </c>
      <c r="S543" s="275">
        <f t="shared" si="70"/>
        <v>255000</v>
      </c>
      <c r="T543" s="575"/>
      <c r="U543" s="487"/>
      <c r="V543" s="576"/>
      <c r="W543" s="573"/>
      <c r="X543" s="574">
        <f t="shared" si="74"/>
        <v>0</v>
      </c>
      <c r="Y543" s="487"/>
      <c r="Z543" s="487"/>
      <c r="AA543" s="276">
        <f t="shared" si="75"/>
        <v>0</v>
      </c>
      <c r="AB543" s="573"/>
      <c r="AC543" s="487"/>
      <c r="AD543" s="573"/>
      <c r="AE543" s="487"/>
      <c r="AF543" s="577">
        <f t="shared" si="71"/>
        <v>255000</v>
      </c>
      <c r="AG543" s="275">
        <f t="shared" si="72"/>
        <v>255000</v>
      </c>
    </row>
    <row r="544" spans="1:33" s="578" customFormat="1" ht="12" customHeight="1">
      <c r="A544" s="714" t="s">
        <v>1276</v>
      </c>
      <c r="B544" s="714" t="s">
        <v>1821</v>
      </c>
      <c r="C544" s="713" t="s">
        <v>1949</v>
      </c>
      <c r="D544" s="717"/>
      <c r="E544" s="718"/>
      <c r="F544" s="573"/>
      <c r="G544" s="487"/>
      <c r="H544" s="576">
        <v>2027400</v>
      </c>
      <c r="I544" s="464">
        <v>1957100</v>
      </c>
      <c r="J544" s="589"/>
      <c r="K544" s="487"/>
      <c r="L544" s="573"/>
      <c r="M544" s="573"/>
      <c r="N544" s="456">
        <f t="shared" si="73"/>
        <v>0</v>
      </c>
      <c r="O544" s="487"/>
      <c r="P544" s="487"/>
      <c r="Q544" s="274">
        <f t="shared" si="68"/>
        <v>0</v>
      </c>
      <c r="R544" s="574">
        <f t="shared" si="69"/>
        <v>2027400</v>
      </c>
      <c r="S544" s="275">
        <f t="shared" si="70"/>
        <v>1957100</v>
      </c>
      <c r="T544" s="575"/>
      <c r="U544" s="487"/>
      <c r="V544" s="576"/>
      <c r="W544" s="573"/>
      <c r="X544" s="574">
        <f t="shared" si="74"/>
        <v>0</v>
      </c>
      <c r="Y544" s="487"/>
      <c r="Z544" s="487"/>
      <c r="AA544" s="276">
        <f t="shared" si="75"/>
        <v>0</v>
      </c>
      <c r="AB544" s="573"/>
      <c r="AC544" s="487"/>
      <c r="AD544" s="573"/>
      <c r="AE544" s="487"/>
      <c r="AF544" s="577">
        <f t="shared" si="71"/>
        <v>2027400</v>
      </c>
      <c r="AG544" s="275">
        <f t="shared" si="72"/>
        <v>1957100</v>
      </c>
    </row>
    <row r="545" spans="1:33" s="578" customFormat="1" ht="12" customHeight="1" thickBot="1">
      <c r="A545" s="714" t="s">
        <v>1276</v>
      </c>
      <c r="B545" s="714" t="s">
        <v>1821</v>
      </c>
      <c r="C545" s="713" t="s">
        <v>1950</v>
      </c>
      <c r="D545" s="717"/>
      <c r="E545" s="718"/>
      <c r="F545" s="573"/>
      <c r="G545" s="487"/>
      <c r="H545" s="591">
        <v>36800</v>
      </c>
      <c r="I545" s="524">
        <v>36800</v>
      </c>
      <c r="J545" s="589"/>
      <c r="K545" s="487"/>
      <c r="L545" s="573"/>
      <c r="M545" s="573"/>
      <c r="N545" s="456">
        <f t="shared" si="73"/>
        <v>0</v>
      </c>
      <c r="O545" s="487"/>
      <c r="P545" s="487"/>
      <c r="Q545" s="274">
        <f t="shared" si="68"/>
        <v>0</v>
      </c>
      <c r="R545" s="574">
        <f t="shared" si="69"/>
        <v>36800</v>
      </c>
      <c r="S545" s="275">
        <f t="shared" si="70"/>
        <v>36800</v>
      </c>
      <c r="T545" s="575"/>
      <c r="U545" s="487"/>
      <c r="V545" s="576"/>
      <c r="W545" s="573"/>
      <c r="X545" s="574">
        <f t="shared" si="74"/>
        <v>0</v>
      </c>
      <c r="Y545" s="487"/>
      <c r="Z545" s="487"/>
      <c r="AA545" s="276">
        <f t="shared" si="75"/>
        <v>0</v>
      </c>
      <c r="AB545" s="573"/>
      <c r="AC545" s="487"/>
      <c r="AD545" s="573"/>
      <c r="AE545" s="487"/>
      <c r="AF545" s="577">
        <f t="shared" si="71"/>
        <v>36800</v>
      </c>
      <c r="AG545" s="275">
        <f t="shared" si="72"/>
        <v>36800</v>
      </c>
    </row>
    <row r="546" spans="1:33" s="578" customFormat="1" ht="12" customHeight="1">
      <c r="A546" s="714" t="s">
        <v>1276</v>
      </c>
      <c r="B546" s="714" t="s">
        <v>1794</v>
      </c>
      <c r="C546" s="827" t="s">
        <v>911</v>
      </c>
      <c r="D546" s="717"/>
      <c r="E546" s="718"/>
      <c r="F546" s="573"/>
      <c r="G546" s="487"/>
      <c r="H546" s="573"/>
      <c r="I546" s="487"/>
      <c r="J546" s="573"/>
      <c r="K546" s="487"/>
      <c r="L546" s="573"/>
      <c r="M546" s="573"/>
      <c r="N546" s="456">
        <f t="shared" si="73"/>
        <v>0</v>
      </c>
      <c r="O546" s="487"/>
      <c r="P546" s="487"/>
      <c r="Q546" s="274">
        <f t="shared" si="68"/>
        <v>0</v>
      </c>
      <c r="R546" s="574">
        <f t="shared" si="69"/>
        <v>0</v>
      </c>
      <c r="S546" s="275">
        <f t="shared" si="70"/>
        <v>0</v>
      </c>
      <c r="T546" s="575"/>
      <c r="U546" s="487"/>
      <c r="V546" s="576"/>
      <c r="W546" s="573"/>
      <c r="X546" s="574">
        <f t="shared" si="74"/>
        <v>0</v>
      </c>
      <c r="Y546" s="487"/>
      <c r="Z546" s="487"/>
      <c r="AA546" s="276">
        <f t="shared" si="75"/>
        <v>0</v>
      </c>
      <c r="AB546" s="573"/>
      <c r="AC546" s="487"/>
      <c r="AD546" s="573"/>
      <c r="AE546" s="487"/>
      <c r="AF546" s="577">
        <f t="shared" si="71"/>
        <v>0</v>
      </c>
      <c r="AG546" s="275">
        <f t="shared" si="72"/>
        <v>0</v>
      </c>
    </row>
    <row r="547" spans="1:33" s="578" customFormat="1" ht="12" customHeight="1">
      <c r="A547" s="714" t="s">
        <v>1276</v>
      </c>
      <c r="B547" s="714" t="s">
        <v>1795</v>
      </c>
      <c r="C547" s="828" t="s">
        <v>957</v>
      </c>
      <c r="D547" s="717"/>
      <c r="E547" s="718"/>
      <c r="F547" s="573"/>
      <c r="G547" s="487"/>
      <c r="H547" s="573"/>
      <c r="I547" s="487"/>
      <c r="J547" s="573"/>
      <c r="K547" s="487"/>
      <c r="L547" s="573"/>
      <c r="M547" s="573"/>
      <c r="N547" s="456">
        <f t="shared" si="73"/>
        <v>0</v>
      </c>
      <c r="O547" s="487"/>
      <c r="P547" s="487"/>
      <c r="Q547" s="274">
        <f t="shared" si="68"/>
        <v>0</v>
      </c>
      <c r="R547" s="574">
        <f t="shared" si="69"/>
        <v>0</v>
      </c>
      <c r="S547" s="275">
        <f t="shared" si="70"/>
        <v>0</v>
      </c>
      <c r="T547" s="575"/>
      <c r="U547" s="487"/>
      <c r="V547" s="576"/>
      <c r="W547" s="573"/>
      <c r="X547" s="574">
        <f t="shared" si="74"/>
        <v>0</v>
      </c>
      <c r="Y547" s="487"/>
      <c r="Z547" s="487"/>
      <c r="AA547" s="276">
        <f t="shared" si="75"/>
        <v>0</v>
      </c>
      <c r="AB547" s="573"/>
      <c r="AC547" s="487"/>
      <c r="AD547" s="573"/>
      <c r="AE547" s="487"/>
      <c r="AF547" s="577">
        <f t="shared" si="71"/>
        <v>0</v>
      </c>
      <c r="AG547" s="275">
        <f t="shared" si="72"/>
        <v>0</v>
      </c>
    </row>
    <row r="548" spans="1:33" s="578" customFormat="1" ht="12" customHeight="1">
      <c r="A548" s="714" t="s">
        <v>1276</v>
      </c>
      <c r="B548" s="714" t="s">
        <v>1795</v>
      </c>
      <c r="C548" s="828" t="s">
        <v>1951</v>
      </c>
      <c r="D548" s="717"/>
      <c r="E548" s="718"/>
      <c r="F548" s="573"/>
      <c r="G548" s="487"/>
      <c r="H548" s="573"/>
      <c r="I548" s="487"/>
      <c r="J548" s="573"/>
      <c r="K548" s="487"/>
      <c r="L548" s="573"/>
      <c r="M548" s="573"/>
      <c r="N548" s="456">
        <f t="shared" si="73"/>
        <v>0</v>
      </c>
      <c r="O548" s="487"/>
      <c r="P548" s="487"/>
      <c r="Q548" s="274">
        <f t="shared" si="68"/>
        <v>0</v>
      </c>
      <c r="R548" s="574">
        <f t="shared" si="69"/>
        <v>0</v>
      </c>
      <c r="S548" s="275">
        <f t="shared" si="70"/>
        <v>0</v>
      </c>
      <c r="T548" s="575">
        <v>874300</v>
      </c>
      <c r="U548" s="487">
        <v>880600</v>
      </c>
      <c r="V548" s="576"/>
      <c r="W548" s="573"/>
      <c r="X548" s="574">
        <f t="shared" si="74"/>
        <v>0</v>
      </c>
      <c r="Y548" s="487"/>
      <c r="Z548" s="487"/>
      <c r="AA548" s="276">
        <f t="shared" si="75"/>
        <v>0</v>
      </c>
      <c r="AB548" s="573"/>
      <c r="AC548" s="487"/>
      <c r="AD548" s="573"/>
      <c r="AE548" s="487"/>
      <c r="AF548" s="577">
        <f t="shared" si="71"/>
        <v>874300</v>
      </c>
      <c r="AG548" s="275">
        <f t="shared" si="72"/>
        <v>880600</v>
      </c>
    </row>
    <row r="549" spans="1:33" s="578" customFormat="1" ht="12" customHeight="1">
      <c r="A549" s="714" t="s">
        <v>1276</v>
      </c>
      <c r="B549" s="714" t="s">
        <v>1796</v>
      </c>
      <c r="C549" s="828" t="s">
        <v>956</v>
      </c>
      <c r="D549" s="717"/>
      <c r="E549" s="718"/>
      <c r="F549" s="573"/>
      <c r="G549" s="487"/>
      <c r="H549" s="573"/>
      <c r="I549" s="487"/>
      <c r="J549" s="573"/>
      <c r="K549" s="487"/>
      <c r="L549" s="573"/>
      <c r="M549" s="573"/>
      <c r="N549" s="456">
        <f t="shared" si="73"/>
        <v>0</v>
      </c>
      <c r="O549" s="487"/>
      <c r="P549" s="487"/>
      <c r="Q549" s="274">
        <f t="shared" si="68"/>
        <v>0</v>
      </c>
      <c r="R549" s="574">
        <f t="shared" si="69"/>
        <v>0</v>
      </c>
      <c r="S549" s="275">
        <f t="shared" si="70"/>
        <v>0</v>
      </c>
      <c r="T549" s="575"/>
      <c r="U549" s="487"/>
      <c r="V549" s="576"/>
      <c r="W549" s="573"/>
      <c r="X549" s="574">
        <f t="shared" si="74"/>
        <v>0</v>
      </c>
      <c r="Y549" s="487"/>
      <c r="Z549" s="487"/>
      <c r="AA549" s="276">
        <f t="shared" si="75"/>
        <v>0</v>
      </c>
      <c r="AB549" s="573"/>
      <c r="AC549" s="487"/>
      <c r="AD549" s="573"/>
      <c r="AE549" s="487"/>
      <c r="AF549" s="577">
        <f t="shared" si="71"/>
        <v>0</v>
      </c>
      <c r="AG549" s="275">
        <f t="shared" si="72"/>
        <v>0</v>
      </c>
    </row>
    <row r="550" spans="1:33" s="578" customFormat="1" ht="12" customHeight="1">
      <c r="A550" s="714" t="s">
        <v>1276</v>
      </c>
      <c r="B550" s="714" t="s">
        <v>1796</v>
      </c>
      <c r="C550" s="828" t="s">
        <v>1952</v>
      </c>
      <c r="D550" s="717"/>
      <c r="E550" s="718"/>
      <c r="F550" s="573"/>
      <c r="G550" s="487"/>
      <c r="H550" s="573"/>
      <c r="I550" s="487"/>
      <c r="J550" s="573"/>
      <c r="K550" s="487"/>
      <c r="L550" s="573"/>
      <c r="M550" s="573"/>
      <c r="N550" s="456">
        <f t="shared" si="73"/>
        <v>0</v>
      </c>
      <c r="O550" s="487"/>
      <c r="P550" s="487"/>
      <c r="Q550" s="274">
        <f t="shared" si="68"/>
        <v>0</v>
      </c>
      <c r="R550" s="574">
        <f t="shared" si="69"/>
        <v>0</v>
      </c>
      <c r="S550" s="275">
        <f t="shared" si="70"/>
        <v>0</v>
      </c>
      <c r="T550" s="575">
        <v>9459500</v>
      </c>
      <c r="U550" s="487">
        <v>9542300</v>
      </c>
      <c r="V550" s="576"/>
      <c r="W550" s="573"/>
      <c r="X550" s="574">
        <f t="shared" si="74"/>
        <v>0</v>
      </c>
      <c r="Y550" s="487"/>
      <c r="Z550" s="487"/>
      <c r="AA550" s="276">
        <f t="shared" si="75"/>
        <v>0</v>
      </c>
      <c r="AB550" s="573"/>
      <c r="AC550" s="487"/>
      <c r="AD550" s="573"/>
      <c r="AE550" s="487"/>
      <c r="AF550" s="577">
        <f t="shared" si="71"/>
        <v>9459500</v>
      </c>
      <c r="AG550" s="275">
        <f t="shared" si="72"/>
        <v>9542300</v>
      </c>
    </row>
    <row r="551" spans="1:33" s="578" customFormat="1" ht="12" customHeight="1">
      <c r="A551" s="714" t="s">
        <v>1276</v>
      </c>
      <c r="B551" s="714" t="s">
        <v>1797</v>
      </c>
      <c r="C551" s="829" t="s">
        <v>955</v>
      </c>
      <c r="D551" s="717"/>
      <c r="E551" s="718"/>
      <c r="F551" s="573"/>
      <c r="G551" s="487"/>
      <c r="H551" s="573"/>
      <c r="I551" s="487"/>
      <c r="J551" s="573"/>
      <c r="K551" s="487"/>
      <c r="L551" s="573"/>
      <c r="M551" s="573"/>
      <c r="N551" s="456">
        <f t="shared" si="73"/>
        <v>0</v>
      </c>
      <c r="O551" s="487"/>
      <c r="P551" s="487"/>
      <c r="Q551" s="274">
        <f t="shared" si="68"/>
        <v>0</v>
      </c>
      <c r="R551" s="574">
        <f t="shared" si="69"/>
        <v>0</v>
      </c>
      <c r="S551" s="275">
        <f t="shared" si="70"/>
        <v>0</v>
      </c>
      <c r="T551" s="575"/>
      <c r="U551" s="487"/>
      <c r="V551" s="576"/>
      <c r="W551" s="573"/>
      <c r="X551" s="574">
        <f t="shared" si="74"/>
        <v>0</v>
      </c>
      <c r="Y551" s="487"/>
      <c r="Z551" s="487"/>
      <c r="AA551" s="276">
        <f t="shared" si="75"/>
        <v>0</v>
      </c>
      <c r="AB551" s="573"/>
      <c r="AC551" s="487"/>
      <c r="AD551" s="573"/>
      <c r="AE551" s="487"/>
      <c r="AF551" s="577">
        <f t="shared" si="71"/>
        <v>0</v>
      </c>
      <c r="AG551" s="275">
        <f t="shared" si="72"/>
        <v>0</v>
      </c>
    </row>
    <row r="552" spans="1:33" s="578" customFormat="1" ht="12" customHeight="1">
      <c r="A552" s="714" t="s">
        <v>1276</v>
      </c>
      <c r="B552" s="714" t="s">
        <v>1797</v>
      </c>
      <c r="C552" s="828" t="s">
        <v>1430</v>
      </c>
      <c r="D552" s="717"/>
      <c r="E552" s="718"/>
      <c r="F552" s="573"/>
      <c r="G552" s="487"/>
      <c r="H552" s="573"/>
      <c r="I552" s="487"/>
      <c r="J552" s="573"/>
      <c r="K552" s="487"/>
      <c r="L552" s="573"/>
      <c r="M552" s="573"/>
      <c r="N552" s="456">
        <f t="shared" si="73"/>
        <v>0</v>
      </c>
      <c r="O552" s="487"/>
      <c r="P552" s="487"/>
      <c r="Q552" s="274">
        <f t="shared" si="68"/>
        <v>0</v>
      </c>
      <c r="R552" s="574">
        <f t="shared" si="69"/>
        <v>0</v>
      </c>
      <c r="S552" s="275">
        <f t="shared" si="70"/>
        <v>0</v>
      </c>
      <c r="T552" s="575">
        <v>195900</v>
      </c>
      <c r="U552" s="487">
        <v>193500</v>
      </c>
      <c r="V552" s="576" t="s">
        <v>648</v>
      </c>
      <c r="W552" s="573"/>
      <c r="X552" s="574">
        <f t="shared" si="74"/>
        <v>0</v>
      </c>
      <c r="Y552" s="487"/>
      <c r="Z552" s="487"/>
      <c r="AA552" s="276">
        <f t="shared" si="75"/>
        <v>0</v>
      </c>
      <c r="AB552" s="573"/>
      <c r="AC552" s="487"/>
      <c r="AD552" s="573"/>
      <c r="AE552" s="487"/>
      <c r="AF552" s="577">
        <f t="shared" si="71"/>
        <v>195900</v>
      </c>
      <c r="AG552" s="275">
        <f t="shared" si="72"/>
        <v>193500</v>
      </c>
    </row>
    <row r="553" spans="1:33" s="578" customFormat="1" ht="12" customHeight="1">
      <c r="A553" s="714" t="s">
        <v>1276</v>
      </c>
      <c r="B553" s="714" t="s">
        <v>1798</v>
      </c>
      <c r="C553" s="829" t="s">
        <v>1953</v>
      </c>
      <c r="D553" s="717"/>
      <c r="E553" s="718"/>
      <c r="F553" s="573"/>
      <c r="G553" s="487"/>
      <c r="H553" s="573"/>
      <c r="I553" s="487"/>
      <c r="J553" s="573"/>
      <c r="K553" s="487"/>
      <c r="L553" s="573"/>
      <c r="M553" s="573"/>
      <c r="N553" s="456">
        <f t="shared" si="73"/>
        <v>0</v>
      </c>
      <c r="O553" s="487"/>
      <c r="P553" s="487"/>
      <c r="Q553" s="274">
        <f t="shared" si="68"/>
        <v>0</v>
      </c>
      <c r="R553" s="574">
        <f t="shared" si="69"/>
        <v>0</v>
      </c>
      <c r="S553" s="275">
        <f t="shared" si="70"/>
        <v>0</v>
      </c>
      <c r="T553" s="575"/>
      <c r="U553" s="487"/>
      <c r="V553" s="576"/>
      <c r="W553" s="573"/>
      <c r="X553" s="574">
        <f t="shared" si="74"/>
        <v>0</v>
      </c>
      <c r="Y553" s="487"/>
      <c r="Z553" s="487"/>
      <c r="AA553" s="276">
        <f t="shared" si="75"/>
        <v>0</v>
      </c>
      <c r="AB553" s="573"/>
      <c r="AC553" s="487"/>
      <c r="AD553" s="573"/>
      <c r="AE553" s="487"/>
      <c r="AF553" s="577">
        <f t="shared" si="71"/>
        <v>0</v>
      </c>
      <c r="AG553" s="275">
        <f t="shared" si="72"/>
        <v>0</v>
      </c>
    </row>
    <row r="554" spans="1:33" s="578" customFormat="1" ht="12" customHeight="1">
      <c r="A554" s="714" t="s">
        <v>1276</v>
      </c>
      <c r="B554" s="714" t="s">
        <v>1799</v>
      </c>
      <c r="C554" s="827" t="s">
        <v>1818</v>
      </c>
      <c r="D554" s="717"/>
      <c r="E554" s="718"/>
      <c r="F554" s="573"/>
      <c r="G554" s="487"/>
      <c r="H554" s="573"/>
      <c r="I554" s="487"/>
      <c r="J554" s="573"/>
      <c r="K554" s="487"/>
      <c r="L554" s="573"/>
      <c r="M554" s="573"/>
      <c r="N554" s="456">
        <f t="shared" si="73"/>
        <v>0</v>
      </c>
      <c r="O554" s="487"/>
      <c r="P554" s="487"/>
      <c r="Q554" s="274">
        <f t="shared" si="68"/>
        <v>0</v>
      </c>
      <c r="R554" s="574">
        <f t="shared" si="69"/>
        <v>0</v>
      </c>
      <c r="S554" s="275">
        <f t="shared" si="70"/>
        <v>0</v>
      </c>
      <c r="T554" s="575"/>
      <c r="U554" s="487"/>
      <c r="V554" s="576"/>
      <c r="W554" s="573"/>
      <c r="X554" s="574">
        <f t="shared" si="74"/>
        <v>0</v>
      </c>
      <c r="Y554" s="487"/>
      <c r="Z554" s="487"/>
      <c r="AA554" s="276">
        <f t="shared" si="75"/>
        <v>0</v>
      </c>
      <c r="AB554" s="573"/>
      <c r="AC554" s="487"/>
      <c r="AD554" s="573"/>
      <c r="AE554" s="487"/>
      <c r="AF554" s="577">
        <f t="shared" si="71"/>
        <v>0</v>
      </c>
      <c r="AG554" s="275">
        <f t="shared" si="72"/>
        <v>0</v>
      </c>
    </row>
    <row r="555" spans="1:33" s="578" customFormat="1" ht="12" customHeight="1">
      <c r="A555" s="714" t="s">
        <v>1276</v>
      </c>
      <c r="B555" s="714" t="s">
        <v>1800</v>
      </c>
      <c r="C555" s="827" t="s">
        <v>1345</v>
      </c>
      <c r="D555" s="717"/>
      <c r="E555" s="718"/>
      <c r="F555" s="573"/>
      <c r="G555" s="487"/>
      <c r="H555" s="573"/>
      <c r="I555" s="487"/>
      <c r="J555" s="573"/>
      <c r="K555" s="487"/>
      <c r="L555" s="573"/>
      <c r="M555" s="573"/>
      <c r="N555" s="456">
        <f t="shared" si="73"/>
        <v>0</v>
      </c>
      <c r="O555" s="487"/>
      <c r="P555" s="487"/>
      <c r="Q555" s="274">
        <f t="shared" si="68"/>
        <v>0</v>
      </c>
      <c r="R555" s="574">
        <f t="shared" si="69"/>
        <v>0</v>
      </c>
      <c r="S555" s="275">
        <f t="shared" si="70"/>
        <v>0</v>
      </c>
      <c r="T555" s="575"/>
      <c r="U555" s="487"/>
      <c r="V555" s="576"/>
      <c r="W555" s="573"/>
      <c r="X555" s="574">
        <f t="shared" si="74"/>
        <v>0</v>
      </c>
      <c r="Y555" s="487"/>
      <c r="Z555" s="487"/>
      <c r="AA555" s="276">
        <f t="shared" si="75"/>
        <v>0</v>
      </c>
      <c r="AB555" s="573"/>
      <c r="AC555" s="487"/>
      <c r="AD555" s="573"/>
      <c r="AE555" s="487"/>
      <c r="AF555" s="577">
        <f t="shared" si="71"/>
        <v>0</v>
      </c>
      <c r="AG555" s="275">
        <f t="shared" si="72"/>
        <v>0</v>
      </c>
    </row>
    <row r="556" spans="1:33" s="578" customFormat="1" ht="12" customHeight="1">
      <c r="A556" s="714" t="s">
        <v>1276</v>
      </c>
      <c r="B556" s="714" t="s">
        <v>1801</v>
      </c>
      <c r="C556" s="829" t="s">
        <v>859</v>
      </c>
      <c r="D556" s="717"/>
      <c r="E556" s="718"/>
      <c r="F556" s="573"/>
      <c r="G556" s="487"/>
      <c r="H556" s="573"/>
      <c r="I556" s="487"/>
      <c r="J556" s="573"/>
      <c r="K556" s="487"/>
      <c r="L556" s="573"/>
      <c r="M556" s="573"/>
      <c r="N556" s="456">
        <f t="shared" si="73"/>
        <v>0</v>
      </c>
      <c r="O556" s="487"/>
      <c r="P556" s="487"/>
      <c r="Q556" s="274">
        <f t="shared" si="68"/>
        <v>0</v>
      </c>
      <c r="R556" s="574">
        <f t="shared" si="69"/>
        <v>0</v>
      </c>
      <c r="S556" s="275">
        <f t="shared" si="70"/>
        <v>0</v>
      </c>
      <c r="T556" s="575"/>
      <c r="U556" s="487"/>
      <c r="V556" s="576"/>
      <c r="W556" s="573"/>
      <c r="X556" s="574">
        <f t="shared" si="74"/>
        <v>0</v>
      </c>
      <c r="Y556" s="487"/>
      <c r="Z556" s="487"/>
      <c r="AA556" s="276">
        <f t="shared" si="75"/>
        <v>0</v>
      </c>
      <c r="AB556" s="573"/>
      <c r="AC556" s="487"/>
      <c r="AD556" s="573"/>
      <c r="AE556" s="487"/>
      <c r="AF556" s="577">
        <f t="shared" si="71"/>
        <v>0</v>
      </c>
      <c r="AG556" s="275">
        <f t="shared" si="72"/>
        <v>0</v>
      </c>
    </row>
    <row r="557" spans="1:33" s="578" customFormat="1" ht="12" customHeight="1">
      <c r="A557" s="714" t="s">
        <v>1276</v>
      </c>
      <c r="B557" s="714" t="s">
        <v>1802</v>
      </c>
      <c r="C557" s="829" t="s">
        <v>861</v>
      </c>
      <c r="D557" s="717"/>
      <c r="E557" s="718"/>
      <c r="F557" s="573"/>
      <c r="G557" s="487"/>
      <c r="H557" s="573"/>
      <c r="I557" s="487"/>
      <c r="J557" s="573"/>
      <c r="K557" s="487"/>
      <c r="L557" s="573"/>
      <c r="M557" s="573"/>
      <c r="N557" s="456">
        <f t="shared" si="73"/>
        <v>0</v>
      </c>
      <c r="O557" s="487"/>
      <c r="P557" s="487"/>
      <c r="Q557" s="274">
        <f t="shared" si="68"/>
        <v>0</v>
      </c>
      <c r="R557" s="574">
        <f t="shared" si="69"/>
        <v>0</v>
      </c>
      <c r="S557" s="275">
        <f t="shared" si="70"/>
        <v>0</v>
      </c>
      <c r="T557" s="575">
        <v>358400</v>
      </c>
      <c r="U557" s="487">
        <v>291200</v>
      </c>
      <c r="V557" s="576"/>
      <c r="W557" s="573"/>
      <c r="X557" s="574">
        <f t="shared" si="74"/>
        <v>0</v>
      </c>
      <c r="Y557" s="487"/>
      <c r="Z557" s="487"/>
      <c r="AA557" s="276">
        <f t="shared" si="75"/>
        <v>0</v>
      </c>
      <c r="AB557" s="573"/>
      <c r="AC557" s="487"/>
      <c r="AD557" s="573"/>
      <c r="AE557" s="487"/>
      <c r="AF557" s="577">
        <f t="shared" si="71"/>
        <v>358400</v>
      </c>
      <c r="AG557" s="275">
        <f t="shared" si="72"/>
        <v>291200</v>
      </c>
    </row>
    <row r="558" spans="1:33" s="578" customFormat="1" ht="12" customHeight="1">
      <c r="A558" s="714" t="s">
        <v>1276</v>
      </c>
      <c r="B558" s="714" t="s">
        <v>1803</v>
      </c>
      <c r="C558" s="829" t="s">
        <v>954</v>
      </c>
      <c r="D558" s="717"/>
      <c r="E558" s="718"/>
      <c r="F558" s="573"/>
      <c r="G558" s="487"/>
      <c r="H558" s="573"/>
      <c r="I558" s="487"/>
      <c r="J558" s="573"/>
      <c r="K558" s="487"/>
      <c r="L558" s="573"/>
      <c r="M558" s="573"/>
      <c r="N558" s="456">
        <f t="shared" si="73"/>
        <v>0</v>
      </c>
      <c r="O558" s="487"/>
      <c r="P558" s="487"/>
      <c r="Q558" s="274">
        <f t="shared" si="68"/>
        <v>0</v>
      </c>
      <c r="R558" s="574">
        <f t="shared" si="69"/>
        <v>0</v>
      </c>
      <c r="S558" s="275">
        <f t="shared" si="70"/>
        <v>0</v>
      </c>
      <c r="T558" s="575"/>
      <c r="U558" s="487"/>
      <c r="V558" s="576"/>
      <c r="W558" s="573"/>
      <c r="X558" s="574">
        <f t="shared" si="74"/>
        <v>0</v>
      </c>
      <c r="Y558" s="487"/>
      <c r="Z558" s="487"/>
      <c r="AA558" s="276">
        <f t="shared" si="75"/>
        <v>0</v>
      </c>
      <c r="AB558" s="573"/>
      <c r="AC558" s="487"/>
      <c r="AD558" s="573"/>
      <c r="AE558" s="487"/>
      <c r="AF558" s="577">
        <f t="shared" si="71"/>
        <v>0</v>
      </c>
      <c r="AG558" s="275">
        <f t="shared" si="72"/>
        <v>0</v>
      </c>
    </row>
    <row r="559" spans="1:33" s="578" customFormat="1" ht="12" customHeight="1">
      <c r="A559" s="714" t="s">
        <v>1276</v>
      </c>
      <c r="B559" s="714" t="s">
        <v>1803</v>
      </c>
      <c r="C559" s="713" t="s">
        <v>1954</v>
      </c>
      <c r="D559" s="717"/>
      <c r="E559" s="718"/>
      <c r="F559" s="573"/>
      <c r="G559" s="487"/>
      <c r="H559" s="573"/>
      <c r="I559" s="487"/>
      <c r="J559" s="573"/>
      <c r="K559" s="487"/>
      <c r="L559" s="573"/>
      <c r="M559" s="573"/>
      <c r="N559" s="456">
        <f t="shared" si="73"/>
        <v>0</v>
      </c>
      <c r="O559" s="487"/>
      <c r="P559" s="487"/>
      <c r="Q559" s="274">
        <f t="shared" si="68"/>
        <v>0</v>
      </c>
      <c r="R559" s="574">
        <f t="shared" si="69"/>
        <v>0</v>
      </c>
      <c r="S559" s="275">
        <f t="shared" si="70"/>
        <v>0</v>
      </c>
      <c r="T559" s="573">
        <v>2130000</v>
      </c>
      <c r="U559" s="487">
        <v>2130000</v>
      </c>
      <c r="V559" s="576"/>
      <c r="W559" s="573"/>
      <c r="X559" s="574">
        <f t="shared" si="74"/>
        <v>0</v>
      </c>
      <c r="Y559" s="487"/>
      <c r="Z559" s="487"/>
      <c r="AA559" s="276">
        <f t="shared" si="75"/>
        <v>0</v>
      </c>
      <c r="AB559" s="573"/>
      <c r="AC559" s="487"/>
      <c r="AD559" s="573"/>
      <c r="AE559" s="487"/>
      <c r="AF559" s="577">
        <f t="shared" si="71"/>
        <v>2130000</v>
      </c>
      <c r="AG559" s="275">
        <f t="shared" si="72"/>
        <v>2130000</v>
      </c>
    </row>
    <row r="560" spans="1:33" s="578" customFormat="1" ht="12" customHeight="1">
      <c r="A560" s="714" t="s">
        <v>1276</v>
      </c>
      <c r="B560" s="714" t="s">
        <v>1803</v>
      </c>
      <c r="C560" s="713" t="s">
        <v>1955</v>
      </c>
      <c r="D560" s="717"/>
      <c r="E560" s="718"/>
      <c r="F560" s="573"/>
      <c r="G560" s="487"/>
      <c r="H560" s="573"/>
      <c r="I560" s="487"/>
      <c r="J560" s="573"/>
      <c r="K560" s="487"/>
      <c r="L560" s="573"/>
      <c r="M560" s="573"/>
      <c r="N560" s="456">
        <f t="shared" si="73"/>
        <v>0</v>
      </c>
      <c r="O560" s="487"/>
      <c r="P560" s="487"/>
      <c r="Q560" s="274">
        <f t="shared" si="68"/>
        <v>0</v>
      </c>
      <c r="R560" s="574">
        <f t="shared" si="69"/>
        <v>0</v>
      </c>
      <c r="S560" s="275">
        <f t="shared" si="70"/>
        <v>0</v>
      </c>
      <c r="T560" s="573">
        <v>291200</v>
      </c>
      <c r="U560" s="487">
        <v>371200</v>
      </c>
      <c r="V560" s="576"/>
      <c r="W560" s="573"/>
      <c r="X560" s="574">
        <f t="shared" si="74"/>
        <v>0</v>
      </c>
      <c r="Y560" s="487"/>
      <c r="Z560" s="487"/>
      <c r="AA560" s="276">
        <f t="shared" si="75"/>
        <v>0</v>
      </c>
      <c r="AB560" s="573"/>
      <c r="AC560" s="487"/>
      <c r="AD560" s="573"/>
      <c r="AE560" s="487"/>
      <c r="AF560" s="577">
        <f t="shared" si="71"/>
        <v>291200</v>
      </c>
      <c r="AG560" s="275">
        <f t="shared" si="72"/>
        <v>371200</v>
      </c>
    </row>
    <row r="561" spans="1:33" s="578" customFormat="1" ht="12" customHeight="1">
      <c r="A561" s="753" t="s">
        <v>1276</v>
      </c>
      <c r="B561" s="714" t="s">
        <v>1803</v>
      </c>
      <c r="C561" s="713" t="s">
        <v>1956</v>
      </c>
      <c r="D561" s="717"/>
      <c r="E561" s="718"/>
      <c r="F561" s="573"/>
      <c r="G561" s="487"/>
      <c r="H561" s="573"/>
      <c r="I561" s="487"/>
      <c r="J561" s="573"/>
      <c r="K561" s="487"/>
      <c r="L561" s="573"/>
      <c r="M561" s="573"/>
      <c r="N561" s="456">
        <f t="shared" si="73"/>
        <v>0</v>
      </c>
      <c r="O561" s="487"/>
      <c r="P561" s="487"/>
      <c r="Q561" s="274">
        <f t="shared" si="68"/>
        <v>0</v>
      </c>
      <c r="R561" s="574">
        <f t="shared" si="69"/>
        <v>0</v>
      </c>
      <c r="S561" s="275">
        <f t="shared" si="70"/>
        <v>0</v>
      </c>
      <c r="T561" s="573">
        <v>548000</v>
      </c>
      <c r="U561" s="487">
        <v>698000</v>
      </c>
      <c r="V561" s="576"/>
      <c r="W561" s="573"/>
      <c r="X561" s="574">
        <f t="shared" si="74"/>
        <v>0</v>
      </c>
      <c r="Y561" s="487"/>
      <c r="Z561" s="487"/>
      <c r="AA561" s="276">
        <f t="shared" si="75"/>
        <v>0</v>
      </c>
      <c r="AB561" s="573"/>
      <c r="AC561" s="487"/>
      <c r="AD561" s="573"/>
      <c r="AE561" s="487"/>
      <c r="AF561" s="577">
        <f t="shared" si="71"/>
        <v>548000</v>
      </c>
      <c r="AG561" s="275">
        <f t="shared" si="72"/>
        <v>698000</v>
      </c>
    </row>
    <row r="562" spans="1:33" s="578" customFormat="1" ht="12" customHeight="1">
      <c r="A562" s="714" t="s">
        <v>1276</v>
      </c>
      <c r="B562" s="714" t="s">
        <v>1804</v>
      </c>
      <c r="C562" s="827" t="s">
        <v>1771</v>
      </c>
      <c r="D562" s="717"/>
      <c r="E562" s="718"/>
      <c r="F562" s="573"/>
      <c r="G562" s="487"/>
      <c r="H562" s="573"/>
      <c r="I562" s="487"/>
      <c r="J562" s="573"/>
      <c r="K562" s="487"/>
      <c r="L562" s="573"/>
      <c r="M562" s="573"/>
      <c r="N562" s="456">
        <f t="shared" si="73"/>
        <v>0</v>
      </c>
      <c r="O562" s="487"/>
      <c r="P562" s="487"/>
      <c r="Q562" s="274">
        <f t="shared" si="68"/>
        <v>0</v>
      </c>
      <c r="R562" s="574">
        <f t="shared" si="69"/>
        <v>0</v>
      </c>
      <c r="S562" s="275">
        <f t="shared" si="70"/>
        <v>0</v>
      </c>
      <c r="T562" s="575"/>
      <c r="U562" s="487"/>
      <c r="V562" s="576"/>
      <c r="W562" s="573"/>
      <c r="X562" s="574">
        <f t="shared" si="74"/>
        <v>0</v>
      </c>
      <c r="Y562" s="487"/>
      <c r="Z562" s="487"/>
      <c r="AA562" s="276">
        <f t="shared" si="75"/>
        <v>0</v>
      </c>
      <c r="AB562" s="573"/>
      <c r="AC562" s="487"/>
      <c r="AD562" s="573"/>
      <c r="AE562" s="487"/>
      <c r="AF562" s="577">
        <f t="shared" si="71"/>
        <v>0</v>
      </c>
      <c r="AG562" s="275">
        <f t="shared" si="72"/>
        <v>0</v>
      </c>
    </row>
    <row r="563" spans="1:33" s="578" customFormat="1" ht="12" customHeight="1">
      <c r="A563" s="714" t="s">
        <v>1276</v>
      </c>
      <c r="B563" s="714" t="s">
        <v>1805</v>
      </c>
      <c r="C563" s="830" t="s">
        <v>419</v>
      </c>
      <c r="D563" s="717"/>
      <c r="E563" s="718"/>
      <c r="F563" s="573"/>
      <c r="G563" s="487"/>
      <c r="H563" s="573"/>
      <c r="I563" s="487"/>
      <c r="J563" s="573"/>
      <c r="K563" s="487"/>
      <c r="L563" s="573"/>
      <c r="M563" s="573"/>
      <c r="N563" s="456">
        <f t="shared" si="73"/>
        <v>0</v>
      </c>
      <c r="O563" s="487"/>
      <c r="P563" s="487"/>
      <c r="Q563" s="274">
        <f t="shared" si="68"/>
        <v>0</v>
      </c>
      <c r="R563" s="574">
        <f t="shared" si="69"/>
        <v>0</v>
      </c>
      <c r="S563" s="275">
        <f t="shared" si="70"/>
        <v>0</v>
      </c>
      <c r="T563" s="575"/>
      <c r="U563" s="487"/>
      <c r="V563" s="576"/>
      <c r="W563" s="573"/>
      <c r="X563" s="574">
        <f t="shared" si="74"/>
        <v>0</v>
      </c>
      <c r="Y563" s="487"/>
      <c r="Z563" s="487"/>
      <c r="AA563" s="276">
        <f t="shared" si="75"/>
        <v>0</v>
      </c>
      <c r="AB563" s="573"/>
      <c r="AC563" s="487"/>
      <c r="AD563" s="573"/>
      <c r="AE563" s="487"/>
      <c r="AF563" s="577">
        <f t="shared" si="71"/>
        <v>0</v>
      </c>
      <c r="AG563" s="275">
        <f t="shared" si="72"/>
        <v>0</v>
      </c>
    </row>
    <row r="564" spans="1:33" s="578" customFormat="1" ht="12" customHeight="1">
      <c r="A564" s="714" t="s">
        <v>1276</v>
      </c>
      <c r="B564" s="714" t="s">
        <v>1805</v>
      </c>
      <c r="C564" s="831" t="s">
        <v>1957</v>
      </c>
      <c r="D564" s="717"/>
      <c r="E564" s="718"/>
      <c r="F564" s="573"/>
      <c r="G564" s="487"/>
      <c r="H564" s="573"/>
      <c r="I564" s="487"/>
      <c r="J564" s="573"/>
      <c r="K564" s="487"/>
      <c r="L564" s="573"/>
      <c r="M564" s="573"/>
      <c r="N564" s="456">
        <f t="shared" si="73"/>
        <v>0</v>
      </c>
      <c r="O564" s="487"/>
      <c r="P564" s="487"/>
      <c r="Q564" s="274">
        <f t="shared" si="68"/>
        <v>0</v>
      </c>
      <c r="R564" s="574">
        <f t="shared" si="69"/>
        <v>0</v>
      </c>
      <c r="S564" s="275">
        <f t="shared" si="70"/>
        <v>0</v>
      </c>
      <c r="T564" s="575"/>
      <c r="U564" s="487"/>
      <c r="V564" s="576"/>
      <c r="W564" s="573"/>
      <c r="X564" s="574">
        <f t="shared" si="74"/>
        <v>0</v>
      </c>
      <c r="Y564" s="487"/>
      <c r="Z564" s="487"/>
      <c r="AA564" s="276">
        <f t="shared" si="75"/>
        <v>0</v>
      </c>
      <c r="AB564" s="573"/>
      <c r="AC564" s="487"/>
      <c r="AD564" s="573"/>
      <c r="AE564" s="487"/>
      <c r="AF564" s="577">
        <f t="shared" si="71"/>
        <v>0</v>
      </c>
      <c r="AG564" s="275">
        <f t="shared" si="72"/>
        <v>0</v>
      </c>
    </row>
    <row r="565" spans="1:33" s="578" customFormat="1" ht="12" customHeight="1">
      <c r="A565" s="714" t="s">
        <v>1276</v>
      </c>
      <c r="B565" s="714" t="s">
        <v>1510</v>
      </c>
      <c r="C565" s="828" t="s">
        <v>1762</v>
      </c>
      <c r="D565" s="717"/>
      <c r="E565" s="718"/>
      <c r="F565" s="573"/>
      <c r="G565" s="487"/>
      <c r="H565" s="573"/>
      <c r="I565" s="487"/>
      <c r="J565" s="573"/>
      <c r="K565" s="487"/>
      <c r="L565" s="573"/>
      <c r="M565" s="573"/>
      <c r="N565" s="456">
        <f t="shared" si="73"/>
        <v>0</v>
      </c>
      <c r="O565" s="487"/>
      <c r="P565" s="487"/>
      <c r="Q565" s="274">
        <f t="shared" si="68"/>
        <v>0</v>
      </c>
      <c r="R565" s="574">
        <f t="shared" si="69"/>
        <v>0</v>
      </c>
      <c r="S565" s="275">
        <f t="shared" si="70"/>
        <v>0</v>
      </c>
      <c r="T565" s="575"/>
      <c r="U565" s="487"/>
      <c r="V565" s="576"/>
      <c r="W565" s="573"/>
      <c r="X565" s="574">
        <f t="shared" si="74"/>
        <v>0</v>
      </c>
      <c r="Y565" s="487"/>
      <c r="Z565" s="487"/>
      <c r="AA565" s="276">
        <f t="shared" si="75"/>
        <v>0</v>
      </c>
      <c r="AB565" s="573"/>
      <c r="AC565" s="487"/>
      <c r="AD565" s="573"/>
      <c r="AE565" s="487"/>
      <c r="AF565" s="577">
        <f t="shared" si="71"/>
        <v>0</v>
      </c>
      <c r="AG565" s="275">
        <f t="shared" si="72"/>
        <v>0</v>
      </c>
    </row>
    <row r="566" spans="1:33" s="578" customFormat="1" ht="12" customHeight="1">
      <c r="A566" s="714" t="s">
        <v>1276</v>
      </c>
      <c r="B566" s="714" t="s">
        <v>1511</v>
      </c>
      <c r="C566" s="828" t="s">
        <v>1883</v>
      </c>
      <c r="D566" s="717"/>
      <c r="E566" s="718"/>
      <c r="F566" s="573"/>
      <c r="G566" s="487"/>
      <c r="H566" s="573"/>
      <c r="I566" s="487"/>
      <c r="J566" s="573"/>
      <c r="K566" s="487"/>
      <c r="L566" s="573"/>
      <c r="M566" s="573"/>
      <c r="N566" s="456">
        <f t="shared" si="73"/>
        <v>0</v>
      </c>
      <c r="O566" s="487"/>
      <c r="P566" s="487"/>
      <c r="Q566" s="274">
        <f t="shared" si="68"/>
        <v>0</v>
      </c>
      <c r="R566" s="574">
        <f t="shared" si="69"/>
        <v>0</v>
      </c>
      <c r="S566" s="275">
        <f t="shared" si="70"/>
        <v>0</v>
      </c>
      <c r="T566" s="575">
        <v>832040</v>
      </c>
      <c r="U566" s="487">
        <v>875300</v>
      </c>
      <c r="V566" s="576"/>
      <c r="W566" s="573"/>
      <c r="X566" s="574">
        <f t="shared" si="74"/>
        <v>0</v>
      </c>
      <c r="Y566" s="487"/>
      <c r="Z566" s="487"/>
      <c r="AA566" s="276">
        <f t="shared" si="75"/>
        <v>0</v>
      </c>
      <c r="AB566" s="573"/>
      <c r="AC566" s="487"/>
      <c r="AD566" s="573"/>
      <c r="AE566" s="487"/>
      <c r="AF566" s="577">
        <f t="shared" si="71"/>
        <v>832040</v>
      </c>
      <c r="AG566" s="275">
        <f t="shared" si="72"/>
        <v>875300</v>
      </c>
    </row>
    <row r="567" spans="1:33" s="578" customFormat="1" ht="12" customHeight="1">
      <c r="A567" s="714" t="s">
        <v>1276</v>
      </c>
      <c r="B567" s="714" t="s">
        <v>1412</v>
      </c>
      <c r="C567" s="828" t="s">
        <v>1761</v>
      </c>
      <c r="D567" s="717"/>
      <c r="E567" s="718"/>
      <c r="F567" s="573"/>
      <c r="G567" s="487"/>
      <c r="H567" s="573"/>
      <c r="I567" s="487"/>
      <c r="J567" s="573"/>
      <c r="K567" s="487"/>
      <c r="L567" s="573"/>
      <c r="M567" s="573"/>
      <c r="N567" s="456">
        <f t="shared" si="73"/>
        <v>0</v>
      </c>
      <c r="O567" s="487"/>
      <c r="P567" s="487"/>
      <c r="Q567" s="274">
        <f t="shared" si="68"/>
        <v>0</v>
      </c>
      <c r="R567" s="574">
        <f t="shared" si="69"/>
        <v>0</v>
      </c>
      <c r="S567" s="275">
        <f t="shared" si="70"/>
        <v>0</v>
      </c>
      <c r="T567" s="575"/>
      <c r="U567" s="487"/>
      <c r="V567" s="576"/>
      <c r="W567" s="573"/>
      <c r="X567" s="574">
        <f t="shared" si="74"/>
        <v>0</v>
      </c>
      <c r="Y567" s="487"/>
      <c r="Z567" s="487"/>
      <c r="AA567" s="276">
        <f t="shared" si="75"/>
        <v>0</v>
      </c>
      <c r="AB567" s="573"/>
      <c r="AC567" s="487"/>
      <c r="AD567" s="573"/>
      <c r="AE567" s="487"/>
      <c r="AF567" s="577">
        <f t="shared" si="71"/>
        <v>0</v>
      </c>
      <c r="AG567" s="275">
        <f t="shared" si="72"/>
        <v>0</v>
      </c>
    </row>
    <row r="568" spans="1:33" s="578" customFormat="1" ht="12" customHeight="1">
      <c r="A568" s="714" t="s">
        <v>1276</v>
      </c>
      <c r="B568" s="714" t="s">
        <v>1413</v>
      </c>
      <c r="C568" s="828" t="s">
        <v>1586</v>
      </c>
      <c r="D568" s="717"/>
      <c r="E568" s="718"/>
      <c r="F568" s="573"/>
      <c r="G568" s="487"/>
      <c r="H568" s="573"/>
      <c r="I568" s="487"/>
      <c r="J568" s="573"/>
      <c r="K568" s="487"/>
      <c r="L568" s="573"/>
      <c r="M568" s="573"/>
      <c r="N568" s="456">
        <f t="shared" si="73"/>
        <v>0</v>
      </c>
      <c r="O568" s="487"/>
      <c r="P568" s="487"/>
      <c r="Q568" s="274">
        <f t="shared" si="68"/>
        <v>0</v>
      </c>
      <c r="R568" s="574">
        <f t="shared" si="69"/>
        <v>0</v>
      </c>
      <c r="S568" s="275">
        <f t="shared" si="70"/>
        <v>0</v>
      </c>
      <c r="T568" s="575"/>
      <c r="U568" s="487"/>
      <c r="V568" s="576"/>
      <c r="W568" s="573"/>
      <c r="X568" s="574">
        <f t="shared" si="74"/>
        <v>0</v>
      </c>
      <c r="Y568" s="487"/>
      <c r="Z568" s="487"/>
      <c r="AA568" s="276">
        <f t="shared" si="75"/>
        <v>0</v>
      </c>
      <c r="AB568" s="573"/>
      <c r="AC568" s="487"/>
      <c r="AD568" s="573"/>
      <c r="AE568" s="487"/>
      <c r="AF568" s="577">
        <f t="shared" si="71"/>
        <v>0</v>
      </c>
      <c r="AG568" s="275">
        <f t="shared" si="72"/>
        <v>0</v>
      </c>
    </row>
    <row r="569" spans="1:33" s="578" customFormat="1" ht="12" customHeight="1">
      <c r="A569" s="714" t="s">
        <v>1276</v>
      </c>
      <c r="B569" s="714" t="s">
        <v>1582</v>
      </c>
      <c r="C569" s="828" t="s">
        <v>1883</v>
      </c>
      <c r="D569" s="717"/>
      <c r="E569" s="718"/>
      <c r="F569" s="573"/>
      <c r="G569" s="487"/>
      <c r="H569" s="573"/>
      <c r="I569" s="487"/>
      <c r="J569" s="573"/>
      <c r="K569" s="487"/>
      <c r="L569" s="573"/>
      <c r="M569" s="573"/>
      <c r="N569" s="456">
        <f t="shared" si="73"/>
        <v>0</v>
      </c>
      <c r="O569" s="487"/>
      <c r="P569" s="487"/>
      <c r="Q569" s="274">
        <f t="shared" si="68"/>
        <v>0</v>
      </c>
      <c r="R569" s="574">
        <f t="shared" si="69"/>
        <v>0</v>
      </c>
      <c r="S569" s="275">
        <f t="shared" si="70"/>
        <v>0</v>
      </c>
      <c r="T569" s="575">
        <v>1248060</v>
      </c>
      <c r="U569" s="487">
        <v>1338060</v>
      </c>
      <c r="V569" s="576"/>
      <c r="W569" s="573"/>
      <c r="X569" s="574">
        <f t="shared" si="74"/>
        <v>0</v>
      </c>
      <c r="Y569" s="487"/>
      <c r="Z569" s="487"/>
      <c r="AA569" s="276">
        <f t="shared" si="75"/>
        <v>0</v>
      </c>
      <c r="AB569" s="573"/>
      <c r="AC569" s="487"/>
      <c r="AD569" s="573"/>
      <c r="AE569" s="487"/>
      <c r="AF569" s="577">
        <f t="shared" si="71"/>
        <v>1248060</v>
      </c>
      <c r="AG569" s="275">
        <f t="shared" si="72"/>
        <v>1338060</v>
      </c>
    </row>
    <row r="570" spans="1:33" s="578" customFormat="1" ht="12" customHeight="1">
      <c r="A570" s="714" t="s">
        <v>1276</v>
      </c>
      <c r="B570" s="714" t="s">
        <v>1583</v>
      </c>
      <c r="C570" s="828" t="s">
        <v>1761</v>
      </c>
      <c r="D570" s="717"/>
      <c r="E570" s="718"/>
      <c r="F570" s="573"/>
      <c r="G570" s="487"/>
      <c r="H570" s="573"/>
      <c r="I570" s="487"/>
      <c r="J570" s="573"/>
      <c r="K570" s="487"/>
      <c r="L570" s="573"/>
      <c r="M570" s="573"/>
      <c r="N570" s="456">
        <f t="shared" si="73"/>
        <v>0</v>
      </c>
      <c r="O570" s="487"/>
      <c r="P570" s="487"/>
      <c r="Q570" s="274">
        <f t="shared" si="68"/>
        <v>0</v>
      </c>
      <c r="R570" s="574">
        <f t="shared" si="69"/>
        <v>0</v>
      </c>
      <c r="S570" s="275">
        <f t="shared" si="70"/>
        <v>0</v>
      </c>
      <c r="T570" s="575"/>
      <c r="U570" s="487"/>
      <c r="V570" s="576"/>
      <c r="W570" s="573"/>
      <c r="X570" s="574">
        <f t="shared" si="74"/>
        <v>0</v>
      </c>
      <c r="Y570" s="487"/>
      <c r="Z570" s="487"/>
      <c r="AA570" s="276">
        <f t="shared" si="75"/>
        <v>0</v>
      </c>
      <c r="AB570" s="573"/>
      <c r="AC570" s="487"/>
      <c r="AD570" s="573"/>
      <c r="AE570" s="487"/>
      <c r="AF570" s="577">
        <f t="shared" si="71"/>
        <v>0</v>
      </c>
      <c r="AG570" s="275">
        <f t="shared" si="72"/>
        <v>0</v>
      </c>
    </row>
    <row r="571" spans="1:33" s="578" customFormat="1" ht="12" customHeight="1">
      <c r="A571" s="714" t="s">
        <v>1276</v>
      </c>
      <c r="B571" s="714" t="s">
        <v>1805</v>
      </c>
      <c r="C571" s="831" t="s">
        <v>1958</v>
      </c>
      <c r="D571" s="717"/>
      <c r="E571" s="718"/>
      <c r="F571" s="573"/>
      <c r="G571" s="487"/>
      <c r="H571" s="573"/>
      <c r="I571" s="487"/>
      <c r="J571" s="573"/>
      <c r="K571" s="487"/>
      <c r="L571" s="573"/>
      <c r="M571" s="573"/>
      <c r="N571" s="456">
        <f t="shared" si="73"/>
        <v>0</v>
      </c>
      <c r="O571" s="487"/>
      <c r="P571" s="487"/>
      <c r="Q571" s="274">
        <f t="shared" si="68"/>
        <v>0</v>
      </c>
      <c r="R571" s="574">
        <f t="shared" si="69"/>
        <v>0</v>
      </c>
      <c r="S571" s="275">
        <f t="shared" si="70"/>
        <v>0</v>
      </c>
      <c r="T571" s="575"/>
      <c r="U571" s="487"/>
      <c r="V571" s="576"/>
      <c r="W571" s="573"/>
      <c r="X571" s="574">
        <f t="shared" si="74"/>
        <v>0</v>
      </c>
      <c r="Y571" s="487"/>
      <c r="Z571" s="487"/>
      <c r="AA571" s="276">
        <f t="shared" si="75"/>
        <v>0</v>
      </c>
      <c r="AB571" s="573"/>
      <c r="AC571" s="487"/>
      <c r="AD571" s="573"/>
      <c r="AE571" s="487"/>
      <c r="AF571" s="577">
        <f t="shared" si="71"/>
        <v>0</v>
      </c>
      <c r="AG571" s="275">
        <f t="shared" si="72"/>
        <v>0</v>
      </c>
    </row>
    <row r="572" spans="1:33" s="578" customFormat="1" ht="12" customHeight="1">
      <c r="A572" s="714" t="s">
        <v>1276</v>
      </c>
      <c r="B572" s="714" t="s">
        <v>1510</v>
      </c>
      <c r="C572" s="828" t="s">
        <v>1762</v>
      </c>
      <c r="D572" s="717"/>
      <c r="E572" s="718"/>
      <c r="F572" s="573"/>
      <c r="G572" s="487"/>
      <c r="H572" s="573"/>
      <c r="I572" s="487"/>
      <c r="J572" s="573"/>
      <c r="K572" s="487"/>
      <c r="L572" s="573"/>
      <c r="M572" s="573"/>
      <c r="N572" s="456">
        <f t="shared" si="73"/>
        <v>0</v>
      </c>
      <c r="O572" s="487"/>
      <c r="P572" s="487"/>
      <c r="Q572" s="274">
        <f t="shared" si="68"/>
        <v>0</v>
      </c>
      <c r="R572" s="574">
        <f t="shared" si="69"/>
        <v>0</v>
      </c>
      <c r="S572" s="275">
        <f t="shared" si="70"/>
        <v>0</v>
      </c>
      <c r="T572" s="575"/>
      <c r="U572" s="487"/>
      <c r="V572" s="576"/>
      <c r="W572" s="573"/>
      <c r="X572" s="574">
        <f t="shared" si="74"/>
        <v>0</v>
      </c>
      <c r="Y572" s="487"/>
      <c r="Z572" s="487"/>
      <c r="AA572" s="276">
        <f t="shared" si="75"/>
        <v>0</v>
      </c>
      <c r="AB572" s="573"/>
      <c r="AC572" s="487"/>
      <c r="AD572" s="573"/>
      <c r="AE572" s="487"/>
      <c r="AF572" s="577">
        <f t="shared" si="71"/>
        <v>0</v>
      </c>
      <c r="AG572" s="275">
        <f t="shared" si="72"/>
        <v>0</v>
      </c>
    </row>
    <row r="573" spans="1:33" s="578" customFormat="1" ht="12" customHeight="1">
      <c r="A573" s="714" t="s">
        <v>1276</v>
      </c>
      <c r="B573" s="714" t="s">
        <v>1511</v>
      </c>
      <c r="C573" s="828" t="s">
        <v>1883</v>
      </c>
      <c r="D573" s="717"/>
      <c r="E573" s="718"/>
      <c r="F573" s="573"/>
      <c r="G573" s="487"/>
      <c r="H573" s="573"/>
      <c r="I573" s="487"/>
      <c r="J573" s="573"/>
      <c r="K573" s="487"/>
      <c r="L573" s="573"/>
      <c r="M573" s="573"/>
      <c r="N573" s="456">
        <f t="shared" si="73"/>
        <v>0</v>
      </c>
      <c r="O573" s="487"/>
      <c r="P573" s="487"/>
      <c r="Q573" s="274">
        <f t="shared" si="68"/>
        <v>0</v>
      </c>
      <c r="R573" s="574">
        <f t="shared" si="69"/>
        <v>0</v>
      </c>
      <c r="S573" s="275">
        <f t="shared" si="70"/>
        <v>0</v>
      </c>
      <c r="T573" s="575"/>
      <c r="U573" s="487"/>
      <c r="V573" s="576"/>
      <c r="W573" s="573"/>
      <c r="X573" s="574">
        <f t="shared" si="74"/>
        <v>0</v>
      </c>
      <c r="Y573" s="487"/>
      <c r="Z573" s="487"/>
      <c r="AA573" s="276">
        <f t="shared" si="75"/>
        <v>0</v>
      </c>
      <c r="AB573" s="573"/>
      <c r="AC573" s="487"/>
      <c r="AD573" s="573"/>
      <c r="AE573" s="487"/>
      <c r="AF573" s="577">
        <f t="shared" si="71"/>
        <v>0</v>
      </c>
      <c r="AG573" s="275">
        <f t="shared" si="72"/>
        <v>0</v>
      </c>
    </row>
    <row r="574" spans="1:33" s="578" customFormat="1" ht="12" customHeight="1">
      <c r="A574" s="714" t="s">
        <v>1276</v>
      </c>
      <c r="B574" s="714" t="s">
        <v>1412</v>
      </c>
      <c r="C574" s="828" t="s">
        <v>1761</v>
      </c>
      <c r="D574" s="717"/>
      <c r="E574" s="718"/>
      <c r="F574" s="573"/>
      <c r="G574" s="487"/>
      <c r="H574" s="573"/>
      <c r="I574" s="487"/>
      <c r="J574" s="573"/>
      <c r="K574" s="487"/>
      <c r="L574" s="573"/>
      <c r="M574" s="573"/>
      <c r="N574" s="456">
        <f t="shared" si="73"/>
        <v>0</v>
      </c>
      <c r="O574" s="487"/>
      <c r="P574" s="487"/>
      <c r="Q574" s="274">
        <f t="shared" si="68"/>
        <v>0</v>
      </c>
      <c r="R574" s="574">
        <f t="shared" si="69"/>
        <v>0</v>
      </c>
      <c r="S574" s="275">
        <f t="shared" si="70"/>
        <v>0</v>
      </c>
      <c r="T574" s="575">
        <v>124375</v>
      </c>
      <c r="U574" s="487">
        <v>126875</v>
      </c>
      <c r="V574" s="576"/>
      <c r="W574" s="573"/>
      <c r="X574" s="574">
        <f t="shared" si="74"/>
        <v>0</v>
      </c>
      <c r="Y574" s="487"/>
      <c r="Z574" s="487"/>
      <c r="AA574" s="276">
        <f t="shared" si="75"/>
        <v>0</v>
      </c>
      <c r="AB574" s="573"/>
      <c r="AC574" s="487"/>
      <c r="AD574" s="573"/>
      <c r="AE574" s="487"/>
      <c r="AF574" s="577">
        <f t="shared" si="71"/>
        <v>124375</v>
      </c>
      <c r="AG574" s="275">
        <f t="shared" si="72"/>
        <v>126875</v>
      </c>
    </row>
    <row r="575" spans="1:33" s="578" customFormat="1" ht="12" customHeight="1">
      <c r="A575" s="714" t="s">
        <v>1276</v>
      </c>
      <c r="B575" s="714" t="s">
        <v>1413</v>
      </c>
      <c r="C575" s="828" t="s">
        <v>1586</v>
      </c>
      <c r="D575" s="717"/>
      <c r="E575" s="718"/>
      <c r="F575" s="573"/>
      <c r="G575" s="487"/>
      <c r="H575" s="573"/>
      <c r="I575" s="487"/>
      <c r="J575" s="573"/>
      <c r="K575" s="487"/>
      <c r="L575" s="573"/>
      <c r="M575" s="573"/>
      <c r="N575" s="456">
        <f t="shared" si="73"/>
        <v>0</v>
      </c>
      <c r="O575" s="487"/>
      <c r="P575" s="487"/>
      <c r="Q575" s="274">
        <f t="shared" si="68"/>
        <v>0</v>
      </c>
      <c r="R575" s="574">
        <f t="shared" si="69"/>
        <v>0</v>
      </c>
      <c r="S575" s="275">
        <f t="shared" si="70"/>
        <v>0</v>
      </c>
      <c r="T575" s="575"/>
      <c r="U575" s="487"/>
      <c r="V575" s="576"/>
      <c r="W575" s="573"/>
      <c r="X575" s="574">
        <f t="shared" si="74"/>
        <v>0</v>
      </c>
      <c r="Y575" s="487"/>
      <c r="Z575" s="487"/>
      <c r="AA575" s="276">
        <f t="shared" si="75"/>
        <v>0</v>
      </c>
      <c r="AB575" s="573"/>
      <c r="AC575" s="487"/>
      <c r="AD575" s="573"/>
      <c r="AE575" s="487"/>
      <c r="AF575" s="577">
        <f t="shared" si="71"/>
        <v>0</v>
      </c>
      <c r="AG575" s="275">
        <f t="shared" si="72"/>
        <v>0</v>
      </c>
    </row>
    <row r="576" spans="1:33" s="578" customFormat="1" ht="12" customHeight="1">
      <c r="A576" s="714" t="s">
        <v>1276</v>
      </c>
      <c r="B576" s="714" t="s">
        <v>1582</v>
      </c>
      <c r="C576" s="828" t="s">
        <v>1883</v>
      </c>
      <c r="D576" s="717"/>
      <c r="E576" s="718"/>
      <c r="F576" s="573"/>
      <c r="G576" s="487"/>
      <c r="H576" s="573"/>
      <c r="I576" s="487"/>
      <c r="J576" s="573"/>
      <c r="K576" s="487"/>
      <c r="L576" s="573"/>
      <c r="M576" s="573"/>
      <c r="N576" s="456">
        <f t="shared" si="73"/>
        <v>0</v>
      </c>
      <c r="O576" s="487"/>
      <c r="P576" s="487"/>
      <c r="Q576" s="274">
        <f t="shared" si="68"/>
        <v>0</v>
      </c>
      <c r="R576" s="574">
        <f t="shared" si="69"/>
        <v>0</v>
      </c>
      <c r="S576" s="275">
        <f t="shared" si="70"/>
        <v>0</v>
      </c>
      <c r="T576" s="575"/>
      <c r="U576" s="487"/>
      <c r="V576" s="576"/>
      <c r="W576" s="573"/>
      <c r="X576" s="574">
        <f t="shared" si="74"/>
        <v>0</v>
      </c>
      <c r="Y576" s="487"/>
      <c r="Z576" s="487"/>
      <c r="AA576" s="276">
        <f t="shared" si="75"/>
        <v>0</v>
      </c>
      <c r="AB576" s="573"/>
      <c r="AC576" s="487"/>
      <c r="AD576" s="573"/>
      <c r="AE576" s="487"/>
      <c r="AF576" s="577">
        <f t="shared" si="71"/>
        <v>0</v>
      </c>
      <c r="AG576" s="275">
        <f t="shared" si="72"/>
        <v>0</v>
      </c>
    </row>
    <row r="577" spans="1:33" s="578" customFormat="1" ht="12" customHeight="1">
      <c r="A577" s="714" t="s">
        <v>1276</v>
      </c>
      <c r="B577" s="714" t="s">
        <v>1583</v>
      </c>
      <c r="C577" s="828" t="s">
        <v>1761</v>
      </c>
      <c r="D577" s="717"/>
      <c r="E577" s="718"/>
      <c r="F577" s="573"/>
      <c r="G577" s="487"/>
      <c r="H577" s="573"/>
      <c r="I577" s="487"/>
      <c r="J577" s="573"/>
      <c r="K577" s="487"/>
      <c r="L577" s="573"/>
      <c r="M577" s="573"/>
      <c r="N577" s="456">
        <f t="shared" si="73"/>
        <v>0</v>
      </c>
      <c r="O577" s="487"/>
      <c r="P577" s="487"/>
      <c r="Q577" s="274">
        <f t="shared" si="68"/>
        <v>0</v>
      </c>
      <c r="R577" s="574">
        <f t="shared" si="69"/>
        <v>0</v>
      </c>
      <c r="S577" s="275">
        <f t="shared" si="70"/>
        <v>0</v>
      </c>
      <c r="T577" s="575">
        <v>120625</v>
      </c>
      <c r="U577" s="487">
        <v>83122</v>
      </c>
      <c r="V577" s="576"/>
      <c r="W577" s="573"/>
      <c r="X577" s="574">
        <f t="shared" si="74"/>
        <v>0</v>
      </c>
      <c r="Y577" s="487"/>
      <c r="Z577" s="487"/>
      <c r="AA577" s="276">
        <f t="shared" si="75"/>
        <v>0</v>
      </c>
      <c r="AB577" s="573"/>
      <c r="AC577" s="487"/>
      <c r="AD577" s="573"/>
      <c r="AE577" s="487"/>
      <c r="AF577" s="577">
        <f t="shared" si="71"/>
        <v>120625</v>
      </c>
      <c r="AG577" s="275">
        <f t="shared" si="72"/>
        <v>83122</v>
      </c>
    </row>
    <row r="578" spans="1:33" s="578" customFormat="1" ht="12" customHeight="1">
      <c r="A578" s="714" t="s">
        <v>1276</v>
      </c>
      <c r="B578" s="714" t="s">
        <v>1805</v>
      </c>
      <c r="C578" s="831" t="s">
        <v>1959</v>
      </c>
      <c r="D578" s="717"/>
      <c r="E578" s="718"/>
      <c r="F578" s="573"/>
      <c r="G578" s="487"/>
      <c r="H578" s="573"/>
      <c r="I578" s="487"/>
      <c r="J578" s="573"/>
      <c r="K578" s="487"/>
      <c r="L578" s="573"/>
      <c r="M578" s="573"/>
      <c r="N578" s="456">
        <f t="shared" si="73"/>
        <v>0</v>
      </c>
      <c r="O578" s="487"/>
      <c r="P578" s="487"/>
      <c r="Q578" s="274">
        <f t="shared" si="68"/>
        <v>0</v>
      </c>
      <c r="R578" s="574">
        <f t="shared" si="69"/>
        <v>0</v>
      </c>
      <c r="S578" s="275">
        <f t="shared" si="70"/>
        <v>0</v>
      </c>
      <c r="T578" s="575"/>
      <c r="U578" s="487"/>
      <c r="V578" s="576"/>
      <c r="W578" s="573"/>
      <c r="X578" s="574">
        <f t="shared" si="74"/>
        <v>0</v>
      </c>
      <c r="Y578" s="487"/>
      <c r="Z578" s="487"/>
      <c r="AA578" s="276">
        <f t="shared" si="75"/>
        <v>0</v>
      </c>
      <c r="AB578" s="573"/>
      <c r="AC578" s="487"/>
      <c r="AD578" s="573"/>
      <c r="AE578" s="487"/>
      <c r="AF578" s="577">
        <f t="shared" si="71"/>
        <v>0</v>
      </c>
      <c r="AG578" s="275">
        <f t="shared" si="72"/>
        <v>0</v>
      </c>
    </row>
    <row r="579" spans="1:33" s="578" customFormat="1" ht="12" customHeight="1">
      <c r="A579" s="714" t="s">
        <v>1276</v>
      </c>
      <c r="B579" s="714" t="s">
        <v>1510</v>
      </c>
      <c r="C579" s="828" t="s">
        <v>1762</v>
      </c>
      <c r="D579" s="717"/>
      <c r="E579" s="718"/>
      <c r="F579" s="573"/>
      <c r="G579" s="487"/>
      <c r="H579" s="573"/>
      <c r="I579" s="487"/>
      <c r="J579" s="573"/>
      <c r="K579" s="487"/>
      <c r="L579" s="573"/>
      <c r="M579" s="573"/>
      <c r="N579" s="456">
        <f t="shared" si="73"/>
        <v>0</v>
      </c>
      <c r="O579" s="487"/>
      <c r="P579" s="487"/>
      <c r="Q579" s="274">
        <f t="shared" si="68"/>
        <v>0</v>
      </c>
      <c r="R579" s="574">
        <f t="shared" si="69"/>
        <v>0</v>
      </c>
      <c r="S579" s="275">
        <f t="shared" si="70"/>
        <v>0</v>
      </c>
      <c r="T579" s="575"/>
      <c r="U579" s="487"/>
      <c r="V579" s="576"/>
      <c r="W579" s="573"/>
      <c r="X579" s="574">
        <f t="shared" si="74"/>
        <v>0</v>
      </c>
      <c r="Y579" s="487"/>
      <c r="Z579" s="487"/>
      <c r="AA579" s="276">
        <f t="shared" si="75"/>
        <v>0</v>
      </c>
      <c r="AB579" s="573"/>
      <c r="AC579" s="487"/>
      <c r="AD579" s="573"/>
      <c r="AE579" s="487"/>
      <c r="AF579" s="577">
        <f t="shared" si="71"/>
        <v>0</v>
      </c>
      <c r="AG579" s="275">
        <f t="shared" si="72"/>
        <v>0</v>
      </c>
    </row>
    <row r="580" spans="1:33" s="578" customFormat="1" ht="12" customHeight="1">
      <c r="A580" s="714" t="s">
        <v>1276</v>
      </c>
      <c r="B580" s="714" t="s">
        <v>1511</v>
      </c>
      <c r="C580" s="828" t="s">
        <v>1883</v>
      </c>
      <c r="D580" s="717"/>
      <c r="E580" s="718"/>
      <c r="F580" s="573"/>
      <c r="G580" s="487"/>
      <c r="H580" s="573"/>
      <c r="I580" s="487"/>
      <c r="J580" s="573"/>
      <c r="K580" s="487"/>
      <c r="L580" s="573"/>
      <c r="M580" s="573"/>
      <c r="N580" s="456">
        <f t="shared" si="73"/>
        <v>0</v>
      </c>
      <c r="O580" s="487"/>
      <c r="P580" s="487"/>
      <c r="Q580" s="274">
        <f t="shared" si="68"/>
        <v>0</v>
      </c>
      <c r="R580" s="574">
        <f t="shared" si="69"/>
        <v>0</v>
      </c>
      <c r="S580" s="275">
        <f t="shared" si="70"/>
        <v>0</v>
      </c>
      <c r="T580" s="575"/>
      <c r="U580" s="487"/>
      <c r="V580" s="576"/>
      <c r="W580" s="573"/>
      <c r="X580" s="574">
        <f t="shared" si="74"/>
        <v>0</v>
      </c>
      <c r="Y580" s="487"/>
      <c r="Z580" s="487"/>
      <c r="AA580" s="276">
        <f t="shared" si="75"/>
        <v>0</v>
      </c>
      <c r="AB580" s="573"/>
      <c r="AC580" s="487"/>
      <c r="AD580" s="573"/>
      <c r="AE580" s="487"/>
      <c r="AF580" s="577">
        <f t="shared" si="71"/>
        <v>0</v>
      </c>
      <c r="AG580" s="275">
        <f t="shared" si="72"/>
        <v>0</v>
      </c>
    </row>
    <row r="581" spans="1:33" s="578" customFormat="1" ht="12" customHeight="1">
      <c r="A581" s="714" t="s">
        <v>1276</v>
      </c>
      <c r="B581" s="714" t="s">
        <v>1412</v>
      </c>
      <c r="C581" s="828" t="s">
        <v>1761</v>
      </c>
      <c r="D581" s="717"/>
      <c r="E581" s="718"/>
      <c r="F581" s="573"/>
      <c r="G581" s="487"/>
      <c r="H581" s="573"/>
      <c r="I581" s="487"/>
      <c r="J581" s="573"/>
      <c r="K581" s="487"/>
      <c r="L581" s="573"/>
      <c r="M581" s="573"/>
      <c r="N581" s="456">
        <f t="shared" si="73"/>
        <v>0</v>
      </c>
      <c r="O581" s="487"/>
      <c r="P581" s="487"/>
      <c r="Q581" s="274">
        <f t="shared" si="68"/>
        <v>0</v>
      </c>
      <c r="R581" s="574">
        <f t="shared" si="69"/>
        <v>0</v>
      </c>
      <c r="S581" s="275">
        <f t="shared" si="70"/>
        <v>0</v>
      </c>
      <c r="T581" s="575"/>
      <c r="U581" s="487">
        <v>11473</v>
      </c>
      <c r="V581" s="576"/>
      <c r="W581" s="573"/>
      <c r="X581" s="574">
        <f t="shared" si="74"/>
        <v>0</v>
      </c>
      <c r="Y581" s="487"/>
      <c r="Z581" s="487"/>
      <c r="AA581" s="276">
        <f t="shared" si="75"/>
        <v>0</v>
      </c>
      <c r="AB581" s="573"/>
      <c r="AC581" s="487"/>
      <c r="AD581" s="573"/>
      <c r="AE581" s="487"/>
      <c r="AF581" s="577">
        <f t="shared" si="71"/>
        <v>0</v>
      </c>
      <c r="AG581" s="275">
        <f t="shared" si="72"/>
        <v>11473</v>
      </c>
    </row>
    <row r="582" spans="1:33" s="578" customFormat="1" ht="12" customHeight="1">
      <c r="A582" s="714" t="s">
        <v>1276</v>
      </c>
      <c r="B582" s="714" t="s">
        <v>1413</v>
      </c>
      <c r="C582" s="828" t="s">
        <v>1586</v>
      </c>
      <c r="D582" s="717"/>
      <c r="E582" s="718"/>
      <c r="F582" s="573"/>
      <c r="G582" s="487"/>
      <c r="H582" s="573"/>
      <c r="I582" s="487"/>
      <c r="J582" s="573"/>
      <c r="K582" s="487"/>
      <c r="L582" s="573"/>
      <c r="M582" s="573"/>
      <c r="N582" s="456">
        <f t="shared" si="73"/>
        <v>0</v>
      </c>
      <c r="O582" s="487"/>
      <c r="P582" s="487"/>
      <c r="Q582" s="274">
        <f t="shared" si="68"/>
        <v>0</v>
      </c>
      <c r="R582" s="574">
        <f t="shared" si="69"/>
        <v>0</v>
      </c>
      <c r="S582" s="275">
        <f t="shared" si="70"/>
        <v>0</v>
      </c>
      <c r="T582" s="575"/>
      <c r="U582" s="487"/>
      <c r="V582" s="576"/>
      <c r="W582" s="573"/>
      <c r="X582" s="574">
        <f t="shared" si="74"/>
        <v>0</v>
      </c>
      <c r="Y582" s="487"/>
      <c r="Z582" s="487"/>
      <c r="AA582" s="276">
        <f t="shared" si="75"/>
        <v>0</v>
      </c>
      <c r="AB582" s="573"/>
      <c r="AC582" s="487"/>
      <c r="AD582" s="573"/>
      <c r="AE582" s="487"/>
      <c r="AF582" s="577">
        <f t="shared" si="71"/>
        <v>0</v>
      </c>
      <c r="AG582" s="275">
        <f t="shared" si="72"/>
        <v>0</v>
      </c>
    </row>
    <row r="583" spans="1:33" s="578" customFormat="1" ht="12" customHeight="1">
      <c r="A583" s="714" t="s">
        <v>1276</v>
      </c>
      <c r="B583" s="714" t="s">
        <v>1582</v>
      </c>
      <c r="C583" s="828" t="s">
        <v>1883</v>
      </c>
      <c r="D583" s="717"/>
      <c r="E583" s="718"/>
      <c r="F583" s="573"/>
      <c r="G583" s="487"/>
      <c r="H583" s="573"/>
      <c r="I583" s="487"/>
      <c r="J583" s="573"/>
      <c r="K583" s="487"/>
      <c r="L583" s="573"/>
      <c r="M583" s="573"/>
      <c r="N583" s="456">
        <f t="shared" si="73"/>
        <v>0</v>
      </c>
      <c r="O583" s="487"/>
      <c r="P583" s="487"/>
      <c r="Q583" s="274">
        <f t="shared" si="68"/>
        <v>0</v>
      </c>
      <c r="R583" s="574">
        <f t="shared" si="69"/>
        <v>0</v>
      </c>
      <c r="S583" s="275">
        <f t="shared" si="70"/>
        <v>0</v>
      </c>
      <c r="T583" s="575"/>
      <c r="U583" s="487"/>
      <c r="V583" s="576"/>
      <c r="W583" s="573"/>
      <c r="X583" s="574">
        <f t="shared" si="74"/>
        <v>0</v>
      </c>
      <c r="Y583" s="487"/>
      <c r="Z583" s="487"/>
      <c r="AA583" s="276">
        <f t="shared" si="75"/>
        <v>0</v>
      </c>
      <c r="AB583" s="573"/>
      <c r="AC583" s="487"/>
      <c r="AD583" s="573"/>
      <c r="AE583" s="487"/>
      <c r="AF583" s="577">
        <f t="shared" si="71"/>
        <v>0</v>
      </c>
      <c r="AG583" s="275">
        <f t="shared" si="72"/>
        <v>0</v>
      </c>
    </row>
    <row r="584" spans="1:33" s="578" customFormat="1" ht="12" customHeight="1">
      <c r="A584" s="714" t="s">
        <v>1276</v>
      </c>
      <c r="B584" s="714" t="s">
        <v>1583</v>
      </c>
      <c r="C584" s="828" t="s">
        <v>1761</v>
      </c>
      <c r="D584" s="717"/>
      <c r="E584" s="718"/>
      <c r="F584" s="573"/>
      <c r="G584" s="487"/>
      <c r="H584" s="573"/>
      <c r="I584" s="487"/>
      <c r="J584" s="573"/>
      <c r="K584" s="487"/>
      <c r="L584" s="573"/>
      <c r="M584" s="573"/>
      <c r="N584" s="456">
        <f t="shared" si="73"/>
        <v>0</v>
      </c>
      <c r="O584" s="487"/>
      <c r="P584" s="487"/>
      <c r="Q584" s="274">
        <f t="shared" si="68"/>
        <v>0</v>
      </c>
      <c r="R584" s="574">
        <f t="shared" si="69"/>
        <v>0</v>
      </c>
      <c r="S584" s="275">
        <f t="shared" si="70"/>
        <v>0</v>
      </c>
      <c r="T584" s="575">
        <v>8539</v>
      </c>
      <c r="U584" s="487"/>
      <c r="V584" s="576"/>
      <c r="W584" s="573"/>
      <c r="X584" s="574">
        <f t="shared" si="74"/>
        <v>0</v>
      </c>
      <c r="Y584" s="487"/>
      <c r="Z584" s="487"/>
      <c r="AA584" s="276">
        <f t="shared" si="75"/>
        <v>0</v>
      </c>
      <c r="AB584" s="573"/>
      <c r="AC584" s="487"/>
      <c r="AD584" s="573"/>
      <c r="AE584" s="487"/>
      <c r="AF584" s="577">
        <f t="shared" si="71"/>
        <v>8539</v>
      </c>
      <c r="AG584" s="275">
        <f t="shared" si="72"/>
        <v>0</v>
      </c>
    </row>
    <row r="585" spans="1:33" s="578" customFormat="1" ht="12" customHeight="1">
      <c r="A585" s="714" t="s">
        <v>1276</v>
      </c>
      <c r="B585" s="714" t="s">
        <v>1805</v>
      </c>
      <c r="C585" s="831" t="s">
        <v>1960</v>
      </c>
      <c r="D585" s="717"/>
      <c r="E585" s="718"/>
      <c r="F585" s="573"/>
      <c r="G585" s="487"/>
      <c r="H585" s="573"/>
      <c r="I585" s="487"/>
      <c r="J585" s="573"/>
      <c r="K585" s="487"/>
      <c r="L585" s="573"/>
      <c r="M585" s="573"/>
      <c r="N585" s="456">
        <f t="shared" si="73"/>
        <v>0</v>
      </c>
      <c r="O585" s="487"/>
      <c r="P585" s="487"/>
      <c r="Q585" s="274">
        <f t="shared" si="68"/>
        <v>0</v>
      </c>
      <c r="R585" s="574">
        <f t="shared" si="69"/>
        <v>0</v>
      </c>
      <c r="S585" s="275">
        <f t="shared" si="70"/>
        <v>0</v>
      </c>
      <c r="T585" s="575"/>
      <c r="U585" s="487"/>
      <c r="V585" s="576"/>
      <c r="W585" s="573"/>
      <c r="X585" s="574">
        <f t="shared" si="74"/>
        <v>0</v>
      </c>
      <c r="Y585" s="487"/>
      <c r="Z585" s="487"/>
      <c r="AA585" s="276">
        <f t="shared" si="75"/>
        <v>0</v>
      </c>
      <c r="AB585" s="573"/>
      <c r="AC585" s="487"/>
      <c r="AD585" s="573"/>
      <c r="AE585" s="487"/>
      <c r="AF585" s="577">
        <f t="shared" si="71"/>
        <v>0</v>
      </c>
      <c r="AG585" s="275">
        <f t="shared" si="72"/>
        <v>0</v>
      </c>
    </row>
    <row r="586" spans="1:33" s="578" customFormat="1" ht="12" customHeight="1">
      <c r="A586" s="714" t="s">
        <v>1276</v>
      </c>
      <c r="B586" s="714" t="s">
        <v>1510</v>
      </c>
      <c r="C586" s="828" t="s">
        <v>1762</v>
      </c>
      <c r="D586" s="717"/>
      <c r="E586" s="718"/>
      <c r="F586" s="573"/>
      <c r="G586" s="487"/>
      <c r="H586" s="573"/>
      <c r="I586" s="487"/>
      <c r="J586" s="573"/>
      <c r="K586" s="487"/>
      <c r="L586" s="573"/>
      <c r="M586" s="573"/>
      <c r="N586" s="456">
        <f t="shared" si="73"/>
        <v>0</v>
      </c>
      <c r="O586" s="487"/>
      <c r="P586" s="487"/>
      <c r="Q586" s="274">
        <f t="shared" ref="Q586:Q649" si="76">SUM(O586:P586)</f>
        <v>0</v>
      </c>
      <c r="R586" s="574">
        <f t="shared" ref="R586:R649" si="77">SUM(F586,H586,J586,L586)</f>
        <v>0</v>
      </c>
      <c r="S586" s="275">
        <f t="shared" ref="S586:S649" si="78">SUM(G586,I586,K586,O586)</f>
        <v>0</v>
      </c>
      <c r="T586" s="575"/>
      <c r="U586" s="487"/>
      <c r="V586" s="576"/>
      <c r="W586" s="573"/>
      <c r="X586" s="574">
        <f t="shared" si="74"/>
        <v>0</v>
      </c>
      <c r="Y586" s="487"/>
      <c r="Z586" s="487"/>
      <c r="AA586" s="276">
        <f t="shared" si="75"/>
        <v>0</v>
      </c>
      <c r="AB586" s="573"/>
      <c r="AC586" s="487"/>
      <c r="AD586" s="573"/>
      <c r="AE586" s="487"/>
      <c r="AF586" s="577">
        <f t="shared" ref="AF586:AF649" si="79">SUM(R586,T586,V586,AB586,AD586)</f>
        <v>0</v>
      </c>
      <c r="AG586" s="275">
        <f t="shared" ref="AG586:AG649" si="80">SUM(S586,U586,Y586,AC586,AE586)</f>
        <v>0</v>
      </c>
    </row>
    <row r="587" spans="1:33" s="578" customFormat="1" ht="12" customHeight="1">
      <c r="A587" s="714" t="s">
        <v>1276</v>
      </c>
      <c r="B587" s="714" t="s">
        <v>1511</v>
      </c>
      <c r="C587" s="828" t="s">
        <v>1883</v>
      </c>
      <c r="D587" s="717"/>
      <c r="E587" s="718"/>
      <c r="F587" s="573"/>
      <c r="G587" s="487"/>
      <c r="H587" s="573"/>
      <c r="I587" s="487"/>
      <c r="J587" s="573"/>
      <c r="K587" s="487"/>
      <c r="L587" s="573"/>
      <c r="M587" s="573"/>
      <c r="N587" s="456">
        <f t="shared" si="73"/>
        <v>0</v>
      </c>
      <c r="O587" s="487"/>
      <c r="P587" s="487"/>
      <c r="Q587" s="274">
        <f t="shared" si="76"/>
        <v>0</v>
      </c>
      <c r="R587" s="574">
        <f t="shared" si="77"/>
        <v>0</v>
      </c>
      <c r="S587" s="275">
        <f t="shared" si="78"/>
        <v>0</v>
      </c>
      <c r="T587" s="575"/>
      <c r="U587" s="487"/>
      <c r="V587" s="576"/>
      <c r="W587" s="573"/>
      <c r="X587" s="574">
        <f t="shared" si="74"/>
        <v>0</v>
      </c>
      <c r="Y587" s="487"/>
      <c r="Z587" s="487"/>
      <c r="AA587" s="276">
        <f t="shared" si="75"/>
        <v>0</v>
      </c>
      <c r="AB587" s="573"/>
      <c r="AC587" s="487"/>
      <c r="AD587" s="573"/>
      <c r="AE587" s="487"/>
      <c r="AF587" s="577">
        <f t="shared" si="79"/>
        <v>0</v>
      </c>
      <c r="AG587" s="275">
        <f t="shared" si="80"/>
        <v>0</v>
      </c>
    </row>
    <row r="588" spans="1:33" s="578" customFormat="1" ht="12" customHeight="1">
      <c r="A588" s="714" t="s">
        <v>1276</v>
      </c>
      <c r="B588" s="714" t="s">
        <v>1412</v>
      </c>
      <c r="C588" s="828" t="s">
        <v>1761</v>
      </c>
      <c r="D588" s="717"/>
      <c r="E588" s="718"/>
      <c r="F588" s="573"/>
      <c r="G588" s="487"/>
      <c r="H588" s="573"/>
      <c r="I588" s="487"/>
      <c r="J588" s="573"/>
      <c r="K588" s="487"/>
      <c r="L588" s="573"/>
      <c r="M588" s="573"/>
      <c r="N588" s="456">
        <f t="shared" si="73"/>
        <v>0</v>
      </c>
      <c r="O588" s="487"/>
      <c r="P588" s="487"/>
      <c r="Q588" s="274">
        <f t="shared" si="76"/>
        <v>0</v>
      </c>
      <c r="R588" s="574">
        <f t="shared" si="77"/>
        <v>0</v>
      </c>
      <c r="S588" s="275">
        <f t="shared" si="78"/>
        <v>0</v>
      </c>
      <c r="T588" s="575">
        <v>132525</v>
      </c>
      <c r="U588" s="487">
        <v>87500</v>
      </c>
      <c r="V588" s="576"/>
      <c r="W588" s="573"/>
      <c r="X588" s="574">
        <f t="shared" si="74"/>
        <v>0</v>
      </c>
      <c r="Y588" s="487"/>
      <c r="Z588" s="487"/>
      <c r="AA588" s="276">
        <f t="shared" si="75"/>
        <v>0</v>
      </c>
      <c r="AB588" s="573"/>
      <c r="AC588" s="487"/>
      <c r="AD588" s="573"/>
      <c r="AE588" s="487"/>
      <c r="AF588" s="577">
        <f t="shared" si="79"/>
        <v>132525</v>
      </c>
      <c r="AG588" s="275">
        <f t="shared" si="80"/>
        <v>87500</v>
      </c>
    </row>
    <row r="589" spans="1:33" s="578" customFormat="1" ht="12" customHeight="1">
      <c r="A589" s="714" t="s">
        <v>1276</v>
      </c>
      <c r="B589" s="714" t="s">
        <v>1413</v>
      </c>
      <c r="C589" s="828" t="s">
        <v>1586</v>
      </c>
      <c r="D589" s="717"/>
      <c r="E589" s="718"/>
      <c r="F589" s="573"/>
      <c r="G589" s="487"/>
      <c r="H589" s="573"/>
      <c r="I589" s="487"/>
      <c r="J589" s="573"/>
      <c r="K589" s="487"/>
      <c r="L589" s="573"/>
      <c r="M589" s="573"/>
      <c r="N589" s="456">
        <f t="shared" si="73"/>
        <v>0</v>
      </c>
      <c r="O589" s="487"/>
      <c r="P589" s="487"/>
      <c r="Q589" s="274">
        <f t="shared" si="76"/>
        <v>0</v>
      </c>
      <c r="R589" s="574">
        <f t="shared" si="77"/>
        <v>0</v>
      </c>
      <c r="S589" s="275">
        <f t="shared" si="78"/>
        <v>0</v>
      </c>
      <c r="T589" s="575"/>
      <c r="U589" s="487"/>
      <c r="V589" s="576"/>
      <c r="W589" s="573"/>
      <c r="X589" s="574">
        <f t="shared" si="74"/>
        <v>0</v>
      </c>
      <c r="Y589" s="487"/>
      <c r="Z589" s="487"/>
      <c r="AA589" s="276">
        <f t="shared" si="75"/>
        <v>0</v>
      </c>
      <c r="AB589" s="573"/>
      <c r="AC589" s="487"/>
      <c r="AD589" s="573"/>
      <c r="AE589" s="487"/>
      <c r="AF589" s="577">
        <f t="shared" si="79"/>
        <v>0</v>
      </c>
      <c r="AG589" s="275">
        <f t="shared" si="80"/>
        <v>0</v>
      </c>
    </row>
    <row r="590" spans="1:33" s="578" customFormat="1" ht="12" customHeight="1">
      <c r="A590" s="714" t="s">
        <v>1276</v>
      </c>
      <c r="B590" s="714" t="s">
        <v>1582</v>
      </c>
      <c r="C590" s="828" t="s">
        <v>1883</v>
      </c>
      <c r="D590" s="717"/>
      <c r="E590" s="718"/>
      <c r="F590" s="573"/>
      <c r="G590" s="487"/>
      <c r="H590" s="573"/>
      <c r="I590" s="487"/>
      <c r="J590" s="573"/>
      <c r="K590" s="487"/>
      <c r="L590" s="573"/>
      <c r="M590" s="573"/>
      <c r="N590" s="456">
        <f t="shared" si="73"/>
        <v>0</v>
      </c>
      <c r="O590" s="487"/>
      <c r="P590" s="487"/>
      <c r="Q590" s="274">
        <f t="shared" si="76"/>
        <v>0</v>
      </c>
      <c r="R590" s="574">
        <f t="shared" si="77"/>
        <v>0</v>
      </c>
      <c r="S590" s="275">
        <f t="shared" si="78"/>
        <v>0</v>
      </c>
      <c r="T590" s="575"/>
      <c r="U590" s="487"/>
      <c r="V590" s="576"/>
      <c r="W590" s="573"/>
      <c r="X590" s="574">
        <f t="shared" si="74"/>
        <v>0</v>
      </c>
      <c r="Y590" s="487"/>
      <c r="Z590" s="487"/>
      <c r="AA590" s="276">
        <f t="shared" si="75"/>
        <v>0</v>
      </c>
      <c r="AB590" s="573"/>
      <c r="AC590" s="487"/>
      <c r="AD590" s="573"/>
      <c r="AE590" s="487"/>
      <c r="AF590" s="577">
        <f t="shared" si="79"/>
        <v>0</v>
      </c>
      <c r="AG590" s="275">
        <f t="shared" si="80"/>
        <v>0</v>
      </c>
    </row>
    <row r="591" spans="1:33" s="578" customFormat="1" ht="12" customHeight="1">
      <c r="A591" s="714" t="s">
        <v>1276</v>
      </c>
      <c r="B591" s="714" t="s">
        <v>1583</v>
      </c>
      <c r="C591" s="828" t="s">
        <v>1761</v>
      </c>
      <c r="D591" s="717"/>
      <c r="E591" s="718"/>
      <c r="F591" s="573"/>
      <c r="G591" s="487"/>
      <c r="H591" s="573"/>
      <c r="I591" s="487"/>
      <c r="J591" s="573"/>
      <c r="K591" s="487"/>
      <c r="L591" s="573"/>
      <c r="M591" s="573"/>
      <c r="N591" s="456">
        <f t="shared" si="73"/>
        <v>0</v>
      </c>
      <c r="O591" s="487"/>
      <c r="P591" s="487"/>
      <c r="Q591" s="274">
        <f t="shared" si="76"/>
        <v>0</v>
      </c>
      <c r="R591" s="574">
        <f t="shared" si="77"/>
        <v>0</v>
      </c>
      <c r="S591" s="275">
        <f t="shared" si="78"/>
        <v>0</v>
      </c>
      <c r="T591" s="575">
        <v>41850</v>
      </c>
      <c r="U591" s="487">
        <v>44375</v>
      </c>
      <c r="V591" s="576"/>
      <c r="W591" s="573"/>
      <c r="X591" s="574">
        <f t="shared" si="74"/>
        <v>0</v>
      </c>
      <c r="Y591" s="487"/>
      <c r="Z591" s="487"/>
      <c r="AA591" s="276">
        <f t="shared" si="75"/>
        <v>0</v>
      </c>
      <c r="AB591" s="573"/>
      <c r="AC591" s="487"/>
      <c r="AD591" s="573"/>
      <c r="AE591" s="487"/>
      <c r="AF591" s="577">
        <f t="shared" si="79"/>
        <v>41850</v>
      </c>
      <c r="AG591" s="275">
        <f t="shared" si="80"/>
        <v>44375</v>
      </c>
    </row>
    <row r="592" spans="1:33" s="578" customFormat="1" ht="12" customHeight="1">
      <c r="A592" s="714" t="s">
        <v>1276</v>
      </c>
      <c r="B592" s="714" t="s">
        <v>1805</v>
      </c>
      <c r="C592" s="831" t="s">
        <v>1961</v>
      </c>
      <c r="D592" s="717"/>
      <c r="E592" s="718"/>
      <c r="F592" s="573"/>
      <c r="G592" s="487"/>
      <c r="H592" s="573"/>
      <c r="I592" s="487"/>
      <c r="J592" s="573"/>
      <c r="K592" s="487"/>
      <c r="L592" s="573"/>
      <c r="M592" s="573"/>
      <c r="N592" s="456">
        <f t="shared" si="73"/>
        <v>0</v>
      </c>
      <c r="O592" s="487"/>
      <c r="P592" s="487"/>
      <c r="Q592" s="274">
        <f t="shared" si="76"/>
        <v>0</v>
      </c>
      <c r="R592" s="574">
        <f t="shared" si="77"/>
        <v>0</v>
      </c>
      <c r="S592" s="275">
        <f t="shared" si="78"/>
        <v>0</v>
      </c>
      <c r="T592" s="575"/>
      <c r="U592" s="487"/>
      <c r="V592" s="576"/>
      <c r="W592" s="573"/>
      <c r="X592" s="574">
        <f t="shared" si="74"/>
        <v>0</v>
      </c>
      <c r="Y592" s="487"/>
      <c r="Z592" s="487"/>
      <c r="AA592" s="276">
        <f t="shared" si="75"/>
        <v>0</v>
      </c>
      <c r="AB592" s="573"/>
      <c r="AC592" s="487"/>
      <c r="AD592" s="573"/>
      <c r="AE592" s="487"/>
      <c r="AF592" s="577">
        <f t="shared" si="79"/>
        <v>0</v>
      </c>
      <c r="AG592" s="275">
        <f t="shared" si="80"/>
        <v>0</v>
      </c>
    </row>
    <row r="593" spans="1:33" s="578" customFormat="1" ht="12" customHeight="1">
      <c r="A593" s="714" t="s">
        <v>1276</v>
      </c>
      <c r="B593" s="714" t="s">
        <v>1510</v>
      </c>
      <c r="C593" s="828" t="s">
        <v>1762</v>
      </c>
      <c r="D593" s="717"/>
      <c r="E593" s="718"/>
      <c r="F593" s="573"/>
      <c r="G593" s="487"/>
      <c r="H593" s="573"/>
      <c r="I593" s="487"/>
      <c r="J593" s="573"/>
      <c r="K593" s="487"/>
      <c r="L593" s="573"/>
      <c r="M593" s="573"/>
      <c r="N593" s="456">
        <f t="shared" si="73"/>
        <v>0</v>
      </c>
      <c r="O593" s="487"/>
      <c r="P593" s="487"/>
      <c r="Q593" s="274">
        <f t="shared" si="76"/>
        <v>0</v>
      </c>
      <c r="R593" s="574">
        <f t="shared" si="77"/>
        <v>0</v>
      </c>
      <c r="S593" s="275">
        <f t="shared" si="78"/>
        <v>0</v>
      </c>
      <c r="T593" s="575"/>
      <c r="U593" s="487"/>
      <c r="V593" s="576"/>
      <c r="W593" s="573"/>
      <c r="X593" s="574">
        <f t="shared" si="74"/>
        <v>0</v>
      </c>
      <c r="Y593" s="487"/>
      <c r="Z593" s="487"/>
      <c r="AA593" s="276">
        <f t="shared" si="75"/>
        <v>0</v>
      </c>
      <c r="AB593" s="573"/>
      <c r="AC593" s="487"/>
      <c r="AD593" s="573"/>
      <c r="AE593" s="487"/>
      <c r="AF593" s="577">
        <f t="shared" si="79"/>
        <v>0</v>
      </c>
      <c r="AG593" s="275">
        <f t="shared" si="80"/>
        <v>0</v>
      </c>
    </row>
    <row r="594" spans="1:33" s="578" customFormat="1" ht="12" customHeight="1">
      <c r="A594" s="714" t="s">
        <v>1276</v>
      </c>
      <c r="B594" s="714" t="s">
        <v>1511</v>
      </c>
      <c r="C594" s="828" t="s">
        <v>1883</v>
      </c>
      <c r="D594" s="717"/>
      <c r="E594" s="718"/>
      <c r="F594" s="573"/>
      <c r="G594" s="487"/>
      <c r="H594" s="573"/>
      <c r="I594" s="487"/>
      <c r="J594" s="573"/>
      <c r="K594" s="487"/>
      <c r="L594" s="573"/>
      <c r="M594" s="573"/>
      <c r="N594" s="456">
        <f t="shared" si="73"/>
        <v>0</v>
      </c>
      <c r="O594" s="487"/>
      <c r="P594" s="487"/>
      <c r="Q594" s="274">
        <f t="shared" si="76"/>
        <v>0</v>
      </c>
      <c r="R594" s="574">
        <f t="shared" si="77"/>
        <v>0</v>
      </c>
      <c r="S594" s="275">
        <f t="shared" si="78"/>
        <v>0</v>
      </c>
      <c r="T594" s="575"/>
      <c r="U594" s="487"/>
      <c r="V594" s="576"/>
      <c r="W594" s="573"/>
      <c r="X594" s="574">
        <f t="shared" si="74"/>
        <v>0</v>
      </c>
      <c r="Y594" s="487"/>
      <c r="Z594" s="487"/>
      <c r="AA594" s="276">
        <f t="shared" si="75"/>
        <v>0</v>
      </c>
      <c r="AB594" s="573"/>
      <c r="AC594" s="487"/>
      <c r="AD594" s="573"/>
      <c r="AE594" s="487"/>
      <c r="AF594" s="577">
        <f t="shared" si="79"/>
        <v>0</v>
      </c>
      <c r="AG594" s="275">
        <f t="shared" si="80"/>
        <v>0</v>
      </c>
    </row>
    <row r="595" spans="1:33" s="578" customFormat="1" ht="12" customHeight="1">
      <c r="A595" s="714" t="s">
        <v>1276</v>
      </c>
      <c r="B595" s="714" t="s">
        <v>1412</v>
      </c>
      <c r="C595" s="828" t="s">
        <v>1761</v>
      </c>
      <c r="D595" s="717"/>
      <c r="E595" s="718"/>
      <c r="F595" s="573"/>
      <c r="G595" s="487"/>
      <c r="H595" s="573"/>
      <c r="I595" s="487"/>
      <c r="J595" s="573"/>
      <c r="K595" s="487"/>
      <c r="L595" s="573"/>
      <c r="M595" s="573"/>
      <c r="N595" s="456">
        <f t="shared" ref="N595:N658" si="81">SUM(L595:M595)</f>
        <v>0</v>
      </c>
      <c r="O595" s="487"/>
      <c r="P595" s="487"/>
      <c r="Q595" s="274">
        <f t="shared" si="76"/>
        <v>0</v>
      </c>
      <c r="R595" s="574">
        <f t="shared" si="77"/>
        <v>0</v>
      </c>
      <c r="S595" s="275">
        <f t="shared" si="78"/>
        <v>0</v>
      </c>
      <c r="T595" s="575">
        <v>23667</v>
      </c>
      <c r="U595" s="487">
        <v>28000</v>
      </c>
      <c r="V595" s="576"/>
      <c r="W595" s="573"/>
      <c r="X595" s="574">
        <f t="shared" ref="X595:X658" si="82">SUM(V595:W595)</f>
        <v>0</v>
      </c>
      <c r="Y595" s="487"/>
      <c r="Z595" s="487"/>
      <c r="AA595" s="276">
        <f t="shared" ref="AA595:AA658" si="83">SUM(Y595:Z595)</f>
        <v>0</v>
      </c>
      <c r="AB595" s="573"/>
      <c r="AC595" s="487"/>
      <c r="AD595" s="573"/>
      <c r="AE595" s="487"/>
      <c r="AF595" s="577">
        <f t="shared" si="79"/>
        <v>23667</v>
      </c>
      <c r="AG595" s="275">
        <f t="shared" si="80"/>
        <v>28000</v>
      </c>
    </row>
    <row r="596" spans="1:33" s="578" customFormat="1" ht="12" customHeight="1">
      <c r="A596" s="714" t="s">
        <v>1276</v>
      </c>
      <c r="B596" s="714" t="s">
        <v>1413</v>
      </c>
      <c r="C596" s="828" t="s">
        <v>1586</v>
      </c>
      <c r="D596" s="717"/>
      <c r="E596" s="718"/>
      <c r="F596" s="573"/>
      <c r="G596" s="487"/>
      <c r="H596" s="573"/>
      <c r="I596" s="487"/>
      <c r="J596" s="573"/>
      <c r="K596" s="487"/>
      <c r="L596" s="573"/>
      <c r="M596" s="573"/>
      <c r="N596" s="456">
        <f t="shared" si="81"/>
        <v>0</v>
      </c>
      <c r="O596" s="487"/>
      <c r="P596" s="487"/>
      <c r="Q596" s="274">
        <f t="shared" si="76"/>
        <v>0</v>
      </c>
      <c r="R596" s="574">
        <f t="shared" si="77"/>
        <v>0</v>
      </c>
      <c r="S596" s="275">
        <f t="shared" si="78"/>
        <v>0</v>
      </c>
      <c r="T596" s="575"/>
      <c r="U596" s="487"/>
      <c r="V596" s="576"/>
      <c r="W596" s="573"/>
      <c r="X596" s="574">
        <f t="shared" si="82"/>
        <v>0</v>
      </c>
      <c r="Y596" s="487"/>
      <c r="Z596" s="487"/>
      <c r="AA596" s="276">
        <f t="shared" si="83"/>
        <v>0</v>
      </c>
      <c r="AB596" s="573"/>
      <c r="AC596" s="487"/>
      <c r="AD596" s="573"/>
      <c r="AE596" s="487"/>
      <c r="AF596" s="577">
        <f t="shared" si="79"/>
        <v>0</v>
      </c>
      <c r="AG596" s="275">
        <f t="shared" si="80"/>
        <v>0</v>
      </c>
    </row>
    <row r="597" spans="1:33" s="578" customFormat="1" ht="12" customHeight="1">
      <c r="A597" s="714" t="s">
        <v>1276</v>
      </c>
      <c r="B597" s="714" t="s">
        <v>1582</v>
      </c>
      <c r="C597" s="828" t="s">
        <v>1883</v>
      </c>
      <c r="D597" s="717"/>
      <c r="E597" s="718"/>
      <c r="F597" s="573"/>
      <c r="G597" s="487"/>
      <c r="H597" s="573"/>
      <c r="I597" s="487"/>
      <c r="J597" s="573"/>
      <c r="K597" s="487"/>
      <c r="L597" s="573"/>
      <c r="M597" s="573"/>
      <c r="N597" s="456">
        <f t="shared" si="81"/>
        <v>0</v>
      </c>
      <c r="O597" s="487"/>
      <c r="P597" s="487"/>
      <c r="Q597" s="274">
        <f t="shared" si="76"/>
        <v>0</v>
      </c>
      <c r="R597" s="574">
        <f t="shared" si="77"/>
        <v>0</v>
      </c>
      <c r="S597" s="275">
        <f t="shared" si="78"/>
        <v>0</v>
      </c>
      <c r="T597" s="575"/>
      <c r="U597" s="487"/>
      <c r="V597" s="576"/>
      <c r="W597" s="573"/>
      <c r="X597" s="574">
        <f t="shared" si="82"/>
        <v>0</v>
      </c>
      <c r="Y597" s="487"/>
      <c r="Z597" s="487"/>
      <c r="AA597" s="276">
        <f t="shared" si="83"/>
        <v>0</v>
      </c>
      <c r="AB597" s="573"/>
      <c r="AC597" s="487"/>
      <c r="AD597" s="573"/>
      <c r="AE597" s="487"/>
      <c r="AF597" s="577">
        <f t="shared" si="79"/>
        <v>0</v>
      </c>
      <c r="AG597" s="275">
        <f t="shared" si="80"/>
        <v>0</v>
      </c>
    </row>
    <row r="598" spans="1:33" s="578" customFormat="1" ht="12" customHeight="1">
      <c r="A598" s="714" t="s">
        <v>1276</v>
      </c>
      <c r="B598" s="714" t="s">
        <v>1583</v>
      </c>
      <c r="C598" s="828" t="s">
        <v>1761</v>
      </c>
      <c r="D598" s="717"/>
      <c r="E598" s="718"/>
      <c r="F598" s="573"/>
      <c r="G598" s="487"/>
      <c r="H598" s="573"/>
      <c r="I598" s="487"/>
      <c r="J598" s="573"/>
      <c r="K598" s="487"/>
      <c r="L598" s="573"/>
      <c r="M598" s="573"/>
      <c r="N598" s="456">
        <f t="shared" si="81"/>
        <v>0</v>
      </c>
      <c r="O598" s="487"/>
      <c r="P598" s="487"/>
      <c r="Q598" s="274">
        <f t="shared" si="76"/>
        <v>0</v>
      </c>
      <c r="R598" s="574">
        <f t="shared" si="77"/>
        <v>0</v>
      </c>
      <c r="S598" s="275">
        <f t="shared" si="78"/>
        <v>0</v>
      </c>
      <c r="T598" s="575">
        <v>80201</v>
      </c>
      <c r="U598" s="487">
        <v>26412</v>
      </c>
      <c r="V598" s="576"/>
      <c r="W598" s="573"/>
      <c r="X598" s="574">
        <f t="shared" si="82"/>
        <v>0</v>
      </c>
      <c r="Y598" s="487"/>
      <c r="Z598" s="487"/>
      <c r="AA598" s="276">
        <f t="shared" si="83"/>
        <v>0</v>
      </c>
      <c r="AB598" s="573"/>
      <c r="AC598" s="487"/>
      <c r="AD598" s="573"/>
      <c r="AE598" s="487"/>
      <c r="AF598" s="577">
        <f t="shared" si="79"/>
        <v>80201</v>
      </c>
      <c r="AG598" s="275">
        <f t="shared" si="80"/>
        <v>26412</v>
      </c>
    </row>
    <row r="599" spans="1:33" s="578" customFormat="1" ht="12" customHeight="1">
      <c r="A599" s="714" t="s">
        <v>1276</v>
      </c>
      <c r="B599" s="714" t="s">
        <v>1805</v>
      </c>
      <c r="C599" s="831" t="s">
        <v>1962</v>
      </c>
      <c r="D599" s="717"/>
      <c r="E599" s="718"/>
      <c r="F599" s="573"/>
      <c r="G599" s="487"/>
      <c r="H599" s="573"/>
      <c r="I599" s="487"/>
      <c r="J599" s="573"/>
      <c r="K599" s="487"/>
      <c r="L599" s="573"/>
      <c r="M599" s="573"/>
      <c r="N599" s="456">
        <f t="shared" si="81"/>
        <v>0</v>
      </c>
      <c r="O599" s="487"/>
      <c r="P599" s="487"/>
      <c r="Q599" s="274">
        <f t="shared" si="76"/>
        <v>0</v>
      </c>
      <c r="R599" s="574">
        <f t="shared" si="77"/>
        <v>0</v>
      </c>
      <c r="S599" s="275">
        <f t="shared" si="78"/>
        <v>0</v>
      </c>
      <c r="T599" s="575"/>
      <c r="U599" s="487"/>
      <c r="V599" s="576"/>
      <c r="W599" s="573"/>
      <c r="X599" s="574">
        <f t="shared" si="82"/>
        <v>0</v>
      </c>
      <c r="Y599" s="487"/>
      <c r="Z599" s="487"/>
      <c r="AA599" s="276">
        <f t="shared" si="83"/>
        <v>0</v>
      </c>
      <c r="AB599" s="573"/>
      <c r="AC599" s="487"/>
      <c r="AD599" s="573"/>
      <c r="AE599" s="487"/>
      <c r="AF599" s="577">
        <f t="shared" si="79"/>
        <v>0</v>
      </c>
      <c r="AG599" s="275">
        <f t="shared" si="80"/>
        <v>0</v>
      </c>
    </row>
    <row r="600" spans="1:33" s="578" customFormat="1" ht="12" customHeight="1">
      <c r="A600" s="714" t="s">
        <v>1276</v>
      </c>
      <c r="B600" s="714" t="s">
        <v>1510</v>
      </c>
      <c r="C600" s="828" t="s">
        <v>1762</v>
      </c>
      <c r="D600" s="717"/>
      <c r="E600" s="718"/>
      <c r="F600" s="573"/>
      <c r="G600" s="487"/>
      <c r="H600" s="573"/>
      <c r="I600" s="487"/>
      <c r="J600" s="573"/>
      <c r="K600" s="487"/>
      <c r="L600" s="573"/>
      <c r="M600" s="573"/>
      <c r="N600" s="456">
        <f t="shared" si="81"/>
        <v>0</v>
      </c>
      <c r="O600" s="487"/>
      <c r="P600" s="487"/>
      <c r="Q600" s="274">
        <f t="shared" si="76"/>
        <v>0</v>
      </c>
      <c r="R600" s="574">
        <f t="shared" si="77"/>
        <v>0</v>
      </c>
      <c r="S600" s="275">
        <f t="shared" si="78"/>
        <v>0</v>
      </c>
      <c r="T600" s="575"/>
      <c r="U600" s="487"/>
      <c r="V600" s="576"/>
      <c r="W600" s="573"/>
      <c r="X600" s="574">
        <f t="shared" si="82"/>
        <v>0</v>
      </c>
      <c r="Y600" s="487"/>
      <c r="Z600" s="487"/>
      <c r="AA600" s="276">
        <f t="shared" si="83"/>
        <v>0</v>
      </c>
      <c r="AB600" s="573"/>
      <c r="AC600" s="487"/>
      <c r="AD600" s="573"/>
      <c r="AE600" s="487"/>
      <c r="AF600" s="577">
        <f t="shared" si="79"/>
        <v>0</v>
      </c>
      <c r="AG600" s="275">
        <f t="shared" si="80"/>
        <v>0</v>
      </c>
    </row>
    <row r="601" spans="1:33" s="578" customFormat="1" ht="12" customHeight="1">
      <c r="A601" s="714" t="s">
        <v>1276</v>
      </c>
      <c r="B601" s="714" t="s">
        <v>1511</v>
      </c>
      <c r="C601" s="828" t="s">
        <v>1883</v>
      </c>
      <c r="D601" s="717"/>
      <c r="E601" s="718"/>
      <c r="F601" s="573"/>
      <c r="G601" s="487"/>
      <c r="H601" s="573"/>
      <c r="I601" s="487"/>
      <c r="J601" s="573"/>
      <c r="K601" s="487"/>
      <c r="L601" s="573"/>
      <c r="M601" s="573"/>
      <c r="N601" s="456">
        <f t="shared" si="81"/>
        <v>0</v>
      </c>
      <c r="O601" s="487"/>
      <c r="P601" s="487"/>
      <c r="Q601" s="274">
        <f t="shared" si="76"/>
        <v>0</v>
      </c>
      <c r="R601" s="574">
        <f t="shared" si="77"/>
        <v>0</v>
      </c>
      <c r="S601" s="275">
        <f t="shared" si="78"/>
        <v>0</v>
      </c>
      <c r="T601" s="575"/>
      <c r="U601" s="487"/>
      <c r="V601" s="576"/>
      <c r="W601" s="573"/>
      <c r="X601" s="574">
        <f t="shared" si="82"/>
        <v>0</v>
      </c>
      <c r="Y601" s="487"/>
      <c r="Z601" s="487"/>
      <c r="AA601" s="276">
        <f t="shared" si="83"/>
        <v>0</v>
      </c>
      <c r="AB601" s="573"/>
      <c r="AC601" s="487"/>
      <c r="AD601" s="573"/>
      <c r="AE601" s="487"/>
      <c r="AF601" s="577">
        <f t="shared" si="79"/>
        <v>0</v>
      </c>
      <c r="AG601" s="275">
        <f t="shared" si="80"/>
        <v>0</v>
      </c>
    </row>
    <row r="602" spans="1:33" s="578" customFormat="1" ht="12" customHeight="1">
      <c r="A602" s="714" t="s">
        <v>1276</v>
      </c>
      <c r="B602" s="714" t="s">
        <v>1412</v>
      </c>
      <c r="C602" s="828" t="s">
        <v>1761</v>
      </c>
      <c r="D602" s="717"/>
      <c r="E602" s="718"/>
      <c r="F602" s="573"/>
      <c r="G602" s="487"/>
      <c r="H602" s="573"/>
      <c r="I602" s="487"/>
      <c r="J602" s="573"/>
      <c r="K602" s="487"/>
      <c r="L602" s="573"/>
      <c r="M602" s="573"/>
      <c r="N602" s="456">
        <f t="shared" si="81"/>
        <v>0</v>
      </c>
      <c r="O602" s="487"/>
      <c r="P602" s="487"/>
      <c r="Q602" s="274">
        <f t="shared" si="76"/>
        <v>0</v>
      </c>
      <c r="R602" s="574">
        <f t="shared" si="77"/>
        <v>0</v>
      </c>
      <c r="S602" s="275">
        <f t="shared" si="78"/>
        <v>0</v>
      </c>
      <c r="T602" s="575">
        <v>21600</v>
      </c>
      <c r="U602" s="487">
        <v>11250</v>
      </c>
      <c r="V602" s="576"/>
      <c r="W602" s="573"/>
      <c r="X602" s="574">
        <f t="shared" si="82"/>
        <v>0</v>
      </c>
      <c r="Y602" s="487"/>
      <c r="Z602" s="487"/>
      <c r="AA602" s="276">
        <f t="shared" si="83"/>
        <v>0</v>
      </c>
      <c r="AB602" s="573"/>
      <c r="AC602" s="487"/>
      <c r="AD602" s="573"/>
      <c r="AE602" s="487"/>
      <c r="AF602" s="577">
        <f t="shared" si="79"/>
        <v>21600</v>
      </c>
      <c r="AG602" s="275">
        <f t="shared" si="80"/>
        <v>11250</v>
      </c>
    </row>
    <row r="603" spans="1:33" s="578" customFormat="1" ht="12" customHeight="1">
      <c r="A603" s="714" t="s">
        <v>1276</v>
      </c>
      <c r="B603" s="714" t="s">
        <v>1413</v>
      </c>
      <c r="C603" s="828" t="s">
        <v>1586</v>
      </c>
      <c r="D603" s="717"/>
      <c r="E603" s="718"/>
      <c r="F603" s="573"/>
      <c r="G603" s="487"/>
      <c r="H603" s="573"/>
      <c r="I603" s="487"/>
      <c r="J603" s="573"/>
      <c r="K603" s="487"/>
      <c r="L603" s="573"/>
      <c r="M603" s="573"/>
      <c r="N603" s="456">
        <f t="shared" si="81"/>
        <v>0</v>
      </c>
      <c r="O603" s="487"/>
      <c r="P603" s="487"/>
      <c r="Q603" s="274">
        <f t="shared" si="76"/>
        <v>0</v>
      </c>
      <c r="R603" s="574">
        <f t="shared" si="77"/>
        <v>0</v>
      </c>
      <c r="S603" s="275">
        <f t="shared" si="78"/>
        <v>0</v>
      </c>
      <c r="T603" s="575"/>
      <c r="U603" s="487"/>
      <c r="V603" s="576"/>
      <c r="W603" s="573"/>
      <c r="X603" s="574">
        <f t="shared" si="82"/>
        <v>0</v>
      </c>
      <c r="Y603" s="487"/>
      <c r="Z603" s="487"/>
      <c r="AA603" s="276">
        <f t="shared" si="83"/>
        <v>0</v>
      </c>
      <c r="AB603" s="573"/>
      <c r="AC603" s="487"/>
      <c r="AD603" s="573"/>
      <c r="AE603" s="487"/>
      <c r="AF603" s="577">
        <f t="shared" si="79"/>
        <v>0</v>
      </c>
      <c r="AG603" s="275">
        <f t="shared" si="80"/>
        <v>0</v>
      </c>
    </row>
    <row r="604" spans="1:33" s="578" customFormat="1" ht="12" customHeight="1">
      <c r="A604" s="714" t="s">
        <v>1276</v>
      </c>
      <c r="B604" s="714" t="s">
        <v>1582</v>
      </c>
      <c r="C604" s="828" t="s">
        <v>1883</v>
      </c>
      <c r="D604" s="717"/>
      <c r="E604" s="718"/>
      <c r="F604" s="573"/>
      <c r="G604" s="487"/>
      <c r="H604" s="573"/>
      <c r="I604" s="487"/>
      <c r="J604" s="573"/>
      <c r="K604" s="487"/>
      <c r="L604" s="573"/>
      <c r="M604" s="573"/>
      <c r="N604" s="456">
        <f t="shared" si="81"/>
        <v>0</v>
      </c>
      <c r="O604" s="487"/>
      <c r="P604" s="487"/>
      <c r="Q604" s="274">
        <f t="shared" si="76"/>
        <v>0</v>
      </c>
      <c r="R604" s="574">
        <f t="shared" si="77"/>
        <v>0</v>
      </c>
      <c r="S604" s="275">
        <f t="shared" si="78"/>
        <v>0</v>
      </c>
      <c r="T604" s="575"/>
      <c r="U604" s="487"/>
      <c r="V604" s="576"/>
      <c r="W604" s="573"/>
      <c r="X604" s="574">
        <f t="shared" si="82"/>
        <v>0</v>
      </c>
      <c r="Y604" s="487"/>
      <c r="Z604" s="487"/>
      <c r="AA604" s="276">
        <f t="shared" si="83"/>
        <v>0</v>
      </c>
      <c r="AB604" s="573"/>
      <c r="AC604" s="487"/>
      <c r="AD604" s="573"/>
      <c r="AE604" s="487"/>
      <c r="AF604" s="577">
        <f t="shared" si="79"/>
        <v>0</v>
      </c>
      <c r="AG604" s="275">
        <f t="shared" si="80"/>
        <v>0</v>
      </c>
    </row>
    <row r="605" spans="1:33" s="578" customFormat="1" ht="12" customHeight="1">
      <c r="A605" s="714" t="s">
        <v>1276</v>
      </c>
      <c r="B605" s="714" t="s">
        <v>1583</v>
      </c>
      <c r="C605" s="828" t="s">
        <v>1761</v>
      </c>
      <c r="D605" s="717"/>
      <c r="E605" s="718"/>
      <c r="F605" s="573"/>
      <c r="G605" s="487"/>
      <c r="H605" s="573"/>
      <c r="I605" s="487"/>
      <c r="J605" s="573"/>
      <c r="K605" s="487"/>
      <c r="L605" s="573"/>
      <c r="M605" s="573"/>
      <c r="N605" s="456">
        <f t="shared" si="81"/>
        <v>0</v>
      </c>
      <c r="O605" s="487"/>
      <c r="P605" s="487"/>
      <c r="Q605" s="274">
        <f t="shared" si="76"/>
        <v>0</v>
      </c>
      <c r="R605" s="574">
        <f t="shared" si="77"/>
        <v>0</v>
      </c>
      <c r="S605" s="275">
        <f t="shared" si="78"/>
        <v>0</v>
      </c>
      <c r="T605" s="575">
        <v>8400</v>
      </c>
      <c r="U605" s="487">
        <v>10000</v>
      </c>
      <c r="V605" s="576"/>
      <c r="W605" s="573"/>
      <c r="X605" s="574">
        <f t="shared" si="82"/>
        <v>0</v>
      </c>
      <c r="Y605" s="487"/>
      <c r="Z605" s="487"/>
      <c r="AA605" s="276">
        <f t="shared" si="83"/>
        <v>0</v>
      </c>
      <c r="AB605" s="573"/>
      <c r="AC605" s="487"/>
      <c r="AD605" s="573"/>
      <c r="AE605" s="487"/>
      <c r="AF605" s="577">
        <f t="shared" si="79"/>
        <v>8400</v>
      </c>
      <c r="AG605" s="275">
        <f t="shared" si="80"/>
        <v>10000</v>
      </c>
    </row>
    <row r="606" spans="1:33" s="578" customFormat="1" ht="12" customHeight="1">
      <c r="A606" s="714" t="s">
        <v>1276</v>
      </c>
      <c r="B606" s="714" t="s">
        <v>1805</v>
      </c>
      <c r="C606" s="831" t="s">
        <v>1963</v>
      </c>
      <c r="D606" s="717"/>
      <c r="E606" s="718"/>
      <c r="F606" s="573"/>
      <c r="G606" s="487"/>
      <c r="H606" s="573"/>
      <c r="I606" s="487"/>
      <c r="J606" s="573"/>
      <c r="K606" s="487"/>
      <c r="L606" s="573"/>
      <c r="M606" s="573"/>
      <c r="N606" s="456">
        <f t="shared" si="81"/>
        <v>0</v>
      </c>
      <c r="O606" s="487"/>
      <c r="P606" s="487"/>
      <c r="Q606" s="274">
        <f t="shared" si="76"/>
        <v>0</v>
      </c>
      <c r="R606" s="574">
        <f t="shared" si="77"/>
        <v>0</v>
      </c>
      <c r="S606" s="275">
        <f t="shared" si="78"/>
        <v>0</v>
      </c>
      <c r="T606" s="575"/>
      <c r="U606" s="487"/>
      <c r="V606" s="576"/>
      <c r="W606" s="573"/>
      <c r="X606" s="574">
        <f t="shared" si="82"/>
        <v>0</v>
      </c>
      <c r="Y606" s="487"/>
      <c r="Z606" s="487"/>
      <c r="AA606" s="276">
        <f t="shared" si="83"/>
        <v>0</v>
      </c>
      <c r="AB606" s="573"/>
      <c r="AC606" s="487"/>
      <c r="AD606" s="573"/>
      <c r="AE606" s="487"/>
      <c r="AF606" s="577">
        <f t="shared" si="79"/>
        <v>0</v>
      </c>
      <c r="AG606" s="275">
        <f t="shared" si="80"/>
        <v>0</v>
      </c>
    </row>
    <row r="607" spans="1:33" s="578" customFormat="1" ht="12" customHeight="1">
      <c r="A607" s="714" t="s">
        <v>1276</v>
      </c>
      <c r="B607" s="714" t="s">
        <v>1510</v>
      </c>
      <c r="C607" s="828" t="s">
        <v>1762</v>
      </c>
      <c r="D607" s="717"/>
      <c r="E607" s="718"/>
      <c r="F607" s="573"/>
      <c r="G607" s="487"/>
      <c r="H607" s="573"/>
      <c r="I607" s="487"/>
      <c r="J607" s="573"/>
      <c r="K607" s="487"/>
      <c r="L607" s="573"/>
      <c r="M607" s="573"/>
      <c r="N607" s="456">
        <f t="shared" si="81"/>
        <v>0</v>
      </c>
      <c r="O607" s="487"/>
      <c r="P607" s="487"/>
      <c r="Q607" s="274">
        <f t="shared" si="76"/>
        <v>0</v>
      </c>
      <c r="R607" s="574">
        <f t="shared" si="77"/>
        <v>0</v>
      </c>
      <c r="S607" s="275">
        <f t="shared" si="78"/>
        <v>0</v>
      </c>
      <c r="T607" s="575"/>
      <c r="U607" s="487"/>
      <c r="V607" s="576"/>
      <c r="W607" s="573"/>
      <c r="X607" s="574">
        <f t="shared" si="82"/>
        <v>0</v>
      </c>
      <c r="Y607" s="487"/>
      <c r="Z607" s="487"/>
      <c r="AA607" s="276">
        <f t="shared" si="83"/>
        <v>0</v>
      </c>
      <c r="AB607" s="573"/>
      <c r="AC607" s="487"/>
      <c r="AD607" s="573"/>
      <c r="AE607" s="487"/>
      <c r="AF607" s="577">
        <f t="shared" si="79"/>
        <v>0</v>
      </c>
      <c r="AG607" s="275">
        <f t="shared" si="80"/>
        <v>0</v>
      </c>
    </row>
    <row r="608" spans="1:33" s="578" customFormat="1" ht="12" customHeight="1">
      <c r="A608" s="714" t="s">
        <v>1276</v>
      </c>
      <c r="B608" s="714" t="s">
        <v>1511</v>
      </c>
      <c r="C608" s="828" t="s">
        <v>1883</v>
      </c>
      <c r="D608" s="717"/>
      <c r="E608" s="718"/>
      <c r="F608" s="573"/>
      <c r="G608" s="487"/>
      <c r="H608" s="573"/>
      <c r="I608" s="487"/>
      <c r="J608" s="573"/>
      <c r="K608" s="487"/>
      <c r="L608" s="573"/>
      <c r="M608" s="573"/>
      <c r="N608" s="456">
        <f t="shared" si="81"/>
        <v>0</v>
      </c>
      <c r="O608" s="487"/>
      <c r="P608" s="487"/>
      <c r="Q608" s="274">
        <f t="shared" si="76"/>
        <v>0</v>
      </c>
      <c r="R608" s="574">
        <f t="shared" si="77"/>
        <v>0</v>
      </c>
      <c r="S608" s="275">
        <f t="shared" si="78"/>
        <v>0</v>
      </c>
      <c r="T608" s="575"/>
      <c r="U608" s="487"/>
      <c r="V608" s="576"/>
      <c r="W608" s="573"/>
      <c r="X608" s="574">
        <f t="shared" si="82"/>
        <v>0</v>
      </c>
      <c r="Y608" s="487"/>
      <c r="Z608" s="487"/>
      <c r="AA608" s="276">
        <f t="shared" si="83"/>
        <v>0</v>
      </c>
      <c r="AB608" s="573"/>
      <c r="AC608" s="487"/>
      <c r="AD608" s="573"/>
      <c r="AE608" s="487"/>
      <c r="AF608" s="577">
        <f t="shared" si="79"/>
        <v>0</v>
      </c>
      <c r="AG608" s="275">
        <f t="shared" si="80"/>
        <v>0</v>
      </c>
    </row>
    <row r="609" spans="1:33" s="578" customFormat="1" ht="12" customHeight="1">
      <c r="A609" s="714" t="s">
        <v>1276</v>
      </c>
      <c r="B609" s="714" t="s">
        <v>1412</v>
      </c>
      <c r="C609" s="828" t="s">
        <v>1761</v>
      </c>
      <c r="D609" s="717"/>
      <c r="E609" s="718"/>
      <c r="F609" s="573"/>
      <c r="G609" s="487"/>
      <c r="H609" s="573"/>
      <c r="I609" s="487"/>
      <c r="J609" s="573"/>
      <c r="K609" s="487"/>
      <c r="L609" s="573"/>
      <c r="M609" s="573"/>
      <c r="N609" s="456">
        <f t="shared" si="81"/>
        <v>0</v>
      </c>
      <c r="O609" s="487"/>
      <c r="P609" s="487"/>
      <c r="Q609" s="274">
        <f t="shared" si="76"/>
        <v>0</v>
      </c>
      <c r="R609" s="574">
        <f t="shared" si="77"/>
        <v>0</v>
      </c>
      <c r="S609" s="275">
        <f t="shared" si="78"/>
        <v>0</v>
      </c>
      <c r="T609" s="575">
        <v>67346</v>
      </c>
      <c r="U609" s="487">
        <v>80561</v>
      </c>
      <c r="V609" s="576"/>
      <c r="W609" s="573"/>
      <c r="X609" s="574">
        <f t="shared" si="82"/>
        <v>0</v>
      </c>
      <c r="Y609" s="487"/>
      <c r="Z609" s="487"/>
      <c r="AA609" s="276">
        <f t="shared" si="83"/>
        <v>0</v>
      </c>
      <c r="AB609" s="573"/>
      <c r="AC609" s="487"/>
      <c r="AD609" s="573"/>
      <c r="AE609" s="487"/>
      <c r="AF609" s="577">
        <f t="shared" si="79"/>
        <v>67346</v>
      </c>
      <c r="AG609" s="275">
        <f t="shared" si="80"/>
        <v>80561</v>
      </c>
    </row>
    <row r="610" spans="1:33" s="578" customFormat="1" ht="12" customHeight="1">
      <c r="A610" s="714" t="s">
        <v>1276</v>
      </c>
      <c r="B610" s="714" t="s">
        <v>1413</v>
      </c>
      <c r="C610" s="828" t="s">
        <v>1586</v>
      </c>
      <c r="D610" s="717"/>
      <c r="E610" s="718"/>
      <c r="F610" s="573"/>
      <c r="G610" s="487"/>
      <c r="H610" s="573"/>
      <c r="I610" s="487"/>
      <c r="J610" s="573"/>
      <c r="K610" s="487"/>
      <c r="L610" s="573"/>
      <c r="M610" s="573"/>
      <c r="N610" s="456">
        <f t="shared" si="81"/>
        <v>0</v>
      </c>
      <c r="O610" s="487"/>
      <c r="P610" s="487"/>
      <c r="Q610" s="274">
        <f t="shared" si="76"/>
        <v>0</v>
      </c>
      <c r="R610" s="574">
        <f t="shared" si="77"/>
        <v>0</v>
      </c>
      <c r="S610" s="275">
        <f t="shared" si="78"/>
        <v>0</v>
      </c>
      <c r="T610" s="575"/>
      <c r="U610" s="487"/>
      <c r="V610" s="576"/>
      <c r="W610" s="573"/>
      <c r="X610" s="574">
        <f t="shared" si="82"/>
        <v>0</v>
      </c>
      <c r="Y610" s="487"/>
      <c r="Z610" s="487"/>
      <c r="AA610" s="276">
        <f t="shared" si="83"/>
        <v>0</v>
      </c>
      <c r="AB610" s="573"/>
      <c r="AC610" s="487"/>
      <c r="AD610" s="573"/>
      <c r="AE610" s="487"/>
      <c r="AF610" s="577">
        <f t="shared" si="79"/>
        <v>0</v>
      </c>
      <c r="AG610" s="275">
        <f t="shared" si="80"/>
        <v>0</v>
      </c>
    </row>
    <row r="611" spans="1:33" s="578" customFormat="1" ht="12" customHeight="1">
      <c r="A611" s="714" t="s">
        <v>1276</v>
      </c>
      <c r="B611" s="714" t="s">
        <v>1582</v>
      </c>
      <c r="C611" s="828" t="s">
        <v>1883</v>
      </c>
      <c r="D611" s="717"/>
      <c r="E611" s="718"/>
      <c r="F611" s="573"/>
      <c r="G611" s="487"/>
      <c r="H611" s="573"/>
      <c r="I611" s="487"/>
      <c r="J611" s="573"/>
      <c r="K611" s="487"/>
      <c r="L611" s="573"/>
      <c r="M611" s="573"/>
      <c r="N611" s="456">
        <f t="shared" si="81"/>
        <v>0</v>
      </c>
      <c r="O611" s="487"/>
      <c r="P611" s="487"/>
      <c r="Q611" s="274">
        <f t="shared" si="76"/>
        <v>0</v>
      </c>
      <c r="R611" s="574">
        <f t="shared" si="77"/>
        <v>0</v>
      </c>
      <c r="S611" s="275">
        <f t="shared" si="78"/>
        <v>0</v>
      </c>
      <c r="T611" s="575"/>
      <c r="U611" s="487"/>
      <c r="V611" s="576"/>
      <c r="W611" s="573"/>
      <c r="X611" s="574">
        <f t="shared" si="82"/>
        <v>0</v>
      </c>
      <c r="Y611" s="487"/>
      <c r="Z611" s="487"/>
      <c r="AA611" s="276">
        <f t="shared" si="83"/>
        <v>0</v>
      </c>
      <c r="AB611" s="573"/>
      <c r="AC611" s="487"/>
      <c r="AD611" s="573"/>
      <c r="AE611" s="487"/>
      <c r="AF611" s="577">
        <f t="shared" si="79"/>
        <v>0</v>
      </c>
      <c r="AG611" s="275">
        <f t="shared" si="80"/>
        <v>0</v>
      </c>
    </row>
    <row r="612" spans="1:33" s="578" customFormat="1" ht="12" customHeight="1">
      <c r="A612" s="714" t="s">
        <v>1276</v>
      </c>
      <c r="B612" s="714" t="s">
        <v>1583</v>
      </c>
      <c r="C612" s="828" t="s">
        <v>1761</v>
      </c>
      <c r="D612" s="717"/>
      <c r="E612" s="718"/>
      <c r="F612" s="573"/>
      <c r="G612" s="487"/>
      <c r="H612" s="573"/>
      <c r="I612" s="487"/>
      <c r="J612" s="573"/>
      <c r="K612" s="487"/>
      <c r="L612" s="573"/>
      <c r="M612" s="573"/>
      <c r="N612" s="456">
        <f t="shared" si="81"/>
        <v>0</v>
      </c>
      <c r="O612" s="487"/>
      <c r="P612" s="487"/>
      <c r="Q612" s="274">
        <f t="shared" si="76"/>
        <v>0</v>
      </c>
      <c r="R612" s="574">
        <f t="shared" si="77"/>
        <v>0</v>
      </c>
      <c r="S612" s="275">
        <f t="shared" si="78"/>
        <v>0</v>
      </c>
      <c r="T612" s="575"/>
      <c r="U612" s="487"/>
      <c r="V612" s="576"/>
      <c r="W612" s="573"/>
      <c r="X612" s="574">
        <f t="shared" si="82"/>
        <v>0</v>
      </c>
      <c r="Y612" s="487"/>
      <c r="Z612" s="487"/>
      <c r="AA612" s="276">
        <f t="shared" si="83"/>
        <v>0</v>
      </c>
      <c r="AB612" s="573"/>
      <c r="AC612" s="487"/>
      <c r="AD612" s="573"/>
      <c r="AE612" s="487"/>
      <c r="AF612" s="577">
        <f t="shared" si="79"/>
        <v>0</v>
      </c>
      <c r="AG612" s="275">
        <f t="shared" si="80"/>
        <v>0</v>
      </c>
    </row>
    <row r="613" spans="1:33" s="578" customFormat="1" ht="12" customHeight="1">
      <c r="A613" s="714" t="s">
        <v>1276</v>
      </c>
      <c r="B613" s="714" t="s">
        <v>1805</v>
      </c>
      <c r="C613" s="831" t="s">
        <v>1964</v>
      </c>
      <c r="D613" s="717"/>
      <c r="E613" s="718"/>
      <c r="F613" s="573"/>
      <c r="G613" s="487"/>
      <c r="H613" s="573"/>
      <c r="I613" s="487"/>
      <c r="J613" s="573"/>
      <c r="K613" s="487"/>
      <c r="L613" s="573"/>
      <c r="M613" s="573"/>
      <c r="N613" s="456">
        <f t="shared" si="81"/>
        <v>0</v>
      </c>
      <c r="O613" s="487"/>
      <c r="P613" s="487"/>
      <c r="Q613" s="274">
        <f t="shared" si="76"/>
        <v>0</v>
      </c>
      <c r="R613" s="574">
        <f t="shared" si="77"/>
        <v>0</v>
      </c>
      <c r="S613" s="275">
        <f t="shared" si="78"/>
        <v>0</v>
      </c>
      <c r="T613" s="575"/>
      <c r="U613" s="487"/>
      <c r="V613" s="576"/>
      <c r="W613" s="573"/>
      <c r="X613" s="574">
        <f t="shared" si="82"/>
        <v>0</v>
      </c>
      <c r="Y613" s="487"/>
      <c r="Z613" s="487"/>
      <c r="AA613" s="276">
        <f t="shared" si="83"/>
        <v>0</v>
      </c>
      <c r="AB613" s="573"/>
      <c r="AC613" s="487"/>
      <c r="AD613" s="573"/>
      <c r="AE613" s="487"/>
      <c r="AF613" s="577">
        <f t="shared" si="79"/>
        <v>0</v>
      </c>
      <c r="AG613" s="275">
        <f t="shared" si="80"/>
        <v>0</v>
      </c>
    </row>
    <row r="614" spans="1:33" s="578" customFormat="1" ht="12" customHeight="1">
      <c r="A614" s="714" t="s">
        <v>1276</v>
      </c>
      <c r="B614" s="714" t="s">
        <v>1510</v>
      </c>
      <c r="C614" s="828" t="s">
        <v>1762</v>
      </c>
      <c r="D614" s="717"/>
      <c r="E614" s="718"/>
      <c r="F614" s="573"/>
      <c r="G614" s="487"/>
      <c r="H614" s="573"/>
      <c r="I614" s="487"/>
      <c r="J614" s="573"/>
      <c r="K614" s="487"/>
      <c r="L614" s="573"/>
      <c r="M614" s="573"/>
      <c r="N614" s="456">
        <f t="shared" si="81"/>
        <v>0</v>
      </c>
      <c r="O614" s="487"/>
      <c r="P614" s="487"/>
      <c r="Q614" s="274">
        <f t="shared" si="76"/>
        <v>0</v>
      </c>
      <c r="R614" s="574">
        <f t="shared" si="77"/>
        <v>0</v>
      </c>
      <c r="S614" s="275">
        <f t="shared" si="78"/>
        <v>0</v>
      </c>
      <c r="T614" s="575"/>
      <c r="U614" s="487"/>
      <c r="V614" s="576"/>
      <c r="W614" s="573"/>
      <c r="X614" s="574">
        <f t="shared" si="82"/>
        <v>0</v>
      </c>
      <c r="Y614" s="487"/>
      <c r="Z614" s="487"/>
      <c r="AA614" s="276">
        <f t="shared" si="83"/>
        <v>0</v>
      </c>
      <c r="AB614" s="573"/>
      <c r="AC614" s="487"/>
      <c r="AD614" s="573"/>
      <c r="AE614" s="487"/>
      <c r="AF614" s="577">
        <f t="shared" si="79"/>
        <v>0</v>
      </c>
      <c r="AG614" s="275">
        <f t="shared" si="80"/>
        <v>0</v>
      </c>
    </row>
    <row r="615" spans="1:33" s="578" customFormat="1" ht="12" customHeight="1">
      <c r="A615" s="714" t="s">
        <v>1276</v>
      </c>
      <c r="B615" s="714" t="s">
        <v>1511</v>
      </c>
      <c r="C615" s="828" t="s">
        <v>1883</v>
      </c>
      <c r="D615" s="717"/>
      <c r="E615" s="718"/>
      <c r="F615" s="573"/>
      <c r="G615" s="487"/>
      <c r="H615" s="573"/>
      <c r="I615" s="487"/>
      <c r="J615" s="573"/>
      <c r="K615" s="487"/>
      <c r="L615" s="573"/>
      <c r="M615" s="573"/>
      <c r="N615" s="456">
        <f t="shared" si="81"/>
        <v>0</v>
      </c>
      <c r="O615" s="487"/>
      <c r="P615" s="487"/>
      <c r="Q615" s="274">
        <f t="shared" si="76"/>
        <v>0</v>
      </c>
      <c r="R615" s="574">
        <f t="shared" si="77"/>
        <v>0</v>
      </c>
      <c r="S615" s="275">
        <f t="shared" si="78"/>
        <v>0</v>
      </c>
      <c r="T615" s="575"/>
      <c r="U615" s="487"/>
      <c r="V615" s="576"/>
      <c r="W615" s="573"/>
      <c r="X615" s="574">
        <f t="shared" si="82"/>
        <v>0</v>
      </c>
      <c r="Y615" s="487"/>
      <c r="Z615" s="487"/>
      <c r="AA615" s="276">
        <f t="shared" si="83"/>
        <v>0</v>
      </c>
      <c r="AB615" s="573"/>
      <c r="AC615" s="487"/>
      <c r="AD615" s="573"/>
      <c r="AE615" s="487"/>
      <c r="AF615" s="577">
        <f t="shared" si="79"/>
        <v>0</v>
      </c>
      <c r="AG615" s="275">
        <f t="shared" si="80"/>
        <v>0</v>
      </c>
    </row>
    <row r="616" spans="1:33" s="578" customFormat="1" ht="12" customHeight="1">
      <c r="A616" s="714" t="s">
        <v>1276</v>
      </c>
      <c r="B616" s="714" t="s">
        <v>1412</v>
      </c>
      <c r="C616" s="828" t="s">
        <v>1761</v>
      </c>
      <c r="D616" s="717"/>
      <c r="E616" s="718"/>
      <c r="F616" s="573"/>
      <c r="G616" s="487"/>
      <c r="H616" s="573"/>
      <c r="I616" s="487"/>
      <c r="J616" s="573"/>
      <c r="K616" s="487"/>
      <c r="L616" s="573"/>
      <c r="M616" s="573"/>
      <c r="N616" s="456">
        <f t="shared" si="81"/>
        <v>0</v>
      </c>
      <c r="O616" s="487"/>
      <c r="P616" s="487"/>
      <c r="Q616" s="274">
        <f t="shared" si="76"/>
        <v>0</v>
      </c>
      <c r="R616" s="574">
        <f t="shared" si="77"/>
        <v>0</v>
      </c>
      <c r="S616" s="275">
        <f t="shared" si="78"/>
        <v>0</v>
      </c>
      <c r="T616" s="575">
        <v>22500</v>
      </c>
      <c r="U616" s="487">
        <v>39000</v>
      </c>
      <c r="V616" s="576"/>
      <c r="W616" s="573"/>
      <c r="X616" s="574">
        <f t="shared" si="82"/>
        <v>0</v>
      </c>
      <c r="Y616" s="487"/>
      <c r="Z616" s="487"/>
      <c r="AA616" s="276">
        <f t="shared" si="83"/>
        <v>0</v>
      </c>
      <c r="AB616" s="573"/>
      <c r="AC616" s="487"/>
      <c r="AD616" s="573"/>
      <c r="AE616" s="487"/>
      <c r="AF616" s="577">
        <f t="shared" si="79"/>
        <v>22500</v>
      </c>
      <c r="AG616" s="275">
        <f t="shared" si="80"/>
        <v>39000</v>
      </c>
    </row>
    <row r="617" spans="1:33" s="578" customFormat="1" ht="12" customHeight="1">
      <c r="A617" s="714" t="s">
        <v>1276</v>
      </c>
      <c r="B617" s="714" t="s">
        <v>1413</v>
      </c>
      <c r="C617" s="828" t="s">
        <v>1586</v>
      </c>
      <c r="D617" s="717"/>
      <c r="E617" s="718"/>
      <c r="F617" s="573"/>
      <c r="G617" s="487"/>
      <c r="H617" s="573"/>
      <c r="I617" s="487"/>
      <c r="J617" s="573"/>
      <c r="K617" s="487"/>
      <c r="L617" s="573"/>
      <c r="M617" s="573"/>
      <c r="N617" s="456">
        <f t="shared" si="81"/>
        <v>0</v>
      </c>
      <c r="O617" s="487"/>
      <c r="P617" s="487"/>
      <c r="Q617" s="274">
        <f t="shared" si="76"/>
        <v>0</v>
      </c>
      <c r="R617" s="574">
        <f t="shared" si="77"/>
        <v>0</v>
      </c>
      <c r="S617" s="275">
        <f t="shared" si="78"/>
        <v>0</v>
      </c>
      <c r="T617" s="575"/>
      <c r="U617" s="487"/>
      <c r="V617" s="576"/>
      <c r="W617" s="573"/>
      <c r="X617" s="574">
        <f t="shared" si="82"/>
        <v>0</v>
      </c>
      <c r="Y617" s="487"/>
      <c r="Z617" s="487"/>
      <c r="AA617" s="276">
        <f t="shared" si="83"/>
        <v>0</v>
      </c>
      <c r="AB617" s="573"/>
      <c r="AC617" s="487"/>
      <c r="AD617" s="573"/>
      <c r="AE617" s="487"/>
      <c r="AF617" s="577">
        <f t="shared" si="79"/>
        <v>0</v>
      </c>
      <c r="AG617" s="275">
        <f t="shared" si="80"/>
        <v>0</v>
      </c>
    </row>
    <row r="618" spans="1:33" s="578" customFormat="1" ht="12" customHeight="1">
      <c r="A618" s="714" t="s">
        <v>1276</v>
      </c>
      <c r="B618" s="714" t="s">
        <v>1582</v>
      </c>
      <c r="C618" s="828" t="s">
        <v>1883</v>
      </c>
      <c r="D618" s="717"/>
      <c r="E618" s="718"/>
      <c r="F618" s="573"/>
      <c r="G618" s="487"/>
      <c r="H618" s="573"/>
      <c r="I618" s="487"/>
      <c r="J618" s="573"/>
      <c r="K618" s="487"/>
      <c r="L618" s="573"/>
      <c r="M618" s="573"/>
      <c r="N618" s="456">
        <f t="shared" si="81"/>
        <v>0</v>
      </c>
      <c r="O618" s="487"/>
      <c r="P618" s="487"/>
      <c r="Q618" s="274">
        <f t="shared" si="76"/>
        <v>0</v>
      </c>
      <c r="R618" s="574">
        <f t="shared" si="77"/>
        <v>0</v>
      </c>
      <c r="S618" s="275">
        <f t="shared" si="78"/>
        <v>0</v>
      </c>
      <c r="T618" s="575"/>
      <c r="U618" s="487"/>
      <c r="V618" s="576"/>
      <c r="W618" s="573"/>
      <c r="X618" s="574">
        <f t="shared" si="82"/>
        <v>0</v>
      </c>
      <c r="Y618" s="487"/>
      <c r="Z618" s="487"/>
      <c r="AA618" s="276">
        <f t="shared" si="83"/>
        <v>0</v>
      </c>
      <c r="AB618" s="573"/>
      <c r="AC618" s="487"/>
      <c r="AD618" s="573"/>
      <c r="AE618" s="487"/>
      <c r="AF618" s="577">
        <f t="shared" si="79"/>
        <v>0</v>
      </c>
      <c r="AG618" s="275">
        <f t="shared" si="80"/>
        <v>0</v>
      </c>
    </row>
    <row r="619" spans="1:33" s="578" customFormat="1" ht="12" customHeight="1">
      <c r="A619" s="714" t="s">
        <v>1276</v>
      </c>
      <c r="B619" s="714" t="s">
        <v>1583</v>
      </c>
      <c r="C619" s="828" t="s">
        <v>1761</v>
      </c>
      <c r="D619" s="717"/>
      <c r="E619" s="718"/>
      <c r="F619" s="573"/>
      <c r="G619" s="487"/>
      <c r="H619" s="573"/>
      <c r="I619" s="487"/>
      <c r="J619" s="573"/>
      <c r="K619" s="487"/>
      <c r="L619" s="573"/>
      <c r="M619" s="573"/>
      <c r="N619" s="456">
        <f t="shared" si="81"/>
        <v>0</v>
      </c>
      <c r="O619" s="487"/>
      <c r="P619" s="487"/>
      <c r="Q619" s="274">
        <f t="shared" si="76"/>
        <v>0</v>
      </c>
      <c r="R619" s="574">
        <f t="shared" si="77"/>
        <v>0</v>
      </c>
      <c r="S619" s="275">
        <f t="shared" si="78"/>
        <v>0</v>
      </c>
      <c r="T619" s="575">
        <v>7500</v>
      </c>
      <c r="U619" s="487"/>
      <c r="V619" s="576"/>
      <c r="W619" s="573"/>
      <c r="X619" s="574">
        <f t="shared" si="82"/>
        <v>0</v>
      </c>
      <c r="Y619" s="487"/>
      <c r="Z619" s="487"/>
      <c r="AA619" s="276">
        <f t="shared" si="83"/>
        <v>0</v>
      </c>
      <c r="AB619" s="573"/>
      <c r="AC619" s="487"/>
      <c r="AD619" s="573"/>
      <c r="AE619" s="487"/>
      <c r="AF619" s="577">
        <f t="shared" si="79"/>
        <v>7500</v>
      </c>
      <c r="AG619" s="275">
        <f t="shared" si="80"/>
        <v>0</v>
      </c>
    </row>
    <row r="620" spans="1:33" s="578" customFormat="1" ht="12" customHeight="1">
      <c r="A620" s="714" t="s">
        <v>1276</v>
      </c>
      <c r="B620" s="714" t="s">
        <v>1805</v>
      </c>
      <c r="C620" s="831" t="s">
        <v>1965</v>
      </c>
      <c r="D620" s="717"/>
      <c r="E620" s="718"/>
      <c r="F620" s="573"/>
      <c r="G620" s="487"/>
      <c r="H620" s="573"/>
      <c r="I620" s="487"/>
      <c r="J620" s="573"/>
      <c r="K620" s="487"/>
      <c r="L620" s="573"/>
      <c r="M620" s="573"/>
      <c r="N620" s="456">
        <f t="shared" si="81"/>
        <v>0</v>
      </c>
      <c r="O620" s="487"/>
      <c r="P620" s="487"/>
      <c r="Q620" s="274">
        <f t="shared" si="76"/>
        <v>0</v>
      </c>
      <c r="R620" s="574">
        <f t="shared" si="77"/>
        <v>0</v>
      </c>
      <c r="S620" s="275">
        <f t="shared" si="78"/>
        <v>0</v>
      </c>
      <c r="T620" s="575"/>
      <c r="U620" s="487"/>
      <c r="V620" s="576"/>
      <c r="W620" s="573"/>
      <c r="X620" s="574">
        <f t="shared" si="82"/>
        <v>0</v>
      </c>
      <c r="Y620" s="487"/>
      <c r="Z620" s="487"/>
      <c r="AA620" s="276">
        <f t="shared" si="83"/>
        <v>0</v>
      </c>
      <c r="AB620" s="573"/>
      <c r="AC620" s="487"/>
      <c r="AD620" s="573"/>
      <c r="AE620" s="487"/>
      <c r="AF620" s="577">
        <f t="shared" si="79"/>
        <v>0</v>
      </c>
      <c r="AG620" s="275">
        <f t="shared" si="80"/>
        <v>0</v>
      </c>
    </row>
    <row r="621" spans="1:33" s="578" customFormat="1" ht="12" customHeight="1">
      <c r="A621" s="714" t="s">
        <v>1276</v>
      </c>
      <c r="B621" s="714" t="s">
        <v>1510</v>
      </c>
      <c r="C621" s="828" t="s">
        <v>1762</v>
      </c>
      <c r="D621" s="717"/>
      <c r="E621" s="718"/>
      <c r="F621" s="573"/>
      <c r="G621" s="487"/>
      <c r="H621" s="573"/>
      <c r="I621" s="487"/>
      <c r="J621" s="573"/>
      <c r="K621" s="487"/>
      <c r="L621" s="573"/>
      <c r="M621" s="573"/>
      <c r="N621" s="456">
        <f t="shared" si="81"/>
        <v>0</v>
      </c>
      <c r="O621" s="487"/>
      <c r="P621" s="487"/>
      <c r="Q621" s="274">
        <f t="shared" si="76"/>
        <v>0</v>
      </c>
      <c r="R621" s="574">
        <f t="shared" si="77"/>
        <v>0</v>
      </c>
      <c r="S621" s="275">
        <f t="shared" si="78"/>
        <v>0</v>
      </c>
      <c r="T621" s="575"/>
      <c r="U621" s="487"/>
      <c r="V621" s="576"/>
      <c r="W621" s="573"/>
      <c r="X621" s="574">
        <f t="shared" si="82"/>
        <v>0</v>
      </c>
      <c r="Y621" s="487"/>
      <c r="Z621" s="487"/>
      <c r="AA621" s="276">
        <f t="shared" si="83"/>
        <v>0</v>
      </c>
      <c r="AB621" s="573"/>
      <c r="AC621" s="487"/>
      <c r="AD621" s="573"/>
      <c r="AE621" s="487"/>
      <c r="AF621" s="577">
        <f t="shared" si="79"/>
        <v>0</v>
      </c>
      <c r="AG621" s="275">
        <f t="shared" si="80"/>
        <v>0</v>
      </c>
    </row>
    <row r="622" spans="1:33" s="578" customFormat="1" ht="12" customHeight="1">
      <c r="A622" s="714" t="s">
        <v>1276</v>
      </c>
      <c r="B622" s="714" t="s">
        <v>1511</v>
      </c>
      <c r="C622" s="828" t="s">
        <v>1883</v>
      </c>
      <c r="D622" s="717"/>
      <c r="E622" s="718"/>
      <c r="F622" s="573"/>
      <c r="G622" s="487"/>
      <c r="H622" s="573"/>
      <c r="I622" s="487"/>
      <c r="J622" s="573"/>
      <c r="K622" s="487"/>
      <c r="L622" s="573"/>
      <c r="M622" s="573"/>
      <c r="N622" s="456">
        <f t="shared" si="81"/>
        <v>0</v>
      </c>
      <c r="O622" s="487"/>
      <c r="P622" s="487"/>
      <c r="Q622" s="274">
        <f t="shared" si="76"/>
        <v>0</v>
      </c>
      <c r="R622" s="574">
        <f t="shared" si="77"/>
        <v>0</v>
      </c>
      <c r="S622" s="275">
        <f t="shared" si="78"/>
        <v>0</v>
      </c>
      <c r="T622" s="575"/>
      <c r="U622" s="487"/>
      <c r="V622" s="576"/>
      <c r="W622" s="573"/>
      <c r="X622" s="574">
        <f t="shared" si="82"/>
        <v>0</v>
      </c>
      <c r="Y622" s="487"/>
      <c r="Z622" s="487"/>
      <c r="AA622" s="276">
        <f t="shared" si="83"/>
        <v>0</v>
      </c>
      <c r="AB622" s="573"/>
      <c r="AC622" s="487"/>
      <c r="AD622" s="573"/>
      <c r="AE622" s="487"/>
      <c r="AF622" s="577">
        <f t="shared" si="79"/>
        <v>0</v>
      </c>
      <c r="AG622" s="275">
        <f t="shared" si="80"/>
        <v>0</v>
      </c>
    </row>
    <row r="623" spans="1:33" s="578" customFormat="1" ht="12" customHeight="1">
      <c r="A623" s="714" t="s">
        <v>1276</v>
      </c>
      <c r="B623" s="714" t="s">
        <v>1412</v>
      </c>
      <c r="C623" s="828" t="s">
        <v>1761</v>
      </c>
      <c r="D623" s="717"/>
      <c r="E623" s="718"/>
      <c r="F623" s="573"/>
      <c r="G623" s="487"/>
      <c r="H623" s="573"/>
      <c r="I623" s="487"/>
      <c r="J623" s="573"/>
      <c r="K623" s="487"/>
      <c r="L623" s="573"/>
      <c r="M623" s="573"/>
      <c r="N623" s="456">
        <f t="shared" si="81"/>
        <v>0</v>
      </c>
      <c r="O623" s="487"/>
      <c r="P623" s="487"/>
      <c r="Q623" s="274">
        <f t="shared" si="76"/>
        <v>0</v>
      </c>
      <c r="R623" s="574">
        <f t="shared" si="77"/>
        <v>0</v>
      </c>
      <c r="S623" s="275">
        <f t="shared" si="78"/>
        <v>0</v>
      </c>
      <c r="T623" s="575">
        <v>38171</v>
      </c>
      <c r="U623" s="487">
        <v>41694</v>
      </c>
      <c r="V623" s="576"/>
      <c r="W623" s="573"/>
      <c r="X623" s="574">
        <f t="shared" si="82"/>
        <v>0</v>
      </c>
      <c r="Y623" s="487"/>
      <c r="Z623" s="487"/>
      <c r="AA623" s="276">
        <f t="shared" si="83"/>
        <v>0</v>
      </c>
      <c r="AB623" s="573"/>
      <c r="AC623" s="487"/>
      <c r="AD623" s="573"/>
      <c r="AE623" s="487"/>
      <c r="AF623" s="577">
        <f t="shared" si="79"/>
        <v>38171</v>
      </c>
      <c r="AG623" s="275">
        <f t="shared" si="80"/>
        <v>41694</v>
      </c>
    </row>
    <row r="624" spans="1:33" s="578" customFormat="1" ht="12" customHeight="1">
      <c r="A624" s="714" t="s">
        <v>1276</v>
      </c>
      <c r="B624" s="714" t="s">
        <v>1413</v>
      </c>
      <c r="C624" s="828" t="s">
        <v>1586</v>
      </c>
      <c r="D624" s="717"/>
      <c r="E624" s="718"/>
      <c r="F624" s="573"/>
      <c r="G624" s="487"/>
      <c r="H624" s="573"/>
      <c r="I624" s="487"/>
      <c r="J624" s="573"/>
      <c r="K624" s="487"/>
      <c r="L624" s="573"/>
      <c r="M624" s="573"/>
      <c r="N624" s="456">
        <f t="shared" si="81"/>
        <v>0</v>
      </c>
      <c r="O624" s="487"/>
      <c r="P624" s="487"/>
      <c r="Q624" s="274">
        <f t="shared" si="76"/>
        <v>0</v>
      </c>
      <c r="R624" s="574">
        <f t="shared" si="77"/>
        <v>0</v>
      </c>
      <c r="S624" s="275">
        <f t="shared" si="78"/>
        <v>0</v>
      </c>
      <c r="T624" s="575"/>
      <c r="U624" s="487"/>
      <c r="V624" s="576"/>
      <c r="W624" s="573"/>
      <c r="X624" s="574">
        <f t="shared" si="82"/>
        <v>0</v>
      </c>
      <c r="Y624" s="487"/>
      <c r="Z624" s="487"/>
      <c r="AA624" s="276">
        <f t="shared" si="83"/>
        <v>0</v>
      </c>
      <c r="AB624" s="573"/>
      <c r="AC624" s="487"/>
      <c r="AD624" s="573"/>
      <c r="AE624" s="487"/>
      <c r="AF624" s="577">
        <f t="shared" si="79"/>
        <v>0</v>
      </c>
      <c r="AG624" s="275">
        <f t="shared" si="80"/>
        <v>0</v>
      </c>
    </row>
    <row r="625" spans="1:33" s="578" customFormat="1" ht="12" customHeight="1">
      <c r="A625" s="714" t="s">
        <v>1276</v>
      </c>
      <c r="B625" s="714" t="s">
        <v>1582</v>
      </c>
      <c r="C625" s="828" t="s">
        <v>1883</v>
      </c>
      <c r="D625" s="717"/>
      <c r="E625" s="718"/>
      <c r="F625" s="573"/>
      <c r="G625" s="487"/>
      <c r="H625" s="573"/>
      <c r="I625" s="487"/>
      <c r="J625" s="573"/>
      <c r="K625" s="487"/>
      <c r="L625" s="573"/>
      <c r="M625" s="573"/>
      <c r="N625" s="456">
        <f t="shared" si="81"/>
        <v>0</v>
      </c>
      <c r="O625" s="487"/>
      <c r="P625" s="487"/>
      <c r="Q625" s="274">
        <f t="shared" si="76"/>
        <v>0</v>
      </c>
      <c r="R625" s="574">
        <f t="shared" si="77"/>
        <v>0</v>
      </c>
      <c r="S625" s="275">
        <f t="shared" si="78"/>
        <v>0</v>
      </c>
      <c r="T625" s="575"/>
      <c r="U625" s="487"/>
      <c r="V625" s="576"/>
      <c r="W625" s="573"/>
      <c r="X625" s="574">
        <f t="shared" si="82"/>
        <v>0</v>
      </c>
      <c r="Y625" s="487"/>
      <c r="Z625" s="487"/>
      <c r="AA625" s="276">
        <f t="shared" si="83"/>
        <v>0</v>
      </c>
      <c r="AB625" s="573"/>
      <c r="AC625" s="487"/>
      <c r="AD625" s="573"/>
      <c r="AE625" s="487"/>
      <c r="AF625" s="577">
        <f t="shared" si="79"/>
        <v>0</v>
      </c>
      <c r="AG625" s="275">
        <f t="shared" si="80"/>
        <v>0</v>
      </c>
    </row>
    <row r="626" spans="1:33" s="578" customFormat="1" ht="12" customHeight="1">
      <c r="A626" s="714" t="s">
        <v>1276</v>
      </c>
      <c r="B626" s="714" t="s">
        <v>1583</v>
      </c>
      <c r="C626" s="828" t="s">
        <v>1761</v>
      </c>
      <c r="D626" s="717"/>
      <c r="E626" s="718"/>
      <c r="F626" s="573"/>
      <c r="G626" s="487"/>
      <c r="H626" s="573"/>
      <c r="I626" s="487"/>
      <c r="J626" s="573"/>
      <c r="K626" s="487"/>
      <c r="L626" s="573"/>
      <c r="M626" s="573"/>
      <c r="N626" s="456">
        <f t="shared" si="81"/>
        <v>0</v>
      </c>
      <c r="O626" s="487"/>
      <c r="P626" s="487"/>
      <c r="Q626" s="274">
        <f t="shared" si="76"/>
        <v>0</v>
      </c>
      <c r="R626" s="574">
        <f t="shared" si="77"/>
        <v>0</v>
      </c>
      <c r="S626" s="275">
        <f t="shared" si="78"/>
        <v>0</v>
      </c>
      <c r="T626" s="575"/>
      <c r="U626" s="487"/>
      <c r="V626" s="576"/>
      <c r="W626" s="573"/>
      <c r="X626" s="574">
        <f t="shared" si="82"/>
        <v>0</v>
      </c>
      <c r="Y626" s="487"/>
      <c r="Z626" s="487"/>
      <c r="AA626" s="276">
        <f t="shared" si="83"/>
        <v>0</v>
      </c>
      <c r="AB626" s="573"/>
      <c r="AC626" s="487"/>
      <c r="AD626" s="573"/>
      <c r="AE626" s="487"/>
      <c r="AF626" s="577">
        <f t="shared" si="79"/>
        <v>0</v>
      </c>
      <c r="AG626" s="275">
        <f t="shared" si="80"/>
        <v>0</v>
      </c>
    </row>
    <row r="627" spans="1:33" s="578" customFormat="1" ht="12" customHeight="1">
      <c r="A627" s="714" t="s">
        <v>1276</v>
      </c>
      <c r="B627" s="714" t="s">
        <v>1805</v>
      </c>
      <c r="C627" s="831" t="s">
        <v>1966</v>
      </c>
      <c r="D627" s="717"/>
      <c r="E627" s="718"/>
      <c r="F627" s="573"/>
      <c r="G627" s="487"/>
      <c r="H627" s="573"/>
      <c r="I627" s="487"/>
      <c r="J627" s="573"/>
      <c r="K627" s="487"/>
      <c r="L627" s="573"/>
      <c r="M627" s="573"/>
      <c r="N627" s="456">
        <f t="shared" si="81"/>
        <v>0</v>
      </c>
      <c r="O627" s="487"/>
      <c r="P627" s="487"/>
      <c r="Q627" s="274">
        <f t="shared" si="76"/>
        <v>0</v>
      </c>
      <c r="R627" s="574">
        <f t="shared" si="77"/>
        <v>0</v>
      </c>
      <c r="S627" s="275">
        <f t="shared" si="78"/>
        <v>0</v>
      </c>
      <c r="T627" s="575"/>
      <c r="U627" s="487"/>
      <c r="V627" s="576"/>
      <c r="W627" s="573"/>
      <c r="X627" s="574">
        <f t="shared" si="82"/>
        <v>0</v>
      </c>
      <c r="Y627" s="487"/>
      <c r="Z627" s="487"/>
      <c r="AA627" s="276">
        <f t="shared" si="83"/>
        <v>0</v>
      </c>
      <c r="AB627" s="573"/>
      <c r="AC627" s="487"/>
      <c r="AD627" s="573"/>
      <c r="AE627" s="487"/>
      <c r="AF627" s="577">
        <f t="shared" si="79"/>
        <v>0</v>
      </c>
      <c r="AG627" s="275">
        <f t="shared" si="80"/>
        <v>0</v>
      </c>
    </row>
    <row r="628" spans="1:33" s="578" customFormat="1" ht="12" customHeight="1">
      <c r="A628" s="714" t="s">
        <v>1276</v>
      </c>
      <c r="B628" s="714" t="s">
        <v>1510</v>
      </c>
      <c r="C628" s="828" t="s">
        <v>1762</v>
      </c>
      <c r="D628" s="717"/>
      <c r="E628" s="718"/>
      <c r="F628" s="573"/>
      <c r="G628" s="487"/>
      <c r="H628" s="573"/>
      <c r="I628" s="487"/>
      <c r="J628" s="573"/>
      <c r="K628" s="487"/>
      <c r="L628" s="573"/>
      <c r="M628" s="573"/>
      <c r="N628" s="456">
        <f t="shared" si="81"/>
        <v>0</v>
      </c>
      <c r="O628" s="487"/>
      <c r="P628" s="487"/>
      <c r="Q628" s="274">
        <f t="shared" si="76"/>
        <v>0</v>
      </c>
      <c r="R628" s="574">
        <f t="shared" si="77"/>
        <v>0</v>
      </c>
      <c r="S628" s="275">
        <f t="shared" si="78"/>
        <v>0</v>
      </c>
      <c r="T628" s="575"/>
      <c r="U628" s="487"/>
      <c r="V628" s="576"/>
      <c r="W628" s="573"/>
      <c r="X628" s="574">
        <f t="shared" si="82"/>
        <v>0</v>
      </c>
      <c r="Y628" s="487"/>
      <c r="Z628" s="487"/>
      <c r="AA628" s="276">
        <f t="shared" si="83"/>
        <v>0</v>
      </c>
      <c r="AB628" s="573"/>
      <c r="AC628" s="487"/>
      <c r="AD628" s="573"/>
      <c r="AE628" s="487"/>
      <c r="AF628" s="577">
        <f t="shared" si="79"/>
        <v>0</v>
      </c>
      <c r="AG628" s="275">
        <f t="shared" si="80"/>
        <v>0</v>
      </c>
    </row>
    <row r="629" spans="1:33" s="578" customFormat="1" ht="12" customHeight="1">
      <c r="A629" s="714" t="s">
        <v>1276</v>
      </c>
      <c r="B629" s="714" t="s">
        <v>1511</v>
      </c>
      <c r="C629" s="828" t="s">
        <v>1883</v>
      </c>
      <c r="D629" s="717"/>
      <c r="E629" s="718"/>
      <c r="F629" s="573"/>
      <c r="G629" s="487"/>
      <c r="H629" s="573"/>
      <c r="I629" s="487"/>
      <c r="J629" s="573"/>
      <c r="K629" s="487"/>
      <c r="L629" s="573"/>
      <c r="M629" s="573"/>
      <c r="N629" s="456">
        <f t="shared" si="81"/>
        <v>0</v>
      </c>
      <c r="O629" s="487"/>
      <c r="P629" s="487"/>
      <c r="Q629" s="274">
        <f t="shared" si="76"/>
        <v>0</v>
      </c>
      <c r="R629" s="574">
        <f t="shared" si="77"/>
        <v>0</v>
      </c>
      <c r="S629" s="275">
        <f t="shared" si="78"/>
        <v>0</v>
      </c>
      <c r="T629" s="575"/>
      <c r="U629" s="487"/>
      <c r="V629" s="576"/>
      <c r="W629" s="573"/>
      <c r="X629" s="574">
        <f t="shared" si="82"/>
        <v>0</v>
      </c>
      <c r="Y629" s="487"/>
      <c r="Z629" s="487"/>
      <c r="AA629" s="276">
        <f t="shared" si="83"/>
        <v>0</v>
      </c>
      <c r="AB629" s="573"/>
      <c r="AC629" s="487"/>
      <c r="AD629" s="573"/>
      <c r="AE629" s="487"/>
      <c r="AF629" s="577">
        <f t="shared" si="79"/>
        <v>0</v>
      </c>
      <c r="AG629" s="275">
        <f t="shared" si="80"/>
        <v>0</v>
      </c>
    </row>
    <row r="630" spans="1:33" s="578" customFormat="1" ht="12" customHeight="1">
      <c r="A630" s="714" t="s">
        <v>1276</v>
      </c>
      <c r="B630" s="714" t="s">
        <v>1412</v>
      </c>
      <c r="C630" s="828" t="s">
        <v>1761</v>
      </c>
      <c r="D630" s="717"/>
      <c r="E630" s="718"/>
      <c r="F630" s="573"/>
      <c r="G630" s="487"/>
      <c r="H630" s="573"/>
      <c r="I630" s="487"/>
      <c r="J630" s="573"/>
      <c r="K630" s="487"/>
      <c r="L630" s="573"/>
      <c r="M630" s="573"/>
      <c r="N630" s="456">
        <f t="shared" si="81"/>
        <v>0</v>
      </c>
      <c r="O630" s="487"/>
      <c r="P630" s="487"/>
      <c r="Q630" s="274">
        <f t="shared" si="76"/>
        <v>0</v>
      </c>
      <c r="R630" s="574">
        <f t="shared" si="77"/>
        <v>0</v>
      </c>
      <c r="S630" s="275">
        <f t="shared" si="78"/>
        <v>0</v>
      </c>
      <c r="T630" s="575">
        <v>46500</v>
      </c>
      <c r="U630" s="487">
        <v>34500</v>
      </c>
      <c r="V630" s="576"/>
      <c r="W630" s="573"/>
      <c r="X630" s="574">
        <f t="shared" si="82"/>
        <v>0</v>
      </c>
      <c r="Y630" s="487"/>
      <c r="Z630" s="487"/>
      <c r="AA630" s="276">
        <f t="shared" si="83"/>
        <v>0</v>
      </c>
      <c r="AB630" s="573"/>
      <c r="AC630" s="487"/>
      <c r="AD630" s="573"/>
      <c r="AE630" s="487"/>
      <c r="AF630" s="577">
        <f t="shared" si="79"/>
        <v>46500</v>
      </c>
      <c r="AG630" s="275">
        <f t="shared" si="80"/>
        <v>34500</v>
      </c>
    </row>
    <row r="631" spans="1:33" s="578" customFormat="1" ht="12" customHeight="1">
      <c r="A631" s="714" t="s">
        <v>1276</v>
      </c>
      <c r="B631" s="714" t="s">
        <v>1413</v>
      </c>
      <c r="C631" s="828" t="s">
        <v>1586</v>
      </c>
      <c r="D631" s="717"/>
      <c r="E631" s="718"/>
      <c r="F631" s="573"/>
      <c r="G631" s="487"/>
      <c r="H631" s="573"/>
      <c r="I631" s="487"/>
      <c r="J631" s="573"/>
      <c r="K631" s="487"/>
      <c r="L631" s="573"/>
      <c r="M631" s="573"/>
      <c r="N631" s="456">
        <f t="shared" si="81"/>
        <v>0</v>
      </c>
      <c r="O631" s="487"/>
      <c r="P631" s="487"/>
      <c r="Q631" s="274">
        <f t="shared" si="76"/>
        <v>0</v>
      </c>
      <c r="R631" s="574">
        <f t="shared" si="77"/>
        <v>0</v>
      </c>
      <c r="S631" s="275">
        <f t="shared" si="78"/>
        <v>0</v>
      </c>
      <c r="T631" s="575"/>
      <c r="U631" s="487"/>
      <c r="V631" s="576"/>
      <c r="W631" s="573"/>
      <c r="X631" s="574">
        <f t="shared" si="82"/>
        <v>0</v>
      </c>
      <c r="Y631" s="487"/>
      <c r="Z631" s="487"/>
      <c r="AA631" s="276">
        <f t="shared" si="83"/>
        <v>0</v>
      </c>
      <c r="AB631" s="573"/>
      <c r="AC631" s="487"/>
      <c r="AD631" s="573"/>
      <c r="AE631" s="487"/>
      <c r="AF631" s="577">
        <f t="shared" si="79"/>
        <v>0</v>
      </c>
      <c r="AG631" s="275">
        <f t="shared" si="80"/>
        <v>0</v>
      </c>
    </row>
    <row r="632" spans="1:33" s="578" customFormat="1" ht="12" customHeight="1">
      <c r="A632" s="714" t="s">
        <v>1276</v>
      </c>
      <c r="B632" s="714" t="s">
        <v>1582</v>
      </c>
      <c r="C632" s="828" t="s">
        <v>1883</v>
      </c>
      <c r="D632" s="717"/>
      <c r="E632" s="718"/>
      <c r="F632" s="573"/>
      <c r="G632" s="487"/>
      <c r="H632" s="573"/>
      <c r="I632" s="487"/>
      <c r="J632" s="573"/>
      <c r="K632" s="487"/>
      <c r="L632" s="573"/>
      <c r="M632" s="573"/>
      <c r="N632" s="456">
        <f t="shared" si="81"/>
        <v>0</v>
      </c>
      <c r="O632" s="487"/>
      <c r="P632" s="487"/>
      <c r="Q632" s="274">
        <f t="shared" si="76"/>
        <v>0</v>
      </c>
      <c r="R632" s="574">
        <f t="shared" si="77"/>
        <v>0</v>
      </c>
      <c r="S632" s="275">
        <f t="shared" si="78"/>
        <v>0</v>
      </c>
      <c r="T632" s="575"/>
      <c r="U632" s="487"/>
      <c r="V632" s="576"/>
      <c r="W632" s="573"/>
      <c r="X632" s="574">
        <f t="shared" si="82"/>
        <v>0</v>
      </c>
      <c r="Y632" s="487"/>
      <c r="Z632" s="487"/>
      <c r="AA632" s="276">
        <f t="shared" si="83"/>
        <v>0</v>
      </c>
      <c r="AB632" s="573"/>
      <c r="AC632" s="487"/>
      <c r="AD632" s="573"/>
      <c r="AE632" s="487"/>
      <c r="AF632" s="577">
        <f t="shared" si="79"/>
        <v>0</v>
      </c>
      <c r="AG632" s="275">
        <f t="shared" si="80"/>
        <v>0</v>
      </c>
    </row>
    <row r="633" spans="1:33" s="578" customFormat="1" ht="12" customHeight="1">
      <c r="A633" s="714" t="s">
        <v>1276</v>
      </c>
      <c r="B633" s="714" t="s">
        <v>1583</v>
      </c>
      <c r="C633" s="828" t="s">
        <v>1761</v>
      </c>
      <c r="D633" s="717"/>
      <c r="E633" s="718"/>
      <c r="F633" s="573"/>
      <c r="G633" s="487"/>
      <c r="H633" s="573"/>
      <c r="I633" s="487"/>
      <c r="J633" s="573"/>
      <c r="K633" s="487"/>
      <c r="L633" s="573"/>
      <c r="M633" s="573"/>
      <c r="N633" s="456">
        <f t="shared" si="81"/>
        <v>0</v>
      </c>
      <c r="O633" s="487"/>
      <c r="P633" s="487"/>
      <c r="Q633" s="274">
        <f t="shared" si="76"/>
        <v>0</v>
      </c>
      <c r="R633" s="574">
        <f t="shared" si="77"/>
        <v>0</v>
      </c>
      <c r="S633" s="275">
        <f t="shared" si="78"/>
        <v>0</v>
      </c>
      <c r="T633" s="575">
        <v>31000</v>
      </c>
      <c r="U633" s="487">
        <v>22500</v>
      </c>
      <c r="V633" s="576"/>
      <c r="W633" s="573"/>
      <c r="X633" s="574">
        <f t="shared" si="82"/>
        <v>0</v>
      </c>
      <c r="Y633" s="487"/>
      <c r="Z633" s="487"/>
      <c r="AA633" s="276">
        <f t="shared" si="83"/>
        <v>0</v>
      </c>
      <c r="AB633" s="573"/>
      <c r="AC633" s="487"/>
      <c r="AD633" s="573"/>
      <c r="AE633" s="487"/>
      <c r="AF633" s="577">
        <f t="shared" si="79"/>
        <v>31000</v>
      </c>
      <c r="AG633" s="275">
        <f t="shared" si="80"/>
        <v>22500</v>
      </c>
    </row>
    <row r="634" spans="1:33" s="578" customFormat="1" ht="12" customHeight="1">
      <c r="A634" s="714" t="s">
        <v>1276</v>
      </c>
      <c r="B634" s="714" t="s">
        <v>1805</v>
      </c>
      <c r="C634" s="831" t="s">
        <v>1967</v>
      </c>
      <c r="D634" s="717"/>
      <c r="E634" s="718"/>
      <c r="F634" s="573"/>
      <c r="G634" s="487"/>
      <c r="H634" s="573"/>
      <c r="I634" s="487"/>
      <c r="J634" s="573"/>
      <c r="K634" s="487"/>
      <c r="L634" s="573"/>
      <c r="M634" s="573"/>
      <c r="N634" s="456">
        <f t="shared" si="81"/>
        <v>0</v>
      </c>
      <c r="O634" s="487"/>
      <c r="P634" s="487"/>
      <c r="Q634" s="274">
        <f t="shared" si="76"/>
        <v>0</v>
      </c>
      <c r="R634" s="574">
        <f t="shared" si="77"/>
        <v>0</v>
      </c>
      <c r="S634" s="275">
        <f t="shared" si="78"/>
        <v>0</v>
      </c>
      <c r="T634" s="575"/>
      <c r="U634" s="487"/>
      <c r="V634" s="576"/>
      <c r="W634" s="573"/>
      <c r="X634" s="574">
        <f t="shared" si="82"/>
        <v>0</v>
      </c>
      <c r="Y634" s="487"/>
      <c r="Z634" s="487"/>
      <c r="AA634" s="276">
        <f t="shared" si="83"/>
        <v>0</v>
      </c>
      <c r="AB634" s="573"/>
      <c r="AC634" s="487"/>
      <c r="AD634" s="573"/>
      <c r="AE634" s="487"/>
      <c r="AF634" s="577">
        <f t="shared" si="79"/>
        <v>0</v>
      </c>
      <c r="AG634" s="275">
        <f t="shared" si="80"/>
        <v>0</v>
      </c>
    </row>
    <row r="635" spans="1:33" s="578" customFormat="1" ht="12" customHeight="1">
      <c r="A635" s="714" t="s">
        <v>1276</v>
      </c>
      <c r="B635" s="714" t="s">
        <v>1510</v>
      </c>
      <c r="C635" s="828" t="s">
        <v>1762</v>
      </c>
      <c r="D635" s="717"/>
      <c r="E635" s="718"/>
      <c r="F635" s="573"/>
      <c r="G635" s="487"/>
      <c r="H635" s="573"/>
      <c r="I635" s="487"/>
      <c r="J635" s="573"/>
      <c r="K635" s="487"/>
      <c r="L635" s="573"/>
      <c r="M635" s="573"/>
      <c r="N635" s="456">
        <f t="shared" si="81"/>
        <v>0</v>
      </c>
      <c r="O635" s="487"/>
      <c r="P635" s="487"/>
      <c r="Q635" s="274">
        <f t="shared" si="76"/>
        <v>0</v>
      </c>
      <c r="R635" s="574">
        <f t="shared" si="77"/>
        <v>0</v>
      </c>
      <c r="S635" s="275">
        <f t="shared" si="78"/>
        <v>0</v>
      </c>
      <c r="T635" s="575"/>
      <c r="U635" s="487"/>
      <c r="V635" s="576"/>
      <c r="W635" s="573"/>
      <c r="X635" s="574">
        <f t="shared" si="82"/>
        <v>0</v>
      </c>
      <c r="Y635" s="487"/>
      <c r="Z635" s="487"/>
      <c r="AA635" s="276">
        <f t="shared" si="83"/>
        <v>0</v>
      </c>
      <c r="AB635" s="573"/>
      <c r="AC635" s="487"/>
      <c r="AD635" s="573"/>
      <c r="AE635" s="487"/>
      <c r="AF635" s="577">
        <f t="shared" si="79"/>
        <v>0</v>
      </c>
      <c r="AG635" s="275">
        <f t="shared" si="80"/>
        <v>0</v>
      </c>
    </row>
    <row r="636" spans="1:33" s="578" customFormat="1" ht="12" customHeight="1">
      <c r="A636" s="714" t="s">
        <v>1276</v>
      </c>
      <c r="B636" s="714" t="s">
        <v>1511</v>
      </c>
      <c r="C636" s="828" t="s">
        <v>1883</v>
      </c>
      <c r="D636" s="717"/>
      <c r="E636" s="718"/>
      <c r="F636" s="573"/>
      <c r="G636" s="487"/>
      <c r="H636" s="573"/>
      <c r="I636" s="487"/>
      <c r="J636" s="573"/>
      <c r="K636" s="487"/>
      <c r="L636" s="573"/>
      <c r="M636" s="573"/>
      <c r="N636" s="456">
        <f t="shared" si="81"/>
        <v>0</v>
      </c>
      <c r="O636" s="487"/>
      <c r="P636" s="487"/>
      <c r="Q636" s="274">
        <f t="shared" si="76"/>
        <v>0</v>
      </c>
      <c r="R636" s="574">
        <f t="shared" si="77"/>
        <v>0</v>
      </c>
      <c r="S636" s="275">
        <f t="shared" si="78"/>
        <v>0</v>
      </c>
      <c r="T636" s="575"/>
      <c r="U636" s="487"/>
      <c r="V636" s="576"/>
      <c r="W636" s="573"/>
      <c r="X636" s="574">
        <f t="shared" si="82"/>
        <v>0</v>
      </c>
      <c r="Y636" s="487"/>
      <c r="Z636" s="487"/>
      <c r="AA636" s="276">
        <f t="shared" si="83"/>
        <v>0</v>
      </c>
      <c r="AB636" s="573"/>
      <c r="AC636" s="487"/>
      <c r="AD636" s="573"/>
      <c r="AE636" s="487"/>
      <c r="AF636" s="577">
        <f t="shared" si="79"/>
        <v>0</v>
      </c>
      <c r="AG636" s="275">
        <f t="shared" si="80"/>
        <v>0</v>
      </c>
    </row>
    <row r="637" spans="1:33" s="578" customFormat="1" ht="12" customHeight="1">
      <c r="A637" s="714" t="s">
        <v>1276</v>
      </c>
      <c r="B637" s="714" t="s">
        <v>1412</v>
      </c>
      <c r="C637" s="828" t="s">
        <v>1761</v>
      </c>
      <c r="D637" s="717"/>
      <c r="E637" s="718"/>
      <c r="F637" s="573"/>
      <c r="G637" s="487"/>
      <c r="H637" s="573"/>
      <c r="I637" s="487"/>
      <c r="J637" s="573"/>
      <c r="K637" s="487"/>
      <c r="L637" s="573"/>
      <c r="M637" s="573"/>
      <c r="N637" s="456">
        <f t="shared" si="81"/>
        <v>0</v>
      </c>
      <c r="O637" s="487"/>
      <c r="P637" s="487"/>
      <c r="Q637" s="274">
        <f t="shared" si="76"/>
        <v>0</v>
      </c>
      <c r="R637" s="574">
        <f t="shared" si="77"/>
        <v>0</v>
      </c>
      <c r="S637" s="275">
        <f t="shared" si="78"/>
        <v>0</v>
      </c>
      <c r="T637" s="575">
        <v>75979</v>
      </c>
      <c r="U637" s="487">
        <v>91556</v>
      </c>
      <c r="V637" s="576"/>
      <c r="W637" s="573"/>
      <c r="X637" s="574">
        <f t="shared" si="82"/>
        <v>0</v>
      </c>
      <c r="Y637" s="487"/>
      <c r="Z637" s="487"/>
      <c r="AA637" s="276">
        <f t="shared" si="83"/>
        <v>0</v>
      </c>
      <c r="AB637" s="573"/>
      <c r="AC637" s="487"/>
      <c r="AD637" s="573"/>
      <c r="AE637" s="487"/>
      <c r="AF637" s="577">
        <f t="shared" si="79"/>
        <v>75979</v>
      </c>
      <c r="AG637" s="275">
        <f t="shared" si="80"/>
        <v>91556</v>
      </c>
    </row>
    <row r="638" spans="1:33" s="578" customFormat="1" ht="12" customHeight="1">
      <c r="A638" s="714" t="s">
        <v>1276</v>
      </c>
      <c r="B638" s="714" t="s">
        <v>1413</v>
      </c>
      <c r="C638" s="828" t="s">
        <v>1586</v>
      </c>
      <c r="D638" s="717"/>
      <c r="E638" s="718"/>
      <c r="F638" s="573"/>
      <c r="G638" s="487"/>
      <c r="H638" s="573"/>
      <c r="I638" s="487"/>
      <c r="J638" s="573"/>
      <c r="K638" s="487"/>
      <c r="L638" s="573"/>
      <c r="M638" s="573"/>
      <c r="N638" s="456">
        <f t="shared" si="81"/>
        <v>0</v>
      </c>
      <c r="O638" s="487"/>
      <c r="P638" s="487"/>
      <c r="Q638" s="274">
        <f t="shared" si="76"/>
        <v>0</v>
      </c>
      <c r="R638" s="574">
        <f t="shared" si="77"/>
        <v>0</v>
      </c>
      <c r="S638" s="275">
        <f t="shared" si="78"/>
        <v>0</v>
      </c>
      <c r="T638" s="575"/>
      <c r="U638" s="487"/>
      <c r="V638" s="576"/>
      <c r="W638" s="573"/>
      <c r="X638" s="574">
        <f t="shared" si="82"/>
        <v>0</v>
      </c>
      <c r="Y638" s="487"/>
      <c r="Z638" s="487"/>
      <c r="AA638" s="276">
        <f t="shared" si="83"/>
        <v>0</v>
      </c>
      <c r="AB638" s="573"/>
      <c r="AC638" s="487"/>
      <c r="AD638" s="573"/>
      <c r="AE638" s="487"/>
      <c r="AF638" s="577">
        <f t="shared" si="79"/>
        <v>0</v>
      </c>
      <c r="AG638" s="275">
        <f t="shared" si="80"/>
        <v>0</v>
      </c>
    </row>
    <row r="639" spans="1:33" s="578" customFormat="1" ht="12" customHeight="1">
      <c r="A639" s="714" t="s">
        <v>1276</v>
      </c>
      <c r="B639" s="714" t="s">
        <v>1582</v>
      </c>
      <c r="C639" s="828" t="s">
        <v>1883</v>
      </c>
      <c r="D639" s="717"/>
      <c r="E639" s="718"/>
      <c r="F639" s="573"/>
      <c r="G639" s="487"/>
      <c r="H639" s="573"/>
      <c r="I639" s="487"/>
      <c r="J639" s="573"/>
      <c r="K639" s="487"/>
      <c r="L639" s="573"/>
      <c r="M639" s="573"/>
      <c r="N639" s="456">
        <f t="shared" si="81"/>
        <v>0</v>
      </c>
      <c r="O639" s="487"/>
      <c r="P639" s="487"/>
      <c r="Q639" s="274">
        <f t="shared" si="76"/>
        <v>0</v>
      </c>
      <c r="R639" s="574">
        <f t="shared" si="77"/>
        <v>0</v>
      </c>
      <c r="S639" s="275">
        <f t="shared" si="78"/>
        <v>0</v>
      </c>
      <c r="T639" s="575"/>
      <c r="U639" s="487"/>
      <c r="V639" s="576"/>
      <c r="W639" s="573"/>
      <c r="X639" s="574">
        <f t="shared" si="82"/>
        <v>0</v>
      </c>
      <c r="Y639" s="487"/>
      <c r="Z639" s="487"/>
      <c r="AA639" s="276">
        <f t="shared" si="83"/>
        <v>0</v>
      </c>
      <c r="AB639" s="573"/>
      <c r="AC639" s="487"/>
      <c r="AD639" s="573"/>
      <c r="AE639" s="487"/>
      <c r="AF639" s="577">
        <f t="shared" si="79"/>
        <v>0</v>
      </c>
      <c r="AG639" s="275">
        <f t="shared" si="80"/>
        <v>0</v>
      </c>
    </row>
    <row r="640" spans="1:33" s="578" customFormat="1" ht="12" customHeight="1">
      <c r="A640" s="714" t="s">
        <v>1276</v>
      </c>
      <c r="B640" s="714" t="s">
        <v>1583</v>
      </c>
      <c r="C640" s="828" t="s">
        <v>1761</v>
      </c>
      <c r="D640" s="717"/>
      <c r="E640" s="718"/>
      <c r="F640" s="573"/>
      <c r="G640" s="487"/>
      <c r="H640" s="573"/>
      <c r="I640" s="487"/>
      <c r="J640" s="573"/>
      <c r="K640" s="487"/>
      <c r="L640" s="573"/>
      <c r="M640" s="573"/>
      <c r="N640" s="456">
        <f t="shared" si="81"/>
        <v>0</v>
      </c>
      <c r="O640" s="487"/>
      <c r="P640" s="487"/>
      <c r="Q640" s="274">
        <f t="shared" si="76"/>
        <v>0</v>
      </c>
      <c r="R640" s="574">
        <f t="shared" si="77"/>
        <v>0</v>
      </c>
      <c r="S640" s="275">
        <f t="shared" si="78"/>
        <v>0</v>
      </c>
      <c r="T640" s="575"/>
      <c r="U640" s="487"/>
      <c r="V640" s="576"/>
      <c r="W640" s="573"/>
      <c r="X640" s="574">
        <f t="shared" si="82"/>
        <v>0</v>
      </c>
      <c r="Y640" s="487"/>
      <c r="Z640" s="487"/>
      <c r="AA640" s="276">
        <f t="shared" si="83"/>
        <v>0</v>
      </c>
      <c r="AB640" s="573"/>
      <c r="AC640" s="487"/>
      <c r="AD640" s="573"/>
      <c r="AE640" s="487"/>
      <c r="AF640" s="577">
        <f t="shared" si="79"/>
        <v>0</v>
      </c>
      <c r="AG640" s="275">
        <f t="shared" si="80"/>
        <v>0</v>
      </c>
    </row>
    <row r="641" spans="1:33" s="578" customFormat="1" ht="12" customHeight="1">
      <c r="A641" s="714" t="s">
        <v>1276</v>
      </c>
      <c r="B641" s="714" t="s">
        <v>1805</v>
      </c>
      <c r="C641" s="831" t="s">
        <v>1968</v>
      </c>
      <c r="D641" s="717"/>
      <c r="E641" s="718"/>
      <c r="F641" s="573"/>
      <c r="G641" s="487"/>
      <c r="H641" s="573"/>
      <c r="I641" s="487"/>
      <c r="J641" s="573"/>
      <c r="K641" s="487"/>
      <c r="L641" s="573"/>
      <c r="M641" s="573"/>
      <c r="N641" s="456">
        <f t="shared" si="81"/>
        <v>0</v>
      </c>
      <c r="O641" s="487"/>
      <c r="P641" s="487"/>
      <c r="Q641" s="274">
        <f t="shared" si="76"/>
        <v>0</v>
      </c>
      <c r="R641" s="574">
        <f t="shared" si="77"/>
        <v>0</v>
      </c>
      <c r="S641" s="275">
        <f t="shared" si="78"/>
        <v>0</v>
      </c>
      <c r="T641" s="575"/>
      <c r="U641" s="487"/>
      <c r="V641" s="576"/>
      <c r="W641" s="573"/>
      <c r="X641" s="574">
        <f t="shared" si="82"/>
        <v>0</v>
      </c>
      <c r="Y641" s="487"/>
      <c r="Z641" s="487"/>
      <c r="AA641" s="276">
        <f t="shared" si="83"/>
        <v>0</v>
      </c>
      <c r="AB641" s="573"/>
      <c r="AC641" s="487"/>
      <c r="AD641" s="573"/>
      <c r="AE641" s="487"/>
      <c r="AF641" s="577">
        <f t="shared" si="79"/>
        <v>0</v>
      </c>
      <c r="AG641" s="275">
        <f t="shared" si="80"/>
        <v>0</v>
      </c>
    </row>
    <row r="642" spans="1:33" s="578" customFormat="1" ht="12" customHeight="1">
      <c r="A642" s="714" t="s">
        <v>1276</v>
      </c>
      <c r="B642" s="714" t="s">
        <v>1510</v>
      </c>
      <c r="C642" s="828" t="s">
        <v>1762</v>
      </c>
      <c r="D642" s="717"/>
      <c r="E642" s="718"/>
      <c r="F642" s="573"/>
      <c r="G642" s="487"/>
      <c r="H642" s="573"/>
      <c r="I642" s="487"/>
      <c r="J642" s="573"/>
      <c r="K642" s="487"/>
      <c r="L642" s="573"/>
      <c r="M642" s="573"/>
      <c r="N642" s="456">
        <f t="shared" si="81"/>
        <v>0</v>
      </c>
      <c r="O642" s="487"/>
      <c r="P642" s="487"/>
      <c r="Q642" s="274">
        <f t="shared" si="76"/>
        <v>0</v>
      </c>
      <c r="R642" s="574">
        <f t="shared" si="77"/>
        <v>0</v>
      </c>
      <c r="S642" s="275">
        <f t="shared" si="78"/>
        <v>0</v>
      </c>
      <c r="T642" s="575"/>
      <c r="U642" s="487"/>
      <c r="V642" s="576"/>
      <c r="W642" s="573"/>
      <c r="X642" s="574">
        <f t="shared" si="82"/>
        <v>0</v>
      </c>
      <c r="Y642" s="487"/>
      <c r="Z642" s="487"/>
      <c r="AA642" s="276">
        <f t="shared" si="83"/>
        <v>0</v>
      </c>
      <c r="AB642" s="573"/>
      <c r="AC642" s="487"/>
      <c r="AD642" s="573"/>
      <c r="AE642" s="487"/>
      <c r="AF642" s="577">
        <f t="shared" si="79"/>
        <v>0</v>
      </c>
      <c r="AG642" s="275">
        <f t="shared" si="80"/>
        <v>0</v>
      </c>
    </row>
    <row r="643" spans="1:33" s="578" customFormat="1" ht="12" customHeight="1">
      <c r="A643" s="714" t="s">
        <v>1276</v>
      </c>
      <c r="B643" s="714" t="s">
        <v>1511</v>
      </c>
      <c r="C643" s="828" t="s">
        <v>1883</v>
      </c>
      <c r="D643" s="717"/>
      <c r="E643" s="718"/>
      <c r="F643" s="573"/>
      <c r="G643" s="487"/>
      <c r="H643" s="573"/>
      <c r="I643" s="487"/>
      <c r="J643" s="573"/>
      <c r="K643" s="487"/>
      <c r="L643" s="573"/>
      <c r="M643" s="573"/>
      <c r="N643" s="456">
        <f t="shared" si="81"/>
        <v>0</v>
      </c>
      <c r="O643" s="487"/>
      <c r="P643" s="487"/>
      <c r="Q643" s="274">
        <f t="shared" si="76"/>
        <v>0</v>
      </c>
      <c r="R643" s="574">
        <f t="shared" si="77"/>
        <v>0</v>
      </c>
      <c r="S643" s="275">
        <f t="shared" si="78"/>
        <v>0</v>
      </c>
      <c r="T643" s="575"/>
      <c r="U643" s="487"/>
      <c r="V643" s="576"/>
      <c r="W643" s="573"/>
      <c r="X643" s="574">
        <f t="shared" si="82"/>
        <v>0</v>
      </c>
      <c r="Y643" s="487"/>
      <c r="Z643" s="487"/>
      <c r="AA643" s="276">
        <f t="shared" si="83"/>
        <v>0</v>
      </c>
      <c r="AB643" s="573"/>
      <c r="AC643" s="487"/>
      <c r="AD643" s="573"/>
      <c r="AE643" s="487"/>
      <c r="AF643" s="577">
        <f t="shared" si="79"/>
        <v>0</v>
      </c>
      <c r="AG643" s="275">
        <f t="shared" si="80"/>
        <v>0</v>
      </c>
    </row>
    <row r="644" spans="1:33" s="578" customFormat="1" ht="12" customHeight="1">
      <c r="A644" s="714" t="s">
        <v>1276</v>
      </c>
      <c r="B644" s="714" t="s">
        <v>1412</v>
      </c>
      <c r="C644" s="828" t="s">
        <v>1761</v>
      </c>
      <c r="D644" s="717"/>
      <c r="E644" s="718"/>
      <c r="F644" s="573"/>
      <c r="G644" s="487"/>
      <c r="H644" s="573"/>
      <c r="I644" s="487"/>
      <c r="J644" s="573"/>
      <c r="K644" s="487"/>
      <c r="L644" s="573"/>
      <c r="M644" s="573"/>
      <c r="N644" s="456">
        <f t="shared" si="81"/>
        <v>0</v>
      </c>
      <c r="O644" s="487"/>
      <c r="P644" s="487"/>
      <c r="Q644" s="274">
        <f t="shared" si="76"/>
        <v>0</v>
      </c>
      <c r="R644" s="574">
        <f t="shared" si="77"/>
        <v>0</v>
      </c>
      <c r="S644" s="275">
        <f t="shared" si="78"/>
        <v>0</v>
      </c>
      <c r="T644" s="575">
        <v>21700</v>
      </c>
      <c r="U644" s="487">
        <v>14561</v>
      </c>
      <c r="V644" s="576"/>
      <c r="W644" s="573"/>
      <c r="X644" s="574">
        <f t="shared" si="82"/>
        <v>0</v>
      </c>
      <c r="Y644" s="487"/>
      <c r="Z644" s="487"/>
      <c r="AA644" s="276">
        <f t="shared" si="83"/>
        <v>0</v>
      </c>
      <c r="AB644" s="573"/>
      <c r="AC644" s="487"/>
      <c r="AD644" s="573"/>
      <c r="AE644" s="487"/>
      <c r="AF644" s="577">
        <f t="shared" si="79"/>
        <v>21700</v>
      </c>
      <c r="AG644" s="275">
        <f t="shared" si="80"/>
        <v>14561</v>
      </c>
    </row>
    <row r="645" spans="1:33" s="578" customFormat="1" ht="12" customHeight="1">
      <c r="A645" s="714" t="s">
        <v>1276</v>
      </c>
      <c r="B645" s="714" t="s">
        <v>1413</v>
      </c>
      <c r="C645" s="828" t="s">
        <v>1586</v>
      </c>
      <c r="D645" s="717"/>
      <c r="E645" s="718"/>
      <c r="F645" s="573"/>
      <c r="G645" s="487"/>
      <c r="H645" s="573"/>
      <c r="I645" s="487"/>
      <c r="J645" s="573"/>
      <c r="K645" s="487"/>
      <c r="L645" s="573"/>
      <c r="M645" s="573"/>
      <c r="N645" s="456">
        <f t="shared" si="81"/>
        <v>0</v>
      </c>
      <c r="O645" s="487"/>
      <c r="P645" s="487"/>
      <c r="Q645" s="274">
        <f t="shared" si="76"/>
        <v>0</v>
      </c>
      <c r="R645" s="574">
        <f t="shared" si="77"/>
        <v>0</v>
      </c>
      <c r="S645" s="275">
        <f t="shared" si="78"/>
        <v>0</v>
      </c>
      <c r="T645" s="575"/>
      <c r="U645" s="487"/>
      <c r="V645" s="576"/>
      <c r="W645" s="573"/>
      <c r="X645" s="574">
        <f t="shared" si="82"/>
        <v>0</v>
      </c>
      <c r="Y645" s="487"/>
      <c r="Z645" s="487"/>
      <c r="AA645" s="276">
        <f t="shared" si="83"/>
        <v>0</v>
      </c>
      <c r="AB645" s="573"/>
      <c r="AC645" s="487"/>
      <c r="AD645" s="573"/>
      <c r="AE645" s="487"/>
      <c r="AF645" s="577">
        <f t="shared" si="79"/>
        <v>0</v>
      </c>
      <c r="AG645" s="275">
        <f t="shared" si="80"/>
        <v>0</v>
      </c>
    </row>
    <row r="646" spans="1:33" s="578" customFormat="1" ht="12" customHeight="1">
      <c r="A646" s="714" t="s">
        <v>1276</v>
      </c>
      <c r="B646" s="714" t="s">
        <v>1582</v>
      </c>
      <c r="C646" s="828" t="s">
        <v>1883</v>
      </c>
      <c r="D646" s="717"/>
      <c r="E646" s="718"/>
      <c r="F646" s="573"/>
      <c r="G646" s="487"/>
      <c r="H646" s="573"/>
      <c r="I646" s="487"/>
      <c r="J646" s="573"/>
      <c r="K646" s="487"/>
      <c r="L646" s="573"/>
      <c r="M646" s="573"/>
      <c r="N646" s="456">
        <f t="shared" si="81"/>
        <v>0</v>
      </c>
      <c r="O646" s="487"/>
      <c r="P646" s="487"/>
      <c r="Q646" s="274">
        <f t="shared" si="76"/>
        <v>0</v>
      </c>
      <c r="R646" s="574">
        <f t="shared" si="77"/>
        <v>0</v>
      </c>
      <c r="S646" s="275">
        <f t="shared" si="78"/>
        <v>0</v>
      </c>
      <c r="T646" s="575"/>
      <c r="U646" s="487"/>
      <c r="V646" s="576"/>
      <c r="W646" s="573"/>
      <c r="X646" s="574">
        <f t="shared" si="82"/>
        <v>0</v>
      </c>
      <c r="Y646" s="487"/>
      <c r="Z646" s="487"/>
      <c r="AA646" s="276">
        <f t="shared" si="83"/>
        <v>0</v>
      </c>
      <c r="AB646" s="573"/>
      <c r="AC646" s="487"/>
      <c r="AD646" s="573"/>
      <c r="AE646" s="487"/>
      <c r="AF646" s="577">
        <f t="shared" si="79"/>
        <v>0</v>
      </c>
      <c r="AG646" s="275">
        <f t="shared" si="80"/>
        <v>0</v>
      </c>
    </row>
    <row r="647" spans="1:33" s="578" customFormat="1" ht="12" customHeight="1">
      <c r="A647" s="714" t="s">
        <v>1276</v>
      </c>
      <c r="B647" s="714" t="s">
        <v>1583</v>
      </c>
      <c r="C647" s="828" t="s">
        <v>1761</v>
      </c>
      <c r="D647" s="717"/>
      <c r="E647" s="718"/>
      <c r="F647" s="573"/>
      <c r="G647" s="487"/>
      <c r="H647" s="573"/>
      <c r="I647" s="487"/>
      <c r="J647" s="573"/>
      <c r="K647" s="487"/>
      <c r="L647" s="573"/>
      <c r="M647" s="573"/>
      <c r="N647" s="456">
        <f t="shared" si="81"/>
        <v>0</v>
      </c>
      <c r="O647" s="487"/>
      <c r="P647" s="487"/>
      <c r="Q647" s="274">
        <f t="shared" si="76"/>
        <v>0</v>
      </c>
      <c r="R647" s="574">
        <f t="shared" si="77"/>
        <v>0</v>
      </c>
      <c r="S647" s="275">
        <f t="shared" si="78"/>
        <v>0</v>
      </c>
      <c r="T647" s="575">
        <v>13300</v>
      </c>
      <c r="U647" s="487">
        <v>9420</v>
      </c>
      <c r="V647" s="576"/>
      <c r="W647" s="573"/>
      <c r="X647" s="574">
        <f t="shared" si="82"/>
        <v>0</v>
      </c>
      <c r="Y647" s="487"/>
      <c r="Z647" s="487"/>
      <c r="AA647" s="276">
        <f t="shared" si="83"/>
        <v>0</v>
      </c>
      <c r="AB647" s="573"/>
      <c r="AC647" s="487"/>
      <c r="AD647" s="573"/>
      <c r="AE647" s="487"/>
      <c r="AF647" s="577">
        <f t="shared" si="79"/>
        <v>13300</v>
      </c>
      <c r="AG647" s="275">
        <f t="shared" si="80"/>
        <v>9420</v>
      </c>
    </row>
    <row r="648" spans="1:33" s="578" customFormat="1" ht="12" customHeight="1">
      <c r="A648" s="714" t="s">
        <v>1276</v>
      </c>
      <c r="B648" s="714" t="s">
        <v>1805</v>
      </c>
      <c r="C648" s="831" t="s">
        <v>1969</v>
      </c>
      <c r="D648" s="717"/>
      <c r="E648" s="718"/>
      <c r="F648" s="573"/>
      <c r="G648" s="487"/>
      <c r="H648" s="573"/>
      <c r="I648" s="487"/>
      <c r="J648" s="573"/>
      <c r="K648" s="487"/>
      <c r="L648" s="573"/>
      <c r="M648" s="573"/>
      <c r="N648" s="456">
        <f t="shared" si="81"/>
        <v>0</v>
      </c>
      <c r="O648" s="487"/>
      <c r="P648" s="487"/>
      <c r="Q648" s="274">
        <f t="shared" si="76"/>
        <v>0</v>
      </c>
      <c r="R648" s="574">
        <f t="shared" si="77"/>
        <v>0</v>
      </c>
      <c r="S648" s="275">
        <f t="shared" si="78"/>
        <v>0</v>
      </c>
      <c r="T648" s="575"/>
      <c r="U648" s="487"/>
      <c r="V648" s="576"/>
      <c r="W648" s="573"/>
      <c r="X648" s="574">
        <f t="shared" si="82"/>
        <v>0</v>
      </c>
      <c r="Y648" s="487"/>
      <c r="Z648" s="487"/>
      <c r="AA648" s="276">
        <f t="shared" si="83"/>
        <v>0</v>
      </c>
      <c r="AB648" s="573"/>
      <c r="AC648" s="487"/>
      <c r="AD648" s="573"/>
      <c r="AE648" s="487"/>
      <c r="AF648" s="577">
        <f t="shared" si="79"/>
        <v>0</v>
      </c>
      <c r="AG648" s="275">
        <f t="shared" si="80"/>
        <v>0</v>
      </c>
    </row>
    <row r="649" spans="1:33" s="578" customFormat="1" ht="12" customHeight="1">
      <c r="A649" s="714" t="s">
        <v>1276</v>
      </c>
      <c r="B649" s="714" t="s">
        <v>1510</v>
      </c>
      <c r="C649" s="828" t="s">
        <v>1762</v>
      </c>
      <c r="D649" s="717"/>
      <c r="E649" s="718"/>
      <c r="F649" s="573"/>
      <c r="G649" s="487"/>
      <c r="H649" s="573"/>
      <c r="I649" s="487"/>
      <c r="J649" s="573"/>
      <c r="K649" s="487"/>
      <c r="L649" s="573"/>
      <c r="M649" s="573"/>
      <c r="N649" s="456">
        <f t="shared" si="81"/>
        <v>0</v>
      </c>
      <c r="O649" s="487"/>
      <c r="P649" s="487"/>
      <c r="Q649" s="274">
        <f t="shared" si="76"/>
        <v>0</v>
      </c>
      <c r="R649" s="574">
        <f t="shared" si="77"/>
        <v>0</v>
      </c>
      <c r="S649" s="275">
        <f t="shared" si="78"/>
        <v>0</v>
      </c>
      <c r="T649" s="575"/>
      <c r="U649" s="487"/>
      <c r="V649" s="576"/>
      <c r="W649" s="573"/>
      <c r="X649" s="574">
        <f t="shared" si="82"/>
        <v>0</v>
      </c>
      <c r="Y649" s="487"/>
      <c r="Z649" s="487"/>
      <c r="AA649" s="276">
        <f t="shared" si="83"/>
        <v>0</v>
      </c>
      <c r="AB649" s="573"/>
      <c r="AC649" s="487"/>
      <c r="AD649" s="573"/>
      <c r="AE649" s="487"/>
      <c r="AF649" s="577">
        <f t="shared" si="79"/>
        <v>0</v>
      </c>
      <c r="AG649" s="275">
        <f t="shared" si="80"/>
        <v>0</v>
      </c>
    </row>
    <row r="650" spans="1:33" s="578" customFormat="1" ht="12" customHeight="1">
      <c r="A650" s="714" t="s">
        <v>1276</v>
      </c>
      <c r="B650" s="714" t="s">
        <v>1511</v>
      </c>
      <c r="C650" s="828" t="s">
        <v>1883</v>
      </c>
      <c r="D650" s="717"/>
      <c r="E650" s="718"/>
      <c r="F650" s="573"/>
      <c r="G650" s="487"/>
      <c r="H650" s="573"/>
      <c r="I650" s="487"/>
      <c r="J650" s="573"/>
      <c r="K650" s="487"/>
      <c r="L650" s="573"/>
      <c r="M650" s="573"/>
      <c r="N650" s="456">
        <f t="shared" si="81"/>
        <v>0</v>
      </c>
      <c r="O650" s="487"/>
      <c r="P650" s="487"/>
      <c r="Q650" s="274">
        <f t="shared" ref="Q650:Q713" si="84">SUM(O650:P650)</f>
        <v>0</v>
      </c>
      <c r="R650" s="574">
        <f t="shared" ref="R650:R713" si="85">SUM(F650,H650,J650,L650)</f>
        <v>0</v>
      </c>
      <c r="S650" s="275">
        <f t="shared" ref="S650:S713" si="86">SUM(G650,I650,K650,O650)</f>
        <v>0</v>
      </c>
      <c r="T650" s="575"/>
      <c r="U650" s="487"/>
      <c r="V650" s="576"/>
      <c r="W650" s="573"/>
      <c r="X650" s="574">
        <f t="shared" si="82"/>
        <v>0</v>
      </c>
      <c r="Y650" s="487"/>
      <c r="Z650" s="487"/>
      <c r="AA650" s="276">
        <f t="shared" si="83"/>
        <v>0</v>
      </c>
      <c r="AB650" s="573"/>
      <c r="AC650" s="487"/>
      <c r="AD650" s="573"/>
      <c r="AE650" s="487"/>
      <c r="AF650" s="577">
        <f t="shared" ref="AF650:AF713" si="87">SUM(R650,T650,V650,AB650,AD650)</f>
        <v>0</v>
      </c>
      <c r="AG650" s="275">
        <f t="shared" ref="AG650:AG713" si="88">SUM(S650,U650,Y650,AC650,AE650)</f>
        <v>0</v>
      </c>
    </row>
    <row r="651" spans="1:33" s="578" customFormat="1" ht="12" customHeight="1">
      <c r="A651" s="714" t="s">
        <v>1276</v>
      </c>
      <c r="B651" s="714" t="s">
        <v>1412</v>
      </c>
      <c r="C651" s="828" t="s">
        <v>1761</v>
      </c>
      <c r="D651" s="717"/>
      <c r="E651" s="718"/>
      <c r="F651" s="573"/>
      <c r="G651" s="487"/>
      <c r="H651" s="573"/>
      <c r="I651" s="487"/>
      <c r="J651" s="573"/>
      <c r="K651" s="487"/>
      <c r="L651" s="573"/>
      <c r="M651" s="573"/>
      <c r="N651" s="456">
        <f t="shared" si="81"/>
        <v>0</v>
      </c>
      <c r="O651" s="487"/>
      <c r="P651" s="487"/>
      <c r="Q651" s="274">
        <f t="shared" si="84"/>
        <v>0</v>
      </c>
      <c r="R651" s="574">
        <f t="shared" si="85"/>
        <v>0</v>
      </c>
      <c r="S651" s="275">
        <f t="shared" si="86"/>
        <v>0</v>
      </c>
      <c r="T651" s="575"/>
      <c r="U651" s="487"/>
      <c r="V651" s="576"/>
      <c r="W651" s="573"/>
      <c r="X651" s="574">
        <f t="shared" si="82"/>
        <v>0</v>
      </c>
      <c r="Y651" s="487"/>
      <c r="Z651" s="487"/>
      <c r="AA651" s="276">
        <f t="shared" si="83"/>
        <v>0</v>
      </c>
      <c r="AB651" s="573"/>
      <c r="AC651" s="487"/>
      <c r="AD651" s="573"/>
      <c r="AE651" s="487"/>
      <c r="AF651" s="577">
        <f t="shared" si="87"/>
        <v>0</v>
      </c>
      <c r="AG651" s="275">
        <f t="shared" si="88"/>
        <v>0</v>
      </c>
    </row>
    <row r="652" spans="1:33" s="578" customFormat="1" ht="12" customHeight="1">
      <c r="A652" s="714" t="s">
        <v>1276</v>
      </c>
      <c r="B652" s="714" t="s">
        <v>1413</v>
      </c>
      <c r="C652" s="828" t="s">
        <v>1586</v>
      </c>
      <c r="D652" s="717"/>
      <c r="E652" s="718"/>
      <c r="F652" s="573"/>
      <c r="G652" s="487"/>
      <c r="H652" s="573"/>
      <c r="I652" s="487"/>
      <c r="J652" s="573"/>
      <c r="K652" s="487"/>
      <c r="L652" s="573"/>
      <c r="M652" s="573"/>
      <c r="N652" s="456">
        <f t="shared" si="81"/>
        <v>0</v>
      </c>
      <c r="O652" s="487"/>
      <c r="P652" s="487"/>
      <c r="Q652" s="274">
        <f t="shared" si="84"/>
        <v>0</v>
      </c>
      <c r="R652" s="574">
        <f t="shared" si="85"/>
        <v>0</v>
      </c>
      <c r="S652" s="275">
        <f t="shared" si="86"/>
        <v>0</v>
      </c>
      <c r="T652" s="575"/>
      <c r="U652" s="487"/>
      <c r="V652" s="576"/>
      <c r="W652" s="573"/>
      <c r="X652" s="574">
        <f t="shared" si="82"/>
        <v>0</v>
      </c>
      <c r="Y652" s="487"/>
      <c r="Z652" s="487"/>
      <c r="AA652" s="276">
        <f t="shared" si="83"/>
        <v>0</v>
      </c>
      <c r="AB652" s="573"/>
      <c r="AC652" s="487"/>
      <c r="AD652" s="573"/>
      <c r="AE652" s="487"/>
      <c r="AF652" s="577">
        <f t="shared" si="87"/>
        <v>0</v>
      </c>
      <c r="AG652" s="275">
        <f t="shared" si="88"/>
        <v>0</v>
      </c>
    </row>
    <row r="653" spans="1:33" s="578" customFormat="1" ht="12" customHeight="1">
      <c r="A653" s="714" t="s">
        <v>1276</v>
      </c>
      <c r="B653" s="714" t="s">
        <v>1582</v>
      </c>
      <c r="C653" s="828" t="s">
        <v>1883</v>
      </c>
      <c r="D653" s="717"/>
      <c r="E653" s="718"/>
      <c r="F653" s="573"/>
      <c r="G653" s="487"/>
      <c r="H653" s="573"/>
      <c r="I653" s="487"/>
      <c r="J653" s="573"/>
      <c r="K653" s="487"/>
      <c r="L653" s="573"/>
      <c r="M653" s="573"/>
      <c r="N653" s="456">
        <f t="shared" si="81"/>
        <v>0</v>
      </c>
      <c r="O653" s="487"/>
      <c r="P653" s="487"/>
      <c r="Q653" s="274">
        <f t="shared" si="84"/>
        <v>0</v>
      </c>
      <c r="R653" s="574">
        <f t="shared" si="85"/>
        <v>0</v>
      </c>
      <c r="S653" s="275">
        <f t="shared" si="86"/>
        <v>0</v>
      </c>
      <c r="T653" s="575">
        <v>387000</v>
      </c>
      <c r="U653" s="487">
        <v>385795</v>
      </c>
      <c r="V653" s="576"/>
      <c r="W653" s="573"/>
      <c r="X653" s="574">
        <f t="shared" si="82"/>
        <v>0</v>
      </c>
      <c r="Y653" s="487"/>
      <c r="Z653" s="487"/>
      <c r="AA653" s="276">
        <f t="shared" si="83"/>
        <v>0</v>
      </c>
      <c r="AB653" s="573"/>
      <c r="AC653" s="487"/>
      <c r="AD653" s="573"/>
      <c r="AE653" s="487"/>
      <c r="AF653" s="577">
        <f t="shared" si="87"/>
        <v>387000</v>
      </c>
      <c r="AG653" s="275">
        <f t="shared" si="88"/>
        <v>385795</v>
      </c>
    </row>
    <row r="654" spans="1:33" s="578" customFormat="1" ht="12" customHeight="1">
      <c r="A654" s="714" t="s">
        <v>1276</v>
      </c>
      <c r="B654" s="714" t="s">
        <v>1583</v>
      </c>
      <c r="C654" s="828" t="s">
        <v>1761</v>
      </c>
      <c r="D654" s="717"/>
      <c r="E654" s="718"/>
      <c r="F654" s="573"/>
      <c r="G654" s="487"/>
      <c r="H654" s="573"/>
      <c r="I654" s="487"/>
      <c r="J654" s="573"/>
      <c r="K654" s="487"/>
      <c r="L654" s="573"/>
      <c r="M654" s="573"/>
      <c r="N654" s="456">
        <f t="shared" si="81"/>
        <v>0</v>
      </c>
      <c r="O654" s="487"/>
      <c r="P654" s="487"/>
      <c r="Q654" s="274">
        <f t="shared" si="84"/>
        <v>0</v>
      </c>
      <c r="R654" s="574">
        <f t="shared" si="85"/>
        <v>0</v>
      </c>
      <c r="S654" s="275">
        <f t="shared" si="86"/>
        <v>0</v>
      </c>
      <c r="T654" s="575">
        <v>93000</v>
      </c>
      <c r="U654" s="487">
        <v>94205</v>
      </c>
      <c r="V654" s="576"/>
      <c r="W654" s="573"/>
      <c r="X654" s="574">
        <f t="shared" si="82"/>
        <v>0</v>
      </c>
      <c r="Y654" s="487"/>
      <c r="Z654" s="487"/>
      <c r="AA654" s="276">
        <f t="shared" si="83"/>
        <v>0</v>
      </c>
      <c r="AB654" s="573"/>
      <c r="AC654" s="487"/>
      <c r="AD654" s="573"/>
      <c r="AE654" s="487"/>
      <c r="AF654" s="577">
        <f t="shared" si="87"/>
        <v>93000</v>
      </c>
      <c r="AG654" s="275">
        <f t="shared" si="88"/>
        <v>94205</v>
      </c>
    </row>
    <row r="655" spans="1:33" s="578" customFormat="1" ht="12" customHeight="1">
      <c r="A655" s="714" t="s">
        <v>1276</v>
      </c>
      <c r="B655" s="714" t="s">
        <v>1805</v>
      </c>
      <c r="C655" s="831" t="s">
        <v>1970</v>
      </c>
      <c r="D655" s="717"/>
      <c r="E655" s="718"/>
      <c r="F655" s="573"/>
      <c r="G655" s="487"/>
      <c r="H655" s="573"/>
      <c r="I655" s="487"/>
      <c r="J655" s="573"/>
      <c r="K655" s="487"/>
      <c r="L655" s="573"/>
      <c r="M655" s="573"/>
      <c r="N655" s="456">
        <f t="shared" si="81"/>
        <v>0</v>
      </c>
      <c r="O655" s="487"/>
      <c r="P655" s="487"/>
      <c r="Q655" s="274">
        <f t="shared" si="84"/>
        <v>0</v>
      </c>
      <c r="R655" s="574">
        <f t="shared" si="85"/>
        <v>0</v>
      </c>
      <c r="S655" s="275">
        <f t="shared" si="86"/>
        <v>0</v>
      </c>
      <c r="T655" s="575"/>
      <c r="U655" s="487"/>
      <c r="V655" s="576"/>
      <c r="W655" s="573"/>
      <c r="X655" s="574">
        <f t="shared" si="82"/>
        <v>0</v>
      </c>
      <c r="Y655" s="487"/>
      <c r="Z655" s="487"/>
      <c r="AA655" s="276">
        <f t="shared" si="83"/>
        <v>0</v>
      </c>
      <c r="AB655" s="573"/>
      <c r="AC655" s="487"/>
      <c r="AD655" s="573"/>
      <c r="AE655" s="487"/>
      <c r="AF655" s="577">
        <f t="shared" si="87"/>
        <v>0</v>
      </c>
      <c r="AG655" s="275">
        <f t="shared" si="88"/>
        <v>0</v>
      </c>
    </row>
    <row r="656" spans="1:33" s="578" customFormat="1" ht="12" customHeight="1">
      <c r="A656" s="714" t="s">
        <v>1276</v>
      </c>
      <c r="B656" s="714" t="s">
        <v>1510</v>
      </c>
      <c r="C656" s="828" t="s">
        <v>1762</v>
      </c>
      <c r="D656" s="717"/>
      <c r="E656" s="718"/>
      <c r="F656" s="573"/>
      <c r="G656" s="487"/>
      <c r="H656" s="573"/>
      <c r="I656" s="487"/>
      <c r="J656" s="573"/>
      <c r="K656" s="487"/>
      <c r="L656" s="573"/>
      <c r="M656" s="573"/>
      <c r="N656" s="456">
        <f t="shared" si="81"/>
        <v>0</v>
      </c>
      <c r="O656" s="487"/>
      <c r="P656" s="487"/>
      <c r="Q656" s="274">
        <f t="shared" si="84"/>
        <v>0</v>
      </c>
      <c r="R656" s="574">
        <f t="shared" si="85"/>
        <v>0</v>
      </c>
      <c r="S656" s="275">
        <f t="shared" si="86"/>
        <v>0</v>
      </c>
      <c r="T656" s="575"/>
      <c r="U656" s="487"/>
      <c r="V656" s="576"/>
      <c r="W656" s="573"/>
      <c r="X656" s="574">
        <f t="shared" si="82"/>
        <v>0</v>
      </c>
      <c r="Y656" s="487"/>
      <c r="Z656" s="487"/>
      <c r="AA656" s="276">
        <f t="shared" si="83"/>
        <v>0</v>
      </c>
      <c r="AB656" s="573"/>
      <c r="AC656" s="487"/>
      <c r="AD656" s="573"/>
      <c r="AE656" s="487"/>
      <c r="AF656" s="577">
        <f t="shared" si="87"/>
        <v>0</v>
      </c>
      <c r="AG656" s="275">
        <f t="shared" si="88"/>
        <v>0</v>
      </c>
    </row>
    <row r="657" spans="1:33" s="578" customFormat="1" ht="12" customHeight="1">
      <c r="A657" s="714" t="s">
        <v>1276</v>
      </c>
      <c r="B657" s="714" t="s">
        <v>1511</v>
      </c>
      <c r="C657" s="828" t="s">
        <v>1883</v>
      </c>
      <c r="D657" s="717"/>
      <c r="E657" s="718"/>
      <c r="F657" s="573"/>
      <c r="G657" s="487"/>
      <c r="H657" s="573"/>
      <c r="I657" s="487"/>
      <c r="J657" s="573"/>
      <c r="K657" s="487"/>
      <c r="L657" s="573"/>
      <c r="M657" s="573"/>
      <c r="N657" s="456">
        <f t="shared" si="81"/>
        <v>0</v>
      </c>
      <c r="O657" s="487"/>
      <c r="P657" s="487"/>
      <c r="Q657" s="274">
        <f t="shared" si="84"/>
        <v>0</v>
      </c>
      <c r="R657" s="574">
        <f t="shared" si="85"/>
        <v>0</v>
      </c>
      <c r="S657" s="275">
        <f t="shared" si="86"/>
        <v>0</v>
      </c>
      <c r="T657" s="575"/>
      <c r="U657" s="487"/>
      <c r="V657" s="576"/>
      <c r="W657" s="573"/>
      <c r="X657" s="574">
        <f t="shared" si="82"/>
        <v>0</v>
      </c>
      <c r="Y657" s="487"/>
      <c r="Z657" s="487"/>
      <c r="AA657" s="276">
        <f t="shared" si="83"/>
        <v>0</v>
      </c>
      <c r="AB657" s="573"/>
      <c r="AC657" s="487"/>
      <c r="AD657" s="573"/>
      <c r="AE657" s="487"/>
      <c r="AF657" s="577">
        <f t="shared" si="87"/>
        <v>0</v>
      </c>
      <c r="AG657" s="275">
        <f t="shared" si="88"/>
        <v>0</v>
      </c>
    </row>
    <row r="658" spans="1:33" s="578" customFormat="1" ht="12" customHeight="1">
      <c r="A658" s="714" t="s">
        <v>1276</v>
      </c>
      <c r="B658" s="714" t="s">
        <v>1412</v>
      </c>
      <c r="C658" s="828" t="s">
        <v>1761</v>
      </c>
      <c r="D658" s="717"/>
      <c r="E658" s="718"/>
      <c r="F658" s="573"/>
      <c r="G658" s="487"/>
      <c r="H658" s="573"/>
      <c r="I658" s="487"/>
      <c r="J658" s="573"/>
      <c r="K658" s="487"/>
      <c r="L658" s="573"/>
      <c r="M658" s="573"/>
      <c r="N658" s="456">
        <f t="shared" si="81"/>
        <v>0</v>
      </c>
      <c r="O658" s="487"/>
      <c r="P658" s="487"/>
      <c r="Q658" s="274">
        <f t="shared" si="84"/>
        <v>0</v>
      </c>
      <c r="R658" s="574">
        <f t="shared" si="85"/>
        <v>0</v>
      </c>
      <c r="S658" s="275">
        <f t="shared" si="86"/>
        <v>0</v>
      </c>
      <c r="T658" s="575">
        <v>30000</v>
      </c>
      <c r="U658" s="487">
        <v>30000</v>
      </c>
      <c r="V658" s="576"/>
      <c r="W658" s="573"/>
      <c r="X658" s="574">
        <f t="shared" si="82"/>
        <v>0</v>
      </c>
      <c r="Y658" s="487"/>
      <c r="Z658" s="487"/>
      <c r="AA658" s="276">
        <f t="shared" si="83"/>
        <v>0</v>
      </c>
      <c r="AB658" s="573"/>
      <c r="AC658" s="487"/>
      <c r="AD658" s="573"/>
      <c r="AE658" s="487"/>
      <c r="AF658" s="577">
        <f t="shared" si="87"/>
        <v>30000</v>
      </c>
      <c r="AG658" s="275">
        <f t="shared" si="88"/>
        <v>30000</v>
      </c>
    </row>
    <row r="659" spans="1:33" s="578" customFormat="1" ht="12" customHeight="1">
      <c r="A659" s="714" t="s">
        <v>1276</v>
      </c>
      <c r="B659" s="714" t="s">
        <v>1413</v>
      </c>
      <c r="C659" s="828" t="s">
        <v>1586</v>
      </c>
      <c r="D659" s="717"/>
      <c r="E659" s="718"/>
      <c r="F659" s="573"/>
      <c r="G659" s="487"/>
      <c r="H659" s="573"/>
      <c r="I659" s="487"/>
      <c r="J659" s="573"/>
      <c r="K659" s="487"/>
      <c r="L659" s="573"/>
      <c r="M659" s="573"/>
      <c r="N659" s="456">
        <f t="shared" ref="N659:N728" si="89">SUM(L659:M659)</f>
        <v>0</v>
      </c>
      <c r="O659" s="487"/>
      <c r="P659" s="487"/>
      <c r="Q659" s="274">
        <f t="shared" si="84"/>
        <v>0</v>
      </c>
      <c r="R659" s="574">
        <f t="shared" si="85"/>
        <v>0</v>
      </c>
      <c r="S659" s="275">
        <f t="shared" si="86"/>
        <v>0</v>
      </c>
      <c r="T659" s="575"/>
      <c r="U659" s="487"/>
      <c r="V659" s="576"/>
      <c r="W659" s="573"/>
      <c r="X659" s="574">
        <f t="shared" ref="X659:X728" si="90">SUM(V659:W659)</f>
        <v>0</v>
      </c>
      <c r="Y659" s="487"/>
      <c r="Z659" s="487"/>
      <c r="AA659" s="276">
        <f t="shared" ref="AA659:AA728" si="91">SUM(Y659:Z659)</f>
        <v>0</v>
      </c>
      <c r="AB659" s="573"/>
      <c r="AC659" s="487"/>
      <c r="AD659" s="573"/>
      <c r="AE659" s="487"/>
      <c r="AF659" s="577">
        <f t="shared" si="87"/>
        <v>0</v>
      </c>
      <c r="AG659" s="275">
        <f t="shared" si="88"/>
        <v>0</v>
      </c>
    </row>
    <row r="660" spans="1:33" s="578" customFormat="1" ht="12" customHeight="1">
      <c r="A660" s="714" t="s">
        <v>1276</v>
      </c>
      <c r="B660" s="714" t="s">
        <v>1582</v>
      </c>
      <c r="C660" s="828" t="s">
        <v>1883</v>
      </c>
      <c r="D660" s="717"/>
      <c r="E660" s="718"/>
      <c r="F660" s="573"/>
      <c r="G660" s="487"/>
      <c r="H660" s="573"/>
      <c r="I660" s="487"/>
      <c r="J660" s="573"/>
      <c r="K660" s="487"/>
      <c r="L660" s="573"/>
      <c r="M660" s="573"/>
      <c r="N660" s="456">
        <f t="shared" si="89"/>
        <v>0</v>
      </c>
      <c r="O660" s="487"/>
      <c r="P660" s="487"/>
      <c r="Q660" s="274">
        <f t="shared" si="84"/>
        <v>0</v>
      </c>
      <c r="R660" s="574">
        <f t="shared" si="85"/>
        <v>0</v>
      </c>
      <c r="S660" s="275">
        <f t="shared" si="86"/>
        <v>0</v>
      </c>
      <c r="T660" s="575"/>
      <c r="U660" s="487"/>
      <c r="V660" s="576"/>
      <c r="W660" s="573"/>
      <c r="X660" s="574">
        <f t="shared" si="90"/>
        <v>0</v>
      </c>
      <c r="Y660" s="487"/>
      <c r="Z660" s="487"/>
      <c r="AA660" s="276">
        <f t="shared" si="91"/>
        <v>0</v>
      </c>
      <c r="AB660" s="573"/>
      <c r="AC660" s="487"/>
      <c r="AD660" s="573"/>
      <c r="AE660" s="487"/>
      <c r="AF660" s="577">
        <f t="shared" si="87"/>
        <v>0</v>
      </c>
      <c r="AG660" s="275">
        <f t="shared" si="88"/>
        <v>0</v>
      </c>
    </row>
    <row r="661" spans="1:33" s="578" customFormat="1" ht="12" customHeight="1">
      <c r="A661" s="714" t="s">
        <v>1276</v>
      </c>
      <c r="B661" s="714" t="s">
        <v>1583</v>
      </c>
      <c r="C661" s="828" t="s">
        <v>1761</v>
      </c>
      <c r="D661" s="717"/>
      <c r="E661" s="718"/>
      <c r="F661" s="573"/>
      <c r="G661" s="487"/>
      <c r="H661" s="573"/>
      <c r="I661" s="487"/>
      <c r="J661" s="573"/>
      <c r="K661" s="487"/>
      <c r="L661" s="573"/>
      <c r="M661" s="573"/>
      <c r="N661" s="456">
        <f t="shared" si="89"/>
        <v>0</v>
      </c>
      <c r="O661" s="487"/>
      <c r="P661" s="487"/>
      <c r="Q661" s="274">
        <f t="shared" si="84"/>
        <v>0</v>
      </c>
      <c r="R661" s="574">
        <f t="shared" si="85"/>
        <v>0</v>
      </c>
      <c r="S661" s="275">
        <f t="shared" si="86"/>
        <v>0</v>
      </c>
      <c r="T661" s="575">
        <v>20000</v>
      </c>
      <c r="U661" s="487">
        <v>20000</v>
      </c>
      <c r="V661" s="576"/>
      <c r="W661" s="573"/>
      <c r="X661" s="574">
        <f t="shared" si="90"/>
        <v>0</v>
      </c>
      <c r="Y661" s="487"/>
      <c r="Z661" s="487"/>
      <c r="AA661" s="276">
        <f t="shared" si="91"/>
        <v>0</v>
      </c>
      <c r="AB661" s="573"/>
      <c r="AC661" s="487"/>
      <c r="AD661" s="573"/>
      <c r="AE661" s="487"/>
      <c r="AF661" s="577">
        <f t="shared" si="87"/>
        <v>20000</v>
      </c>
      <c r="AG661" s="275">
        <f t="shared" si="88"/>
        <v>20000</v>
      </c>
    </row>
    <row r="662" spans="1:33" s="578" customFormat="1" ht="12" customHeight="1">
      <c r="A662" s="714" t="s">
        <v>1276</v>
      </c>
      <c r="B662" s="714" t="s">
        <v>1805</v>
      </c>
      <c r="C662" s="831" t="s">
        <v>1971</v>
      </c>
      <c r="D662" s="717"/>
      <c r="E662" s="718"/>
      <c r="F662" s="573"/>
      <c r="G662" s="487"/>
      <c r="H662" s="573"/>
      <c r="I662" s="487"/>
      <c r="J662" s="573"/>
      <c r="K662" s="487"/>
      <c r="L662" s="573"/>
      <c r="M662" s="573"/>
      <c r="N662" s="456">
        <f t="shared" si="89"/>
        <v>0</v>
      </c>
      <c r="O662" s="487"/>
      <c r="P662" s="487"/>
      <c r="Q662" s="274">
        <f t="shared" si="84"/>
        <v>0</v>
      </c>
      <c r="R662" s="574">
        <f t="shared" si="85"/>
        <v>0</v>
      </c>
      <c r="S662" s="275">
        <f t="shared" si="86"/>
        <v>0</v>
      </c>
      <c r="T662" s="575"/>
      <c r="U662" s="487"/>
      <c r="V662" s="576"/>
      <c r="W662" s="573"/>
      <c r="X662" s="574">
        <f t="shared" si="90"/>
        <v>0</v>
      </c>
      <c r="Y662" s="487"/>
      <c r="Z662" s="487"/>
      <c r="AA662" s="276">
        <f t="shared" si="91"/>
        <v>0</v>
      </c>
      <c r="AB662" s="573"/>
      <c r="AC662" s="487"/>
      <c r="AD662" s="573"/>
      <c r="AE662" s="487"/>
      <c r="AF662" s="577">
        <f t="shared" si="87"/>
        <v>0</v>
      </c>
      <c r="AG662" s="275">
        <f t="shared" si="88"/>
        <v>0</v>
      </c>
    </row>
    <row r="663" spans="1:33" s="578" customFormat="1" ht="12" customHeight="1">
      <c r="A663" s="714" t="s">
        <v>1276</v>
      </c>
      <c r="B663" s="714" t="s">
        <v>1510</v>
      </c>
      <c r="C663" s="828" t="s">
        <v>1762</v>
      </c>
      <c r="D663" s="717"/>
      <c r="E663" s="718"/>
      <c r="F663" s="573"/>
      <c r="G663" s="487"/>
      <c r="H663" s="573"/>
      <c r="I663" s="487"/>
      <c r="J663" s="573"/>
      <c r="K663" s="487"/>
      <c r="L663" s="573"/>
      <c r="M663" s="573"/>
      <c r="N663" s="456">
        <f t="shared" si="89"/>
        <v>0</v>
      </c>
      <c r="O663" s="487"/>
      <c r="P663" s="487"/>
      <c r="Q663" s="274">
        <f t="shared" si="84"/>
        <v>0</v>
      </c>
      <c r="R663" s="574">
        <f t="shared" si="85"/>
        <v>0</v>
      </c>
      <c r="S663" s="275">
        <f t="shared" si="86"/>
        <v>0</v>
      </c>
      <c r="T663" s="575"/>
      <c r="U663" s="487"/>
      <c r="V663" s="576"/>
      <c r="W663" s="573"/>
      <c r="X663" s="574">
        <f t="shared" si="90"/>
        <v>0</v>
      </c>
      <c r="Y663" s="487"/>
      <c r="Z663" s="487"/>
      <c r="AA663" s="276">
        <f t="shared" si="91"/>
        <v>0</v>
      </c>
      <c r="AB663" s="573"/>
      <c r="AC663" s="487"/>
      <c r="AD663" s="573"/>
      <c r="AE663" s="487"/>
      <c r="AF663" s="577">
        <f t="shared" si="87"/>
        <v>0</v>
      </c>
      <c r="AG663" s="275">
        <f t="shared" si="88"/>
        <v>0</v>
      </c>
    </row>
    <row r="664" spans="1:33" s="578" customFormat="1" ht="12" customHeight="1">
      <c r="A664" s="714" t="s">
        <v>1276</v>
      </c>
      <c r="B664" s="714" t="s">
        <v>1511</v>
      </c>
      <c r="C664" s="828" t="s">
        <v>1883</v>
      </c>
      <c r="D664" s="717"/>
      <c r="E664" s="718"/>
      <c r="F664" s="573"/>
      <c r="G664" s="487"/>
      <c r="H664" s="573"/>
      <c r="I664" s="487"/>
      <c r="J664" s="573"/>
      <c r="K664" s="487"/>
      <c r="L664" s="573"/>
      <c r="M664" s="573"/>
      <c r="N664" s="456">
        <f t="shared" si="89"/>
        <v>0</v>
      </c>
      <c r="O664" s="487"/>
      <c r="P664" s="487"/>
      <c r="Q664" s="274">
        <f t="shared" si="84"/>
        <v>0</v>
      </c>
      <c r="R664" s="574">
        <f t="shared" si="85"/>
        <v>0</v>
      </c>
      <c r="S664" s="275">
        <f t="shared" si="86"/>
        <v>0</v>
      </c>
      <c r="T664" s="575"/>
      <c r="U664" s="487"/>
      <c r="V664" s="576"/>
      <c r="W664" s="573"/>
      <c r="X664" s="574">
        <f t="shared" si="90"/>
        <v>0</v>
      </c>
      <c r="Y664" s="487"/>
      <c r="Z664" s="487"/>
      <c r="AA664" s="276">
        <f t="shared" si="91"/>
        <v>0</v>
      </c>
      <c r="AB664" s="573"/>
      <c r="AC664" s="487"/>
      <c r="AD664" s="573"/>
      <c r="AE664" s="487"/>
      <c r="AF664" s="577">
        <f t="shared" si="87"/>
        <v>0</v>
      </c>
      <c r="AG664" s="275">
        <f t="shared" si="88"/>
        <v>0</v>
      </c>
    </row>
    <row r="665" spans="1:33" s="578" customFormat="1" ht="12" customHeight="1">
      <c r="A665" s="714" t="s">
        <v>1276</v>
      </c>
      <c r="B665" s="714" t="s">
        <v>1412</v>
      </c>
      <c r="C665" s="828" t="s">
        <v>1761</v>
      </c>
      <c r="D665" s="717"/>
      <c r="E665" s="718"/>
      <c r="F665" s="573"/>
      <c r="G665" s="487"/>
      <c r="H665" s="573"/>
      <c r="I665" s="487"/>
      <c r="J665" s="573"/>
      <c r="K665" s="487"/>
      <c r="L665" s="573"/>
      <c r="M665" s="573"/>
      <c r="N665" s="456">
        <f t="shared" si="89"/>
        <v>0</v>
      </c>
      <c r="O665" s="487"/>
      <c r="P665" s="487"/>
      <c r="Q665" s="274">
        <f t="shared" si="84"/>
        <v>0</v>
      </c>
      <c r="R665" s="574">
        <f t="shared" si="85"/>
        <v>0</v>
      </c>
      <c r="S665" s="275">
        <f t="shared" si="86"/>
        <v>0</v>
      </c>
      <c r="T665" s="575">
        <v>277250</v>
      </c>
      <c r="U665" s="487">
        <v>287000</v>
      </c>
      <c r="V665" s="576"/>
      <c r="W665" s="573"/>
      <c r="X665" s="574">
        <f t="shared" si="90"/>
        <v>0</v>
      </c>
      <c r="Y665" s="487"/>
      <c r="Z665" s="487"/>
      <c r="AA665" s="276">
        <f t="shared" si="91"/>
        <v>0</v>
      </c>
      <c r="AB665" s="573"/>
      <c r="AC665" s="487"/>
      <c r="AD665" s="573"/>
      <c r="AE665" s="487"/>
      <c r="AF665" s="577">
        <f t="shared" si="87"/>
        <v>277250</v>
      </c>
      <c r="AG665" s="275">
        <f t="shared" si="88"/>
        <v>287000</v>
      </c>
    </row>
    <row r="666" spans="1:33" s="578" customFormat="1" ht="12" customHeight="1">
      <c r="A666" s="714" t="s">
        <v>1276</v>
      </c>
      <c r="B666" s="714" t="s">
        <v>1413</v>
      </c>
      <c r="C666" s="828" t="s">
        <v>1586</v>
      </c>
      <c r="D666" s="717"/>
      <c r="E666" s="718"/>
      <c r="F666" s="573"/>
      <c r="G666" s="487"/>
      <c r="H666" s="573"/>
      <c r="I666" s="487"/>
      <c r="J666" s="573"/>
      <c r="K666" s="487"/>
      <c r="L666" s="573"/>
      <c r="M666" s="573"/>
      <c r="N666" s="456">
        <f t="shared" si="89"/>
        <v>0</v>
      </c>
      <c r="O666" s="487"/>
      <c r="P666" s="487"/>
      <c r="Q666" s="274">
        <f t="shared" si="84"/>
        <v>0</v>
      </c>
      <c r="R666" s="574">
        <f t="shared" si="85"/>
        <v>0</v>
      </c>
      <c r="S666" s="275">
        <f t="shared" si="86"/>
        <v>0</v>
      </c>
      <c r="T666" s="575"/>
      <c r="U666" s="487"/>
      <c r="V666" s="576"/>
      <c r="W666" s="573"/>
      <c r="X666" s="574">
        <f t="shared" si="90"/>
        <v>0</v>
      </c>
      <c r="Y666" s="487"/>
      <c r="Z666" s="487"/>
      <c r="AA666" s="276">
        <f t="shared" si="91"/>
        <v>0</v>
      </c>
      <c r="AB666" s="573"/>
      <c r="AC666" s="487"/>
      <c r="AD666" s="573"/>
      <c r="AE666" s="487"/>
      <c r="AF666" s="577">
        <f t="shared" si="87"/>
        <v>0</v>
      </c>
      <c r="AG666" s="275">
        <f t="shared" si="88"/>
        <v>0</v>
      </c>
    </row>
    <row r="667" spans="1:33" s="578" customFormat="1" ht="12" customHeight="1">
      <c r="A667" s="714" t="s">
        <v>1276</v>
      </c>
      <c r="B667" s="714" t="s">
        <v>1582</v>
      </c>
      <c r="C667" s="828" t="s">
        <v>1883</v>
      </c>
      <c r="D667" s="717"/>
      <c r="E667" s="718"/>
      <c r="F667" s="573"/>
      <c r="G667" s="487"/>
      <c r="H667" s="573"/>
      <c r="I667" s="487"/>
      <c r="J667" s="573"/>
      <c r="K667" s="487"/>
      <c r="L667" s="573"/>
      <c r="M667" s="573"/>
      <c r="N667" s="456">
        <f t="shared" si="89"/>
        <v>0</v>
      </c>
      <c r="O667" s="487"/>
      <c r="P667" s="487"/>
      <c r="Q667" s="274">
        <f t="shared" si="84"/>
        <v>0</v>
      </c>
      <c r="R667" s="574">
        <f t="shared" si="85"/>
        <v>0</v>
      </c>
      <c r="S667" s="275">
        <f t="shared" si="86"/>
        <v>0</v>
      </c>
      <c r="T667" s="575"/>
      <c r="U667" s="487"/>
      <c r="V667" s="576"/>
      <c r="W667" s="573"/>
      <c r="X667" s="574">
        <f t="shared" si="90"/>
        <v>0</v>
      </c>
      <c r="Y667" s="487"/>
      <c r="Z667" s="487"/>
      <c r="AA667" s="276">
        <f t="shared" si="91"/>
        <v>0</v>
      </c>
      <c r="AB667" s="573"/>
      <c r="AC667" s="487"/>
      <c r="AD667" s="573"/>
      <c r="AE667" s="487"/>
      <c r="AF667" s="577">
        <f t="shared" si="87"/>
        <v>0</v>
      </c>
      <c r="AG667" s="275">
        <f t="shared" si="88"/>
        <v>0</v>
      </c>
    </row>
    <row r="668" spans="1:33" s="578" customFormat="1" ht="12" customHeight="1">
      <c r="A668" s="714" t="s">
        <v>1276</v>
      </c>
      <c r="B668" s="714" t="s">
        <v>1583</v>
      </c>
      <c r="C668" s="828" t="s">
        <v>1761</v>
      </c>
      <c r="D668" s="717"/>
      <c r="E668" s="718"/>
      <c r="F668" s="573"/>
      <c r="G668" s="487"/>
      <c r="H668" s="573"/>
      <c r="I668" s="487"/>
      <c r="J668" s="573"/>
      <c r="K668" s="487"/>
      <c r="L668" s="573"/>
      <c r="M668" s="573"/>
      <c r="N668" s="456">
        <f t="shared" si="89"/>
        <v>0</v>
      </c>
      <c r="O668" s="487"/>
      <c r="P668" s="487"/>
      <c r="Q668" s="274">
        <f t="shared" si="84"/>
        <v>0</v>
      </c>
      <c r="R668" s="574">
        <f t="shared" si="85"/>
        <v>0</v>
      </c>
      <c r="S668" s="275">
        <f t="shared" si="86"/>
        <v>0</v>
      </c>
      <c r="T668" s="575">
        <v>127500</v>
      </c>
      <c r="U668" s="487">
        <v>159000</v>
      </c>
      <c r="V668" s="576"/>
      <c r="W668" s="573"/>
      <c r="X668" s="574">
        <f t="shared" si="90"/>
        <v>0</v>
      </c>
      <c r="Y668" s="487"/>
      <c r="Z668" s="487"/>
      <c r="AA668" s="276">
        <f t="shared" si="91"/>
        <v>0</v>
      </c>
      <c r="AB668" s="573"/>
      <c r="AC668" s="487"/>
      <c r="AD668" s="573"/>
      <c r="AE668" s="487"/>
      <c r="AF668" s="577">
        <f t="shared" si="87"/>
        <v>127500</v>
      </c>
      <c r="AG668" s="275">
        <f t="shared" si="88"/>
        <v>159000</v>
      </c>
    </row>
    <row r="669" spans="1:33" s="578" customFormat="1" ht="12" customHeight="1">
      <c r="A669" s="714" t="s">
        <v>1276</v>
      </c>
      <c r="B669" s="714" t="s">
        <v>1805</v>
      </c>
      <c r="C669" s="831" t="s">
        <v>1972</v>
      </c>
      <c r="D669" s="717"/>
      <c r="E669" s="718"/>
      <c r="F669" s="573"/>
      <c r="G669" s="487"/>
      <c r="H669" s="573"/>
      <c r="I669" s="487"/>
      <c r="J669" s="573"/>
      <c r="K669" s="487"/>
      <c r="L669" s="573"/>
      <c r="M669" s="573"/>
      <c r="N669" s="456">
        <f t="shared" si="89"/>
        <v>0</v>
      </c>
      <c r="O669" s="487"/>
      <c r="P669" s="487"/>
      <c r="Q669" s="274">
        <f t="shared" si="84"/>
        <v>0</v>
      </c>
      <c r="R669" s="574">
        <f t="shared" si="85"/>
        <v>0</v>
      </c>
      <c r="S669" s="275">
        <f t="shared" si="86"/>
        <v>0</v>
      </c>
      <c r="T669" s="575"/>
      <c r="U669" s="487"/>
      <c r="V669" s="576"/>
      <c r="W669" s="573"/>
      <c r="X669" s="574">
        <f t="shared" si="90"/>
        <v>0</v>
      </c>
      <c r="Y669" s="487"/>
      <c r="Z669" s="487"/>
      <c r="AA669" s="276">
        <f t="shared" si="91"/>
        <v>0</v>
      </c>
      <c r="AB669" s="573"/>
      <c r="AC669" s="487"/>
      <c r="AD669" s="573"/>
      <c r="AE669" s="487"/>
      <c r="AF669" s="577">
        <f t="shared" si="87"/>
        <v>0</v>
      </c>
      <c r="AG669" s="275">
        <f t="shared" si="88"/>
        <v>0</v>
      </c>
    </row>
    <row r="670" spans="1:33" s="578" customFormat="1" ht="12" customHeight="1">
      <c r="A670" s="714" t="s">
        <v>1276</v>
      </c>
      <c r="B670" s="714" t="s">
        <v>1510</v>
      </c>
      <c r="C670" s="828" t="s">
        <v>1762</v>
      </c>
      <c r="D670" s="717"/>
      <c r="E670" s="718"/>
      <c r="F670" s="573"/>
      <c r="G670" s="487"/>
      <c r="H670" s="573"/>
      <c r="I670" s="487"/>
      <c r="J670" s="573"/>
      <c r="K670" s="487"/>
      <c r="L670" s="573"/>
      <c r="M670" s="573"/>
      <c r="N670" s="456">
        <f t="shared" si="89"/>
        <v>0</v>
      </c>
      <c r="O670" s="487"/>
      <c r="P670" s="487"/>
      <c r="Q670" s="274">
        <f t="shared" si="84"/>
        <v>0</v>
      </c>
      <c r="R670" s="574">
        <f t="shared" si="85"/>
        <v>0</v>
      </c>
      <c r="S670" s="275">
        <f t="shared" si="86"/>
        <v>0</v>
      </c>
      <c r="T670" s="575"/>
      <c r="U670" s="487"/>
      <c r="V670" s="576"/>
      <c r="W670" s="573"/>
      <c r="X670" s="574">
        <f t="shared" si="90"/>
        <v>0</v>
      </c>
      <c r="Y670" s="487"/>
      <c r="Z670" s="487"/>
      <c r="AA670" s="276">
        <f t="shared" si="91"/>
        <v>0</v>
      </c>
      <c r="AB670" s="573"/>
      <c r="AC670" s="487"/>
      <c r="AD670" s="573"/>
      <c r="AE670" s="487"/>
      <c r="AF670" s="577">
        <f t="shared" si="87"/>
        <v>0</v>
      </c>
      <c r="AG670" s="275">
        <f t="shared" si="88"/>
        <v>0</v>
      </c>
    </row>
    <row r="671" spans="1:33" s="578" customFormat="1" ht="12" customHeight="1">
      <c r="A671" s="714" t="s">
        <v>1276</v>
      </c>
      <c r="B671" s="714" t="s">
        <v>1511</v>
      </c>
      <c r="C671" s="828" t="s">
        <v>1883</v>
      </c>
      <c r="D671" s="717"/>
      <c r="E671" s="718"/>
      <c r="F671" s="573"/>
      <c r="G671" s="487"/>
      <c r="H671" s="573"/>
      <c r="I671" s="487"/>
      <c r="J671" s="573"/>
      <c r="K671" s="487"/>
      <c r="L671" s="573"/>
      <c r="M671" s="573"/>
      <c r="N671" s="456">
        <f t="shared" si="89"/>
        <v>0</v>
      </c>
      <c r="O671" s="487"/>
      <c r="P671" s="487"/>
      <c r="Q671" s="274">
        <f t="shared" si="84"/>
        <v>0</v>
      </c>
      <c r="R671" s="574">
        <f t="shared" si="85"/>
        <v>0</v>
      </c>
      <c r="S671" s="275">
        <f t="shared" si="86"/>
        <v>0</v>
      </c>
      <c r="T671" s="575"/>
      <c r="U671" s="487"/>
      <c r="V671" s="576"/>
      <c r="W671" s="573"/>
      <c r="X671" s="574">
        <f t="shared" si="90"/>
        <v>0</v>
      </c>
      <c r="Y671" s="487"/>
      <c r="Z671" s="487"/>
      <c r="AA671" s="276">
        <f t="shared" si="91"/>
        <v>0</v>
      </c>
      <c r="AB671" s="573"/>
      <c r="AC671" s="487"/>
      <c r="AD671" s="573"/>
      <c r="AE671" s="487"/>
      <c r="AF671" s="577">
        <f t="shared" si="87"/>
        <v>0</v>
      </c>
      <c r="AG671" s="275">
        <f t="shared" si="88"/>
        <v>0</v>
      </c>
    </row>
    <row r="672" spans="1:33" s="578" customFormat="1" ht="12" customHeight="1">
      <c r="A672" s="714" t="s">
        <v>1276</v>
      </c>
      <c r="B672" s="714" t="s">
        <v>1412</v>
      </c>
      <c r="C672" s="828" t="s">
        <v>1761</v>
      </c>
      <c r="D672" s="717"/>
      <c r="E672" s="718"/>
      <c r="F672" s="573"/>
      <c r="G672" s="487"/>
      <c r="H672" s="573"/>
      <c r="I672" s="487"/>
      <c r="J672" s="573"/>
      <c r="K672" s="487"/>
      <c r="L672" s="573"/>
      <c r="M672" s="573"/>
      <c r="N672" s="456">
        <f t="shared" si="89"/>
        <v>0</v>
      </c>
      <c r="O672" s="487"/>
      <c r="P672" s="487"/>
      <c r="Q672" s="274">
        <f t="shared" si="84"/>
        <v>0</v>
      </c>
      <c r="R672" s="574">
        <f t="shared" si="85"/>
        <v>0</v>
      </c>
      <c r="S672" s="275">
        <f t="shared" si="86"/>
        <v>0</v>
      </c>
      <c r="T672" s="575"/>
      <c r="U672" s="487"/>
      <c r="V672" s="576"/>
      <c r="W672" s="573"/>
      <c r="X672" s="574">
        <f t="shared" si="90"/>
        <v>0</v>
      </c>
      <c r="Y672" s="487"/>
      <c r="Z672" s="487"/>
      <c r="AA672" s="276">
        <f t="shared" si="91"/>
        <v>0</v>
      </c>
      <c r="AB672" s="573"/>
      <c r="AC672" s="487"/>
      <c r="AD672" s="573"/>
      <c r="AE672" s="487"/>
      <c r="AF672" s="577">
        <f t="shared" si="87"/>
        <v>0</v>
      </c>
      <c r="AG672" s="275">
        <f t="shared" si="88"/>
        <v>0</v>
      </c>
    </row>
    <row r="673" spans="1:33" s="578" customFormat="1" ht="12" customHeight="1">
      <c r="A673" s="714" t="s">
        <v>1276</v>
      </c>
      <c r="B673" s="714" t="s">
        <v>1413</v>
      </c>
      <c r="C673" s="828" t="s">
        <v>1586</v>
      </c>
      <c r="D673" s="717"/>
      <c r="E673" s="718"/>
      <c r="F673" s="573"/>
      <c r="G673" s="487"/>
      <c r="H673" s="573"/>
      <c r="I673" s="487"/>
      <c r="J673" s="573"/>
      <c r="K673" s="487"/>
      <c r="L673" s="573"/>
      <c r="M673" s="573"/>
      <c r="N673" s="456">
        <f t="shared" si="89"/>
        <v>0</v>
      </c>
      <c r="O673" s="487"/>
      <c r="P673" s="487"/>
      <c r="Q673" s="274">
        <f t="shared" si="84"/>
        <v>0</v>
      </c>
      <c r="R673" s="574">
        <f t="shared" si="85"/>
        <v>0</v>
      </c>
      <c r="S673" s="275">
        <f t="shared" si="86"/>
        <v>0</v>
      </c>
      <c r="T673" s="575"/>
      <c r="U673" s="487"/>
      <c r="V673" s="576"/>
      <c r="W673" s="573"/>
      <c r="X673" s="574">
        <f t="shared" si="90"/>
        <v>0</v>
      </c>
      <c r="Y673" s="487"/>
      <c r="Z673" s="487"/>
      <c r="AA673" s="276">
        <f t="shared" si="91"/>
        <v>0</v>
      </c>
      <c r="AB673" s="573"/>
      <c r="AC673" s="487"/>
      <c r="AD673" s="573"/>
      <c r="AE673" s="487"/>
      <c r="AF673" s="577">
        <f t="shared" si="87"/>
        <v>0</v>
      </c>
      <c r="AG673" s="275">
        <f t="shared" si="88"/>
        <v>0</v>
      </c>
    </row>
    <row r="674" spans="1:33" s="578" customFormat="1" ht="12" customHeight="1">
      <c r="A674" s="714" t="s">
        <v>1276</v>
      </c>
      <c r="B674" s="714" t="s">
        <v>1582</v>
      </c>
      <c r="C674" s="828" t="s">
        <v>1883</v>
      </c>
      <c r="D674" s="717"/>
      <c r="E674" s="718"/>
      <c r="F674" s="573"/>
      <c r="G674" s="487"/>
      <c r="H674" s="573"/>
      <c r="I674" s="487"/>
      <c r="J674" s="573"/>
      <c r="K674" s="487"/>
      <c r="L674" s="573"/>
      <c r="M674" s="573"/>
      <c r="N674" s="456">
        <f t="shared" si="89"/>
        <v>0</v>
      </c>
      <c r="O674" s="487"/>
      <c r="P674" s="487"/>
      <c r="Q674" s="274">
        <f t="shared" si="84"/>
        <v>0</v>
      </c>
      <c r="R674" s="574">
        <f t="shared" si="85"/>
        <v>0</v>
      </c>
      <c r="S674" s="275">
        <f t="shared" si="86"/>
        <v>0</v>
      </c>
      <c r="T674" s="575"/>
      <c r="U674" s="487"/>
      <c r="V674" s="576"/>
      <c r="W674" s="573"/>
      <c r="X674" s="574">
        <f t="shared" si="90"/>
        <v>0</v>
      </c>
      <c r="Y674" s="487"/>
      <c r="Z674" s="487"/>
      <c r="AA674" s="276">
        <f t="shared" si="91"/>
        <v>0</v>
      </c>
      <c r="AB674" s="573"/>
      <c r="AC674" s="487"/>
      <c r="AD674" s="573"/>
      <c r="AE674" s="487"/>
      <c r="AF674" s="577">
        <f t="shared" si="87"/>
        <v>0</v>
      </c>
      <c r="AG674" s="275">
        <f t="shared" si="88"/>
        <v>0</v>
      </c>
    </row>
    <row r="675" spans="1:33" s="578" customFormat="1" ht="12" customHeight="1">
      <c r="A675" s="714" t="s">
        <v>1276</v>
      </c>
      <c r="B675" s="714" t="s">
        <v>1583</v>
      </c>
      <c r="C675" s="828" t="s">
        <v>1761</v>
      </c>
      <c r="D675" s="717"/>
      <c r="E675" s="718"/>
      <c r="F675" s="573"/>
      <c r="G675" s="487"/>
      <c r="H675" s="573"/>
      <c r="I675" s="487"/>
      <c r="J675" s="573"/>
      <c r="K675" s="487"/>
      <c r="L675" s="573"/>
      <c r="M675" s="573"/>
      <c r="N675" s="456">
        <f t="shared" si="89"/>
        <v>0</v>
      </c>
      <c r="O675" s="487"/>
      <c r="P675" s="487"/>
      <c r="Q675" s="274">
        <f t="shared" si="84"/>
        <v>0</v>
      </c>
      <c r="R675" s="574">
        <f t="shared" si="85"/>
        <v>0</v>
      </c>
      <c r="S675" s="275">
        <f t="shared" si="86"/>
        <v>0</v>
      </c>
      <c r="T675" s="575">
        <v>8000</v>
      </c>
      <c r="U675" s="487">
        <v>16000</v>
      </c>
      <c r="V675" s="576"/>
      <c r="W675" s="573"/>
      <c r="X675" s="574">
        <f t="shared" si="90"/>
        <v>0</v>
      </c>
      <c r="Y675" s="487"/>
      <c r="Z675" s="487"/>
      <c r="AA675" s="276">
        <f t="shared" si="91"/>
        <v>0</v>
      </c>
      <c r="AB675" s="573"/>
      <c r="AC675" s="487"/>
      <c r="AD675" s="573"/>
      <c r="AE675" s="487"/>
      <c r="AF675" s="577">
        <f t="shared" si="87"/>
        <v>8000</v>
      </c>
      <c r="AG675" s="275">
        <f t="shared" si="88"/>
        <v>16000</v>
      </c>
    </row>
    <row r="676" spans="1:33" s="578" customFormat="1" ht="12" customHeight="1">
      <c r="A676" s="714" t="s">
        <v>1276</v>
      </c>
      <c r="B676" s="714" t="s">
        <v>1805</v>
      </c>
      <c r="C676" s="831" t="s">
        <v>1973</v>
      </c>
      <c r="D676" s="717"/>
      <c r="E676" s="718"/>
      <c r="F676" s="573"/>
      <c r="G676" s="487"/>
      <c r="H676" s="573"/>
      <c r="I676" s="487"/>
      <c r="J676" s="573"/>
      <c r="K676" s="487"/>
      <c r="L676" s="573"/>
      <c r="M676" s="573"/>
      <c r="N676" s="456">
        <f t="shared" si="89"/>
        <v>0</v>
      </c>
      <c r="O676" s="487"/>
      <c r="P676" s="487"/>
      <c r="Q676" s="274">
        <f t="shared" si="84"/>
        <v>0</v>
      </c>
      <c r="R676" s="574">
        <f t="shared" si="85"/>
        <v>0</v>
      </c>
      <c r="S676" s="275">
        <f t="shared" si="86"/>
        <v>0</v>
      </c>
      <c r="T676" s="575">
        <v>60000</v>
      </c>
      <c r="U676" s="487">
        <v>0</v>
      </c>
      <c r="V676" s="576"/>
      <c r="W676" s="573"/>
      <c r="X676" s="574">
        <f t="shared" si="90"/>
        <v>0</v>
      </c>
      <c r="Y676" s="487"/>
      <c r="Z676" s="487"/>
      <c r="AA676" s="276">
        <f t="shared" si="91"/>
        <v>0</v>
      </c>
      <c r="AB676" s="573"/>
      <c r="AC676" s="487"/>
      <c r="AD676" s="573"/>
      <c r="AE676" s="487"/>
      <c r="AF676" s="577">
        <f t="shared" si="87"/>
        <v>60000</v>
      </c>
      <c r="AG676" s="275">
        <f t="shared" si="88"/>
        <v>0</v>
      </c>
    </row>
    <row r="677" spans="1:33" s="578" customFormat="1" ht="12" customHeight="1">
      <c r="A677" s="714" t="s">
        <v>1276</v>
      </c>
      <c r="B677" s="714" t="s">
        <v>1510</v>
      </c>
      <c r="C677" s="828" t="s">
        <v>1762</v>
      </c>
      <c r="D677" s="717"/>
      <c r="E677" s="718"/>
      <c r="F677" s="573"/>
      <c r="G677" s="487"/>
      <c r="H677" s="573"/>
      <c r="I677" s="487"/>
      <c r="J677" s="573"/>
      <c r="K677" s="487"/>
      <c r="L677" s="573"/>
      <c r="M677" s="573"/>
      <c r="N677" s="456">
        <f t="shared" si="89"/>
        <v>0</v>
      </c>
      <c r="O677" s="487"/>
      <c r="P677" s="487"/>
      <c r="Q677" s="274">
        <f t="shared" si="84"/>
        <v>0</v>
      </c>
      <c r="R677" s="574">
        <f t="shared" si="85"/>
        <v>0</v>
      </c>
      <c r="S677" s="275">
        <f t="shared" si="86"/>
        <v>0</v>
      </c>
      <c r="T677" s="1144" t="s">
        <v>1224</v>
      </c>
      <c r="U677" s="487"/>
      <c r="V677" s="576"/>
      <c r="W677" s="573"/>
      <c r="X677" s="574">
        <f t="shared" si="90"/>
        <v>0</v>
      </c>
      <c r="Y677" s="487"/>
      <c r="Z677" s="487"/>
      <c r="AA677" s="276">
        <f t="shared" si="91"/>
        <v>0</v>
      </c>
      <c r="AB677" s="573"/>
      <c r="AC677" s="487"/>
      <c r="AD677" s="573"/>
      <c r="AE677" s="487"/>
      <c r="AF677" s="577">
        <f t="shared" si="87"/>
        <v>0</v>
      </c>
      <c r="AG677" s="275">
        <f t="shared" si="88"/>
        <v>0</v>
      </c>
    </row>
    <row r="678" spans="1:33" s="578" customFormat="1" ht="12" customHeight="1">
      <c r="A678" s="714" t="s">
        <v>1276</v>
      </c>
      <c r="B678" s="714" t="s">
        <v>1511</v>
      </c>
      <c r="C678" s="828" t="s">
        <v>1883</v>
      </c>
      <c r="D678" s="717"/>
      <c r="E678" s="718"/>
      <c r="F678" s="573"/>
      <c r="G678" s="487"/>
      <c r="H678" s="573"/>
      <c r="I678" s="487"/>
      <c r="J678" s="573"/>
      <c r="K678" s="487"/>
      <c r="L678" s="573"/>
      <c r="M678" s="573"/>
      <c r="N678" s="456">
        <f t="shared" si="89"/>
        <v>0</v>
      </c>
      <c r="O678" s="487"/>
      <c r="P678" s="487"/>
      <c r="Q678" s="274">
        <f t="shared" si="84"/>
        <v>0</v>
      </c>
      <c r="R678" s="574">
        <f t="shared" si="85"/>
        <v>0</v>
      </c>
      <c r="S678" s="275">
        <f t="shared" si="86"/>
        <v>0</v>
      </c>
      <c r="T678" s="1148"/>
      <c r="U678" s="487"/>
      <c r="V678" s="576"/>
      <c r="W678" s="573"/>
      <c r="X678" s="574">
        <f t="shared" si="90"/>
        <v>0</v>
      </c>
      <c r="Y678" s="487"/>
      <c r="Z678" s="487"/>
      <c r="AA678" s="276">
        <f t="shared" si="91"/>
        <v>0</v>
      </c>
      <c r="AB678" s="573"/>
      <c r="AC678" s="487"/>
      <c r="AD678" s="573"/>
      <c r="AE678" s="487"/>
      <c r="AF678" s="577">
        <f t="shared" si="87"/>
        <v>0</v>
      </c>
      <c r="AG678" s="275">
        <f t="shared" si="88"/>
        <v>0</v>
      </c>
    </row>
    <row r="679" spans="1:33" s="578" customFormat="1" ht="12" customHeight="1">
      <c r="A679" s="714" t="s">
        <v>1276</v>
      </c>
      <c r="B679" s="714" t="s">
        <v>1412</v>
      </c>
      <c r="C679" s="828" t="s">
        <v>1761</v>
      </c>
      <c r="D679" s="717"/>
      <c r="E679" s="718"/>
      <c r="F679" s="573"/>
      <c r="G679" s="487"/>
      <c r="H679" s="573"/>
      <c r="I679" s="487"/>
      <c r="J679" s="573"/>
      <c r="K679" s="487"/>
      <c r="L679" s="573"/>
      <c r="M679" s="573"/>
      <c r="N679" s="456">
        <f t="shared" si="89"/>
        <v>0</v>
      </c>
      <c r="O679" s="487"/>
      <c r="P679" s="487"/>
      <c r="Q679" s="274">
        <f t="shared" si="84"/>
        <v>0</v>
      </c>
      <c r="R679" s="574">
        <f t="shared" si="85"/>
        <v>0</v>
      </c>
      <c r="S679" s="275">
        <f t="shared" si="86"/>
        <v>0</v>
      </c>
      <c r="T679" s="1148"/>
      <c r="U679" s="487"/>
      <c r="V679" s="576"/>
      <c r="W679" s="573"/>
      <c r="X679" s="574">
        <f t="shared" si="90"/>
        <v>0</v>
      </c>
      <c r="Y679" s="487"/>
      <c r="Z679" s="487"/>
      <c r="AA679" s="276">
        <f t="shared" si="91"/>
        <v>0</v>
      </c>
      <c r="AB679" s="573"/>
      <c r="AC679" s="487"/>
      <c r="AD679" s="573"/>
      <c r="AE679" s="487"/>
      <c r="AF679" s="577">
        <f t="shared" si="87"/>
        <v>0</v>
      </c>
      <c r="AG679" s="275">
        <f t="shared" si="88"/>
        <v>0</v>
      </c>
    </row>
    <row r="680" spans="1:33" s="578" customFormat="1" ht="12" customHeight="1">
      <c r="A680" s="714" t="s">
        <v>1276</v>
      </c>
      <c r="B680" s="714" t="s">
        <v>1413</v>
      </c>
      <c r="C680" s="828" t="s">
        <v>1586</v>
      </c>
      <c r="D680" s="717"/>
      <c r="E680" s="718"/>
      <c r="F680" s="573"/>
      <c r="G680" s="487"/>
      <c r="H680" s="573"/>
      <c r="I680" s="487"/>
      <c r="J680" s="573"/>
      <c r="K680" s="487"/>
      <c r="L680" s="573"/>
      <c r="M680" s="573"/>
      <c r="N680" s="456">
        <f t="shared" si="89"/>
        <v>0</v>
      </c>
      <c r="O680" s="487"/>
      <c r="P680" s="487"/>
      <c r="Q680" s="274">
        <f t="shared" si="84"/>
        <v>0</v>
      </c>
      <c r="R680" s="574">
        <f t="shared" si="85"/>
        <v>0</v>
      </c>
      <c r="S680" s="275">
        <f t="shared" si="86"/>
        <v>0</v>
      </c>
      <c r="T680" s="1148"/>
      <c r="U680" s="487"/>
      <c r="V680" s="576"/>
      <c r="W680" s="573"/>
      <c r="X680" s="574">
        <f t="shared" si="90"/>
        <v>0</v>
      </c>
      <c r="Y680" s="487"/>
      <c r="Z680" s="487"/>
      <c r="AA680" s="276">
        <f t="shared" si="91"/>
        <v>0</v>
      </c>
      <c r="AB680" s="573"/>
      <c r="AC680" s="487"/>
      <c r="AD680" s="573"/>
      <c r="AE680" s="487"/>
      <c r="AF680" s="577">
        <f t="shared" si="87"/>
        <v>0</v>
      </c>
      <c r="AG680" s="275">
        <f t="shared" si="88"/>
        <v>0</v>
      </c>
    </row>
    <row r="681" spans="1:33" s="578" customFormat="1" ht="12" customHeight="1">
      <c r="A681" s="714" t="s">
        <v>1276</v>
      </c>
      <c r="B681" s="714" t="s">
        <v>1582</v>
      </c>
      <c r="C681" s="828" t="s">
        <v>1883</v>
      </c>
      <c r="D681" s="717"/>
      <c r="E681" s="718"/>
      <c r="F681" s="573"/>
      <c r="G681" s="487"/>
      <c r="H681" s="573"/>
      <c r="I681" s="487"/>
      <c r="J681" s="573"/>
      <c r="K681" s="487"/>
      <c r="L681" s="573"/>
      <c r="M681" s="573"/>
      <c r="N681" s="456">
        <f t="shared" si="89"/>
        <v>0</v>
      </c>
      <c r="O681" s="487"/>
      <c r="P681" s="487"/>
      <c r="Q681" s="274">
        <f t="shared" si="84"/>
        <v>0</v>
      </c>
      <c r="R681" s="574">
        <f t="shared" si="85"/>
        <v>0</v>
      </c>
      <c r="S681" s="275">
        <f t="shared" si="86"/>
        <v>0</v>
      </c>
      <c r="T681" s="1148"/>
      <c r="U681" s="487"/>
      <c r="V681" s="576"/>
      <c r="W681" s="573"/>
      <c r="X681" s="574">
        <f t="shared" si="90"/>
        <v>0</v>
      </c>
      <c r="Y681" s="487"/>
      <c r="Z681" s="487"/>
      <c r="AA681" s="276">
        <f t="shared" si="91"/>
        <v>0</v>
      </c>
      <c r="AB681" s="573"/>
      <c r="AC681" s="487"/>
      <c r="AD681" s="573"/>
      <c r="AE681" s="487"/>
      <c r="AF681" s="577">
        <f t="shared" si="87"/>
        <v>0</v>
      </c>
      <c r="AG681" s="275">
        <f t="shared" si="88"/>
        <v>0</v>
      </c>
    </row>
    <row r="682" spans="1:33" s="578" customFormat="1" ht="12" customHeight="1">
      <c r="A682" s="714" t="s">
        <v>1276</v>
      </c>
      <c r="B682" s="714" t="s">
        <v>1583</v>
      </c>
      <c r="C682" s="828" t="s">
        <v>1761</v>
      </c>
      <c r="D682" s="717"/>
      <c r="E682" s="718"/>
      <c r="F682" s="573"/>
      <c r="G682" s="487"/>
      <c r="H682" s="573"/>
      <c r="I682" s="487"/>
      <c r="J682" s="573"/>
      <c r="K682" s="487"/>
      <c r="L682" s="573"/>
      <c r="M682" s="573"/>
      <c r="N682" s="456">
        <f t="shared" si="89"/>
        <v>0</v>
      </c>
      <c r="O682" s="487"/>
      <c r="P682" s="487"/>
      <c r="Q682" s="274">
        <f t="shared" si="84"/>
        <v>0</v>
      </c>
      <c r="R682" s="574">
        <f t="shared" si="85"/>
        <v>0</v>
      </c>
      <c r="S682" s="275">
        <f t="shared" si="86"/>
        <v>0</v>
      </c>
      <c r="T682" s="1149"/>
      <c r="U682" s="487"/>
      <c r="V682" s="576"/>
      <c r="W682" s="573"/>
      <c r="X682" s="574">
        <f t="shared" si="90"/>
        <v>0</v>
      </c>
      <c r="Y682" s="487"/>
      <c r="Z682" s="487"/>
      <c r="AA682" s="276">
        <f t="shared" si="91"/>
        <v>0</v>
      </c>
      <c r="AB682" s="573"/>
      <c r="AC682" s="487"/>
      <c r="AD682" s="573"/>
      <c r="AE682" s="487"/>
      <c r="AF682" s="577">
        <f t="shared" si="87"/>
        <v>0</v>
      </c>
      <c r="AG682" s="275">
        <f t="shared" si="88"/>
        <v>0</v>
      </c>
    </row>
    <row r="683" spans="1:33" s="578" customFormat="1" ht="12" customHeight="1">
      <c r="A683" s="714" t="s">
        <v>1276</v>
      </c>
      <c r="B683" s="714" t="s">
        <v>1805</v>
      </c>
      <c r="C683" s="831" t="s">
        <v>1974</v>
      </c>
      <c r="D683" s="717"/>
      <c r="E683" s="718"/>
      <c r="F683" s="573"/>
      <c r="G683" s="487"/>
      <c r="H683" s="573"/>
      <c r="I683" s="487"/>
      <c r="J683" s="573"/>
      <c r="K683" s="487"/>
      <c r="L683" s="573"/>
      <c r="M683" s="573"/>
      <c r="N683" s="456">
        <f t="shared" si="89"/>
        <v>0</v>
      </c>
      <c r="O683" s="487"/>
      <c r="P683" s="487"/>
      <c r="Q683" s="274">
        <f t="shared" si="84"/>
        <v>0</v>
      </c>
      <c r="R683" s="574">
        <f t="shared" si="85"/>
        <v>0</v>
      </c>
      <c r="S683" s="275">
        <f t="shared" si="86"/>
        <v>0</v>
      </c>
      <c r="T683" s="575"/>
      <c r="U683" s="487"/>
      <c r="V683" s="576"/>
      <c r="W683" s="573"/>
      <c r="X683" s="574">
        <f t="shared" si="90"/>
        <v>0</v>
      </c>
      <c r="Y683" s="487"/>
      <c r="Z683" s="487"/>
      <c r="AA683" s="276">
        <f t="shared" si="91"/>
        <v>0</v>
      </c>
      <c r="AB683" s="573"/>
      <c r="AC683" s="487"/>
      <c r="AD683" s="573"/>
      <c r="AE683" s="487"/>
      <c r="AF683" s="577">
        <f t="shared" si="87"/>
        <v>0</v>
      </c>
      <c r="AG683" s="275">
        <f t="shared" si="88"/>
        <v>0</v>
      </c>
    </row>
    <row r="684" spans="1:33" s="578" customFormat="1" ht="12" customHeight="1">
      <c r="A684" s="714" t="s">
        <v>1276</v>
      </c>
      <c r="B684" s="714" t="s">
        <v>1510</v>
      </c>
      <c r="C684" s="828" t="s">
        <v>1762</v>
      </c>
      <c r="D684" s="717"/>
      <c r="E684" s="718"/>
      <c r="F684" s="573"/>
      <c r="G684" s="487"/>
      <c r="H684" s="573"/>
      <c r="I684" s="487"/>
      <c r="J684" s="573"/>
      <c r="K684" s="487"/>
      <c r="L684" s="573"/>
      <c r="M684" s="573"/>
      <c r="N684" s="456">
        <f t="shared" si="89"/>
        <v>0</v>
      </c>
      <c r="O684" s="487"/>
      <c r="P684" s="487"/>
      <c r="Q684" s="274">
        <f t="shared" si="84"/>
        <v>0</v>
      </c>
      <c r="R684" s="574">
        <f t="shared" si="85"/>
        <v>0</v>
      </c>
      <c r="S684" s="275">
        <f t="shared" si="86"/>
        <v>0</v>
      </c>
      <c r="T684" s="575"/>
      <c r="U684" s="487"/>
      <c r="V684" s="576"/>
      <c r="W684" s="573"/>
      <c r="X684" s="574">
        <f t="shared" si="90"/>
        <v>0</v>
      </c>
      <c r="Y684" s="487"/>
      <c r="Z684" s="487"/>
      <c r="AA684" s="276">
        <f t="shared" si="91"/>
        <v>0</v>
      </c>
      <c r="AB684" s="573"/>
      <c r="AC684" s="487"/>
      <c r="AD684" s="573"/>
      <c r="AE684" s="487"/>
      <c r="AF684" s="577">
        <f t="shared" si="87"/>
        <v>0</v>
      </c>
      <c r="AG684" s="275">
        <f t="shared" si="88"/>
        <v>0</v>
      </c>
    </row>
    <row r="685" spans="1:33" s="578" customFormat="1" ht="12" customHeight="1">
      <c r="A685" s="714" t="s">
        <v>1276</v>
      </c>
      <c r="B685" s="714" t="s">
        <v>1511</v>
      </c>
      <c r="C685" s="828" t="s">
        <v>1883</v>
      </c>
      <c r="D685" s="717"/>
      <c r="E685" s="718"/>
      <c r="F685" s="573"/>
      <c r="G685" s="487"/>
      <c r="H685" s="573"/>
      <c r="I685" s="487"/>
      <c r="J685" s="573"/>
      <c r="K685" s="487"/>
      <c r="L685" s="573"/>
      <c r="M685" s="573"/>
      <c r="N685" s="456">
        <f t="shared" si="89"/>
        <v>0</v>
      </c>
      <c r="O685" s="487"/>
      <c r="P685" s="487"/>
      <c r="Q685" s="274">
        <f t="shared" si="84"/>
        <v>0</v>
      </c>
      <c r="R685" s="574">
        <f t="shared" si="85"/>
        <v>0</v>
      </c>
      <c r="S685" s="275">
        <f t="shared" si="86"/>
        <v>0</v>
      </c>
      <c r="T685" s="575"/>
      <c r="U685" s="487"/>
      <c r="V685" s="576"/>
      <c r="W685" s="573"/>
      <c r="X685" s="574">
        <f t="shared" si="90"/>
        <v>0</v>
      </c>
      <c r="Y685" s="487"/>
      <c r="Z685" s="487"/>
      <c r="AA685" s="276">
        <f t="shared" si="91"/>
        <v>0</v>
      </c>
      <c r="AB685" s="573"/>
      <c r="AC685" s="487"/>
      <c r="AD685" s="573"/>
      <c r="AE685" s="487"/>
      <c r="AF685" s="577">
        <f t="shared" si="87"/>
        <v>0</v>
      </c>
      <c r="AG685" s="275">
        <f t="shared" si="88"/>
        <v>0</v>
      </c>
    </row>
    <row r="686" spans="1:33" s="578" customFormat="1" ht="12" customHeight="1">
      <c r="A686" s="714" t="s">
        <v>1276</v>
      </c>
      <c r="B686" s="714" t="s">
        <v>1412</v>
      </c>
      <c r="C686" s="828" t="s">
        <v>1761</v>
      </c>
      <c r="D686" s="717"/>
      <c r="E686" s="718"/>
      <c r="F686" s="573"/>
      <c r="G686" s="487"/>
      <c r="H686" s="573"/>
      <c r="I686" s="487"/>
      <c r="J686" s="573"/>
      <c r="K686" s="487"/>
      <c r="L686" s="573"/>
      <c r="M686" s="573"/>
      <c r="N686" s="456">
        <f t="shared" si="89"/>
        <v>0</v>
      </c>
      <c r="O686" s="487"/>
      <c r="P686" s="487"/>
      <c r="Q686" s="274">
        <f t="shared" si="84"/>
        <v>0</v>
      </c>
      <c r="R686" s="574">
        <f t="shared" si="85"/>
        <v>0</v>
      </c>
      <c r="S686" s="275">
        <f t="shared" si="86"/>
        <v>0</v>
      </c>
      <c r="T686" s="575">
        <v>100376</v>
      </c>
      <c r="U686" s="487">
        <v>127768</v>
      </c>
      <c r="V686" s="576"/>
      <c r="W686" s="573"/>
      <c r="X686" s="574">
        <f t="shared" si="90"/>
        <v>0</v>
      </c>
      <c r="Y686" s="487"/>
      <c r="Z686" s="487"/>
      <c r="AA686" s="276">
        <f t="shared" si="91"/>
        <v>0</v>
      </c>
      <c r="AB686" s="573"/>
      <c r="AC686" s="487"/>
      <c r="AD686" s="573"/>
      <c r="AE686" s="487"/>
      <c r="AF686" s="577">
        <f t="shared" si="87"/>
        <v>100376</v>
      </c>
      <c r="AG686" s="275">
        <f t="shared" si="88"/>
        <v>127768</v>
      </c>
    </row>
    <row r="687" spans="1:33" s="578" customFormat="1" ht="12" customHeight="1">
      <c r="A687" s="714" t="s">
        <v>1276</v>
      </c>
      <c r="B687" s="714" t="s">
        <v>1413</v>
      </c>
      <c r="C687" s="828" t="s">
        <v>1586</v>
      </c>
      <c r="D687" s="717"/>
      <c r="E687" s="718"/>
      <c r="F687" s="573"/>
      <c r="G687" s="487"/>
      <c r="H687" s="573"/>
      <c r="I687" s="487"/>
      <c r="J687" s="573"/>
      <c r="K687" s="487"/>
      <c r="L687" s="573"/>
      <c r="M687" s="573"/>
      <c r="N687" s="456">
        <f t="shared" si="89"/>
        <v>0</v>
      </c>
      <c r="O687" s="487"/>
      <c r="P687" s="487"/>
      <c r="Q687" s="274">
        <f t="shared" si="84"/>
        <v>0</v>
      </c>
      <c r="R687" s="574">
        <f t="shared" si="85"/>
        <v>0</v>
      </c>
      <c r="S687" s="275">
        <f t="shared" si="86"/>
        <v>0</v>
      </c>
      <c r="T687" s="575"/>
      <c r="U687" s="487"/>
      <c r="V687" s="576"/>
      <c r="W687" s="573"/>
      <c r="X687" s="574">
        <f t="shared" si="90"/>
        <v>0</v>
      </c>
      <c r="Y687" s="487"/>
      <c r="Z687" s="487"/>
      <c r="AA687" s="276">
        <f t="shared" si="91"/>
        <v>0</v>
      </c>
      <c r="AB687" s="573"/>
      <c r="AC687" s="487"/>
      <c r="AD687" s="573"/>
      <c r="AE687" s="487"/>
      <c r="AF687" s="577">
        <f t="shared" si="87"/>
        <v>0</v>
      </c>
      <c r="AG687" s="275">
        <f t="shared" si="88"/>
        <v>0</v>
      </c>
    </row>
    <row r="688" spans="1:33" s="578" customFormat="1" ht="12" customHeight="1">
      <c r="A688" s="714" t="s">
        <v>1276</v>
      </c>
      <c r="B688" s="714" t="s">
        <v>1582</v>
      </c>
      <c r="C688" s="828" t="s">
        <v>1883</v>
      </c>
      <c r="D688" s="717"/>
      <c r="E688" s="718"/>
      <c r="F688" s="573"/>
      <c r="G688" s="487"/>
      <c r="H688" s="573"/>
      <c r="I688" s="487"/>
      <c r="J688" s="573"/>
      <c r="K688" s="487"/>
      <c r="L688" s="573"/>
      <c r="M688" s="573"/>
      <c r="N688" s="456">
        <f t="shared" si="89"/>
        <v>0</v>
      </c>
      <c r="O688" s="487"/>
      <c r="P688" s="487"/>
      <c r="Q688" s="274">
        <f t="shared" si="84"/>
        <v>0</v>
      </c>
      <c r="R688" s="574">
        <f t="shared" si="85"/>
        <v>0</v>
      </c>
      <c r="S688" s="275">
        <f t="shared" si="86"/>
        <v>0</v>
      </c>
      <c r="T688" s="575"/>
      <c r="U688" s="487"/>
      <c r="V688" s="576"/>
      <c r="W688" s="573"/>
      <c r="X688" s="574">
        <f t="shared" si="90"/>
        <v>0</v>
      </c>
      <c r="Y688" s="487"/>
      <c r="Z688" s="487"/>
      <c r="AA688" s="276">
        <f t="shared" si="91"/>
        <v>0</v>
      </c>
      <c r="AB688" s="573"/>
      <c r="AC688" s="487"/>
      <c r="AD688" s="573"/>
      <c r="AE688" s="487"/>
      <c r="AF688" s="577">
        <f t="shared" si="87"/>
        <v>0</v>
      </c>
      <c r="AG688" s="275">
        <f t="shared" si="88"/>
        <v>0</v>
      </c>
    </row>
    <row r="689" spans="1:33" s="578" customFormat="1" ht="12" customHeight="1">
      <c r="A689" s="714" t="s">
        <v>1276</v>
      </c>
      <c r="B689" s="714" t="s">
        <v>1583</v>
      </c>
      <c r="C689" s="828" t="s">
        <v>1761</v>
      </c>
      <c r="D689" s="717"/>
      <c r="E689" s="718"/>
      <c r="F689" s="573"/>
      <c r="G689" s="487"/>
      <c r="H689" s="573"/>
      <c r="I689" s="487"/>
      <c r="J689" s="573"/>
      <c r="K689" s="487"/>
      <c r="L689" s="573"/>
      <c r="M689" s="573"/>
      <c r="N689" s="456">
        <f t="shared" si="89"/>
        <v>0</v>
      </c>
      <c r="O689" s="487"/>
      <c r="P689" s="487"/>
      <c r="Q689" s="274">
        <f t="shared" si="84"/>
        <v>0</v>
      </c>
      <c r="R689" s="574">
        <f t="shared" si="85"/>
        <v>0</v>
      </c>
      <c r="S689" s="275">
        <f t="shared" si="86"/>
        <v>0</v>
      </c>
      <c r="T689" s="575">
        <v>46490</v>
      </c>
      <c r="U689" s="487">
        <v>20416</v>
      </c>
      <c r="V689" s="576"/>
      <c r="W689" s="573"/>
      <c r="X689" s="574">
        <f t="shared" si="90"/>
        <v>0</v>
      </c>
      <c r="Y689" s="487"/>
      <c r="Z689" s="487"/>
      <c r="AA689" s="276">
        <f t="shared" si="91"/>
        <v>0</v>
      </c>
      <c r="AB689" s="573"/>
      <c r="AC689" s="487"/>
      <c r="AD689" s="573"/>
      <c r="AE689" s="487"/>
      <c r="AF689" s="577">
        <f t="shared" si="87"/>
        <v>46490</v>
      </c>
      <c r="AG689" s="275">
        <f t="shared" si="88"/>
        <v>20416</v>
      </c>
    </row>
    <row r="690" spans="1:33" s="578" customFormat="1" ht="12" customHeight="1">
      <c r="A690" s="714" t="s">
        <v>1276</v>
      </c>
      <c r="B690" s="714" t="s">
        <v>1805</v>
      </c>
      <c r="C690" s="831" t="s">
        <v>1975</v>
      </c>
      <c r="D690" s="717"/>
      <c r="E690" s="718"/>
      <c r="F690" s="573"/>
      <c r="G690" s="487"/>
      <c r="H690" s="573"/>
      <c r="I690" s="487"/>
      <c r="J690" s="573"/>
      <c r="K690" s="487"/>
      <c r="L690" s="573"/>
      <c r="M690" s="573"/>
      <c r="N690" s="456">
        <f t="shared" si="89"/>
        <v>0</v>
      </c>
      <c r="O690" s="487"/>
      <c r="P690" s="487"/>
      <c r="Q690" s="274">
        <f t="shared" si="84"/>
        <v>0</v>
      </c>
      <c r="R690" s="574">
        <f t="shared" si="85"/>
        <v>0</v>
      </c>
      <c r="S690" s="275">
        <f t="shared" si="86"/>
        <v>0</v>
      </c>
      <c r="T690" s="575">
        <v>305299.20000000001</v>
      </c>
      <c r="U690" s="487">
        <v>352408</v>
      </c>
      <c r="V690" s="576"/>
      <c r="W690" s="573"/>
      <c r="X690" s="574">
        <f t="shared" si="90"/>
        <v>0</v>
      </c>
      <c r="Y690" s="487"/>
      <c r="Z690" s="487"/>
      <c r="AA690" s="276">
        <f t="shared" si="91"/>
        <v>0</v>
      </c>
      <c r="AB690" s="573"/>
      <c r="AC690" s="487"/>
      <c r="AD690" s="573"/>
      <c r="AE690" s="487"/>
      <c r="AF690" s="577">
        <f t="shared" si="87"/>
        <v>305299.20000000001</v>
      </c>
      <c r="AG690" s="275">
        <f t="shared" si="88"/>
        <v>352408</v>
      </c>
    </row>
    <row r="691" spans="1:33" s="578" customFormat="1" ht="12" customHeight="1">
      <c r="A691" s="714" t="s">
        <v>1276</v>
      </c>
      <c r="B691" s="714" t="s">
        <v>1882</v>
      </c>
      <c r="C691" s="826" t="s">
        <v>1883</v>
      </c>
      <c r="D691" s="717"/>
      <c r="E691" s="718"/>
      <c r="F691" s="573"/>
      <c r="G691" s="487"/>
      <c r="H691" s="573"/>
      <c r="I691" s="487"/>
      <c r="J691" s="573"/>
      <c r="K691" s="487"/>
      <c r="L691" s="573"/>
      <c r="M691" s="573"/>
      <c r="N691" s="456">
        <f t="shared" si="89"/>
        <v>0</v>
      </c>
      <c r="O691" s="487"/>
      <c r="P691" s="487"/>
      <c r="Q691" s="274">
        <f t="shared" si="84"/>
        <v>0</v>
      </c>
      <c r="R691" s="574">
        <f t="shared" si="85"/>
        <v>0</v>
      </c>
      <c r="S691" s="275">
        <f t="shared" si="86"/>
        <v>0</v>
      </c>
      <c r="T691" s="1144" t="s">
        <v>1224</v>
      </c>
      <c r="U691" s="487"/>
      <c r="V691" s="576"/>
      <c r="W691" s="573"/>
      <c r="X691" s="574">
        <f t="shared" si="90"/>
        <v>0</v>
      </c>
      <c r="Y691" s="487"/>
      <c r="Z691" s="487"/>
      <c r="AA691" s="276">
        <f t="shared" si="91"/>
        <v>0</v>
      </c>
      <c r="AB691" s="573"/>
      <c r="AC691" s="487"/>
      <c r="AD691" s="573"/>
      <c r="AE691" s="487"/>
      <c r="AF691" s="577">
        <f t="shared" si="87"/>
        <v>0</v>
      </c>
      <c r="AG691" s="275">
        <f t="shared" si="88"/>
        <v>0</v>
      </c>
    </row>
    <row r="692" spans="1:33" s="578" customFormat="1" ht="12" customHeight="1">
      <c r="A692" s="714" t="s">
        <v>1276</v>
      </c>
      <c r="B692" s="714" t="s">
        <v>1763</v>
      </c>
      <c r="C692" s="826" t="s">
        <v>1761</v>
      </c>
      <c r="D692" s="717"/>
      <c r="E692" s="718"/>
      <c r="F692" s="573"/>
      <c r="G692" s="487"/>
      <c r="H692" s="573"/>
      <c r="I692" s="487"/>
      <c r="J692" s="573"/>
      <c r="K692" s="487"/>
      <c r="L692" s="573"/>
      <c r="M692" s="573"/>
      <c r="N692" s="456">
        <f t="shared" si="89"/>
        <v>0</v>
      </c>
      <c r="O692" s="487"/>
      <c r="P692" s="487"/>
      <c r="Q692" s="274">
        <f t="shared" si="84"/>
        <v>0</v>
      </c>
      <c r="R692" s="574">
        <f t="shared" si="85"/>
        <v>0</v>
      </c>
      <c r="S692" s="275">
        <f t="shared" si="86"/>
        <v>0</v>
      </c>
      <c r="T692" s="1148"/>
      <c r="U692" s="487"/>
      <c r="V692" s="576"/>
      <c r="W692" s="573"/>
      <c r="X692" s="574">
        <f t="shared" si="90"/>
        <v>0</v>
      </c>
      <c r="Y692" s="487"/>
      <c r="Z692" s="487"/>
      <c r="AA692" s="276">
        <f t="shared" si="91"/>
        <v>0</v>
      </c>
      <c r="AB692" s="573"/>
      <c r="AC692" s="487"/>
      <c r="AD692" s="573"/>
      <c r="AE692" s="487"/>
      <c r="AF692" s="577">
        <f t="shared" si="87"/>
        <v>0</v>
      </c>
      <c r="AG692" s="275">
        <f t="shared" si="88"/>
        <v>0</v>
      </c>
    </row>
    <row r="693" spans="1:33" s="578" customFormat="1" ht="12" customHeight="1">
      <c r="A693" s="714" t="s">
        <v>1276</v>
      </c>
      <c r="B693" s="714" t="s">
        <v>1510</v>
      </c>
      <c r="C693" s="860" t="s">
        <v>1762</v>
      </c>
      <c r="D693" s="717"/>
      <c r="E693" s="718"/>
      <c r="F693" s="573"/>
      <c r="G693" s="487"/>
      <c r="H693" s="573"/>
      <c r="I693" s="487"/>
      <c r="J693" s="573"/>
      <c r="K693" s="487"/>
      <c r="L693" s="573"/>
      <c r="M693" s="573"/>
      <c r="N693" s="456">
        <f t="shared" si="89"/>
        <v>0</v>
      </c>
      <c r="O693" s="487"/>
      <c r="P693" s="487"/>
      <c r="Q693" s="274">
        <f t="shared" si="84"/>
        <v>0</v>
      </c>
      <c r="R693" s="574">
        <f t="shared" si="85"/>
        <v>0</v>
      </c>
      <c r="S693" s="275">
        <f t="shared" si="86"/>
        <v>0</v>
      </c>
      <c r="T693" s="1148"/>
      <c r="U693" s="487"/>
      <c r="V693" s="576"/>
      <c r="W693" s="573"/>
      <c r="X693" s="574">
        <f t="shared" si="90"/>
        <v>0</v>
      </c>
      <c r="Y693" s="487"/>
      <c r="Z693" s="487"/>
      <c r="AA693" s="276">
        <f t="shared" si="91"/>
        <v>0</v>
      </c>
      <c r="AB693" s="573"/>
      <c r="AC693" s="487"/>
      <c r="AD693" s="573"/>
      <c r="AE693" s="487"/>
      <c r="AF693" s="577">
        <f t="shared" si="87"/>
        <v>0</v>
      </c>
      <c r="AG693" s="275">
        <f t="shared" si="88"/>
        <v>0</v>
      </c>
    </row>
    <row r="694" spans="1:33" s="578" customFormat="1" ht="12" customHeight="1">
      <c r="A694" s="714" t="s">
        <v>1276</v>
      </c>
      <c r="B694" s="714" t="s">
        <v>1511</v>
      </c>
      <c r="C694" s="828" t="s">
        <v>1883</v>
      </c>
      <c r="D694" s="717"/>
      <c r="E694" s="718"/>
      <c r="F694" s="573"/>
      <c r="G694" s="487"/>
      <c r="H694" s="573"/>
      <c r="I694" s="487"/>
      <c r="J694" s="573"/>
      <c r="K694" s="487"/>
      <c r="L694" s="573"/>
      <c r="M694" s="573"/>
      <c r="N694" s="456">
        <f t="shared" si="89"/>
        <v>0</v>
      </c>
      <c r="O694" s="487"/>
      <c r="P694" s="487"/>
      <c r="Q694" s="274">
        <f t="shared" si="84"/>
        <v>0</v>
      </c>
      <c r="R694" s="574">
        <f t="shared" si="85"/>
        <v>0</v>
      </c>
      <c r="S694" s="275">
        <f t="shared" si="86"/>
        <v>0</v>
      </c>
      <c r="T694" s="1148"/>
      <c r="U694" s="487"/>
      <c r="V694" s="576"/>
      <c r="W694" s="573"/>
      <c r="X694" s="574">
        <f t="shared" si="90"/>
        <v>0</v>
      </c>
      <c r="Y694" s="487"/>
      <c r="Z694" s="487"/>
      <c r="AA694" s="276">
        <f t="shared" si="91"/>
        <v>0</v>
      </c>
      <c r="AB694" s="573"/>
      <c r="AC694" s="487"/>
      <c r="AD694" s="573"/>
      <c r="AE694" s="487"/>
      <c r="AF694" s="577">
        <f t="shared" si="87"/>
        <v>0</v>
      </c>
      <c r="AG694" s="275">
        <f t="shared" si="88"/>
        <v>0</v>
      </c>
    </row>
    <row r="695" spans="1:33" s="578" customFormat="1" ht="12" customHeight="1">
      <c r="A695" s="714" t="s">
        <v>1276</v>
      </c>
      <c r="B695" s="714" t="s">
        <v>1412</v>
      </c>
      <c r="C695" s="828" t="s">
        <v>1761</v>
      </c>
      <c r="D695" s="717"/>
      <c r="E695" s="718"/>
      <c r="F695" s="573"/>
      <c r="G695" s="487"/>
      <c r="H695" s="573"/>
      <c r="I695" s="487"/>
      <c r="J695" s="573"/>
      <c r="K695" s="487"/>
      <c r="L695" s="573"/>
      <c r="M695" s="573"/>
      <c r="N695" s="456">
        <f t="shared" si="89"/>
        <v>0</v>
      </c>
      <c r="O695" s="487"/>
      <c r="P695" s="487"/>
      <c r="Q695" s="274">
        <f t="shared" si="84"/>
        <v>0</v>
      </c>
      <c r="R695" s="574">
        <f t="shared" si="85"/>
        <v>0</v>
      </c>
      <c r="S695" s="275">
        <f t="shared" si="86"/>
        <v>0</v>
      </c>
      <c r="T695" s="1148"/>
      <c r="U695" s="487"/>
      <c r="V695" s="576"/>
      <c r="W695" s="573"/>
      <c r="X695" s="574">
        <f t="shared" si="90"/>
        <v>0</v>
      </c>
      <c r="Y695" s="487"/>
      <c r="Z695" s="487"/>
      <c r="AA695" s="276">
        <f t="shared" si="91"/>
        <v>0</v>
      </c>
      <c r="AB695" s="573"/>
      <c r="AC695" s="487"/>
      <c r="AD695" s="573"/>
      <c r="AE695" s="487"/>
      <c r="AF695" s="577">
        <f t="shared" si="87"/>
        <v>0</v>
      </c>
      <c r="AG695" s="275">
        <f t="shared" si="88"/>
        <v>0</v>
      </c>
    </row>
    <row r="696" spans="1:33" s="578" customFormat="1" ht="12" customHeight="1">
      <c r="A696" s="714" t="s">
        <v>1276</v>
      </c>
      <c r="B696" s="714" t="s">
        <v>1413</v>
      </c>
      <c r="C696" s="828" t="s">
        <v>1586</v>
      </c>
      <c r="D696" s="717"/>
      <c r="E696" s="718"/>
      <c r="F696" s="573"/>
      <c r="G696" s="487"/>
      <c r="H696" s="573"/>
      <c r="I696" s="487"/>
      <c r="J696" s="573"/>
      <c r="K696" s="487"/>
      <c r="L696" s="573"/>
      <c r="M696" s="573"/>
      <c r="N696" s="456">
        <f t="shared" si="89"/>
        <v>0</v>
      </c>
      <c r="O696" s="487"/>
      <c r="P696" s="487"/>
      <c r="Q696" s="274">
        <f t="shared" si="84"/>
        <v>0</v>
      </c>
      <c r="R696" s="574">
        <f t="shared" si="85"/>
        <v>0</v>
      </c>
      <c r="S696" s="275">
        <f t="shared" si="86"/>
        <v>0</v>
      </c>
      <c r="T696" s="1149"/>
      <c r="U696" s="487"/>
      <c r="V696" s="576"/>
      <c r="W696" s="573"/>
      <c r="X696" s="574">
        <f t="shared" si="90"/>
        <v>0</v>
      </c>
      <c r="Y696" s="487"/>
      <c r="Z696" s="487"/>
      <c r="AA696" s="276">
        <f t="shared" si="91"/>
        <v>0</v>
      </c>
      <c r="AB696" s="573"/>
      <c r="AC696" s="487"/>
      <c r="AD696" s="573"/>
      <c r="AE696" s="487"/>
      <c r="AF696" s="577">
        <f t="shared" si="87"/>
        <v>0</v>
      </c>
      <c r="AG696" s="275">
        <f t="shared" si="88"/>
        <v>0</v>
      </c>
    </row>
    <row r="697" spans="1:33" s="578" customFormat="1" ht="12" customHeight="1">
      <c r="A697" s="714" t="s">
        <v>1276</v>
      </c>
      <c r="B697" s="714" t="s">
        <v>1582</v>
      </c>
      <c r="C697" s="828" t="s">
        <v>1883</v>
      </c>
      <c r="D697" s="717"/>
      <c r="E697" s="718"/>
      <c r="F697" s="573"/>
      <c r="G697" s="487"/>
      <c r="H697" s="573"/>
      <c r="I697" s="487"/>
      <c r="J697" s="573"/>
      <c r="K697" s="487"/>
      <c r="L697" s="573"/>
      <c r="M697" s="573"/>
      <c r="N697" s="456">
        <f t="shared" si="89"/>
        <v>0</v>
      </c>
      <c r="O697" s="487"/>
      <c r="P697" s="487"/>
      <c r="Q697" s="274">
        <f t="shared" si="84"/>
        <v>0</v>
      </c>
      <c r="R697" s="574">
        <f t="shared" si="85"/>
        <v>0</v>
      </c>
      <c r="S697" s="275">
        <f t="shared" si="86"/>
        <v>0</v>
      </c>
      <c r="T697" s="575"/>
      <c r="U697" s="487"/>
      <c r="V697" s="576"/>
      <c r="W697" s="573"/>
      <c r="X697" s="574">
        <f t="shared" si="90"/>
        <v>0</v>
      </c>
      <c r="Y697" s="487"/>
      <c r="Z697" s="487"/>
      <c r="AA697" s="276">
        <f t="shared" si="91"/>
        <v>0</v>
      </c>
      <c r="AB697" s="573"/>
      <c r="AC697" s="487"/>
      <c r="AD697" s="573"/>
      <c r="AE697" s="487"/>
      <c r="AF697" s="577">
        <f t="shared" si="87"/>
        <v>0</v>
      </c>
      <c r="AG697" s="275">
        <f t="shared" si="88"/>
        <v>0</v>
      </c>
    </row>
    <row r="698" spans="1:33" s="578" customFormat="1" ht="12" customHeight="1">
      <c r="A698" s="714" t="s">
        <v>1276</v>
      </c>
      <c r="B698" s="714" t="s">
        <v>1583</v>
      </c>
      <c r="C698" s="828" t="s">
        <v>1761</v>
      </c>
      <c r="D698" s="717"/>
      <c r="E698" s="718"/>
      <c r="F698" s="573"/>
      <c r="G698" s="487"/>
      <c r="H698" s="573"/>
      <c r="I698" s="487"/>
      <c r="J698" s="573"/>
      <c r="K698" s="487"/>
      <c r="L698" s="573"/>
      <c r="M698" s="573"/>
      <c r="N698" s="456">
        <f t="shared" si="89"/>
        <v>0</v>
      </c>
      <c r="O698" s="487"/>
      <c r="P698" s="487"/>
      <c r="Q698" s="274">
        <f t="shared" si="84"/>
        <v>0</v>
      </c>
      <c r="R698" s="574">
        <f t="shared" si="85"/>
        <v>0</v>
      </c>
      <c r="S698" s="275">
        <f t="shared" si="86"/>
        <v>0</v>
      </c>
      <c r="T698" s="575"/>
      <c r="U698" s="487"/>
      <c r="V698" s="576"/>
      <c r="W698" s="573"/>
      <c r="X698" s="574">
        <f t="shared" si="90"/>
        <v>0</v>
      </c>
      <c r="Y698" s="487"/>
      <c r="Z698" s="487"/>
      <c r="AA698" s="276">
        <f t="shared" si="91"/>
        <v>0</v>
      </c>
      <c r="AB698" s="573"/>
      <c r="AC698" s="487"/>
      <c r="AD698" s="573"/>
      <c r="AE698" s="487"/>
      <c r="AF698" s="577">
        <f t="shared" si="87"/>
        <v>0</v>
      </c>
      <c r="AG698" s="275">
        <f t="shared" si="88"/>
        <v>0</v>
      </c>
    </row>
    <row r="699" spans="1:33" s="578" customFormat="1" ht="12" customHeight="1">
      <c r="A699" s="714" t="s">
        <v>1276</v>
      </c>
      <c r="B699" s="714" t="s">
        <v>1805</v>
      </c>
      <c r="C699" s="831" t="s">
        <v>1976</v>
      </c>
      <c r="D699" s="717"/>
      <c r="E699" s="718"/>
      <c r="F699" s="573"/>
      <c r="G699" s="487"/>
      <c r="H699" s="573"/>
      <c r="I699" s="487"/>
      <c r="J699" s="573"/>
      <c r="K699" s="487"/>
      <c r="L699" s="573"/>
      <c r="M699" s="573"/>
      <c r="N699" s="456">
        <f t="shared" si="89"/>
        <v>0</v>
      </c>
      <c r="O699" s="487"/>
      <c r="P699" s="487"/>
      <c r="Q699" s="274">
        <f t="shared" si="84"/>
        <v>0</v>
      </c>
      <c r="R699" s="574">
        <f t="shared" si="85"/>
        <v>0</v>
      </c>
      <c r="S699" s="275">
        <f t="shared" si="86"/>
        <v>0</v>
      </c>
      <c r="T699" s="575"/>
      <c r="U699" s="487">
        <v>225000</v>
      </c>
      <c r="V699" s="576"/>
      <c r="W699" s="573"/>
      <c r="X699" s="574">
        <f t="shared" si="90"/>
        <v>0</v>
      </c>
      <c r="Y699" s="487"/>
      <c r="Z699" s="487"/>
      <c r="AA699" s="276">
        <f t="shared" si="91"/>
        <v>0</v>
      </c>
      <c r="AB699" s="573"/>
      <c r="AC699" s="487"/>
      <c r="AD699" s="573"/>
      <c r="AE699" s="487"/>
      <c r="AF699" s="577">
        <f t="shared" si="87"/>
        <v>0</v>
      </c>
      <c r="AG699" s="275">
        <f t="shared" si="88"/>
        <v>225000</v>
      </c>
    </row>
    <row r="700" spans="1:33" s="578" customFormat="1" ht="12" customHeight="1">
      <c r="A700" s="714" t="s">
        <v>1276</v>
      </c>
      <c r="B700" s="714" t="s">
        <v>1882</v>
      </c>
      <c r="C700" s="826" t="s">
        <v>1883</v>
      </c>
      <c r="D700" s="717"/>
      <c r="E700" s="718"/>
      <c r="F700" s="573"/>
      <c r="G700" s="487"/>
      <c r="H700" s="573"/>
      <c r="I700" s="487"/>
      <c r="J700" s="573"/>
      <c r="K700" s="487"/>
      <c r="L700" s="573"/>
      <c r="M700" s="573"/>
      <c r="N700" s="456">
        <f t="shared" si="89"/>
        <v>0</v>
      </c>
      <c r="O700" s="487"/>
      <c r="P700" s="487"/>
      <c r="Q700" s="274">
        <f t="shared" si="84"/>
        <v>0</v>
      </c>
      <c r="R700" s="574">
        <f t="shared" si="85"/>
        <v>0</v>
      </c>
      <c r="S700" s="275">
        <f t="shared" si="86"/>
        <v>0</v>
      </c>
      <c r="T700" s="575"/>
      <c r="U700" s="487"/>
      <c r="V700" s="576"/>
      <c r="W700" s="573"/>
      <c r="X700" s="574">
        <f t="shared" si="90"/>
        <v>0</v>
      </c>
      <c r="Y700" s="487"/>
      <c r="Z700" s="487"/>
      <c r="AA700" s="276">
        <f t="shared" si="91"/>
        <v>0</v>
      </c>
      <c r="AB700" s="573"/>
      <c r="AC700" s="487"/>
      <c r="AD700" s="573"/>
      <c r="AE700" s="487"/>
      <c r="AF700" s="577">
        <f t="shared" si="87"/>
        <v>0</v>
      </c>
      <c r="AG700" s="275">
        <f t="shared" si="88"/>
        <v>0</v>
      </c>
    </row>
    <row r="701" spans="1:33" s="578" customFormat="1" ht="12" customHeight="1">
      <c r="A701" s="714" t="s">
        <v>1276</v>
      </c>
      <c r="B701" s="714" t="s">
        <v>1763</v>
      </c>
      <c r="C701" s="826" t="s">
        <v>1761</v>
      </c>
      <c r="D701" s="717"/>
      <c r="E701" s="718"/>
      <c r="F701" s="573"/>
      <c r="G701" s="487"/>
      <c r="H701" s="573"/>
      <c r="I701" s="487"/>
      <c r="J701" s="573"/>
      <c r="K701" s="487"/>
      <c r="L701" s="573"/>
      <c r="M701" s="573"/>
      <c r="N701" s="456">
        <f t="shared" si="89"/>
        <v>0</v>
      </c>
      <c r="O701" s="487"/>
      <c r="P701" s="487"/>
      <c r="Q701" s="274">
        <f t="shared" si="84"/>
        <v>0</v>
      </c>
      <c r="R701" s="574">
        <f t="shared" si="85"/>
        <v>0</v>
      </c>
      <c r="S701" s="275">
        <f t="shared" si="86"/>
        <v>0</v>
      </c>
      <c r="T701" s="575"/>
      <c r="U701" s="487"/>
      <c r="V701" s="576"/>
      <c r="W701" s="573"/>
      <c r="X701" s="574">
        <f t="shared" si="90"/>
        <v>0</v>
      </c>
      <c r="Y701" s="487"/>
      <c r="Z701" s="487"/>
      <c r="AA701" s="276">
        <f t="shared" si="91"/>
        <v>0</v>
      </c>
      <c r="AB701" s="573"/>
      <c r="AC701" s="487"/>
      <c r="AD701" s="573"/>
      <c r="AE701" s="487"/>
      <c r="AF701" s="577">
        <f t="shared" si="87"/>
        <v>0</v>
      </c>
      <c r="AG701" s="275">
        <f t="shared" si="88"/>
        <v>0</v>
      </c>
    </row>
    <row r="702" spans="1:33" s="578" customFormat="1" ht="12" customHeight="1">
      <c r="A702" s="714" t="s">
        <v>1276</v>
      </c>
      <c r="B702" s="714" t="s">
        <v>1510</v>
      </c>
      <c r="C702" s="860" t="s">
        <v>1762</v>
      </c>
      <c r="D702" s="717"/>
      <c r="E702" s="718"/>
      <c r="F702" s="573"/>
      <c r="G702" s="487"/>
      <c r="H702" s="573"/>
      <c r="I702" s="487"/>
      <c r="J702" s="573"/>
      <c r="K702" s="487"/>
      <c r="L702" s="573"/>
      <c r="M702" s="573"/>
      <c r="N702" s="456">
        <f t="shared" si="89"/>
        <v>0</v>
      </c>
      <c r="O702" s="487"/>
      <c r="P702" s="487"/>
      <c r="Q702" s="274">
        <f t="shared" si="84"/>
        <v>0</v>
      </c>
      <c r="R702" s="574">
        <f t="shared" si="85"/>
        <v>0</v>
      </c>
      <c r="S702" s="275">
        <f t="shared" si="86"/>
        <v>0</v>
      </c>
      <c r="T702" s="575"/>
      <c r="U702" s="487"/>
      <c r="V702" s="576"/>
      <c r="W702" s="573"/>
      <c r="X702" s="574">
        <f t="shared" si="90"/>
        <v>0</v>
      </c>
      <c r="Y702" s="487"/>
      <c r="Z702" s="487"/>
      <c r="AA702" s="276">
        <f t="shared" si="91"/>
        <v>0</v>
      </c>
      <c r="AB702" s="573"/>
      <c r="AC702" s="487"/>
      <c r="AD702" s="573"/>
      <c r="AE702" s="487"/>
      <c r="AF702" s="577">
        <f t="shared" si="87"/>
        <v>0</v>
      </c>
      <c r="AG702" s="275">
        <f t="shared" si="88"/>
        <v>0</v>
      </c>
    </row>
    <row r="703" spans="1:33" s="578" customFormat="1" ht="12" customHeight="1">
      <c r="A703" s="714" t="s">
        <v>1276</v>
      </c>
      <c r="B703" s="714" t="s">
        <v>1511</v>
      </c>
      <c r="C703" s="828" t="s">
        <v>1883</v>
      </c>
      <c r="D703" s="717"/>
      <c r="E703" s="718"/>
      <c r="F703" s="573"/>
      <c r="G703" s="487"/>
      <c r="H703" s="573"/>
      <c r="I703" s="487"/>
      <c r="J703" s="573"/>
      <c r="K703" s="487"/>
      <c r="L703" s="573"/>
      <c r="M703" s="573"/>
      <c r="N703" s="456">
        <f t="shared" si="89"/>
        <v>0</v>
      </c>
      <c r="O703" s="487"/>
      <c r="P703" s="487"/>
      <c r="Q703" s="274">
        <f t="shared" si="84"/>
        <v>0</v>
      </c>
      <c r="R703" s="574">
        <f t="shared" si="85"/>
        <v>0</v>
      </c>
      <c r="S703" s="275">
        <f t="shared" si="86"/>
        <v>0</v>
      </c>
      <c r="T703" s="575"/>
      <c r="U703" s="487"/>
      <c r="V703" s="576"/>
      <c r="W703" s="573"/>
      <c r="X703" s="574">
        <f t="shared" si="90"/>
        <v>0</v>
      </c>
      <c r="Y703" s="487"/>
      <c r="Z703" s="487"/>
      <c r="AA703" s="276">
        <f t="shared" si="91"/>
        <v>0</v>
      </c>
      <c r="AB703" s="573"/>
      <c r="AC703" s="487"/>
      <c r="AD703" s="573"/>
      <c r="AE703" s="487"/>
      <c r="AF703" s="577">
        <f t="shared" si="87"/>
        <v>0</v>
      </c>
      <c r="AG703" s="275">
        <f t="shared" si="88"/>
        <v>0</v>
      </c>
    </row>
    <row r="704" spans="1:33" s="578" customFormat="1" ht="12" customHeight="1">
      <c r="A704" s="714" t="s">
        <v>1276</v>
      </c>
      <c r="B704" s="714" t="s">
        <v>1412</v>
      </c>
      <c r="C704" s="828" t="s">
        <v>1761</v>
      </c>
      <c r="D704" s="717"/>
      <c r="E704" s="718"/>
      <c r="F704" s="573"/>
      <c r="G704" s="487"/>
      <c r="H704" s="573"/>
      <c r="I704" s="487"/>
      <c r="J704" s="573"/>
      <c r="K704" s="487"/>
      <c r="L704" s="573"/>
      <c r="M704" s="573"/>
      <c r="N704" s="456">
        <f t="shared" si="89"/>
        <v>0</v>
      </c>
      <c r="O704" s="487"/>
      <c r="P704" s="487"/>
      <c r="Q704" s="274">
        <f t="shared" si="84"/>
        <v>0</v>
      </c>
      <c r="R704" s="574">
        <f t="shared" si="85"/>
        <v>0</v>
      </c>
      <c r="S704" s="275">
        <f t="shared" si="86"/>
        <v>0</v>
      </c>
      <c r="T704" s="575">
        <v>276000</v>
      </c>
      <c r="U704" s="487"/>
      <c r="V704" s="576"/>
      <c r="W704" s="573"/>
      <c r="X704" s="574">
        <f t="shared" si="90"/>
        <v>0</v>
      </c>
      <c r="Y704" s="487"/>
      <c r="Z704" s="487"/>
      <c r="AA704" s="276">
        <f t="shared" si="91"/>
        <v>0</v>
      </c>
      <c r="AB704" s="573"/>
      <c r="AC704" s="487"/>
      <c r="AD704" s="573"/>
      <c r="AE704" s="487"/>
      <c r="AF704" s="577">
        <f t="shared" si="87"/>
        <v>276000</v>
      </c>
      <c r="AG704" s="275">
        <f t="shared" si="88"/>
        <v>0</v>
      </c>
    </row>
    <row r="705" spans="1:33" s="578" customFormat="1" ht="12" customHeight="1">
      <c r="A705" s="714" t="s">
        <v>1276</v>
      </c>
      <c r="B705" s="714" t="s">
        <v>1413</v>
      </c>
      <c r="C705" s="828" t="s">
        <v>1586</v>
      </c>
      <c r="D705" s="717"/>
      <c r="E705" s="718"/>
      <c r="F705" s="573"/>
      <c r="G705" s="487"/>
      <c r="H705" s="573"/>
      <c r="I705" s="487"/>
      <c r="J705" s="573"/>
      <c r="K705" s="487"/>
      <c r="L705" s="573"/>
      <c r="M705" s="573"/>
      <c r="N705" s="456">
        <f t="shared" si="89"/>
        <v>0</v>
      </c>
      <c r="O705" s="487"/>
      <c r="P705" s="487"/>
      <c r="Q705" s="274">
        <f t="shared" si="84"/>
        <v>0</v>
      </c>
      <c r="R705" s="574">
        <f t="shared" si="85"/>
        <v>0</v>
      </c>
      <c r="S705" s="275">
        <f t="shared" si="86"/>
        <v>0</v>
      </c>
      <c r="T705" s="575"/>
      <c r="U705" s="487"/>
      <c r="V705" s="576"/>
      <c r="W705" s="573"/>
      <c r="X705" s="574">
        <f t="shared" si="90"/>
        <v>0</v>
      </c>
      <c r="Y705" s="487"/>
      <c r="Z705" s="487"/>
      <c r="AA705" s="276">
        <f t="shared" si="91"/>
        <v>0</v>
      </c>
      <c r="AB705" s="573"/>
      <c r="AC705" s="487"/>
      <c r="AD705" s="573"/>
      <c r="AE705" s="487"/>
      <c r="AF705" s="577">
        <f t="shared" si="87"/>
        <v>0</v>
      </c>
      <c r="AG705" s="275">
        <f t="shared" si="88"/>
        <v>0</v>
      </c>
    </row>
    <row r="706" spans="1:33" s="578" customFormat="1" ht="12" customHeight="1">
      <c r="A706" s="714" t="s">
        <v>1276</v>
      </c>
      <c r="B706" s="714" t="s">
        <v>1582</v>
      </c>
      <c r="C706" s="828" t="s">
        <v>1883</v>
      </c>
      <c r="D706" s="717"/>
      <c r="E706" s="718"/>
      <c r="F706" s="573"/>
      <c r="G706" s="487"/>
      <c r="H706" s="573"/>
      <c r="I706" s="487"/>
      <c r="J706" s="573"/>
      <c r="K706" s="487"/>
      <c r="L706" s="573"/>
      <c r="M706" s="573"/>
      <c r="N706" s="456">
        <f t="shared" si="89"/>
        <v>0</v>
      </c>
      <c r="O706" s="487"/>
      <c r="P706" s="487"/>
      <c r="Q706" s="274">
        <f t="shared" si="84"/>
        <v>0</v>
      </c>
      <c r="R706" s="574">
        <f t="shared" si="85"/>
        <v>0</v>
      </c>
      <c r="S706" s="275">
        <f t="shared" si="86"/>
        <v>0</v>
      </c>
      <c r="T706" s="575"/>
      <c r="U706" s="487"/>
      <c r="V706" s="576"/>
      <c r="W706" s="573"/>
      <c r="X706" s="574">
        <f t="shared" si="90"/>
        <v>0</v>
      </c>
      <c r="Y706" s="487"/>
      <c r="Z706" s="487"/>
      <c r="AA706" s="276">
        <f t="shared" si="91"/>
        <v>0</v>
      </c>
      <c r="AB706" s="573"/>
      <c r="AC706" s="487"/>
      <c r="AD706" s="573"/>
      <c r="AE706" s="487"/>
      <c r="AF706" s="577">
        <f t="shared" si="87"/>
        <v>0</v>
      </c>
      <c r="AG706" s="275">
        <f t="shared" si="88"/>
        <v>0</v>
      </c>
    </row>
    <row r="707" spans="1:33" s="578" customFormat="1" ht="12" customHeight="1">
      <c r="A707" s="714" t="s">
        <v>1276</v>
      </c>
      <c r="B707" s="714" t="s">
        <v>1583</v>
      </c>
      <c r="C707" s="828" t="s">
        <v>1761</v>
      </c>
      <c r="D707" s="717"/>
      <c r="E707" s="718"/>
      <c r="F707" s="573"/>
      <c r="G707" s="487"/>
      <c r="H707" s="573"/>
      <c r="I707" s="487"/>
      <c r="J707" s="573"/>
      <c r="K707" s="487"/>
      <c r="L707" s="573"/>
      <c r="M707" s="573"/>
      <c r="N707" s="456">
        <f t="shared" si="89"/>
        <v>0</v>
      </c>
      <c r="O707" s="487"/>
      <c r="P707" s="487"/>
      <c r="Q707" s="274">
        <f t="shared" si="84"/>
        <v>0</v>
      </c>
      <c r="R707" s="574">
        <f t="shared" si="85"/>
        <v>0</v>
      </c>
      <c r="S707" s="275">
        <f t="shared" si="86"/>
        <v>0</v>
      </c>
      <c r="T707" s="575"/>
      <c r="U707" s="487"/>
      <c r="V707" s="576"/>
      <c r="W707" s="573"/>
      <c r="X707" s="574">
        <f t="shared" si="90"/>
        <v>0</v>
      </c>
      <c r="Y707" s="487"/>
      <c r="Z707" s="487"/>
      <c r="AA707" s="276">
        <f t="shared" si="91"/>
        <v>0</v>
      </c>
      <c r="AB707" s="573"/>
      <c r="AC707" s="487"/>
      <c r="AD707" s="573"/>
      <c r="AE707" s="487"/>
      <c r="AF707" s="577">
        <f t="shared" si="87"/>
        <v>0</v>
      </c>
      <c r="AG707" s="275">
        <f t="shared" si="88"/>
        <v>0</v>
      </c>
    </row>
    <row r="708" spans="1:33" s="578" customFormat="1" ht="12" customHeight="1">
      <c r="A708" s="714" t="s">
        <v>1276</v>
      </c>
      <c r="B708" s="714" t="s">
        <v>1806</v>
      </c>
      <c r="C708" s="830" t="s">
        <v>912</v>
      </c>
      <c r="D708" s="717"/>
      <c r="E708" s="718"/>
      <c r="F708" s="573"/>
      <c r="G708" s="487"/>
      <c r="H708" s="573"/>
      <c r="I708" s="487"/>
      <c r="J708" s="573"/>
      <c r="K708" s="487"/>
      <c r="L708" s="573"/>
      <c r="M708" s="573"/>
      <c r="N708" s="456">
        <f t="shared" si="89"/>
        <v>0</v>
      </c>
      <c r="O708" s="487"/>
      <c r="P708" s="487"/>
      <c r="Q708" s="274">
        <f t="shared" si="84"/>
        <v>0</v>
      </c>
      <c r="R708" s="574">
        <f t="shared" si="85"/>
        <v>0</v>
      </c>
      <c r="S708" s="275">
        <f t="shared" si="86"/>
        <v>0</v>
      </c>
      <c r="T708" s="1144" t="s">
        <v>1222</v>
      </c>
      <c r="U708" s="487"/>
      <c r="V708" s="576"/>
      <c r="W708" s="573"/>
      <c r="X708" s="574">
        <f t="shared" si="90"/>
        <v>0</v>
      </c>
      <c r="Y708" s="487"/>
      <c r="Z708" s="487"/>
      <c r="AA708" s="276">
        <f t="shared" si="91"/>
        <v>0</v>
      </c>
      <c r="AB708" s="573"/>
      <c r="AC708" s="487"/>
      <c r="AD708" s="573"/>
      <c r="AE708" s="487"/>
      <c r="AF708" s="577">
        <f t="shared" si="87"/>
        <v>0</v>
      </c>
      <c r="AG708" s="275">
        <f t="shared" si="88"/>
        <v>0</v>
      </c>
    </row>
    <row r="709" spans="1:33" s="578" customFormat="1" ht="12" customHeight="1">
      <c r="A709" s="714" t="s">
        <v>1276</v>
      </c>
      <c r="B709" s="714" t="s">
        <v>1764</v>
      </c>
      <c r="C709" s="828" t="s">
        <v>1883</v>
      </c>
      <c r="D709" s="717"/>
      <c r="E709" s="718"/>
      <c r="F709" s="573"/>
      <c r="G709" s="487"/>
      <c r="H709" s="573"/>
      <c r="I709" s="487"/>
      <c r="J709" s="573"/>
      <c r="K709" s="487"/>
      <c r="L709" s="573"/>
      <c r="M709" s="573"/>
      <c r="N709" s="456">
        <f t="shared" si="89"/>
        <v>0</v>
      </c>
      <c r="O709" s="487"/>
      <c r="P709" s="487"/>
      <c r="Q709" s="274">
        <f t="shared" si="84"/>
        <v>0</v>
      </c>
      <c r="R709" s="574">
        <f t="shared" si="85"/>
        <v>0</v>
      </c>
      <c r="S709" s="275">
        <f t="shared" si="86"/>
        <v>0</v>
      </c>
      <c r="T709" s="1148"/>
      <c r="U709" s="487"/>
      <c r="V709" s="576"/>
      <c r="W709" s="573"/>
      <c r="X709" s="574">
        <f t="shared" si="90"/>
        <v>0</v>
      </c>
      <c r="Y709" s="487"/>
      <c r="Z709" s="487"/>
      <c r="AA709" s="276">
        <f t="shared" si="91"/>
        <v>0</v>
      </c>
      <c r="AB709" s="573"/>
      <c r="AC709" s="487"/>
      <c r="AD709" s="573"/>
      <c r="AE709" s="487"/>
      <c r="AF709" s="577">
        <f t="shared" si="87"/>
        <v>0</v>
      </c>
      <c r="AG709" s="275">
        <f t="shared" si="88"/>
        <v>0</v>
      </c>
    </row>
    <row r="710" spans="1:33" s="578" customFormat="1" ht="12" customHeight="1">
      <c r="A710" s="714" t="s">
        <v>1276</v>
      </c>
      <c r="B710" s="714" t="s">
        <v>1765</v>
      </c>
      <c r="C710" s="828" t="s">
        <v>1761</v>
      </c>
      <c r="D710" s="717"/>
      <c r="E710" s="718"/>
      <c r="F710" s="573"/>
      <c r="G710" s="487"/>
      <c r="H710" s="573"/>
      <c r="I710" s="487"/>
      <c r="J710" s="573"/>
      <c r="K710" s="487"/>
      <c r="L710" s="573"/>
      <c r="M710" s="573"/>
      <c r="N710" s="456">
        <f t="shared" si="89"/>
        <v>0</v>
      </c>
      <c r="O710" s="487"/>
      <c r="P710" s="487"/>
      <c r="Q710" s="274">
        <f t="shared" si="84"/>
        <v>0</v>
      </c>
      <c r="R710" s="574">
        <f t="shared" si="85"/>
        <v>0</v>
      </c>
      <c r="S710" s="275">
        <f t="shared" si="86"/>
        <v>0</v>
      </c>
      <c r="T710" s="1148"/>
      <c r="U710" s="487"/>
      <c r="V710" s="576"/>
      <c r="W710" s="573"/>
      <c r="X710" s="574">
        <f t="shared" si="90"/>
        <v>0</v>
      </c>
      <c r="Y710" s="487"/>
      <c r="Z710" s="487"/>
      <c r="AA710" s="276">
        <f t="shared" si="91"/>
        <v>0</v>
      </c>
      <c r="AB710" s="573"/>
      <c r="AC710" s="487"/>
      <c r="AD710" s="573"/>
      <c r="AE710" s="487"/>
      <c r="AF710" s="577">
        <f t="shared" si="87"/>
        <v>0</v>
      </c>
      <c r="AG710" s="275">
        <f t="shared" si="88"/>
        <v>0</v>
      </c>
    </row>
    <row r="711" spans="1:33" s="578" customFormat="1" ht="12" customHeight="1">
      <c r="A711" s="714" t="s">
        <v>1276</v>
      </c>
      <c r="B711" s="714" t="s">
        <v>1807</v>
      </c>
      <c r="C711" s="830" t="s">
        <v>1879</v>
      </c>
      <c r="D711" s="717"/>
      <c r="E711" s="718"/>
      <c r="F711" s="573"/>
      <c r="G711" s="487"/>
      <c r="H711" s="573"/>
      <c r="I711" s="487"/>
      <c r="J711" s="573"/>
      <c r="K711" s="487"/>
      <c r="L711" s="573"/>
      <c r="M711" s="573"/>
      <c r="N711" s="456">
        <f t="shared" si="89"/>
        <v>0</v>
      </c>
      <c r="O711" s="487"/>
      <c r="P711" s="487"/>
      <c r="Q711" s="274">
        <f t="shared" si="84"/>
        <v>0</v>
      </c>
      <c r="R711" s="574">
        <f t="shared" si="85"/>
        <v>0</v>
      </c>
      <c r="S711" s="275">
        <f t="shared" si="86"/>
        <v>0</v>
      </c>
      <c r="T711" s="1148"/>
      <c r="U711" s="487"/>
      <c r="V711" s="576"/>
      <c r="W711" s="573"/>
      <c r="X711" s="574">
        <f t="shared" si="90"/>
        <v>0</v>
      </c>
      <c r="Y711" s="487"/>
      <c r="Z711" s="487"/>
      <c r="AA711" s="276">
        <f t="shared" si="91"/>
        <v>0</v>
      </c>
      <c r="AB711" s="573"/>
      <c r="AC711" s="487"/>
      <c r="AD711" s="573"/>
      <c r="AE711" s="487"/>
      <c r="AF711" s="577">
        <f t="shared" si="87"/>
        <v>0</v>
      </c>
      <c r="AG711" s="275">
        <f t="shared" si="88"/>
        <v>0</v>
      </c>
    </row>
    <row r="712" spans="1:33" s="578" customFormat="1" ht="12" customHeight="1">
      <c r="A712" s="714" t="s">
        <v>1276</v>
      </c>
      <c r="B712" s="714" t="s">
        <v>1766</v>
      </c>
      <c r="C712" s="828" t="s">
        <v>1883</v>
      </c>
      <c r="D712" s="717"/>
      <c r="E712" s="718"/>
      <c r="F712" s="573"/>
      <c r="G712" s="487"/>
      <c r="H712" s="573"/>
      <c r="I712" s="487"/>
      <c r="J712" s="573"/>
      <c r="K712" s="487"/>
      <c r="L712" s="573"/>
      <c r="M712" s="573"/>
      <c r="N712" s="456">
        <f t="shared" si="89"/>
        <v>0</v>
      </c>
      <c r="O712" s="487"/>
      <c r="P712" s="487"/>
      <c r="Q712" s="274">
        <f t="shared" si="84"/>
        <v>0</v>
      </c>
      <c r="R712" s="574">
        <f t="shared" si="85"/>
        <v>0</v>
      </c>
      <c r="S712" s="275">
        <f t="shared" si="86"/>
        <v>0</v>
      </c>
      <c r="T712" s="1148"/>
      <c r="U712" s="487"/>
      <c r="V712" s="576"/>
      <c r="W712" s="573"/>
      <c r="X712" s="574">
        <f t="shared" si="90"/>
        <v>0</v>
      </c>
      <c r="Y712" s="487"/>
      <c r="Z712" s="487"/>
      <c r="AA712" s="276">
        <f t="shared" si="91"/>
        <v>0</v>
      </c>
      <c r="AB712" s="573"/>
      <c r="AC712" s="487"/>
      <c r="AD712" s="573"/>
      <c r="AE712" s="487"/>
      <c r="AF712" s="577">
        <f t="shared" si="87"/>
        <v>0</v>
      </c>
      <c r="AG712" s="275">
        <f t="shared" si="88"/>
        <v>0</v>
      </c>
    </row>
    <row r="713" spans="1:33" s="578" customFormat="1" ht="12" customHeight="1">
      <c r="A713" s="714" t="s">
        <v>1276</v>
      </c>
      <c r="B713" s="714" t="s">
        <v>1767</v>
      </c>
      <c r="C713" s="828" t="s">
        <v>1761</v>
      </c>
      <c r="D713" s="717"/>
      <c r="E713" s="718"/>
      <c r="F713" s="573"/>
      <c r="G713" s="487"/>
      <c r="H713" s="573"/>
      <c r="I713" s="487"/>
      <c r="J713" s="573"/>
      <c r="K713" s="487"/>
      <c r="L713" s="573"/>
      <c r="M713" s="573"/>
      <c r="N713" s="456">
        <f t="shared" si="89"/>
        <v>0</v>
      </c>
      <c r="O713" s="487"/>
      <c r="P713" s="487"/>
      <c r="Q713" s="274">
        <f t="shared" si="84"/>
        <v>0</v>
      </c>
      <c r="R713" s="574">
        <f t="shared" si="85"/>
        <v>0</v>
      </c>
      <c r="S713" s="275">
        <f t="shared" si="86"/>
        <v>0</v>
      </c>
      <c r="T713" s="1149"/>
      <c r="U713" s="487"/>
      <c r="V713" s="576"/>
      <c r="W713" s="573"/>
      <c r="X713" s="574">
        <f t="shared" si="90"/>
        <v>0</v>
      </c>
      <c r="Y713" s="487"/>
      <c r="Z713" s="487"/>
      <c r="AA713" s="276">
        <f t="shared" si="91"/>
        <v>0</v>
      </c>
      <c r="AB713" s="573"/>
      <c r="AC713" s="487"/>
      <c r="AD713" s="573"/>
      <c r="AE713" s="487"/>
      <c r="AF713" s="577">
        <f t="shared" si="87"/>
        <v>0</v>
      </c>
      <c r="AG713" s="275">
        <f t="shared" si="88"/>
        <v>0</v>
      </c>
    </row>
    <row r="714" spans="1:33" ht="12" customHeight="1">
      <c r="A714" s="614" t="s">
        <v>1277</v>
      </c>
      <c r="B714" s="615" t="s">
        <v>1776</v>
      </c>
      <c r="C714" s="616" t="s">
        <v>1391</v>
      </c>
      <c r="D714" s="617">
        <v>133951</v>
      </c>
      <c r="E714" s="618">
        <v>2</v>
      </c>
      <c r="F714" s="619">
        <f>211587827+19157664</f>
        <v>230745491</v>
      </c>
      <c r="G714" s="939">
        <f>189482186+24540024</f>
        <v>214022210</v>
      </c>
      <c r="H714" s="573"/>
      <c r="I714" s="487"/>
      <c r="J714" s="573"/>
      <c r="K714" s="487"/>
      <c r="L714" s="573">
        <f>118242127</f>
        <v>118242127</v>
      </c>
      <c r="M714" s="573">
        <v>2993415</v>
      </c>
      <c r="N714" s="456">
        <f>SUM(L714:M714)</f>
        <v>121235542</v>
      </c>
      <c r="O714" s="487">
        <v>127190299</v>
      </c>
      <c r="P714" s="487">
        <v>3315016</v>
      </c>
      <c r="Q714" s="274">
        <f>SUM(O714:P714)</f>
        <v>130505315</v>
      </c>
      <c r="R714" s="574">
        <f>SUM(F714,H714,J714,L714)</f>
        <v>348987618</v>
      </c>
      <c r="S714" s="275">
        <f>SUM(G714,I714,K714,O714)</f>
        <v>341212509</v>
      </c>
      <c r="T714" s="575"/>
      <c r="U714" s="487"/>
      <c r="V714" s="576"/>
      <c r="W714" s="573"/>
      <c r="X714" s="574">
        <f>SUM(V714:W714)</f>
        <v>0</v>
      </c>
      <c r="Y714" s="487"/>
      <c r="Z714" s="487"/>
      <c r="AA714" s="276">
        <f>SUM(Y714:Z714)</f>
        <v>0</v>
      </c>
      <c r="AB714" s="573"/>
      <c r="AC714" s="487"/>
      <c r="AD714" s="573"/>
      <c r="AE714" s="487"/>
      <c r="AF714" s="577">
        <f>SUM(R714,T714,V714,AB714,AD714)</f>
        <v>348987618</v>
      </c>
      <c r="AG714" s="275">
        <f>SUM(S714,U714,Y714,AC714,AE714)</f>
        <v>341212509</v>
      </c>
    </row>
    <row r="715" spans="1:33" ht="12" customHeight="1">
      <c r="A715" s="614" t="s">
        <v>1277</v>
      </c>
      <c r="B715" s="615" t="s">
        <v>1776</v>
      </c>
      <c r="C715" s="620" t="s">
        <v>1619</v>
      </c>
      <c r="D715" s="617">
        <v>133951</v>
      </c>
      <c r="E715" s="618">
        <v>2</v>
      </c>
      <c r="F715" s="573"/>
      <c r="G715" s="487"/>
      <c r="H715" s="573">
        <v>1486587</v>
      </c>
      <c r="I715" s="487">
        <v>1432392</v>
      </c>
      <c r="J715" s="573"/>
      <c r="K715" s="487"/>
      <c r="L715" s="573"/>
      <c r="M715" s="573"/>
      <c r="N715" s="456">
        <f>SUM(L715:M715)</f>
        <v>0</v>
      </c>
      <c r="O715" s="487"/>
      <c r="P715" s="487"/>
      <c r="Q715" s="274">
        <f>SUM(O715:P715)</f>
        <v>0</v>
      </c>
      <c r="R715" s="574">
        <f>SUM(F715,H715,J715,L715)</f>
        <v>1486587</v>
      </c>
      <c r="S715" s="275">
        <f>SUM(G715,I715,K715,O715)</f>
        <v>1432392</v>
      </c>
      <c r="T715" s="575"/>
      <c r="U715" s="487"/>
      <c r="V715" s="576"/>
      <c r="W715" s="573"/>
      <c r="X715" s="574">
        <f>SUM(V715:W715)</f>
        <v>0</v>
      </c>
      <c r="Y715" s="487"/>
      <c r="Z715" s="487"/>
      <c r="AA715" s="276">
        <f>SUM(Y715:Z715)</f>
        <v>0</v>
      </c>
      <c r="AB715" s="573"/>
      <c r="AC715" s="487"/>
      <c r="AD715" s="573"/>
      <c r="AE715" s="487"/>
      <c r="AF715" s="577">
        <f>SUM(R715,T715,V715,AB715,AD715)</f>
        <v>1486587</v>
      </c>
      <c r="AG715" s="275">
        <f>SUM(S715,U715,Y715,AC715,AE715)</f>
        <v>1432392</v>
      </c>
    </row>
    <row r="716" spans="1:33" ht="12" customHeight="1">
      <c r="A716" s="614" t="s">
        <v>1277</v>
      </c>
      <c r="B716" s="615" t="s">
        <v>1776</v>
      </c>
      <c r="C716" s="620" t="s">
        <v>1620</v>
      </c>
      <c r="D716" s="617">
        <v>133951</v>
      </c>
      <c r="E716" s="618">
        <v>2</v>
      </c>
      <c r="F716" s="573"/>
      <c r="G716" s="487"/>
      <c r="H716" s="573">
        <v>1325332</v>
      </c>
      <c r="I716" s="1211">
        <v>1295283</v>
      </c>
      <c r="J716" s="573"/>
      <c r="K716" s="487"/>
      <c r="L716" s="573"/>
      <c r="M716" s="573"/>
      <c r="N716" s="456">
        <f>SUM(L716:M716)</f>
        <v>0</v>
      </c>
      <c r="O716" s="487"/>
      <c r="P716" s="487"/>
      <c r="Q716" s="274">
        <f>SUM(O716:P716)</f>
        <v>0</v>
      </c>
      <c r="R716" s="574">
        <f>SUM(F716,H716,J716,L716)</f>
        <v>1325332</v>
      </c>
      <c r="S716" s="275">
        <f>SUM(G716,I716,K716,O716)</f>
        <v>1295283</v>
      </c>
      <c r="T716" s="575"/>
      <c r="U716" s="487"/>
      <c r="V716" s="576"/>
      <c r="W716" s="573"/>
      <c r="X716" s="574">
        <f>SUM(V716:W716)</f>
        <v>0</v>
      </c>
      <c r="Y716" s="487"/>
      <c r="Z716" s="487"/>
      <c r="AA716" s="276">
        <f>SUM(Y716:Z716)</f>
        <v>0</v>
      </c>
      <c r="AB716" s="573"/>
      <c r="AC716" s="487"/>
      <c r="AD716" s="573"/>
      <c r="AE716" s="487"/>
      <c r="AF716" s="577">
        <f>SUM(R716,T716,V716,AB716,AD716)</f>
        <v>1325332</v>
      </c>
      <c r="AG716" s="275">
        <f>SUM(S716,U716,Y716,AC716,AE716)</f>
        <v>1295283</v>
      </c>
    </row>
    <row r="717" spans="1:33" ht="12" customHeight="1">
      <c r="A717" s="614" t="s">
        <v>1277</v>
      </c>
      <c r="B717" s="615" t="s">
        <v>1793</v>
      </c>
      <c r="C717" s="620" t="s">
        <v>1614</v>
      </c>
      <c r="D717" s="617">
        <v>133951</v>
      </c>
      <c r="E717" s="618">
        <v>2</v>
      </c>
      <c r="F717" s="573"/>
      <c r="G717" s="487"/>
      <c r="H717" s="573"/>
      <c r="I717" s="487"/>
      <c r="J717" s="573"/>
      <c r="K717" s="487"/>
      <c r="L717" s="573"/>
      <c r="M717" s="573"/>
      <c r="N717" s="456">
        <f>SUM(L717:M717)</f>
        <v>0</v>
      </c>
      <c r="O717" s="487"/>
      <c r="P717" s="487"/>
      <c r="Q717" s="274">
        <f>SUM(O717:P717)</f>
        <v>0</v>
      </c>
      <c r="R717" s="574">
        <f>SUM(F717,H717,J717,L717)</f>
        <v>0</v>
      </c>
      <c r="S717" s="275">
        <f>SUM(G717,I717,K717,O717)</f>
        <v>0</v>
      </c>
      <c r="T717" s="575"/>
      <c r="U717" s="487"/>
      <c r="V717" s="576"/>
      <c r="W717" s="573"/>
      <c r="X717" s="574">
        <f>SUM(V717:W717)</f>
        <v>0</v>
      </c>
      <c r="Y717" s="487"/>
      <c r="Z717" s="487"/>
      <c r="AA717" s="276">
        <f>SUM(Y717:Z717)</f>
        <v>0</v>
      </c>
      <c r="AB717" s="619">
        <v>5272250</v>
      </c>
      <c r="AC717" s="939">
        <v>11459863</v>
      </c>
      <c r="AD717" s="622" t="s">
        <v>278</v>
      </c>
      <c r="AE717" s="622" t="s">
        <v>278</v>
      </c>
      <c r="AF717" s="577">
        <f>SUM(R717,T717,V717,AB717,AD717)</f>
        <v>5272250</v>
      </c>
      <c r="AG717" s="275">
        <f>SUM(S717,U717,Y717,AC717,AE717)</f>
        <v>11459863</v>
      </c>
    </row>
    <row r="718" spans="1:33" ht="12" customHeight="1">
      <c r="A718" s="614" t="s">
        <v>1277</v>
      </c>
      <c r="B718" s="615" t="s">
        <v>1783</v>
      </c>
      <c r="C718" s="240" t="s">
        <v>1881</v>
      </c>
      <c r="D718" s="617">
        <v>137351</v>
      </c>
      <c r="E718" s="618">
        <v>1</v>
      </c>
      <c r="F718" s="573"/>
      <c r="G718" s="487"/>
      <c r="H718" s="573"/>
      <c r="I718" s="487"/>
      <c r="J718" s="573"/>
      <c r="K718" s="487"/>
      <c r="L718" s="573"/>
      <c r="M718" s="573"/>
      <c r="N718" s="456">
        <f>SUM(L718:M718)</f>
        <v>0</v>
      </c>
      <c r="O718" s="487"/>
      <c r="P718" s="487"/>
      <c r="Q718" s="274">
        <f>SUM(O718:P718)</f>
        <v>0</v>
      </c>
      <c r="R718" s="574">
        <f>SUM(F718,H718,J718,L718)</f>
        <v>0</v>
      </c>
      <c r="S718" s="275">
        <f>SUM(G718,I718,K718,O718)</f>
        <v>0</v>
      </c>
      <c r="T718" s="575"/>
      <c r="U718" s="487"/>
      <c r="V718" s="576"/>
      <c r="W718" s="573"/>
      <c r="X718" s="574">
        <f>SUM(V718:W718)</f>
        <v>0</v>
      </c>
      <c r="Y718" s="487"/>
      <c r="Z718" s="487"/>
      <c r="AA718" s="276">
        <f>SUM(Y718:Z718)</f>
        <v>0</v>
      </c>
      <c r="AB718" s="573"/>
      <c r="AC718" s="487"/>
      <c r="AD718" s="573"/>
      <c r="AE718" s="487"/>
      <c r="AF718" s="577">
        <f>SUM(R718,T718,V718,AB718,AD718)</f>
        <v>0</v>
      </c>
      <c r="AG718" s="275">
        <f>SUM(S718,U718,Y718,AC718,AE718)</f>
        <v>0</v>
      </c>
    </row>
    <row r="719" spans="1:33" s="578" customFormat="1" ht="12" customHeight="1">
      <c r="A719" s="614" t="s">
        <v>1277</v>
      </c>
      <c r="B719" s="615" t="s">
        <v>1783</v>
      </c>
      <c r="C719" s="620" t="s">
        <v>1401</v>
      </c>
      <c r="D719" s="617">
        <v>137351</v>
      </c>
      <c r="E719" s="618">
        <v>2</v>
      </c>
      <c r="F719" s="573"/>
      <c r="G719" s="487"/>
      <c r="H719" s="573"/>
      <c r="I719" s="1211">
        <f>10006955-2501739</f>
        <v>7505216</v>
      </c>
      <c r="J719" s="573"/>
      <c r="K719" s="487"/>
      <c r="L719" s="573"/>
      <c r="M719" s="573"/>
      <c r="N719" s="456">
        <f>SUM(L719:M719)</f>
        <v>0</v>
      </c>
      <c r="O719" s="487"/>
      <c r="P719" s="487"/>
      <c r="Q719" s="274">
        <f>SUM(O719:P719)</f>
        <v>0</v>
      </c>
      <c r="R719" s="574">
        <f>SUM(F719,H719,J719,L719)</f>
        <v>0</v>
      </c>
      <c r="S719" s="275">
        <f>SUM(G719,I719,K719,O719)</f>
        <v>7505216</v>
      </c>
      <c r="T719" s="575"/>
      <c r="U719" s="487"/>
      <c r="V719" s="576"/>
      <c r="W719" s="573"/>
      <c r="X719" s="574">
        <f>SUM(V719:W719)</f>
        <v>0</v>
      </c>
      <c r="Y719" s="487"/>
      <c r="Z719" s="487"/>
      <c r="AA719" s="276">
        <f>SUM(Y719:Z719)</f>
        <v>0</v>
      </c>
      <c r="AB719" s="573"/>
      <c r="AC719" s="487"/>
      <c r="AD719" s="573"/>
      <c r="AE719" s="487"/>
      <c r="AF719" s="577">
        <f>SUM(R719,T719,V719,AB719,AD719)</f>
        <v>0</v>
      </c>
      <c r="AG719" s="275">
        <f>SUM(S719,U719,Y719,AC719,AE719)</f>
        <v>7505216</v>
      </c>
    </row>
    <row r="720" spans="1:33" ht="12" customHeight="1">
      <c r="A720" s="614" t="s">
        <v>1277</v>
      </c>
      <c r="B720" s="615" t="s">
        <v>1776</v>
      </c>
      <c r="C720" s="616" t="s">
        <v>1987</v>
      </c>
      <c r="D720" s="617">
        <v>134097</v>
      </c>
      <c r="E720" s="618">
        <v>1</v>
      </c>
      <c r="F720" s="619">
        <f>298659849+22979982</f>
        <v>321639831</v>
      </c>
      <c r="G720" s="939">
        <f>280174697+31298699</f>
        <v>311473396</v>
      </c>
      <c r="H720" s="573"/>
      <c r="I720" s="487"/>
      <c r="J720" s="573"/>
      <c r="K720" s="487"/>
      <c r="L720" s="573">
        <v>133534173</v>
      </c>
      <c r="M720" s="573">
        <v>3477643</v>
      </c>
      <c r="N720" s="456">
        <f t="shared" si="89"/>
        <v>137011816</v>
      </c>
      <c r="O720" s="487">
        <v>136170108</v>
      </c>
      <c r="P720" s="487">
        <v>3825610</v>
      </c>
      <c r="Q720" s="274">
        <f t="shared" ref="Q720:Q777" si="92">SUM(O720:P720)</f>
        <v>139995718</v>
      </c>
      <c r="R720" s="574">
        <f t="shared" ref="R720:R777" si="93">SUM(F720,H720,J720,L720)</f>
        <v>455174004</v>
      </c>
      <c r="S720" s="275">
        <f t="shared" ref="S720:S777" si="94">SUM(G720,I720,K720,O720)</f>
        <v>447643504</v>
      </c>
      <c r="T720" s="575"/>
      <c r="U720" s="487"/>
      <c r="V720" s="576"/>
      <c r="W720" s="573"/>
      <c r="X720" s="574">
        <f t="shared" si="90"/>
        <v>0</v>
      </c>
      <c r="Y720" s="487"/>
      <c r="Z720" s="487"/>
      <c r="AA720" s="276">
        <f t="shared" si="91"/>
        <v>0</v>
      </c>
      <c r="AB720" s="573"/>
      <c r="AC720" s="487"/>
      <c r="AD720" s="573"/>
      <c r="AE720" s="487"/>
      <c r="AF720" s="577">
        <f t="shared" ref="AF720:AF777" si="95">SUM(R720,T720,V720,AB720,AD720)</f>
        <v>455174004</v>
      </c>
      <c r="AG720" s="275">
        <f t="shared" ref="AG720:AG777" si="96">SUM(S720,U720,Y720,AC720,AE720)</f>
        <v>447643504</v>
      </c>
    </row>
    <row r="721" spans="1:33" ht="12" customHeight="1">
      <c r="A721" s="614" t="s">
        <v>1277</v>
      </c>
      <c r="B721" s="615" t="s">
        <v>1776</v>
      </c>
      <c r="C721" s="620" t="s">
        <v>1619</v>
      </c>
      <c r="D721" s="617">
        <v>134097</v>
      </c>
      <c r="E721" s="618">
        <v>1</v>
      </c>
      <c r="F721" s="573">
        <v>4035424</v>
      </c>
      <c r="G721" s="939">
        <v>3888310</v>
      </c>
      <c r="H721" s="573"/>
      <c r="I721" s="1211">
        <v>3888310</v>
      </c>
      <c r="J721" s="573"/>
      <c r="K721" s="487"/>
      <c r="L721" s="573"/>
      <c r="M721" s="573"/>
      <c r="N721" s="456">
        <f t="shared" si="89"/>
        <v>0</v>
      </c>
      <c r="O721" s="487"/>
      <c r="P721" s="487"/>
      <c r="Q721" s="274">
        <f t="shared" si="92"/>
        <v>0</v>
      </c>
      <c r="R721" s="574">
        <f t="shared" si="93"/>
        <v>4035424</v>
      </c>
      <c r="S721" s="275">
        <f t="shared" si="94"/>
        <v>7776620</v>
      </c>
      <c r="T721" s="575"/>
      <c r="U721" s="487"/>
      <c r="V721" s="576"/>
      <c r="W721" s="573"/>
      <c r="X721" s="574">
        <f t="shared" si="90"/>
        <v>0</v>
      </c>
      <c r="Y721" s="487"/>
      <c r="Z721" s="487"/>
      <c r="AA721" s="276">
        <f t="shared" si="91"/>
        <v>0</v>
      </c>
      <c r="AB721" s="573"/>
      <c r="AC721" s="487"/>
      <c r="AD721" s="573"/>
      <c r="AE721" s="487"/>
      <c r="AF721" s="577">
        <f t="shared" si="95"/>
        <v>4035424</v>
      </c>
      <c r="AG721" s="275">
        <f t="shared" si="96"/>
        <v>7776620</v>
      </c>
    </row>
    <row r="722" spans="1:33" ht="12" customHeight="1">
      <c r="A722" s="614" t="s">
        <v>1277</v>
      </c>
      <c r="B722" s="615" t="s">
        <v>1776</v>
      </c>
      <c r="C722" s="620" t="s">
        <v>1620</v>
      </c>
      <c r="D722" s="617">
        <v>134097</v>
      </c>
      <c r="E722" s="618">
        <v>1</v>
      </c>
      <c r="F722" s="573">
        <v>1952689</v>
      </c>
      <c r="G722" s="487">
        <f>2004517+29456</f>
        <v>2033973</v>
      </c>
      <c r="H722" s="573"/>
      <c r="I722" s="1211">
        <v>2000626</v>
      </c>
      <c r="J722" s="573"/>
      <c r="K722" s="487"/>
      <c r="L722" s="573"/>
      <c r="M722" s="573"/>
      <c r="N722" s="456">
        <f t="shared" si="89"/>
        <v>0</v>
      </c>
      <c r="O722" s="487"/>
      <c r="P722" s="487"/>
      <c r="Q722" s="274">
        <f t="shared" si="92"/>
        <v>0</v>
      </c>
      <c r="R722" s="574">
        <f t="shared" si="93"/>
        <v>1952689</v>
      </c>
      <c r="S722" s="275">
        <f t="shared" si="94"/>
        <v>4034599</v>
      </c>
      <c r="T722" s="575"/>
      <c r="U722" s="487"/>
      <c r="V722" s="576"/>
      <c r="W722" s="573"/>
      <c r="X722" s="574">
        <f t="shared" si="90"/>
        <v>0</v>
      </c>
      <c r="Y722" s="487"/>
      <c r="Z722" s="487"/>
      <c r="AA722" s="276">
        <f t="shared" si="91"/>
        <v>0</v>
      </c>
      <c r="AB722" s="573"/>
      <c r="AC722" s="487"/>
      <c r="AD722" s="573"/>
      <c r="AE722" s="487"/>
      <c r="AF722" s="577">
        <f t="shared" si="95"/>
        <v>1952689</v>
      </c>
      <c r="AG722" s="275">
        <f t="shared" si="96"/>
        <v>4034599</v>
      </c>
    </row>
    <row r="723" spans="1:33" ht="12" customHeight="1">
      <c r="A723" s="614" t="s">
        <v>1277</v>
      </c>
      <c r="B723" s="615" t="s">
        <v>1793</v>
      </c>
      <c r="C723" s="620" t="s">
        <v>1614</v>
      </c>
      <c r="D723" s="617">
        <v>134097</v>
      </c>
      <c r="E723" s="618">
        <v>1</v>
      </c>
      <c r="F723" s="573"/>
      <c r="G723" s="487"/>
      <c r="H723" s="573"/>
      <c r="I723" s="487"/>
      <c r="J723" s="573"/>
      <c r="K723" s="487"/>
      <c r="L723" s="573"/>
      <c r="M723" s="573"/>
      <c r="N723" s="456">
        <f t="shared" si="89"/>
        <v>0</v>
      </c>
      <c r="O723" s="487"/>
      <c r="P723" s="487"/>
      <c r="Q723" s="274">
        <f t="shared" si="92"/>
        <v>0</v>
      </c>
      <c r="R723" s="574">
        <f t="shared" si="93"/>
        <v>0</v>
      </c>
      <c r="S723" s="275">
        <f t="shared" si="94"/>
        <v>0</v>
      </c>
      <c r="T723" s="575"/>
      <c r="U723" s="487"/>
      <c r="V723" s="576"/>
      <c r="W723" s="573"/>
      <c r="X723" s="574">
        <f t="shared" si="90"/>
        <v>0</v>
      </c>
      <c r="Y723" s="487"/>
      <c r="Z723" s="487"/>
      <c r="AA723" s="276">
        <f t="shared" si="91"/>
        <v>0</v>
      </c>
      <c r="AB723" s="619">
        <f>43242315+3132</f>
        <v>43245447</v>
      </c>
      <c r="AC723" s="487">
        <f>40278706+1022947</f>
        <v>41301653</v>
      </c>
      <c r="AD723" s="573">
        <v>7921099</v>
      </c>
      <c r="AE723" s="487">
        <v>6031813</v>
      </c>
      <c r="AF723" s="577">
        <f t="shared" si="95"/>
        <v>51166546</v>
      </c>
      <c r="AG723" s="275">
        <f t="shared" si="96"/>
        <v>47333466</v>
      </c>
    </row>
    <row r="724" spans="1:33" ht="12" customHeight="1">
      <c r="A724" s="614" t="s">
        <v>1277</v>
      </c>
      <c r="B724" s="615" t="s">
        <v>1778</v>
      </c>
      <c r="C724" s="240" t="s">
        <v>1891</v>
      </c>
      <c r="D724" s="617">
        <v>134097</v>
      </c>
      <c r="E724" s="618">
        <v>1</v>
      </c>
      <c r="F724" s="573"/>
      <c r="G724" s="487"/>
      <c r="H724" s="573"/>
      <c r="I724" s="1211">
        <v>541666</v>
      </c>
      <c r="J724" s="573"/>
      <c r="K724" s="487"/>
      <c r="L724" s="573"/>
      <c r="M724" s="573"/>
      <c r="N724" s="456">
        <f t="shared" si="89"/>
        <v>0</v>
      </c>
      <c r="O724" s="487"/>
      <c r="P724" s="487"/>
      <c r="Q724" s="274">
        <f t="shared" si="92"/>
        <v>0</v>
      </c>
      <c r="R724" s="574">
        <f t="shared" si="93"/>
        <v>0</v>
      </c>
      <c r="S724" s="275">
        <f t="shared" si="94"/>
        <v>541666</v>
      </c>
      <c r="T724" s="575"/>
      <c r="U724" s="487"/>
      <c r="V724" s="576"/>
      <c r="W724" s="573"/>
      <c r="X724" s="574">
        <f t="shared" si="90"/>
        <v>0</v>
      </c>
      <c r="Y724" s="487"/>
      <c r="Z724" s="487"/>
      <c r="AA724" s="276">
        <f t="shared" si="91"/>
        <v>0</v>
      </c>
      <c r="AB724" s="573"/>
      <c r="AC724" s="487"/>
      <c r="AD724" s="573"/>
      <c r="AE724" s="487"/>
      <c r="AF724" s="577">
        <f t="shared" si="95"/>
        <v>0</v>
      </c>
      <c r="AG724" s="275">
        <f t="shared" si="96"/>
        <v>541666</v>
      </c>
    </row>
    <row r="725" spans="1:33" ht="12" customHeight="1">
      <c r="A725" s="614" t="s">
        <v>1277</v>
      </c>
      <c r="B725" s="615" t="s">
        <v>1778</v>
      </c>
      <c r="C725" s="621" t="s">
        <v>1615</v>
      </c>
      <c r="D725" s="617">
        <v>134097</v>
      </c>
      <c r="E725" s="618">
        <v>1</v>
      </c>
      <c r="F725" s="573"/>
      <c r="G725" s="487"/>
      <c r="H725" s="573">
        <v>208111</v>
      </c>
      <c r="I725" s="487">
        <v>208111</v>
      </c>
      <c r="J725" s="573"/>
      <c r="K725" s="487"/>
      <c r="L725" s="573"/>
      <c r="M725" s="573"/>
      <c r="N725" s="456">
        <f t="shared" si="89"/>
        <v>0</v>
      </c>
      <c r="O725" s="487"/>
      <c r="P725" s="487"/>
      <c r="Q725" s="274">
        <f t="shared" si="92"/>
        <v>0</v>
      </c>
      <c r="R725" s="574">
        <f t="shared" si="93"/>
        <v>208111</v>
      </c>
      <c r="S725" s="275">
        <f t="shared" si="94"/>
        <v>208111</v>
      </c>
      <c r="T725" s="575"/>
      <c r="U725" s="487"/>
      <c r="V725" s="576"/>
      <c r="W725" s="573"/>
      <c r="X725" s="574">
        <f t="shared" si="90"/>
        <v>0</v>
      </c>
      <c r="Y725" s="487"/>
      <c r="Z725" s="487"/>
      <c r="AA725" s="276">
        <f t="shared" si="91"/>
        <v>0</v>
      </c>
      <c r="AB725" s="573"/>
      <c r="AC725" s="487"/>
      <c r="AD725" s="573"/>
      <c r="AE725" s="487"/>
      <c r="AF725" s="577">
        <f t="shared" si="95"/>
        <v>208111</v>
      </c>
      <c r="AG725" s="275">
        <f t="shared" si="96"/>
        <v>208111</v>
      </c>
    </row>
    <row r="726" spans="1:33" ht="12" customHeight="1">
      <c r="A726" s="614" t="s">
        <v>1277</v>
      </c>
      <c r="B726" s="615" t="s">
        <v>1778</v>
      </c>
      <c r="C726" s="621" t="s">
        <v>1616</v>
      </c>
      <c r="D726" s="617">
        <v>134097</v>
      </c>
      <c r="E726" s="618">
        <v>1</v>
      </c>
      <c r="F726" s="573"/>
      <c r="G726" s="487"/>
      <c r="H726" s="573">
        <f>4305326+11185066</f>
        <v>15490392</v>
      </c>
      <c r="I726" s="487">
        <f>10481259+4502019</f>
        <v>14983278</v>
      </c>
      <c r="J726" s="573"/>
      <c r="K726" s="487"/>
      <c r="L726" s="573"/>
      <c r="M726" s="573"/>
      <c r="N726" s="456">
        <f t="shared" si="89"/>
        <v>0</v>
      </c>
      <c r="O726" s="487"/>
      <c r="P726" s="487"/>
      <c r="Q726" s="274">
        <f t="shared" si="92"/>
        <v>0</v>
      </c>
      <c r="R726" s="574">
        <f t="shared" si="93"/>
        <v>15490392</v>
      </c>
      <c r="S726" s="275">
        <f t="shared" si="94"/>
        <v>14983278</v>
      </c>
      <c r="T726" s="575"/>
      <c r="U726" s="487"/>
      <c r="V726" s="576"/>
      <c r="W726" s="573"/>
      <c r="X726" s="574">
        <f t="shared" si="90"/>
        <v>0</v>
      </c>
      <c r="Y726" s="487"/>
      <c r="Z726" s="487"/>
      <c r="AA726" s="276">
        <f t="shared" si="91"/>
        <v>0</v>
      </c>
      <c r="AB726" s="573"/>
      <c r="AC726" s="487"/>
      <c r="AD726" s="573"/>
      <c r="AE726" s="487"/>
      <c r="AF726" s="577">
        <f t="shared" si="95"/>
        <v>15490392</v>
      </c>
      <c r="AG726" s="275">
        <f t="shared" si="96"/>
        <v>14983278</v>
      </c>
    </row>
    <row r="727" spans="1:33" ht="12" customHeight="1">
      <c r="A727" s="614" t="s">
        <v>1277</v>
      </c>
      <c r="B727" s="615" t="s">
        <v>1778</v>
      </c>
      <c r="C727" s="620" t="s">
        <v>1617</v>
      </c>
      <c r="D727" s="617">
        <v>134097</v>
      </c>
      <c r="E727" s="618">
        <v>1</v>
      </c>
      <c r="F727" s="573"/>
      <c r="G727" s="487"/>
      <c r="H727" s="573">
        <v>1058766</v>
      </c>
      <c r="I727" s="939">
        <v>964578</v>
      </c>
      <c r="J727" s="573"/>
      <c r="K727" s="487"/>
      <c r="L727" s="573"/>
      <c r="M727" s="573"/>
      <c r="N727" s="456">
        <f t="shared" si="89"/>
        <v>0</v>
      </c>
      <c r="O727" s="487"/>
      <c r="P727" s="487"/>
      <c r="Q727" s="274">
        <f t="shared" si="92"/>
        <v>0</v>
      </c>
      <c r="R727" s="574">
        <f t="shared" si="93"/>
        <v>1058766</v>
      </c>
      <c r="S727" s="275">
        <f t="shared" si="94"/>
        <v>964578</v>
      </c>
      <c r="T727" s="575"/>
      <c r="U727" s="487"/>
      <c r="V727" s="576"/>
      <c r="W727" s="573"/>
      <c r="X727" s="574">
        <f t="shared" si="90"/>
        <v>0</v>
      </c>
      <c r="Y727" s="487"/>
      <c r="Z727" s="487"/>
      <c r="AA727" s="276">
        <f t="shared" si="91"/>
        <v>0</v>
      </c>
      <c r="AB727" s="573"/>
      <c r="AC727" s="487"/>
      <c r="AD727" s="573"/>
      <c r="AE727" s="487"/>
      <c r="AF727" s="577">
        <f t="shared" si="95"/>
        <v>1058766</v>
      </c>
      <c r="AG727" s="275">
        <f t="shared" si="96"/>
        <v>964578</v>
      </c>
    </row>
    <row r="728" spans="1:33" ht="12" customHeight="1">
      <c r="A728" s="614" t="s">
        <v>1277</v>
      </c>
      <c r="B728" s="615" t="s">
        <v>1783</v>
      </c>
      <c r="C728" s="239" t="s">
        <v>1881</v>
      </c>
      <c r="D728" s="617">
        <v>134097</v>
      </c>
      <c r="E728" s="618">
        <v>1</v>
      </c>
      <c r="F728" s="573"/>
      <c r="G728" s="487"/>
      <c r="H728" s="573"/>
      <c r="I728" s="939"/>
      <c r="J728" s="573"/>
      <c r="K728" s="487"/>
      <c r="L728" s="573"/>
      <c r="M728" s="573"/>
      <c r="N728" s="456">
        <f t="shared" si="89"/>
        <v>0</v>
      </c>
      <c r="O728" s="487"/>
      <c r="P728" s="487"/>
      <c r="Q728" s="274">
        <f t="shared" si="92"/>
        <v>0</v>
      </c>
      <c r="R728" s="574">
        <f t="shared" si="93"/>
        <v>0</v>
      </c>
      <c r="S728" s="275">
        <f t="shared" si="94"/>
        <v>0</v>
      </c>
      <c r="T728" s="575"/>
      <c r="U728" s="487"/>
      <c r="V728" s="576"/>
      <c r="W728" s="573"/>
      <c r="X728" s="574">
        <f t="shared" si="90"/>
        <v>0</v>
      </c>
      <c r="Y728" s="487"/>
      <c r="Z728" s="487"/>
      <c r="AA728" s="276">
        <f t="shared" si="91"/>
        <v>0</v>
      </c>
      <c r="AB728" s="573"/>
      <c r="AC728" s="487"/>
      <c r="AD728" s="573"/>
      <c r="AE728" s="487"/>
      <c r="AF728" s="577">
        <f t="shared" si="95"/>
        <v>0</v>
      </c>
      <c r="AG728" s="275">
        <f t="shared" si="96"/>
        <v>0</v>
      </c>
    </row>
    <row r="729" spans="1:33" ht="12" customHeight="1">
      <c r="A729" s="614" t="s">
        <v>1277</v>
      </c>
      <c r="B729" s="615" t="s">
        <v>1783</v>
      </c>
      <c r="C729" s="620" t="s">
        <v>1401</v>
      </c>
      <c r="D729" s="617">
        <v>134097</v>
      </c>
      <c r="E729" s="618"/>
      <c r="F729" s="573"/>
      <c r="G729" s="487"/>
      <c r="H729" s="573"/>
      <c r="I729" s="1211">
        <f>14570225-3642556</f>
        <v>10927669</v>
      </c>
      <c r="J729" s="573"/>
      <c r="K729" s="487"/>
      <c r="L729" s="573"/>
      <c r="M729" s="573"/>
      <c r="N729" s="456">
        <f t="shared" ref="N729:N786" si="97">SUM(L729:M729)</f>
        <v>0</v>
      </c>
      <c r="O729" s="487"/>
      <c r="P729" s="487"/>
      <c r="Q729" s="274">
        <f t="shared" si="92"/>
        <v>0</v>
      </c>
      <c r="R729" s="574">
        <f t="shared" si="93"/>
        <v>0</v>
      </c>
      <c r="S729" s="275">
        <f t="shared" si="94"/>
        <v>10927669</v>
      </c>
      <c r="T729" s="575"/>
      <c r="U729" s="487"/>
      <c r="V729" s="576"/>
      <c r="W729" s="573"/>
      <c r="X729" s="574">
        <f t="shared" ref="X729:X786" si="98">SUM(V729:W729)</f>
        <v>0</v>
      </c>
      <c r="Y729" s="487"/>
      <c r="Z729" s="487"/>
      <c r="AA729" s="276">
        <f t="shared" ref="AA729:AA786" si="99">SUM(Y729:Z729)</f>
        <v>0</v>
      </c>
      <c r="AB729" s="573"/>
      <c r="AC729" s="487"/>
      <c r="AD729" s="573"/>
      <c r="AE729" s="487"/>
      <c r="AF729" s="577">
        <f t="shared" si="95"/>
        <v>0</v>
      </c>
      <c r="AG729" s="275">
        <f t="shared" si="96"/>
        <v>10927669</v>
      </c>
    </row>
    <row r="730" spans="1:33" ht="12" customHeight="1">
      <c r="A730" s="614" t="s">
        <v>1277</v>
      </c>
      <c r="B730" s="615" t="s">
        <v>1783</v>
      </c>
      <c r="C730" s="620" t="s">
        <v>1235</v>
      </c>
      <c r="D730" s="617">
        <v>134097</v>
      </c>
      <c r="E730" s="618"/>
      <c r="F730" s="573"/>
      <c r="G730" s="487"/>
      <c r="H730" s="573"/>
      <c r="I730" s="1211">
        <f>8750000-2187500</f>
        <v>6562500</v>
      </c>
      <c r="J730" s="573"/>
      <c r="K730" s="487"/>
      <c r="L730" s="573"/>
      <c r="M730" s="573"/>
      <c r="N730" s="456">
        <f t="shared" si="97"/>
        <v>0</v>
      </c>
      <c r="O730" s="487"/>
      <c r="P730" s="487"/>
      <c r="Q730" s="274">
        <f t="shared" si="92"/>
        <v>0</v>
      </c>
      <c r="R730" s="574">
        <f t="shared" si="93"/>
        <v>0</v>
      </c>
      <c r="S730" s="275">
        <f t="shared" si="94"/>
        <v>6562500</v>
      </c>
      <c r="T730" s="575"/>
      <c r="U730" s="487"/>
      <c r="V730" s="576"/>
      <c r="W730" s="573"/>
      <c r="X730" s="574">
        <f t="shared" si="98"/>
        <v>0</v>
      </c>
      <c r="Y730" s="487"/>
      <c r="Z730" s="487"/>
      <c r="AA730" s="276">
        <f t="shared" si="99"/>
        <v>0</v>
      </c>
      <c r="AB730" s="573"/>
      <c r="AC730" s="487"/>
      <c r="AD730" s="573"/>
      <c r="AE730" s="487"/>
      <c r="AF730" s="577">
        <f t="shared" si="95"/>
        <v>0</v>
      </c>
      <c r="AG730" s="275">
        <f t="shared" si="96"/>
        <v>6562500</v>
      </c>
    </row>
    <row r="731" spans="1:33" ht="12" customHeight="1">
      <c r="A731" s="614" t="s">
        <v>1277</v>
      </c>
      <c r="B731" s="615" t="s">
        <v>1776</v>
      </c>
      <c r="C731" s="616" t="s">
        <v>1392</v>
      </c>
      <c r="D731" s="617">
        <v>132903</v>
      </c>
      <c r="E731" s="618">
        <v>1</v>
      </c>
      <c r="F731" s="619">
        <f>260621795+20973557</f>
        <v>281595352</v>
      </c>
      <c r="G731" s="939">
        <f>239860389+28700235</f>
        <v>268560624</v>
      </c>
      <c r="H731" s="573"/>
      <c r="I731" s="487"/>
      <c r="J731" s="573"/>
      <c r="K731" s="487"/>
      <c r="L731" s="573">
        <v>136171155</v>
      </c>
      <c r="M731" s="573">
        <v>3656044</v>
      </c>
      <c r="N731" s="456">
        <f t="shared" si="97"/>
        <v>139827199</v>
      </c>
      <c r="O731" s="487">
        <v>143657275</v>
      </c>
      <c r="P731" s="487">
        <v>4277191</v>
      </c>
      <c r="Q731" s="274">
        <f t="shared" si="92"/>
        <v>147934466</v>
      </c>
      <c r="R731" s="574">
        <f t="shared" si="93"/>
        <v>417766507</v>
      </c>
      <c r="S731" s="275">
        <f t="shared" si="94"/>
        <v>412217899</v>
      </c>
      <c r="T731" s="575"/>
      <c r="U731" s="487"/>
      <c r="V731" s="576"/>
      <c r="W731" s="573"/>
      <c r="X731" s="574">
        <f t="shared" si="98"/>
        <v>0</v>
      </c>
      <c r="Y731" s="487"/>
      <c r="Z731" s="487"/>
      <c r="AA731" s="276">
        <f t="shared" si="99"/>
        <v>0</v>
      </c>
      <c r="AB731" s="573"/>
      <c r="AC731" s="487"/>
      <c r="AD731" s="573"/>
      <c r="AE731" s="487"/>
      <c r="AF731" s="577">
        <f t="shared" si="95"/>
        <v>417766507</v>
      </c>
      <c r="AG731" s="275">
        <f t="shared" si="96"/>
        <v>412217899</v>
      </c>
    </row>
    <row r="732" spans="1:33" ht="12" customHeight="1">
      <c r="A732" s="614" t="s">
        <v>1277</v>
      </c>
      <c r="B732" s="615" t="s">
        <v>1776</v>
      </c>
      <c r="C732" s="620" t="s">
        <v>1619</v>
      </c>
      <c r="D732" s="617">
        <v>132903</v>
      </c>
      <c r="E732" s="618">
        <v>1</v>
      </c>
      <c r="F732" s="573"/>
      <c r="G732" s="487"/>
      <c r="H732" s="573">
        <v>2360230</v>
      </c>
      <c r="I732" s="487">
        <v>2274186</v>
      </c>
      <c r="J732" s="573"/>
      <c r="K732" s="487"/>
      <c r="L732" s="573"/>
      <c r="M732" s="573"/>
      <c r="N732" s="456">
        <f t="shared" si="97"/>
        <v>0</v>
      </c>
      <c r="O732" s="487"/>
      <c r="P732" s="487"/>
      <c r="Q732" s="274">
        <f t="shared" si="92"/>
        <v>0</v>
      </c>
      <c r="R732" s="574">
        <f t="shared" si="93"/>
        <v>2360230</v>
      </c>
      <c r="S732" s="275">
        <f t="shared" si="94"/>
        <v>2274186</v>
      </c>
      <c r="T732" s="575"/>
      <c r="U732" s="487"/>
      <c r="V732" s="576"/>
      <c r="W732" s="573"/>
      <c r="X732" s="574">
        <f t="shared" si="98"/>
        <v>0</v>
      </c>
      <c r="Y732" s="487"/>
      <c r="Z732" s="487"/>
      <c r="AA732" s="276">
        <f t="shared" si="99"/>
        <v>0</v>
      </c>
      <c r="AB732" s="573"/>
      <c r="AC732" s="487"/>
      <c r="AD732" s="573"/>
      <c r="AE732" s="487"/>
      <c r="AF732" s="577">
        <f t="shared" si="95"/>
        <v>2360230</v>
      </c>
      <c r="AG732" s="275">
        <f t="shared" si="96"/>
        <v>2274186</v>
      </c>
    </row>
    <row r="733" spans="1:33" ht="12" customHeight="1">
      <c r="A733" s="614" t="s">
        <v>1277</v>
      </c>
      <c r="B733" s="615" t="s">
        <v>1776</v>
      </c>
      <c r="C733" s="620" t="s">
        <v>1620</v>
      </c>
      <c r="D733" s="617">
        <v>132903</v>
      </c>
      <c r="E733" s="618">
        <v>1</v>
      </c>
      <c r="F733" s="573"/>
      <c r="G733" s="487"/>
      <c r="H733" s="573">
        <v>1428594</v>
      </c>
      <c r="I733" s="1211">
        <v>1581367</v>
      </c>
      <c r="J733" s="573"/>
      <c r="K733" s="487"/>
      <c r="L733" s="573"/>
      <c r="M733" s="573"/>
      <c r="N733" s="456">
        <f t="shared" si="97"/>
        <v>0</v>
      </c>
      <c r="O733" s="487"/>
      <c r="P733" s="487"/>
      <c r="Q733" s="274">
        <f t="shared" si="92"/>
        <v>0</v>
      </c>
      <c r="R733" s="574">
        <f t="shared" si="93"/>
        <v>1428594</v>
      </c>
      <c r="S733" s="275">
        <f t="shared" si="94"/>
        <v>1581367</v>
      </c>
      <c r="T733" s="575"/>
      <c r="U733" s="487"/>
      <c r="V733" s="576"/>
      <c r="W733" s="573"/>
      <c r="X733" s="574">
        <f t="shared" si="98"/>
        <v>0</v>
      </c>
      <c r="Y733" s="487"/>
      <c r="Z733" s="487"/>
      <c r="AA733" s="276">
        <f t="shared" si="99"/>
        <v>0</v>
      </c>
      <c r="AB733" s="573"/>
      <c r="AC733" s="487"/>
      <c r="AD733" s="573"/>
      <c r="AE733" s="487"/>
      <c r="AF733" s="577">
        <f t="shared" si="95"/>
        <v>1428594</v>
      </c>
      <c r="AG733" s="275">
        <f t="shared" si="96"/>
        <v>1581367</v>
      </c>
    </row>
    <row r="734" spans="1:33" ht="12" customHeight="1">
      <c r="A734" s="614" t="s">
        <v>1277</v>
      </c>
      <c r="B734" s="615" t="s">
        <v>1793</v>
      </c>
      <c r="C734" s="620" t="s">
        <v>1614</v>
      </c>
      <c r="D734" s="617">
        <v>132903</v>
      </c>
      <c r="E734" s="618">
        <v>1</v>
      </c>
      <c r="F734" s="573"/>
      <c r="G734" s="487"/>
      <c r="H734" s="573"/>
      <c r="I734" s="487"/>
      <c r="J734" s="573"/>
      <c r="K734" s="487"/>
      <c r="L734" s="573"/>
      <c r="M734" s="573"/>
      <c r="N734" s="456">
        <f t="shared" si="97"/>
        <v>0</v>
      </c>
      <c r="O734" s="487"/>
      <c r="P734" s="487"/>
      <c r="Q734" s="274">
        <f t="shared" si="92"/>
        <v>0</v>
      </c>
      <c r="R734" s="574">
        <f t="shared" si="93"/>
        <v>0</v>
      </c>
      <c r="S734" s="275">
        <f t="shared" si="94"/>
        <v>0</v>
      </c>
      <c r="T734" s="575"/>
      <c r="U734" s="487"/>
      <c r="V734" s="576"/>
      <c r="W734" s="573"/>
      <c r="X734" s="574">
        <f t="shared" si="98"/>
        <v>0</v>
      </c>
      <c r="Y734" s="487"/>
      <c r="Z734" s="487"/>
      <c r="AA734" s="276">
        <f t="shared" si="99"/>
        <v>0</v>
      </c>
      <c r="AB734" s="619">
        <v>4539224</v>
      </c>
      <c r="AC734" s="487">
        <v>9173004</v>
      </c>
      <c r="AD734" s="573"/>
      <c r="AE734" s="487"/>
      <c r="AF734" s="577">
        <f t="shared" si="95"/>
        <v>4539224</v>
      </c>
      <c r="AG734" s="275">
        <f t="shared" si="96"/>
        <v>9173004</v>
      </c>
    </row>
    <row r="735" spans="1:33" ht="12" customHeight="1">
      <c r="A735" s="614" t="s">
        <v>1277</v>
      </c>
      <c r="B735" s="615" t="s">
        <v>1778</v>
      </c>
      <c r="C735" s="240" t="s">
        <v>1891</v>
      </c>
      <c r="D735" s="617">
        <v>132903</v>
      </c>
      <c r="E735" s="618">
        <v>1</v>
      </c>
      <c r="F735" s="573"/>
      <c r="G735" s="487"/>
      <c r="H735" s="573"/>
      <c r="I735" s="487"/>
      <c r="J735" s="573"/>
      <c r="K735" s="487"/>
      <c r="L735" s="573"/>
      <c r="M735" s="573"/>
      <c r="N735" s="456">
        <f t="shared" si="97"/>
        <v>0</v>
      </c>
      <c r="O735" s="487"/>
      <c r="P735" s="487"/>
      <c r="Q735" s="274">
        <f t="shared" si="92"/>
        <v>0</v>
      </c>
      <c r="R735" s="574">
        <f t="shared" si="93"/>
        <v>0</v>
      </c>
      <c r="S735" s="275">
        <f t="shared" si="94"/>
        <v>0</v>
      </c>
      <c r="T735" s="575"/>
      <c r="U735" s="487"/>
      <c r="V735" s="576"/>
      <c r="W735" s="573"/>
      <c r="X735" s="574">
        <f t="shared" si="98"/>
        <v>0</v>
      </c>
      <c r="Y735" s="487"/>
      <c r="Z735" s="487"/>
      <c r="AA735" s="276">
        <f t="shared" si="99"/>
        <v>0</v>
      </c>
      <c r="AB735" s="573"/>
      <c r="AC735" s="487"/>
      <c r="AD735" s="573"/>
      <c r="AE735" s="487"/>
      <c r="AF735" s="577">
        <f t="shared" si="95"/>
        <v>0</v>
      </c>
      <c r="AG735" s="275">
        <f t="shared" si="96"/>
        <v>0</v>
      </c>
    </row>
    <row r="736" spans="1:33" ht="12" customHeight="1">
      <c r="A736" s="614" t="s">
        <v>1277</v>
      </c>
      <c r="B736" s="615" t="s">
        <v>1778</v>
      </c>
      <c r="C736" s="620" t="s">
        <v>1390</v>
      </c>
      <c r="D736" s="617">
        <v>132903</v>
      </c>
      <c r="E736" s="618">
        <v>1</v>
      </c>
      <c r="F736" s="573"/>
      <c r="G736" s="487"/>
      <c r="H736" s="573">
        <v>1129166</v>
      </c>
      <c r="I736" s="487">
        <v>1028715</v>
      </c>
      <c r="J736" s="573"/>
      <c r="K736" s="487"/>
      <c r="L736" s="573"/>
      <c r="M736" s="573"/>
      <c r="N736" s="456">
        <f t="shared" si="97"/>
        <v>0</v>
      </c>
      <c r="O736" s="487"/>
      <c r="P736" s="487"/>
      <c r="Q736" s="274">
        <f t="shared" si="92"/>
        <v>0</v>
      </c>
      <c r="R736" s="574">
        <f t="shared" si="93"/>
        <v>1129166</v>
      </c>
      <c r="S736" s="275">
        <f t="shared" si="94"/>
        <v>1028715</v>
      </c>
      <c r="T736" s="575"/>
      <c r="U736" s="487"/>
      <c r="V736" s="576"/>
      <c r="W736" s="573"/>
      <c r="X736" s="574">
        <f t="shared" si="98"/>
        <v>0</v>
      </c>
      <c r="Y736" s="487"/>
      <c r="Z736" s="487"/>
      <c r="AA736" s="276">
        <f t="shared" si="99"/>
        <v>0</v>
      </c>
      <c r="AB736" s="573"/>
      <c r="AC736" s="487"/>
      <c r="AD736" s="573"/>
      <c r="AE736" s="487"/>
      <c r="AF736" s="577">
        <f t="shared" si="95"/>
        <v>1129166</v>
      </c>
      <c r="AG736" s="275">
        <f t="shared" si="96"/>
        <v>1028715</v>
      </c>
    </row>
    <row r="737" spans="1:33" ht="12" customHeight="1">
      <c r="A737" s="614" t="s">
        <v>1277</v>
      </c>
      <c r="B737" s="615" t="s">
        <v>1783</v>
      </c>
      <c r="C737" s="239" t="s">
        <v>1881</v>
      </c>
      <c r="D737" s="617">
        <v>132903</v>
      </c>
      <c r="E737" s="618">
        <v>1</v>
      </c>
      <c r="F737" s="573"/>
      <c r="G737" s="487"/>
      <c r="H737" s="573"/>
      <c r="I737" s="487"/>
      <c r="J737" s="573"/>
      <c r="K737" s="487"/>
      <c r="L737" s="573"/>
      <c r="M737" s="573"/>
      <c r="N737" s="456">
        <f t="shared" si="97"/>
        <v>0</v>
      </c>
      <c r="O737" s="487"/>
      <c r="P737" s="487"/>
      <c r="Q737" s="274">
        <f t="shared" si="92"/>
        <v>0</v>
      </c>
      <c r="R737" s="574">
        <f t="shared" si="93"/>
        <v>0</v>
      </c>
      <c r="S737" s="275">
        <f t="shared" si="94"/>
        <v>0</v>
      </c>
      <c r="T737" s="575"/>
      <c r="U737" s="487"/>
      <c r="V737" s="576"/>
      <c r="W737" s="573"/>
      <c r="X737" s="574">
        <f t="shared" si="98"/>
        <v>0</v>
      </c>
      <c r="Y737" s="487"/>
      <c r="Z737" s="487"/>
      <c r="AA737" s="276">
        <f t="shared" si="99"/>
        <v>0</v>
      </c>
      <c r="AB737" s="573"/>
      <c r="AC737" s="487"/>
      <c r="AD737" s="573"/>
      <c r="AE737" s="487"/>
      <c r="AF737" s="577">
        <f t="shared" si="95"/>
        <v>0</v>
      </c>
      <c r="AG737" s="275">
        <f t="shared" si="96"/>
        <v>0</v>
      </c>
    </row>
    <row r="738" spans="1:33" s="578" customFormat="1" ht="12" customHeight="1">
      <c r="A738" s="614" t="s">
        <v>1277</v>
      </c>
      <c r="B738" s="615" t="s">
        <v>1783</v>
      </c>
      <c r="C738" s="620" t="s">
        <v>1235</v>
      </c>
      <c r="D738" s="617">
        <v>132903</v>
      </c>
      <c r="E738" s="618">
        <v>1</v>
      </c>
      <c r="F738" s="573"/>
      <c r="G738" s="487"/>
      <c r="H738" s="573"/>
      <c r="I738" s="1211">
        <f>8750000-2187500</f>
        <v>6562500</v>
      </c>
      <c r="J738" s="573"/>
      <c r="K738" s="487"/>
      <c r="L738" s="573"/>
      <c r="M738" s="573"/>
      <c r="N738" s="456">
        <f t="shared" si="97"/>
        <v>0</v>
      </c>
      <c r="O738" s="487"/>
      <c r="P738" s="487"/>
      <c r="Q738" s="274">
        <f t="shared" si="92"/>
        <v>0</v>
      </c>
      <c r="R738" s="574">
        <f t="shared" si="93"/>
        <v>0</v>
      </c>
      <c r="S738" s="275">
        <f t="shared" si="94"/>
        <v>6562500</v>
      </c>
      <c r="T738" s="575"/>
      <c r="U738" s="487"/>
      <c r="V738" s="576"/>
      <c r="W738" s="573"/>
      <c r="X738" s="574">
        <f t="shared" si="98"/>
        <v>0</v>
      </c>
      <c r="Y738" s="487"/>
      <c r="Z738" s="487"/>
      <c r="AA738" s="276">
        <f t="shared" si="99"/>
        <v>0</v>
      </c>
      <c r="AB738" s="573"/>
      <c r="AC738" s="487"/>
      <c r="AD738" s="573"/>
      <c r="AE738" s="487"/>
      <c r="AF738" s="577">
        <f t="shared" si="95"/>
        <v>0</v>
      </c>
      <c r="AG738" s="275">
        <f t="shared" si="96"/>
        <v>6562500</v>
      </c>
    </row>
    <row r="739" spans="1:33" ht="12" customHeight="1">
      <c r="A739" s="614" t="s">
        <v>1277</v>
      </c>
      <c r="B739" s="615" t="s">
        <v>1776</v>
      </c>
      <c r="C739" s="616" t="s">
        <v>1621</v>
      </c>
      <c r="D739" s="617">
        <v>134130</v>
      </c>
      <c r="E739" s="618">
        <v>1</v>
      </c>
      <c r="F739" s="619">
        <f>382213963+24806667</f>
        <v>407020630</v>
      </c>
      <c r="G739" s="939">
        <f>345417044+36451775</f>
        <v>381868819</v>
      </c>
      <c r="H739" s="573"/>
      <c r="I739" s="487"/>
      <c r="J739" s="573"/>
      <c r="K739" s="487"/>
      <c r="L739" s="573">
        <v>182314215</v>
      </c>
      <c r="M739" s="573">
        <v>3985041</v>
      </c>
      <c r="N739" s="456">
        <f t="shared" si="97"/>
        <v>186299256</v>
      </c>
      <c r="O739" s="487">
        <v>201901130</v>
      </c>
      <c r="P739" s="487">
        <v>4069361</v>
      </c>
      <c r="Q739" s="274">
        <f t="shared" si="92"/>
        <v>205970491</v>
      </c>
      <c r="R739" s="574">
        <f t="shared" si="93"/>
        <v>589334845</v>
      </c>
      <c r="S739" s="275">
        <f t="shared" si="94"/>
        <v>583769949</v>
      </c>
      <c r="T739" s="575"/>
      <c r="U739" s="487"/>
      <c r="V739" s="576"/>
      <c r="W739" s="573"/>
      <c r="X739" s="574">
        <f t="shared" si="98"/>
        <v>0</v>
      </c>
      <c r="Y739" s="487"/>
      <c r="Z739" s="487"/>
      <c r="AA739" s="276">
        <f t="shared" si="99"/>
        <v>0</v>
      </c>
      <c r="AB739" s="573"/>
      <c r="AC739" s="487"/>
      <c r="AD739" s="573"/>
      <c r="AE739" s="487"/>
      <c r="AF739" s="577">
        <f t="shared" si="95"/>
        <v>589334845</v>
      </c>
      <c r="AG739" s="275">
        <f t="shared" si="96"/>
        <v>583769949</v>
      </c>
    </row>
    <row r="740" spans="1:33" ht="12" customHeight="1">
      <c r="A740" s="614" t="s">
        <v>1277</v>
      </c>
      <c r="B740" s="615" t="s">
        <v>1776</v>
      </c>
      <c r="C740" s="620" t="s">
        <v>1619</v>
      </c>
      <c r="D740" s="617">
        <v>134130</v>
      </c>
      <c r="E740" s="618">
        <v>1</v>
      </c>
      <c r="F740" s="573"/>
      <c r="G740" s="487"/>
      <c r="H740" s="573">
        <v>4777013</v>
      </c>
      <c r="I740" s="487">
        <v>4602866</v>
      </c>
      <c r="J740" s="573"/>
      <c r="K740" s="487"/>
      <c r="L740" s="573"/>
      <c r="M740" s="573"/>
      <c r="N740" s="456">
        <f t="shared" si="97"/>
        <v>0</v>
      </c>
      <c r="O740" s="487"/>
      <c r="P740" s="487"/>
      <c r="Q740" s="274">
        <f t="shared" si="92"/>
        <v>0</v>
      </c>
      <c r="R740" s="574">
        <f t="shared" si="93"/>
        <v>4777013</v>
      </c>
      <c r="S740" s="275">
        <f t="shared" si="94"/>
        <v>4602866</v>
      </c>
      <c r="T740" s="575"/>
      <c r="U740" s="487"/>
      <c r="V740" s="576"/>
      <c r="W740" s="573"/>
      <c r="X740" s="574">
        <f t="shared" si="98"/>
        <v>0</v>
      </c>
      <c r="Y740" s="487"/>
      <c r="Z740" s="487"/>
      <c r="AA740" s="276">
        <f t="shared" si="99"/>
        <v>0</v>
      </c>
      <c r="AB740" s="573"/>
      <c r="AC740" s="487"/>
      <c r="AD740" s="573"/>
      <c r="AE740" s="487"/>
      <c r="AF740" s="577">
        <f t="shared" si="95"/>
        <v>4777013</v>
      </c>
      <c r="AG740" s="275">
        <f t="shared" si="96"/>
        <v>4602866</v>
      </c>
    </row>
    <row r="741" spans="1:33" ht="12" customHeight="1">
      <c r="A741" s="614" t="s">
        <v>1277</v>
      </c>
      <c r="B741" s="615" t="s">
        <v>1776</v>
      </c>
      <c r="C741" s="620" t="s">
        <v>1620</v>
      </c>
      <c r="D741" s="617">
        <v>134130</v>
      </c>
      <c r="E741" s="618">
        <v>1</v>
      </c>
      <c r="F741" s="573"/>
      <c r="G741" s="487"/>
      <c r="H741" s="573">
        <f>1609725+1341738+898457</f>
        <v>3849920</v>
      </c>
      <c r="I741" s="1211">
        <f>1715760+1394130</f>
        <v>3109890</v>
      </c>
      <c r="J741" s="573"/>
      <c r="K741" s="487"/>
      <c r="L741" s="573"/>
      <c r="M741" s="573"/>
      <c r="N741" s="456">
        <f t="shared" si="97"/>
        <v>0</v>
      </c>
      <c r="O741" s="487"/>
      <c r="P741" s="487"/>
      <c r="Q741" s="274">
        <f t="shared" si="92"/>
        <v>0</v>
      </c>
      <c r="R741" s="574">
        <f t="shared" si="93"/>
        <v>3849920</v>
      </c>
      <c r="S741" s="275">
        <f t="shared" si="94"/>
        <v>3109890</v>
      </c>
      <c r="T741" s="575"/>
      <c r="U741" s="487"/>
      <c r="V741" s="576"/>
      <c r="W741" s="573"/>
      <c r="X741" s="574">
        <f t="shared" si="98"/>
        <v>0</v>
      </c>
      <c r="Y741" s="487"/>
      <c r="Z741" s="487"/>
      <c r="AA741" s="276">
        <f t="shared" si="99"/>
        <v>0</v>
      </c>
      <c r="AB741" s="573"/>
      <c r="AC741" s="487"/>
      <c r="AD741" s="573"/>
      <c r="AE741" s="487"/>
      <c r="AF741" s="577">
        <f t="shared" si="95"/>
        <v>3849920</v>
      </c>
      <c r="AG741" s="275">
        <f t="shared" si="96"/>
        <v>3109890</v>
      </c>
    </row>
    <row r="742" spans="1:33" ht="12" customHeight="1">
      <c r="A742" s="614" t="s">
        <v>1277</v>
      </c>
      <c r="B742" s="615" t="s">
        <v>1793</v>
      </c>
      <c r="C742" s="620" t="s">
        <v>1614</v>
      </c>
      <c r="D742" s="617">
        <v>134130</v>
      </c>
      <c r="E742" s="618">
        <v>1</v>
      </c>
      <c r="F742" s="573"/>
      <c r="G742" s="487"/>
      <c r="H742" s="573"/>
      <c r="I742" s="487"/>
      <c r="J742" s="573"/>
      <c r="K742" s="487"/>
      <c r="L742" s="573"/>
      <c r="M742" s="573"/>
      <c r="N742" s="456">
        <f t="shared" si="97"/>
        <v>0</v>
      </c>
      <c r="O742" s="487"/>
      <c r="P742" s="487"/>
      <c r="Q742" s="274">
        <f t="shared" si="92"/>
        <v>0</v>
      </c>
      <c r="R742" s="574">
        <f t="shared" si="93"/>
        <v>0</v>
      </c>
      <c r="S742" s="275">
        <f t="shared" si="94"/>
        <v>0</v>
      </c>
      <c r="T742" s="575"/>
      <c r="U742" s="487"/>
      <c r="V742" s="576"/>
      <c r="W742" s="573"/>
      <c r="X742" s="574">
        <f t="shared" si="98"/>
        <v>0</v>
      </c>
      <c r="Y742" s="487"/>
      <c r="Z742" s="487"/>
      <c r="AA742" s="276">
        <f t="shared" si="99"/>
        <v>0</v>
      </c>
      <c r="AB742" s="619">
        <f>93241023+4311167</f>
        <v>97552190</v>
      </c>
      <c r="AC742" s="939">
        <f>93125717+7026684</f>
        <v>100152401</v>
      </c>
      <c r="AD742" s="573">
        <v>20613583</v>
      </c>
      <c r="AE742" s="487">
        <v>23206140</v>
      </c>
      <c r="AF742" s="577">
        <f t="shared" si="95"/>
        <v>118165773</v>
      </c>
      <c r="AG742" s="275">
        <f t="shared" si="96"/>
        <v>123358541</v>
      </c>
    </row>
    <row r="743" spans="1:33" ht="12" customHeight="1">
      <c r="A743" s="614" t="s">
        <v>1277</v>
      </c>
      <c r="B743" s="615" t="s">
        <v>1793</v>
      </c>
      <c r="C743" s="620" t="s">
        <v>1384</v>
      </c>
      <c r="D743" s="617">
        <v>134130</v>
      </c>
      <c r="E743" s="618">
        <v>1</v>
      </c>
      <c r="F743" s="573"/>
      <c r="G743" s="487"/>
      <c r="H743" s="573"/>
      <c r="I743" s="487"/>
      <c r="J743" s="573"/>
      <c r="K743" s="487"/>
      <c r="L743" s="573"/>
      <c r="M743" s="573"/>
      <c r="N743" s="456">
        <f t="shared" si="97"/>
        <v>0</v>
      </c>
      <c r="O743" s="487"/>
      <c r="P743" s="487"/>
      <c r="Q743" s="274">
        <f t="shared" si="92"/>
        <v>0</v>
      </c>
      <c r="R743" s="574">
        <f t="shared" si="93"/>
        <v>0</v>
      </c>
      <c r="S743" s="275">
        <f t="shared" si="94"/>
        <v>0</v>
      </c>
      <c r="T743" s="575"/>
      <c r="U743" s="487"/>
      <c r="V743" s="576"/>
      <c r="W743" s="573"/>
      <c r="X743" s="574">
        <f t="shared" si="98"/>
        <v>0</v>
      </c>
      <c r="Y743" s="487"/>
      <c r="Z743" s="487"/>
      <c r="AA743" s="276">
        <f t="shared" si="99"/>
        <v>0</v>
      </c>
      <c r="AB743" s="573">
        <v>914366</v>
      </c>
      <c r="AC743" s="939">
        <v>833023</v>
      </c>
      <c r="AD743" s="573"/>
      <c r="AE743" s="487"/>
      <c r="AF743" s="577">
        <f t="shared" si="95"/>
        <v>914366</v>
      </c>
      <c r="AG743" s="275">
        <f t="shared" si="96"/>
        <v>833023</v>
      </c>
    </row>
    <row r="744" spans="1:33" ht="12" customHeight="1">
      <c r="A744" s="614" t="s">
        <v>1277</v>
      </c>
      <c r="B744" s="615" t="s">
        <v>1793</v>
      </c>
      <c r="C744" s="620" t="s">
        <v>1385</v>
      </c>
      <c r="D744" s="617">
        <v>134130</v>
      </c>
      <c r="E744" s="618">
        <v>1</v>
      </c>
      <c r="F744" s="573"/>
      <c r="G744" s="487"/>
      <c r="H744" s="573"/>
      <c r="I744" s="487"/>
      <c r="J744" s="573"/>
      <c r="K744" s="487"/>
      <c r="L744" s="573"/>
      <c r="M744" s="573"/>
      <c r="N744" s="456">
        <f t="shared" si="97"/>
        <v>0</v>
      </c>
      <c r="O744" s="487"/>
      <c r="P744" s="487"/>
      <c r="Q744" s="274">
        <f t="shared" si="92"/>
        <v>0</v>
      </c>
      <c r="R744" s="574">
        <f t="shared" si="93"/>
        <v>0</v>
      </c>
      <c r="S744" s="275">
        <f t="shared" si="94"/>
        <v>0</v>
      </c>
      <c r="T744" s="575"/>
      <c r="U744" s="487"/>
      <c r="V744" s="576"/>
      <c r="W744" s="573"/>
      <c r="X744" s="574">
        <f t="shared" si="98"/>
        <v>0</v>
      </c>
      <c r="Y744" s="487"/>
      <c r="Z744" s="487"/>
      <c r="AA744" s="276">
        <f t="shared" si="99"/>
        <v>0</v>
      </c>
      <c r="AB744" s="573">
        <v>952866</v>
      </c>
      <c r="AC744" s="939">
        <v>868099</v>
      </c>
      <c r="AD744" s="573"/>
      <c r="AE744" s="487"/>
      <c r="AF744" s="577">
        <f t="shared" si="95"/>
        <v>952866</v>
      </c>
      <c r="AG744" s="275">
        <f t="shared" si="96"/>
        <v>868099</v>
      </c>
    </row>
    <row r="745" spans="1:33" ht="12" customHeight="1">
      <c r="A745" s="614" t="s">
        <v>1277</v>
      </c>
      <c r="B745" s="615" t="s">
        <v>1778</v>
      </c>
      <c r="C745" s="240" t="s">
        <v>1891</v>
      </c>
      <c r="D745" s="617">
        <v>134130</v>
      </c>
      <c r="E745" s="618">
        <v>1</v>
      </c>
      <c r="F745" s="573"/>
      <c r="G745" s="487"/>
      <c r="H745" s="573"/>
      <c r="I745" s="1211">
        <v>577001</v>
      </c>
      <c r="J745" s="573"/>
      <c r="K745" s="487"/>
      <c r="L745" s="573"/>
      <c r="M745" s="573"/>
      <c r="N745" s="456">
        <f t="shared" si="97"/>
        <v>0</v>
      </c>
      <c r="O745" s="487"/>
      <c r="P745" s="487"/>
      <c r="Q745" s="274">
        <f t="shared" si="92"/>
        <v>0</v>
      </c>
      <c r="R745" s="574">
        <f t="shared" si="93"/>
        <v>0</v>
      </c>
      <c r="S745" s="275">
        <f t="shared" si="94"/>
        <v>577001</v>
      </c>
      <c r="T745" s="575"/>
      <c r="U745" s="487"/>
      <c r="V745" s="576"/>
      <c r="W745" s="573"/>
      <c r="X745" s="574">
        <f t="shared" si="98"/>
        <v>0</v>
      </c>
      <c r="Y745" s="487"/>
      <c r="Z745" s="487"/>
      <c r="AA745" s="276">
        <f t="shared" si="99"/>
        <v>0</v>
      </c>
      <c r="AB745" s="573"/>
      <c r="AC745" s="487"/>
      <c r="AD745" s="573"/>
      <c r="AE745" s="487"/>
      <c r="AF745" s="577">
        <f t="shared" si="95"/>
        <v>0</v>
      </c>
      <c r="AG745" s="275">
        <f t="shared" si="96"/>
        <v>577001</v>
      </c>
    </row>
    <row r="746" spans="1:33" ht="12" customHeight="1">
      <c r="A746" s="614" t="s">
        <v>1277</v>
      </c>
      <c r="B746" s="615" t="s">
        <v>1778</v>
      </c>
      <c r="C746" s="621" t="s">
        <v>1616</v>
      </c>
      <c r="D746" s="617">
        <v>134130</v>
      </c>
      <c r="E746" s="618">
        <v>1</v>
      </c>
      <c r="F746" s="573"/>
      <c r="G746" s="487"/>
      <c r="H746" s="573">
        <v>8298516</v>
      </c>
      <c r="I746" s="487">
        <v>7823622</v>
      </c>
      <c r="J746" s="573"/>
      <c r="K746" s="487"/>
      <c r="L746" s="573"/>
      <c r="M746" s="573"/>
      <c r="N746" s="456">
        <f t="shared" si="97"/>
        <v>0</v>
      </c>
      <c r="O746" s="487"/>
      <c r="P746" s="487"/>
      <c r="Q746" s="274">
        <f t="shared" si="92"/>
        <v>0</v>
      </c>
      <c r="R746" s="574">
        <f t="shared" si="93"/>
        <v>8298516</v>
      </c>
      <c r="S746" s="275">
        <f t="shared" si="94"/>
        <v>7823622</v>
      </c>
      <c r="T746" s="575"/>
      <c r="U746" s="487"/>
      <c r="V746" s="576"/>
      <c r="W746" s="573"/>
      <c r="X746" s="574">
        <f t="shared" si="98"/>
        <v>0</v>
      </c>
      <c r="Y746" s="487"/>
      <c r="Z746" s="487"/>
      <c r="AA746" s="276">
        <f t="shared" si="99"/>
        <v>0</v>
      </c>
      <c r="AB746" s="573"/>
      <c r="AC746" s="487"/>
      <c r="AD746" s="573"/>
      <c r="AE746" s="487"/>
      <c r="AF746" s="577">
        <f t="shared" si="95"/>
        <v>8298516</v>
      </c>
      <c r="AG746" s="275">
        <f t="shared" si="96"/>
        <v>7823622</v>
      </c>
    </row>
    <row r="747" spans="1:33" ht="12" customHeight="1">
      <c r="A747" s="614" t="s">
        <v>1277</v>
      </c>
      <c r="B747" s="615" t="s">
        <v>1780</v>
      </c>
      <c r="C747" s="239" t="s">
        <v>1769</v>
      </c>
      <c r="D747" s="617">
        <v>134130</v>
      </c>
      <c r="E747" s="618">
        <v>1</v>
      </c>
      <c r="F747" s="573"/>
      <c r="G747" s="487"/>
      <c r="H747" s="619">
        <f>130830636+8371768+660000+1370000</f>
        <v>141232404</v>
      </c>
      <c r="I747" s="1211">
        <f>117795375+11365268+660000+1370000</f>
        <v>131190643</v>
      </c>
      <c r="J747" s="573"/>
      <c r="K747" s="487"/>
      <c r="L747" s="573"/>
      <c r="M747" s="573"/>
      <c r="N747" s="456">
        <f t="shared" si="97"/>
        <v>0</v>
      </c>
      <c r="O747" s="487"/>
      <c r="P747" s="487"/>
      <c r="Q747" s="274">
        <f t="shared" si="92"/>
        <v>0</v>
      </c>
      <c r="R747" s="574">
        <f t="shared" si="93"/>
        <v>141232404</v>
      </c>
      <c r="S747" s="275">
        <f t="shared" si="94"/>
        <v>131190643</v>
      </c>
      <c r="T747" s="575"/>
      <c r="U747" s="487"/>
      <c r="V747" s="576"/>
      <c r="W747" s="573"/>
      <c r="X747" s="574">
        <f t="shared" si="98"/>
        <v>0</v>
      </c>
      <c r="Y747" s="487"/>
      <c r="Z747" s="487"/>
      <c r="AA747" s="276">
        <f t="shared" si="99"/>
        <v>0</v>
      </c>
      <c r="AB747" s="573"/>
      <c r="AC747" s="487"/>
      <c r="AD747" s="573"/>
      <c r="AE747" s="487"/>
      <c r="AF747" s="577">
        <f t="shared" si="95"/>
        <v>141232404</v>
      </c>
      <c r="AG747" s="275">
        <f t="shared" si="96"/>
        <v>131190643</v>
      </c>
    </row>
    <row r="748" spans="1:33" ht="12" customHeight="1">
      <c r="A748" s="614" t="s">
        <v>1277</v>
      </c>
      <c r="B748" s="615" t="s">
        <v>1783</v>
      </c>
      <c r="C748" s="239" t="s">
        <v>1881</v>
      </c>
      <c r="D748" s="617">
        <v>134130</v>
      </c>
      <c r="E748" s="618">
        <v>1</v>
      </c>
      <c r="F748" s="573"/>
      <c r="G748" s="487"/>
      <c r="H748" s="573"/>
      <c r="I748" s="487"/>
      <c r="J748" s="573"/>
      <c r="K748" s="487"/>
      <c r="L748" s="573"/>
      <c r="M748" s="573"/>
      <c r="N748" s="456">
        <f t="shared" si="97"/>
        <v>0</v>
      </c>
      <c r="O748" s="487"/>
      <c r="P748" s="487"/>
      <c r="Q748" s="274">
        <f t="shared" si="92"/>
        <v>0</v>
      </c>
      <c r="R748" s="574">
        <f t="shared" si="93"/>
        <v>0</v>
      </c>
      <c r="S748" s="275">
        <f t="shared" si="94"/>
        <v>0</v>
      </c>
      <c r="T748" s="575"/>
      <c r="U748" s="487"/>
      <c r="V748" s="576"/>
      <c r="W748" s="573"/>
      <c r="X748" s="574">
        <f t="shared" si="98"/>
        <v>0</v>
      </c>
      <c r="Y748" s="487"/>
      <c r="Z748" s="487"/>
      <c r="AA748" s="276">
        <f t="shared" si="99"/>
        <v>0</v>
      </c>
      <c r="AB748" s="573"/>
      <c r="AC748" s="487"/>
      <c r="AD748" s="573"/>
      <c r="AE748" s="487"/>
      <c r="AF748" s="577">
        <f t="shared" si="95"/>
        <v>0</v>
      </c>
      <c r="AG748" s="275">
        <f t="shared" si="96"/>
        <v>0</v>
      </c>
    </row>
    <row r="749" spans="1:33" s="578" customFormat="1" ht="12" customHeight="1">
      <c r="A749" s="614" t="s">
        <v>1277</v>
      </c>
      <c r="B749" s="615" t="s">
        <v>1783</v>
      </c>
      <c r="C749" s="620" t="s">
        <v>1235</v>
      </c>
      <c r="D749" s="617">
        <v>134130</v>
      </c>
      <c r="E749" s="618">
        <v>1</v>
      </c>
      <c r="F749" s="573"/>
      <c r="G749" s="487"/>
      <c r="H749" s="573"/>
      <c r="I749" s="1211">
        <f>15000000-3750000</f>
        <v>11250000</v>
      </c>
      <c r="J749" s="573"/>
      <c r="K749" s="487"/>
      <c r="L749" s="573"/>
      <c r="M749" s="573"/>
      <c r="N749" s="456">
        <f t="shared" si="97"/>
        <v>0</v>
      </c>
      <c r="O749" s="487"/>
      <c r="P749" s="487"/>
      <c r="Q749" s="274">
        <f t="shared" si="92"/>
        <v>0</v>
      </c>
      <c r="R749" s="574">
        <f t="shared" si="93"/>
        <v>0</v>
      </c>
      <c r="S749" s="275">
        <f t="shared" si="94"/>
        <v>11250000</v>
      </c>
      <c r="T749" s="575"/>
      <c r="U749" s="487"/>
      <c r="V749" s="576"/>
      <c r="W749" s="573"/>
      <c r="X749" s="574">
        <f t="shared" si="98"/>
        <v>0</v>
      </c>
      <c r="Y749" s="487"/>
      <c r="Z749" s="487"/>
      <c r="AA749" s="276">
        <f t="shared" si="99"/>
        <v>0</v>
      </c>
      <c r="AB749" s="573"/>
      <c r="AC749" s="487"/>
      <c r="AD749" s="573"/>
      <c r="AE749" s="487"/>
      <c r="AF749" s="577">
        <f t="shared" si="95"/>
        <v>0</v>
      </c>
      <c r="AG749" s="275">
        <f t="shared" si="96"/>
        <v>11250000</v>
      </c>
    </row>
    <row r="750" spans="1:33" ht="12" customHeight="1">
      <c r="A750" s="614" t="s">
        <v>1277</v>
      </c>
      <c r="B750" s="615" t="s">
        <v>1776</v>
      </c>
      <c r="C750" s="616" t="s">
        <v>1386</v>
      </c>
      <c r="D750" s="617">
        <v>137351</v>
      </c>
      <c r="E750" s="618">
        <v>1</v>
      </c>
      <c r="F750" s="619">
        <f>231372874+21664004+26274890+344288+14406668+911184</f>
        <v>294973908</v>
      </c>
      <c r="G750" s="939">
        <f>210244225+28903121+26100746+1257468+13508540+1077548</f>
        <v>281091648</v>
      </c>
      <c r="H750" s="573"/>
      <c r="I750" s="487"/>
      <c r="J750" s="573"/>
      <c r="K750" s="487"/>
      <c r="L750" s="573">
        <f>104446661+7945777+4395648</f>
        <v>116788086</v>
      </c>
      <c r="M750" s="573">
        <v>3373384</v>
      </c>
      <c r="N750" s="456">
        <f t="shared" si="97"/>
        <v>120161470</v>
      </c>
      <c r="O750" s="487">
        <f>111948712+8042988+4451197</f>
        <v>124442897</v>
      </c>
      <c r="P750" s="487">
        <v>3900018</v>
      </c>
      <c r="Q750" s="274">
        <f t="shared" si="92"/>
        <v>128342915</v>
      </c>
      <c r="R750" s="574">
        <f t="shared" si="93"/>
        <v>411761994</v>
      </c>
      <c r="S750" s="275">
        <f t="shared" si="94"/>
        <v>405534545</v>
      </c>
      <c r="T750" s="575"/>
      <c r="U750" s="487"/>
      <c r="V750" s="576"/>
      <c r="W750" s="573"/>
      <c r="X750" s="574">
        <f t="shared" si="98"/>
        <v>0</v>
      </c>
      <c r="Y750" s="487"/>
      <c r="Z750" s="487"/>
      <c r="AA750" s="276">
        <f t="shared" si="99"/>
        <v>0</v>
      </c>
      <c r="AB750" s="573"/>
      <c r="AC750" s="487"/>
      <c r="AD750" s="573"/>
      <c r="AE750" s="487"/>
      <c r="AF750" s="577">
        <f t="shared" si="95"/>
        <v>411761994</v>
      </c>
      <c r="AG750" s="275">
        <f t="shared" si="96"/>
        <v>405534545</v>
      </c>
    </row>
    <row r="751" spans="1:33" ht="12" customHeight="1">
      <c r="A751" s="614" t="s">
        <v>1277</v>
      </c>
      <c r="B751" s="615" t="s">
        <v>1776</v>
      </c>
      <c r="C751" s="620" t="s">
        <v>1619</v>
      </c>
      <c r="D751" s="617">
        <v>137351</v>
      </c>
      <c r="E751" s="618">
        <v>1</v>
      </c>
      <c r="F751" s="573"/>
      <c r="G751" s="487"/>
      <c r="H751" s="573">
        <v>2340880</v>
      </c>
      <c r="I751" s="487">
        <v>2255542</v>
      </c>
      <c r="J751" s="573"/>
      <c r="K751" s="487"/>
      <c r="L751" s="573"/>
      <c r="M751" s="573"/>
      <c r="N751" s="456">
        <f t="shared" si="97"/>
        <v>0</v>
      </c>
      <c r="O751" s="487"/>
      <c r="P751" s="487"/>
      <c r="Q751" s="274">
        <f t="shared" si="92"/>
        <v>0</v>
      </c>
      <c r="R751" s="574">
        <f t="shared" si="93"/>
        <v>2340880</v>
      </c>
      <c r="S751" s="275">
        <f t="shared" si="94"/>
        <v>2255542</v>
      </c>
      <c r="T751" s="575"/>
      <c r="U751" s="487"/>
      <c r="V751" s="576"/>
      <c r="W751" s="573"/>
      <c r="X751" s="574">
        <f t="shared" si="98"/>
        <v>0</v>
      </c>
      <c r="Y751" s="487"/>
      <c r="Z751" s="487"/>
      <c r="AA751" s="276">
        <f t="shared" si="99"/>
        <v>0</v>
      </c>
      <c r="AB751" s="573"/>
      <c r="AC751" s="487"/>
      <c r="AD751" s="573"/>
      <c r="AE751" s="487"/>
      <c r="AF751" s="577">
        <f t="shared" si="95"/>
        <v>2340880</v>
      </c>
      <c r="AG751" s="275">
        <f t="shared" si="96"/>
        <v>2255542</v>
      </c>
    </row>
    <row r="752" spans="1:33" ht="12" customHeight="1">
      <c r="A752" s="614" t="s">
        <v>1277</v>
      </c>
      <c r="B752" s="615" t="s">
        <v>1776</v>
      </c>
      <c r="C752" s="620" t="s">
        <v>1620</v>
      </c>
      <c r="D752" s="617">
        <v>137351</v>
      </c>
      <c r="E752" s="618">
        <v>1</v>
      </c>
      <c r="F752" s="573"/>
      <c r="G752" s="487"/>
      <c r="H752" s="573">
        <f>2321592+4155+488102</f>
        <v>2813849</v>
      </c>
      <c r="I752" s="1211">
        <f>2277196</f>
        <v>2277196</v>
      </c>
      <c r="J752" s="573"/>
      <c r="K752" s="487"/>
      <c r="L752" s="573"/>
      <c r="M752" s="573"/>
      <c r="N752" s="456">
        <f t="shared" si="97"/>
        <v>0</v>
      </c>
      <c r="O752" s="487"/>
      <c r="P752" s="487"/>
      <c r="Q752" s="274">
        <f t="shared" si="92"/>
        <v>0</v>
      </c>
      <c r="R752" s="574">
        <f t="shared" si="93"/>
        <v>2813849</v>
      </c>
      <c r="S752" s="275">
        <f t="shared" si="94"/>
        <v>2277196</v>
      </c>
      <c r="T752" s="575"/>
      <c r="U752" s="487"/>
      <c r="V752" s="576"/>
      <c r="W752" s="573"/>
      <c r="X752" s="574">
        <f t="shared" si="98"/>
        <v>0</v>
      </c>
      <c r="Y752" s="487"/>
      <c r="Z752" s="487"/>
      <c r="AA752" s="276">
        <f t="shared" si="99"/>
        <v>0</v>
      </c>
      <c r="AB752" s="573"/>
      <c r="AC752" s="487"/>
      <c r="AD752" s="573"/>
      <c r="AE752" s="487"/>
      <c r="AF752" s="577">
        <f t="shared" si="95"/>
        <v>2813849</v>
      </c>
      <c r="AG752" s="275">
        <f t="shared" si="96"/>
        <v>2277196</v>
      </c>
    </row>
    <row r="753" spans="1:33" ht="12" customHeight="1">
      <c r="A753" s="614" t="s">
        <v>1277</v>
      </c>
      <c r="B753" s="615" t="s">
        <v>1793</v>
      </c>
      <c r="C753" s="620" t="s">
        <v>1614</v>
      </c>
      <c r="D753" s="617">
        <v>137351</v>
      </c>
      <c r="E753" s="618">
        <v>1</v>
      </c>
      <c r="F753" s="573"/>
      <c r="G753" s="487"/>
      <c r="H753" s="573"/>
      <c r="I753" s="487"/>
      <c r="J753" s="573"/>
      <c r="K753" s="487"/>
      <c r="L753" s="573"/>
      <c r="M753" s="573"/>
      <c r="N753" s="456">
        <f t="shared" si="97"/>
        <v>0</v>
      </c>
      <c r="O753" s="487"/>
      <c r="P753" s="487"/>
      <c r="Q753" s="274">
        <f t="shared" si="92"/>
        <v>0</v>
      </c>
      <c r="R753" s="574">
        <f t="shared" si="93"/>
        <v>0</v>
      </c>
      <c r="S753" s="275">
        <f t="shared" si="94"/>
        <v>0</v>
      </c>
      <c r="T753" s="575"/>
      <c r="U753" s="487"/>
      <c r="V753" s="576"/>
      <c r="W753" s="573"/>
      <c r="X753" s="574">
        <f t="shared" si="98"/>
        <v>0</v>
      </c>
      <c r="Y753" s="487"/>
      <c r="Z753" s="487"/>
      <c r="AA753" s="276">
        <f t="shared" si="99"/>
        <v>0</v>
      </c>
      <c r="AB753" s="619">
        <f>62739474+2590770</f>
        <v>65330244</v>
      </c>
      <c r="AC753" s="939">
        <f>60004789+4241041</f>
        <v>64245830</v>
      </c>
      <c r="AD753" s="573">
        <v>20829026</v>
      </c>
      <c r="AE753" s="487">
        <v>21102386</v>
      </c>
      <c r="AF753" s="577">
        <f t="shared" si="95"/>
        <v>86159270</v>
      </c>
      <c r="AG753" s="275">
        <f t="shared" si="96"/>
        <v>85348216</v>
      </c>
    </row>
    <row r="754" spans="1:33" ht="12" customHeight="1">
      <c r="A754" s="614" t="s">
        <v>1277</v>
      </c>
      <c r="B754" s="615" t="s">
        <v>1783</v>
      </c>
      <c r="C754" s="240" t="s">
        <v>1881</v>
      </c>
      <c r="D754" s="617">
        <v>137351</v>
      </c>
      <c r="E754" s="618">
        <v>1</v>
      </c>
      <c r="F754" s="573"/>
      <c r="G754" s="487"/>
      <c r="H754" s="573"/>
      <c r="I754" s="1211">
        <v>566336</v>
      </c>
      <c r="J754" s="573"/>
      <c r="K754" s="487"/>
      <c r="L754" s="573"/>
      <c r="M754" s="573"/>
      <c r="N754" s="456">
        <f t="shared" si="97"/>
        <v>0</v>
      </c>
      <c r="O754" s="487"/>
      <c r="P754" s="487"/>
      <c r="Q754" s="274">
        <f t="shared" si="92"/>
        <v>0</v>
      </c>
      <c r="R754" s="574">
        <f t="shared" si="93"/>
        <v>0</v>
      </c>
      <c r="S754" s="275">
        <f t="shared" si="94"/>
        <v>566336</v>
      </c>
      <c r="T754" s="575"/>
      <c r="U754" s="487"/>
      <c r="V754" s="576"/>
      <c r="W754" s="573"/>
      <c r="X754" s="574">
        <f t="shared" si="98"/>
        <v>0</v>
      </c>
      <c r="Y754" s="487"/>
      <c r="Z754" s="487"/>
      <c r="AA754" s="276">
        <f t="shared" si="99"/>
        <v>0</v>
      </c>
      <c r="AB754" s="573"/>
      <c r="AC754" s="487"/>
      <c r="AD754" s="573"/>
      <c r="AE754" s="487"/>
      <c r="AF754" s="577">
        <f t="shared" si="95"/>
        <v>0</v>
      </c>
      <c r="AG754" s="275">
        <f t="shared" si="96"/>
        <v>566336</v>
      </c>
    </row>
    <row r="755" spans="1:33" ht="12" customHeight="1">
      <c r="A755" s="614" t="s">
        <v>1277</v>
      </c>
      <c r="B755" s="615" t="s">
        <v>1783</v>
      </c>
      <c r="C755" s="621" t="s">
        <v>1387</v>
      </c>
      <c r="D755" s="617">
        <v>137351</v>
      </c>
      <c r="E755" s="618">
        <v>1</v>
      </c>
      <c r="F755" s="573"/>
      <c r="G755" s="487"/>
      <c r="H755" s="573">
        <v>7264725</v>
      </c>
      <c r="I755" s="1211">
        <v>7287963</v>
      </c>
      <c r="J755" s="573"/>
      <c r="K755" s="487"/>
      <c r="L755" s="573"/>
      <c r="M755" s="573"/>
      <c r="N755" s="456">
        <f t="shared" si="97"/>
        <v>0</v>
      </c>
      <c r="O755" s="487"/>
      <c r="P755" s="487"/>
      <c r="Q755" s="274">
        <f t="shared" si="92"/>
        <v>0</v>
      </c>
      <c r="R755" s="574">
        <f t="shared" si="93"/>
        <v>7264725</v>
      </c>
      <c r="S755" s="275">
        <f t="shared" si="94"/>
        <v>7287963</v>
      </c>
      <c r="T755" s="575"/>
      <c r="U755" s="487"/>
      <c r="V755" s="576"/>
      <c r="W755" s="573"/>
      <c r="X755" s="574">
        <f t="shared" si="98"/>
        <v>0</v>
      </c>
      <c r="Y755" s="487"/>
      <c r="Z755" s="487"/>
      <c r="AA755" s="276">
        <f t="shared" si="99"/>
        <v>0</v>
      </c>
      <c r="AB755" s="573"/>
      <c r="AC755" s="487"/>
      <c r="AD755" s="573"/>
      <c r="AE755" s="487"/>
      <c r="AF755" s="577">
        <f t="shared" si="95"/>
        <v>7264725</v>
      </c>
      <c r="AG755" s="275">
        <f t="shared" si="96"/>
        <v>7287963</v>
      </c>
    </row>
    <row r="756" spans="1:33" ht="12" customHeight="1">
      <c r="A756" s="614" t="s">
        <v>1277</v>
      </c>
      <c r="B756" s="615" t="s">
        <v>1784</v>
      </c>
      <c r="C756" s="240" t="s">
        <v>2039</v>
      </c>
      <c r="D756" s="617">
        <v>137351</v>
      </c>
      <c r="E756" s="618">
        <v>1</v>
      </c>
      <c r="F756" s="573"/>
      <c r="G756" s="487"/>
      <c r="H756" s="573"/>
      <c r="I756" s="487"/>
      <c r="J756" s="573"/>
      <c r="K756" s="487"/>
      <c r="L756" s="573"/>
      <c r="M756" s="573"/>
      <c r="N756" s="456">
        <f t="shared" si="97"/>
        <v>0</v>
      </c>
      <c r="O756" s="487"/>
      <c r="P756" s="487"/>
      <c r="Q756" s="274">
        <f t="shared" si="92"/>
        <v>0</v>
      </c>
      <c r="R756" s="574">
        <f t="shared" si="93"/>
        <v>0</v>
      </c>
      <c r="S756" s="275">
        <f t="shared" si="94"/>
        <v>0</v>
      </c>
      <c r="T756" s="575"/>
      <c r="U756" s="487"/>
      <c r="V756" s="576"/>
      <c r="W756" s="573"/>
      <c r="X756" s="574">
        <f t="shared" si="98"/>
        <v>0</v>
      </c>
      <c r="Y756" s="487"/>
      <c r="Z756" s="487"/>
      <c r="AA756" s="276">
        <f t="shared" si="99"/>
        <v>0</v>
      </c>
      <c r="AB756" s="573"/>
      <c r="AC756" s="487"/>
      <c r="AD756" s="573"/>
      <c r="AE756" s="487"/>
      <c r="AF756" s="577">
        <f t="shared" si="95"/>
        <v>0</v>
      </c>
      <c r="AG756" s="275">
        <f t="shared" si="96"/>
        <v>0</v>
      </c>
    </row>
    <row r="757" spans="1:33" ht="12" customHeight="1">
      <c r="A757" s="614" t="s">
        <v>1277</v>
      </c>
      <c r="B757" s="615" t="s">
        <v>1784</v>
      </c>
      <c r="C757" s="620" t="s">
        <v>1388</v>
      </c>
      <c r="D757" s="617">
        <v>137351</v>
      </c>
      <c r="E757" s="618">
        <v>1</v>
      </c>
      <c r="F757" s="573"/>
      <c r="G757" s="487"/>
      <c r="H757" s="573">
        <v>1318566</v>
      </c>
      <c r="I757" s="487">
        <v>1201265</v>
      </c>
      <c r="J757" s="573"/>
      <c r="K757" s="487"/>
      <c r="L757" s="573"/>
      <c r="M757" s="573"/>
      <c r="N757" s="456">
        <f t="shared" si="97"/>
        <v>0</v>
      </c>
      <c r="O757" s="487"/>
      <c r="P757" s="487"/>
      <c r="Q757" s="274">
        <f t="shared" si="92"/>
        <v>0</v>
      </c>
      <c r="R757" s="574">
        <f t="shared" si="93"/>
        <v>1318566</v>
      </c>
      <c r="S757" s="275">
        <f t="shared" si="94"/>
        <v>1201265</v>
      </c>
      <c r="T757" s="575"/>
      <c r="U757" s="487"/>
      <c r="V757" s="576"/>
      <c r="W757" s="573"/>
      <c r="X757" s="574">
        <f t="shared" si="98"/>
        <v>0</v>
      </c>
      <c r="Y757" s="487"/>
      <c r="Z757" s="487"/>
      <c r="AA757" s="276">
        <f t="shared" si="99"/>
        <v>0</v>
      </c>
      <c r="AB757" s="573"/>
      <c r="AC757" s="487"/>
      <c r="AD757" s="573"/>
      <c r="AE757" s="487"/>
      <c r="AF757" s="577">
        <f t="shared" si="95"/>
        <v>1318566</v>
      </c>
      <c r="AG757" s="275">
        <f t="shared" si="96"/>
        <v>1201265</v>
      </c>
    </row>
    <row r="758" spans="1:33" s="578" customFormat="1" ht="12" customHeight="1">
      <c r="A758" s="614" t="s">
        <v>1277</v>
      </c>
      <c r="B758" s="615" t="s">
        <v>1783</v>
      </c>
      <c r="C758" s="620" t="s">
        <v>1235</v>
      </c>
      <c r="D758" s="617">
        <v>137351</v>
      </c>
      <c r="E758" s="618">
        <v>1</v>
      </c>
      <c r="F758" s="573"/>
      <c r="G758" s="487"/>
      <c r="H758" s="573"/>
      <c r="I758" s="1211">
        <f>8750000-2187500</f>
        <v>6562500</v>
      </c>
      <c r="J758" s="573"/>
      <c r="K758" s="487"/>
      <c r="L758" s="573"/>
      <c r="M758" s="573"/>
      <c r="N758" s="456">
        <f t="shared" si="97"/>
        <v>0</v>
      </c>
      <c r="O758" s="487"/>
      <c r="P758" s="487"/>
      <c r="Q758" s="274">
        <f t="shared" si="92"/>
        <v>0</v>
      </c>
      <c r="R758" s="574">
        <f t="shared" si="93"/>
        <v>0</v>
      </c>
      <c r="S758" s="275">
        <f t="shared" si="94"/>
        <v>6562500</v>
      </c>
      <c r="T758" s="575"/>
      <c r="U758" s="487"/>
      <c r="V758" s="576"/>
      <c r="W758" s="573"/>
      <c r="X758" s="574">
        <f t="shared" si="98"/>
        <v>0</v>
      </c>
      <c r="Y758" s="487"/>
      <c r="Z758" s="487"/>
      <c r="AA758" s="276">
        <f t="shared" si="99"/>
        <v>0</v>
      </c>
      <c r="AB758" s="573"/>
      <c r="AC758" s="487"/>
      <c r="AD758" s="573"/>
      <c r="AE758" s="487"/>
      <c r="AF758" s="577">
        <f t="shared" si="95"/>
        <v>0</v>
      </c>
      <c r="AG758" s="275">
        <f t="shared" si="96"/>
        <v>6562500</v>
      </c>
    </row>
    <row r="759" spans="1:33" ht="12" customHeight="1">
      <c r="A759" s="614" t="s">
        <v>1277</v>
      </c>
      <c r="B759" s="615" t="s">
        <v>1776</v>
      </c>
      <c r="C759" s="616" t="s">
        <v>1389</v>
      </c>
      <c r="D759" s="617">
        <v>133669</v>
      </c>
      <c r="E759" s="618">
        <v>2</v>
      </c>
      <c r="F759" s="619">
        <f>174447471+11408885</f>
        <v>185856356</v>
      </c>
      <c r="G759" s="939">
        <f>159902071+16632794</f>
        <v>176534865</v>
      </c>
      <c r="H759" s="573"/>
      <c r="I759" s="487"/>
      <c r="J759" s="573"/>
      <c r="K759" s="487"/>
      <c r="L759" s="573">
        <f>72511162</f>
        <v>72511162</v>
      </c>
      <c r="M759" s="573">
        <v>1960084</v>
      </c>
      <c r="N759" s="456">
        <f t="shared" si="97"/>
        <v>74471246</v>
      </c>
      <c r="O759" s="487">
        <v>76094024</v>
      </c>
      <c r="P759" s="487">
        <v>2037246</v>
      </c>
      <c r="Q759" s="274">
        <f t="shared" si="92"/>
        <v>78131270</v>
      </c>
      <c r="R759" s="574">
        <f t="shared" si="93"/>
        <v>258367518</v>
      </c>
      <c r="S759" s="275">
        <f t="shared" si="94"/>
        <v>252628889</v>
      </c>
      <c r="T759" s="575"/>
      <c r="U759" s="487"/>
      <c r="V759" s="576"/>
      <c r="W759" s="573"/>
      <c r="X759" s="574">
        <f t="shared" si="98"/>
        <v>0</v>
      </c>
      <c r="Y759" s="487"/>
      <c r="Z759" s="487"/>
      <c r="AA759" s="276">
        <f t="shared" si="99"/>
        <v>0</v>
      </c>
      <c r="AB759" s="573"/>
      <c r="AC759" s="487"/>
      <c r="AD759" s="573"/>
      <c r="AE759" s="487"/>
      <c r="AF759" s="577">
        <f t="shared" si="95"/>
        <v>258367518</v>
      </c>
      <c r="AG759" s="275">
        <f t="shared" si="96"/>
        <v>252628889</v>
      </c>
    </row>
    <row r="760" spans="1:33" ht="12" customHeight="1">
      <c r="A760" s="614" t="s">
        <v>1277</v>
      </c>
      <c r="B760" s="615" t="s">
        <v>1776</v>
      </c>
      <c r="C760" s="620" t="s">
        <v>1619</v>
      </c>
      <c r="D760" s="617">
        <v>133669</v>
      </c>
      <c r="E760" s="618">
        <v>2</v>
      </c>
      <c r="F760" s="573"/>
      <c r="G760" s="487"/>
      <c r="H760" s="573">
        <v>1098879</v>
      </c>
      <c r="I760" s="487">
        <v>1058819</v>
      </c>
      <c r="J760" s="573"/>
      <c r="K760" s="487"/>
      <c r="L760" s="573"/>
      <c r="M760" s="573"/>
      <c r="N760" s="456">
        <f t="shared" si="97"/>
        <v>0</v>
      </c>
      <c r="O760" s="487"/>
      <c r="P760" s="487"/>
      <c r="Q760" s="274">
        <f t="shared" si="92"/>
        <v>0</v>
      </c>
      <c r="R760" s="574">
        <f t="shared" si="93"/>
        <v>1098879</v>
      </c>
      <c r="S760" s="275">
        <f t="shared" si="94"/>
        <v>1058819</v>
      </c>
      <c r="T760" s="575"/>
      <c r="U760" s="487"/>
      <c r="V760" s="576"/>
      <c r="W760" s="573"/>
      <c r="X760" s="574">
        <f t="shared" si="98"/>
        <v>0</v>
      </c>
      <c r="Y760" s="487"/>
      <c r="Z760" s="487"/>
      <c r="AA760" s="276">
        <f t="shared" si="99"/>
        <v>0</v>
      </c>
      <c r="AB760" s="573"/>
      <c r="AC760" s="487"/>
      <c r="AD760" s="573"/>
      <c r="AE760" s="487"/>
      <c r="AF760" s="577">
        <f t="shared" si="95"/>
        <v>1098879</v>
      </c>
      <c r="AG760" s="275">
        <f t="shared" si="96"/>
        <v>1058819</v>
      </c>
    </row>
    <row r="761" spans="1:33" ht="12" customHeight="1">
      <c r="A761" s="614" t="s">
        <v>1277</v>
      </c>
      <c r="B761" s="615" t="s">
        <v>1776</v>
      </c>
      <c r="C761" s="620" t="s">
        <v>1620</v>
      </c>
      <c r="D761" s="617">
        <v>133669</v>
      </c>
      <c r="E761" s="618">
        <v>2</v>
      </c>
      <c r="F761" s="573"/>
      <c r="G761" s="487"/>
      <c r="H761" s="573">
        <v>1082006</v>
      </c>
      <c r="I761" s="1211">
        <v>1130141</v>
      </c>
      <c r="J761" s="573"/>
      <c r="K761" s="487"/>
      <c r="L761" s="573"/>
      <c r="M761" s="573"/>
      <c r="N761" s="456">
        <f t="shared" si="97"/>
        <v>0</v>
      </c>
      <c r="O761" s="487"/>
      <c r="P761" s="487"/>
      <c r="Q761" s="274">
        <f t="shared" si="92"/>
        <v>0</v>
      </c>
      <c r="R761" s="574">
        <f t="shared" si="93"/>
        <v>1082006</v>
      </c>
      <c r="S761" s="275">
        <f t="shared" si="94"/>
        <v>1130141</v>
      </c>
      <c r="T761" s="575"/>
      <c r="U761" s="487"/>
      <c r="V761" s="576"/>
      <c r="W761" s="573"/>
      <c r="X761" s="574">
        <f t="shared" si="98"/>
        <v>0</v>
      </c>
      <c r="Y761" s="487"/>
      <c r="Z761" s="487"/>
      <c r="AA761" s="276">
        <f t="shared" si="99"/>
        <v>0</v>
      </c>
      <c r="AB761" s="573"/>
      <c r="AC761" s="487"/>
      <c r="AD761" s="573"/>
      <c r="AE761" s="487"/>
      <c r="AF761" s="577">
        <f t="shared" si="95"/>
        <v>1082006</v>
      </c>
      <c r="AG761" s="275">
        <f t="shared" si="96"/>
        <v>1130141</v>
      </c>
    </row>
    <row r="762" spans="1:33" ht="12" customHeight="1">
      <c r="A762" s="614" t="s">
        <v>1277</v>
      </c>
      <c r="B762" s="615" t="s">
        <v>1784</v>
      </c>
      <c r="C762" s="240" t="s">
        <v>2039</v>
      </c>
      <c r="D762" s="617">
        <v>133669</v>
      </c>
      <c r="E762" s="618">
        <v>2</v>
      </c>
      <c r="F762" s="573"/>
      <c r="G762" s="487"/>
      <c r="H762" s="573"/>
      <c r="I762" s="487"/>
      <c r="J762" s="573"/>
      <c r="K762" s="487"/>
      <c r="L762" s="573"/>
      <c r="M762" s="573"/>
      <c r="N762" s="456">
        <f t="shared" si="97"/>
        <v>0</v>
      </c>
      <c r="O762" s="487"/>
      <c r="P762" s="487"/>
      <c r="Q762" s="274">
        <f t="shared" si="92"/>
        <v>0</v>
      </c>
      <c r="R762" s="574">
        <f t="shared" si="93"/>
        <v>0</v>
      </c>
      <c r="S762" s="275">
        <f t="shared" si="94"/>
        <v>0</v>
      </c>
      <c r="T762" s="575"/>
      <c r="U762" s="487"/>
      <c r="V762" s="576"/>
      <c r="W762" s="573"/>
      <c r="X762" s="574">
        <f t="shared" si="98"/>
        <v>0</v>
      </c>
      <c r="Y762" s="487"/>
      <c r="Z762" s="487"/>
      <c r="AA762" s="276">
        <f t="shared" si="99"/>
        <v>0</v>
      </c>
      <c r="AB762" s="573"/>
      <c r="AC762" s="487"/>
      <c r="AD762" s="573"/>
      <c r="AE762" s="487"/>
      <c r="AF762" s="577">
        <f t="shared" si="95"/>
        <v>0</v>
      </c>
      <c r="AG762" s="275">
        <f t="shared" si="96"/>
        <v>0</v>
      </c>
    </row>
    <row r="763" spans="1:33" ht="12" customHeight="1">
      <c r="A763" s="614" t="s">
        <v>1277</v>
      </c>
      <c r="B763" s="615" t="s">
        <v>1784</v>
      </c>
      <c r="C763" s="620" t="s">
        <v>1390</v>
      </c>
      <c r="D763" s="617">
        <v>133669</v>
      </c>
      <c r="E763" s="618">
        <v>2</v>
      </c>
      <c r="F763" s="573"/>
      <c r="G763" s="487"/>
      <c r="H763" s="573">
        <v>715100</v>
      </c>
      <c r="I763" s="941">
        <v>651484</v>
      </c>
      <c r="J763" s="573"/>
      <c r="K763" s="487"/>
      <c r="L763" s="573"/>
      <c r="M763" s="573"/>
      <c r="N763" s="456">
        <f t="shared" si="97"/>
        <v>0</v>
      </c>
      <c r="O763" s="487"/>
      <c r="P763" s="487"/>
      <c r="Q763" s="274">
        <f t="shared" si="92"/>
        <v>0</v>
      </c>
      <c r="R763" s="574">
        <f t="shared" si="93"/>
        <v>715100</v>
      </c>
      <c r="S763" s="275">
        <f t="shared" si="94"/>
        <v>651484</v>
      </c>
      <c r="T763" s="575"/>
      <c r="U763" s="487"/>
      <c r="V763" s="576"/>
      <c r="W763" s="573"/>
      <c r="X763" s="574">
        <f t="shared" si="98"/>
        <v>0</v>
      </c>
      <c r="Y763" s="487"/>
      <c r="Z763" s="487"/>
      <c r="AA763" s="276">
        <f t="shared" si="99"/>
        <v>0</v>
      </c>
      <c r="AB763" s="573"/>
      <c r="AC763" s="487"/>
      <c r="AD763" s="573"/>
      <c r="AE763" s="487"/>
      <c r="AF763" s="577">
        <f t="shared" si="95"/>
        <v>715100</v>
      </c>
      <c r="AG763" s="275">
        <f t="shared" si="96"/>
        <v>651484</v>
      </c>
    </row>
    <row r="764" spans="1:33" ht="12" customHeight="1">
      <c r="A764" s="614" t="s">
        <v>1277</v>
      </c>
      <c r="B764" s="615" t="s">
        <v>1778</v>
      </c>
      <c r="C764" s="240" t="s">
        <v>1891</v>
      </c>
      <c r="D764" s="617">
        <v>133669</v>
      </c>
      <c r="E764" s="618">
        <v>2</v>
      </c>
      <c r="F764" s="573"/>
      <c r="G764" s="487"/>
      <c r="H764" s="573"/>
      <c r="I764" s="487"/>
      <c r="J764" s="573"/>
      <c r="K764" s="487"/>
      <c r="L764" s="573"/>
      <c r="M764" s="573"/>
      <c r="N764" s="456">
        <f t="shared" si="97"/>
        <v>0</v>
      </c>
      <c r="O764" s="487"/>
      <c r="P764" s="487"/>
      <c r="Q764" s="274">
        <f t="shared" si="92"/>
        <v>0</v>
      </c>
      <c r="R764" s="574">
        <f t="shared" si="93"/>
        <v>0</v>
      </c>
      <c r="S764" s="275">
        <f t="shared" si="94"/>
        <v>0</v>
      </c>
      <c r="T764" s="575"/>
      <c r="U764" s="487"/>
      <c r="V764" s="576"/>
      <c r="W764" s="573"/>
      <c r="X764" s="574">
        <f t="shared" si="98"/>
        <v>0</v>
      </c>
      <c r="Y764" s="487"/>
      <c r="Z764" s="487"/>
      <c r="AA764" s="276">
        <f t="shared" si="99"/>
        <v>0</v>
      </c>
      <c r="AB764" s="573"/>
      <c r="AC764" s="487"/>
      <c r="AD764" s="573"/>
      <c r="AE764" s="487"/>
      <c r="AF764" s="577">
        <f t="shared" si="95"/>
        <v>0</v>
      </c>
      <c r="AG764" s="275">
        <f t="shared" si="96"/>
        <v>0</v>
      </c>
    </row>
    <row r="765" spans="1:33" ht="12" customHeight="1">
      <c r="A765" s="614" t="s">
        <v>1277</v>
      </c>
      <c r="B765" s="615" t="s">
        <v>1778</v>
      </c>
      <c r="C765" s="621" t="s">
        <v>1616</v>
      </c>
      <c r="D765" s="617">
        <v>133669</v>
      </c>
      <c r="E765" s="618">
        <v>2</v>
      </c>
      <c r="F765" s="573"/>
      <c r="G765" s="487"/>
      <c r="H765" s="573">
        <v>4787487</v>
      </c>
      <c r="I765" s="487">
        <v>4261028</v>
      </c>
      <c r="J765" s="573"/>
      <c r="K765" s="487"/>
      <c r="L765" s="573"/>
      <c r="M765" s="573"/>
      <c r="N765" s="456">
        <f t="shared" si="97"/>
        <v>0</v>
      </c>
      <c r="O765" s="487"/>
      <c r="P765" s="487"/>
      <c r="Q765" s="274">
        <f t="shared" si="92"/>
        <v>0</v>
      </c>
      <c r="R765" s="574">
        <f t="shared" si="93"/>
        <v>4787487</v>
      </c>
      <c r="S765" s="275">
        <f t="shared" si="94"/>
        <v>4261028</v>
      </c>
      <c r="T765" s="575"/>
      <c r="U765" s="487"/>
      <c r="V765" s="576"/>
      <c r="W765" s="573"/>
      <c r="X765" s="574">
        <f t="shared" si="98"/>
        <v>0</v>
      </c>
      <c r="Y765" s="487"/>
      <c r="Z765" s="487"/>
      <c r="AA765" s="276">
        <f t="shared" si="99"/>
        <v>0</v>
      </c>
      <c r="AB765" s="573"/>
      <c r="AC765" s="487"/>
      <c r="AD765" s="573"/>
      <c r="AE765" s="487"/>
      <c r="AF765" s="577">
        <f t="shared" si="95"/>
        <v>4787487</v>
      </c>
      <c r="AG765" s="275">
        <f t="shared" si="96"/>
        <v>4261028</v>
      </c>
    </row>
    <row r="766" spans="1:33" ht="12" customHeight="1">
      <c r="A766" s="614" t="s">
        <v>1277</v>
      </c>
      <c r="B766" s="615" t="s">
        <v>1783</v>
      </c>
      <c r="C766" s="240" t="s">
        <v>1881</v>
      </c>
      <c r="D766" s="617">
        <v>137351</v>
      </c>
      <c r="E766" s="618">
        <v>1</v>
      </c>
      <c r="F766" s="573"/>
      <c r="G766" s="487"/>
      <c r="H766" s="573"/>
      <c r="I766" s="487"/>
      <c r="J766" s="573"/>
      <c r="K766" s="487"/>
      <c r="L766" s="573"/>
      <c r="M766" s="573"/>
      <c r="N766" s="456">
        <f t="shared" si="97"/>
        <v>0</v>
      </c>
      <c r="O766" s="487"/>
      <c r="P766" s="487"/>
      <c r="Q766" s="274">
        <f t="shared" si="92"/>
        <v>0</v>
      </c>
      <c r="R766" s="574">
        <f t="shared" si="93"/>
        <v>0</v>
      </c>
      <c r="S766" s="275">
        <f t="shared" si="94"/>
        <v>0</v>
      </c>
      <c r="T766" s="575"/>
      <c r="U766" s="487"/>
      <c r="V766" s="576"/>
      <c r="W766" s="573"/>
      <c r="X766" s="574">
        <f t="shared" si="98"/>
        <v>0</v>
      </c>
      <c r="Y766" s="487"/>
      <c r="Z766" s="487"/>
      <c r="AA766" s="276">
        <f t="shared" si="99"/>
        <v>0</v>
      </c>
      <c r="AB766" s="573"/>
      <c r="AC766" s="487"/>
      <c r="AD766" s="573"/>
      <c r="AE766" s="487"/>
      <c r="AF766" s="577">
        <f t="shared" si="95"/>
        <v>0</v>
      </c>
      <c r="AG766" s="275">
        <f t="shared" si="96"/>
        <v>0</v>
      </c>
    </row>
    <row r="767" spans="1:33" s="578" customFormat="1" ht="12" customHeight="1">
      <c r="A767" s="614" t="s">
        <v>1277</v>
      </c>
      <c r="B767" s="615" t="s">
        <v>1783</v>
      </c>
      <c r="C767" s="620" t="s">
        <v>1235</v>
      </c>
      <c r="D767" s="617">
        <v>137351</v>
      </c>
      <c r="E767" s="618">
        <v>2</v>
      </c>
      <c r="F767" s="573"/>
      <c r="G767" s="487"/>
      <c r="H767" s="573"/>
      <c r="I767" s="941">
        <v>8750000</v>
      </c>
      <c r="J767" s="573"/>
      <c r="K767" s="487"/>
      <c r="L767" s="573"/>
      <c r="M767" s="573"/>
      <c r="N767" s="456">
        <f t="shared" si="97"/>
        <v>0</v>
      </c>
      <c r="O767" s="487"/>
      <c r="P767" s="487"/>
      <c r="Q767" s="274">
        <f t="shared" si="92"/>
        <v>0</v>
      </c>
      <c r="R767" s="574">
        <f t="shared" si="93"/>
        <v>0</v>
      </c>
      <c r="S767" s="275">
        <f t="shared" si="94"/>
        <v>8750000</v>
      </c>
      <c r="T767" s="575"/>
      <c r="U767" s="487"/>
      <c r="V767" s="576"/>
      <c r="W767" s="573"/>
      <c r="X767" s="574">
        <f t="shared" si="98"/>
        <v>0</v>
      </c>
      <c r="Y767" s="487"/>
      <c r="Z767" s="487"/>
      <c r="AA767" s="276">
        <f t="shared" si="99"/>
        <v>0</v>
      </c>
      <c r="AB767" s="573"/>
      <c r="AC767" s="487"/>
      <c r="AD767" s="573"/>
      <c r="AE767" s="487"/>
      <c r="AF767" s="577">
        <f t="shared" si="95"/>
        <v>0</v>
      </c>
      <c r="AG767" s="275">
        <f t="shared" si="96"/>
        <v>8750000</v>
      </c>
    </row>
    <row r="768" spans="1:33" ht="12" customHeight="1">
      <c r="A768" s="614" t="s">
        <v>1277</v>
      </c>
      <c r="B768" s="615" t="s">
        <v>1776</v>
      </c>
      <c r="C768" s="614" t="s">
        <v>1393</v>
      </c>
      <c r="D768" s="617">
        <v>133650</v>
      </c>
      <c r="E768" s="618">
        <v>3</v>
      </c>
      <c r="F768" s="619">
        <f>112617823+8485984</f>
        <v>121103807</v>
      </c>
      <c r="G768" s="939">
        <f>104266822+11991929</f>
        <v>116258751</v>
      </c>
      <c r="H768" s="573"/>
      <c r="I768" s="487"/>
      <c r="J768" s="573"/>
      <c r="K768" s="487"/>
      <c r="L768" s="573">
        <v>51886358</v>
      </c>
      <c r="M768" s="573">
        <v>1204780</v>
      </c>
      <c r="N768" s="456">
        <f t="shared" si="97"/>
        <v>53091138</v>
      </c>
      <c r="O768" s="487">
        <v>52778244</v>
      </c>
      <c r="P768" s="487">
        <v>1067373</v>
      </c>
      <c r="Q768" s="274">
        <f t="shared" si="92"/>
        <v>53845617</v>
      </c>
      <c r="R768" s="574">
        <f t="shared" si="93"/>
        <v>172990165</v>
      </c>
      <c r="S768" s="275">
        <f t="shared" si="94"/>
        <v>169036995</v>
      </c>
      <c r="T768" s="575"/>
      <c r="U768" s="487"/>
      <c r="V768" s="576"/>
      <c r="W768" s="573"/>
      <c r="X768" s="574">
        <f t="shared" si="98"/>
        <v>0</v>
      </c>
      <c r="Y768" s="487"/>
      <c r="Z768" s="487"/>
      <c r="AA768" s="276">
        <f t="shared" si="99"/>
        <v>0</v>
      </c>
      <c r="AB768" s="573"/>
      <c r="AC768" s="487"/>
      <c r="AD768" s="573"/>
      <c r="AE768" s="487"/>
      <c r="AF768" s="577">
        <f t="shared" si="95"/>
        <v>172990165</v>
      </c>
      <c r="AG768" s="275">
        <f t="shared" si="96"/>
        <v>169036995</v>
      </c>
    </row>
    <row r="769" spans="1:33" ht="12" customHeight="1">
      <c r="A769" s="614" t="s">
        <v>1277</v>
      </c>
      <c r="B769" s="615" t="s">
        <v>1776</v>
      </c>
      <c r="C769" s="620" t="s">
        <v>1619</v>
      </c>
      <c r="D769" s="617">
        <v>133650</v>
      </c>
      <c r="E769" s="618">
        <v>3</v>
      </c>
      <c r="F769" s="573"/>
      <c r="G769" s="487"/>
      <c r="H769" s="573">
        <v>1716867</v>
      </c>
      <c r="I769" s="487">
        <v>1654278</v>
      </c>
      <c r="J769" s="573"/>
      <c r="K769" s="487"/>
      <c r="L769" s="573"/>
      <c r="M769" s="573"/>
      <c r="N769" s="456">
        <f t="shared" si="97"/>
        <v>0</v>
      </c>
      <c r="O769" s="487"/>
      <c r="P769" s="487"/>
      <c r="Q769" s="274">
        <f t="shared" si="92"/>
        <v>0</v>
      </c>
      <c r="R769" s="574">
        <f t="shared" si="93"/>
        <v>1716867</v>
      </c>
      <c r="S769" s="275">
        <f t="shared" si="94"/>
        <v>1654278</v>
      </c>
      <c r="T769" s="575"/>
      <c r="U769" s="487"/>
      <c r="V769" s="576"/>
      <c r="W769" s="573"/>
      <c r="X769" s="574">
        <f t="shared" si="98"/>
        <v>0</v>
      </c>
      <c r="Y769" s="487"/>
      <c r="Z769" s="487"/>
      <c r="AA769" s="276">
        <f t="shared" si="99"/>
        <v>0</v>
      </c>
      <c r="AB769" s="573"/>
      <c r="AC769" s="487"/>
      <c r="AD769" s="573"/>
      <c r="AE769" s="487"/>
      <c r="AF769" s="577">
        <f t="shared" si="95"/>
        <v>1716867</v>
      </c>
      <c r="AG769" s="275">
        <f t="shared" si="96"/>
        <v>1654278</v>
      </c>
    </row>
    <row r="770" spans="1:33" ht="12" customHeight="1">
      <c r="A770" s="614" t="s">
        <v>1277</v>
      </c>
      <c r="B770" s="615" t="s">
        <v>1776</v>
      </c>
      <c r="C770" s="620" t="s">
        <v>1620</v>
      </c>
      <c r="D770" s="617">
        <v>133650</v>
      </c>
      <c r="E770" s="618">
        <v>3</v>
      </c>
      <c r="F770" s="573"/>
      <c r="G770" s="487"/>
      <c r="H770" s="573">
        <v>1371632</v>
      </c>
      <c r="I770" s="1211">
        <v>1087317</v>
      </c>
      <c r="J770" s="573"/>
      <c r="K770" s="487"/>
      <c r="L770" s="573"/>
      <c r="M770" s="573"/>
      <c r="N770" s="456">
        <f t="shared" si="97"/>
        <v>0</v>
      </c>
      <c r="O770" s="487"/>
      <c r="P770" s="487"/>
      <c r="Q770" s="274">
        <f t="shared" si="92"/>
        <v>0</v>
      </c>
      <c r="R770" s="574">
        <f t="shared" si="93"/>
        <v>1371632</v>
      </c>
      <c r="S770" s="275">
        <f t="shared" si="94"/>
        <v>1087317</v>
      </c>
      <c r="T770" s="575"/>
      <c r="U770" s="487"/>
      <c r="V770" s="576"/>
      <c r="W770" s="573"/>
      <c r="X770" s="574">
        <f t="shared" si="98"/>
        <v>0</v>
      </c>
      <c r="Y770" s="487"/>
      <c r="Z770" s="487"/>
      <c r="AA770" s="276">
        <f t="shared" si="99"/>
        <v>0</v>
      </c>
      <c r="AB770" s="573"/>
      <c r="AC770" s="487"/>
      <c r="AD770" s="573"/>
      <c r="AE770" s="487"/>
      <c r="AF770" s="577">
        <f t="shared" si="95"/>
        <v>1371632</v>
      </c>
      <c r="AG770" s="275">
        <f t="shared" si="96"/>
        <v>1087317</v>
      </c>
    </row>
    <row r="771" spans="1:33" ht="12" customHeight="1">
      <c r="A771" s="614" t="s">
        <v>1277</v>
      </c>
      <c r="B771" s="615" t="s">
        <v>1778</v>
      </c>
      <c r="C771" s="240" t="s">
        <v>1891</v>
      </c>
      <c r="D771" s="617">
        <v>133650</v>
      </c>
      <c r="E771" s="618">
        <v>3</v>
      </c>
      <c r="F771" s="573"/>
      <c r="G771" s="487"/>
      <c r="H771" s="573"/>
      <c r="I771" s="487"/>
      <c r="J771" s="573"/>
      <c r="K771" s="487"/>
      <c r="L771" s="573"/>
      <c r="M771" s="573"/>
      <c r="N771" s="456">
        <f t="shared" si="97"/>
        <v>0</v>
      </c>
      <c r="O771" s="487"/>
      <c r="P771" s="487"/>
      <c r="Q771" s="274">
        <f t="shared" si="92"/>
        <v>0</v>
      </c>
      <c r="R771" s="574">
        <f t="shared" si="93"/>
        <v>0</v>
      </c>
      <c r="S771" s="275">
        <f t="shared" si="94"/>
        <v>0</v>
      </c>
      <c r="T771" s="575"/>
      <c r="U771" s="487"/>
      <c r="V771" s="576"/>
      <c r="W771" s="573"/>
      <c r="X771" s="574">
        <f t="shared" si="98"/>
        <v>0</v>
      </c>
      <c r="Y771" s="487"/>
      <c r="Z771" s="487"/>
      <c r="AA771" s="276">
        <f t="shared" si="99"/>
        <v>0</v>
      </c>
      <c r="AB771" s="573"/>
      <c r="AC771" s="487"/>
      <c r="AD771" s="573"/>
      <c r="AE771" s="487"/>
      <c r="AF771" s="577">
        <f t="shared" si="95"/>
        <v>0</v>
      </c>
      <c r="AG771" s="275">
        <f t="shared" si="96"/>
        <v>0</v>
      </c>
    </row>
    <row r="772" spans="1:33" ht="12" customHeight="1">
      <c r="A772" s="614" t="s">
        <v>1277</v>
      </c>
      <c r="B772" s="615" t="s">
        <v>1778</v>
      </c>
      <c r="C772" s="621" t="s">
        <v>1616</v>
      </c>
      <c r="D772" s="617">
        <v>133650</v>
      </c>
      <c r="E772" s="618">
        <v>3</v>
      </c>
      <c r="F772" s="573"/>
      <c r="G772" s="487"/>
      <c r="H772" s="573">
        <v>3504921</v>
      </c>
      <c r="I772" s="487">
        <v>3163915</v>
      </c>
      <c r="J772" s="573"/>
      <c r="K772" s="487"/>
      <c r="L772" s="573"/>
      <c r="M772" s="573"/>
      <c r="N772" s="456">
        <f t="shared" si="97"/>
        <v>0</v>
      </c>
      <c r="O772" s="487"/>
      <c r="P772" s="487"/>
      <c r="Q772" s="274">
        <f t="shared" si="92"/>
        <v>0</v>
      </c>
      <c r="R772" s="574">
        <f t="shared" si="93"/>
        <v>3504921</v>
      </c>
      <c r="S772" s="275">
        <f t="shared" si="94"/>
        <v>3163915</v>
      </c>
      <c r="T772" s="575"/>
      <c r="U772" s="487"/>
      <c r="V772" s="576"/>
      <c r="W772" s="573"/>
      <c r="X772" s="574">
        <f t="shared" si="98"/>
        <v>0</v>
      </c>
      <c r="Y772" s="487"/>
      <c r="Z772" s="487"/>
      <c r="AA772" s="276">
        <f t="shared" si="99"/>
        <v>0</v>
      </c>
      <c r="AB772" s="573"/>
      <c r="AC772" s="487"/>
      <c r="AD772" s="573"/>
      <c r="AE772" s="487"/>
      <c r="AF772" s="577">
        <f t="shared" si="95"/>
        <v>3504921</v>
      </c>
      <c r="AG772" s="275">
        <f t="shared" si="96"/>
        <v>3163915</v>
      </c>
    </row>
    <row r="773" spans="1:33" ht="12" customHeight="1">
      <c r="A773" s="614" t="s">
        <v>1277</v>
      </c>
      <c r="B773" s="615" t="s">
        <v>1776</v>
      </c>
      <c r="C773" s="616" t="s">
        <v>1394</v>
      </c>
      <c r="D773" s="617">
        <v>136172</v>
      </c>
      <c r="E773" s="618">
        <v>3</v>
      </c>
      <c r="F773" s="619">
        <f>81443539+7910210</f>
        <v>89353749</v>
      </c>
      <c r="G773" s="939">
        <f>76300158+10373831</f>
        <v>86673989</v>
      </c>
      <c r="H773" s="573"/>
      <c r="I773" s="487"/>
      <c r="J773" s="573"/>
      <c r="K773" s="487"/>
      <c r="L773" s="573">
        <v>44768078</v>
      </c>
      <c r="M773" s="573">
        <v>1193195</v>
      </c>
      <c r="N773" s="456">
        <f t="shared" si="97"/>
        <v>45961273</v>
      </c>
      <c r="O773" s="487">
        <v>47247624</v>
      </c>
      <c r="P773" s="487">
        <v>1441980</v>
      </c>
      <c r="Q773" s="274">
        <f t="shared" si="92"/>
        <v>48689604</v>
      </c>
      <c r="R773" s="574">
        <f t="shared" si="93"/>
        <v>134121827</v>
      </c>
      <c r="S773" s="275">
        <f t="shared" si="94"/>
        <v>133921613</v>
      </c>
      <c r="T773" s="575"/>
      <c r="U773" s="487"/>
      <c r="V773" s="576"/>
      <c r="W773" s="573"/>
      <c r="X773" s="574">
        <f t="shared" si="98"/>
        <v>0</v>
      </c>
      <c r="Y773" s="487"/>
      <c r="Z773" s="487"/>
      <c r="AA773" s="276">
        <f t="shared" si="99"/>
        <v>0</v>
      </c>
      <c r="AB773" s="573"/>
      <c r="AC773" s="487"/>
      <c r="AD773" s="573"/>
      <c r="AE773" s="487"/>
      <c r="AF773" s="577">
        <f t="shared" si="95"/>
        <v>134121827</v>
      </c>
      <c r="AG773" s="275">
        <f t="shared" si="96"/>
        <v>133921613</v>
      </c>
    </row>
    <row r="774" spans="1:33" ht="12" customHeight="1">
      <c r="A774" s="614" t="s">
        <v>1277</v>
      </c>
      <c r="B774" s="615" t="s">
        <v>1776</v>
      </c>
      <c r="C774" s="620" t="s">
        <v>1619</v>
      </c>
      <c r="D774" s="617">
        <v>136172</v>
      </c>
      <c r="E774" s="618">
        <v>3</v>
      </c>
      <c r="F774" s="573"/>
      <c r="G774" s="487"/>
      <c r="H774" s="573">
        <v>551475</v>
      </c>
      <c r="I774" s="487">
        <v>531371</v>
      </c>
      <c r="J774" s="573"/>
      <c r="K774" s="487"/>
      <c r="L774" s="573"/>
      <c r="M774" s="573"/>
      <c r="N774" s="456">
        <f t="shared" si="97"/>
        <v>0</v>
      </c>
      <c r="O774" s="487"/>
      <c r="P774" s="487"/>
      <c r="Q774" s="274">
        <f t="shared" si="92"/>
        <v>0</v>
      </c>
      <c r="R774" s="574">
        <f t="shared" si="93"/>
        <v>551475</v>
      </c>
      <c r="S774" s="275">
        <f t="shared" si="94"/>
        <v>531371</v>
      </c>
      <c r="T774" s="575"/>
      <c r="U774" s="487"/>
      <c r="V774" s="576"/>
      <c r="W774" s="573"/>
      <c r="X774" s="574">
        <f t="shared" si="98"/>
        <v>0</v>
      </c>
      <c r="Y774" s="487"/>
      <c r="Z774" s="487"/>
      <c r="AA774" s="276">
        <f t="shared" si="99"/>
        <v>0</v>
      </c>
      <c r="AB774" s="573"/>
      <c r="AC774" s="487"/>
      <c r="AD774" s="573"/>
      <c r="AE774" s="487"/>
      <c r="AF774" s="577">
        <f t="shared" si="95"/>
        <v>551475</v>
      </c>
      <c r="AG774" s="275">
        <f t="shared" si="96"/>
        <v>531371</v>
      </c>
    </row>
    <row r="775" spans="1:33" ht="12" customHeight="1">
      <c r="A775" s="614" t="s">
        <v>1277</v>
      </c>
      <c r="B775" s="615" t="s">
        <v>1776</v>
      </c>
      <c r="C775" s="620" t="s">
        <v>1620</v>
      </c>
      <c r="D775" s="617">
        <v>136172</v>
      </c>
      <c r="E775" s="618">
        <v>3</v>
      </c>
      <c r="F775" s="573"/>
      <c r="G775" s="487"/>
      <c r="H775" s="573">
        <v>743837</v>
      </c>
      <c r="I775" s="1211">
        <v>560455</v>
      </c>
      <c r="J775" s="573"/>
      <c r="K775" s="487"/>
      <c r="L775" s="573"/>
      <c r="M775" s="573"/>
      <c r="N775" s="456">
        <f t="shared" si="97"/>
        <v>0</v>
      </c>
      <c r="O775" s="487"/>
      <c r="P775" s="487"/>
      <c r="Q775" s="274">
        <f t="shared" si="92"/>
        <v>0</v>
      </c>
      <c r="R775" s="574">
        <f t="shared" si="93"/>
        <v>743837</v>
      </c>
      <c r="S775" s="275">
        <f t="shared" si="94"/>
        <v>560455</v>
      </c>
      <c r="T775" s="575"/>
      <c r="U775" s="487"/>
      <c r="V775" s="576"/>
      <c r="W775" s="573"/>
      <c r="X775" s="574">
        <f t="shared" si="98"/>
        <v>0</v>
      </c>
      <c r="Y775" s="487"/>
      <c r="Z775" s="487"/>
      <c r="AA775" s="276">
        <f t="shared" si="99"/>
        <v>0</v>
      </c>
      <c r="AB775" s="573"/>
      <c r="AC775" s="487"/>
      <c r="AD775" s="573"/>
      <c r="AE775" s="487"/>
      <c r="AF775" s="577">
        <f t="shared" si="95"/>
        <v>743837</v>
      </c>
      <c r="AG775" s="275">
        <f t="shared" si="96"/>
        <v>560455</v>
      </c>
    </row>
    <row r="776" spans="1:33" ht="12" customHeight="1">
      <c r="A776" s="614" t="s">
        <v>1277</v>
      </c>
      <c r="B776" s="615" t="s">
        <v>1776</v>
      </c>
      <c r="C776" s="614" t="s">
        <v>1395</v>
      </c>
      <c r="D776" s="617">
        <v>138354</v>
      </c>
      <c r="E776" s="618">
        <v>3</v>
      </c>
      <c r="F776" s="619">
        <f>69606616+6032796</f>
        <v>75639412</v>
      </c>
      <c r="G776" s="939">
        <f>59887054+6552055</f>
        <v>66439109</v>
      </c>
      <c r="H776" s="573"/>
      <c r="I776" s="487"/>
      <c r="J776" s="573"/>
      <c r="K776" s="487"/>
      <c r="L776" s="573">
        <v>25718990</v>
      </c>
      <c r="M776" s="573">
        <v>794691</v>
      </c>
      <c r="N776" s="456">
        <f t="shared" si="97"/>
        <v>26513681</v>
      </c>
      <c r="O776" s="487">
        <v>28504036</v>
      </c>
      <c r="P776" s="487">
        <v>849280</v>
      </c>
      <c r="Q776" s="274">
        <f t="shared" si="92"/>
        <v>29353316</v>
      </c>
      <c r="R776" s="574">
        <f t="shared" si="93"/>
        <v>101358402</v>
      </c>
      <c r="S776" s="275">
        <f t="shared" si="94"/>
        <v>94943145</v>
      </c>
      <c r="T776" s="575"/>
      <c r="U776" s="487"/>
      <c r="V776" s="576"/>
      <c r="W776" s="573"/>
      <c r="X776" s="574">
        <f t="shared" si="98"/>
        <v>0</v>
      </c>
      <c r="Y776" s="487"/>
      <c r="Z776" s="487"/>
      <c r="AA776" s="276">
        <f t="shared" si="99"/>
        <v>0</v>
      </c>
      <c r="AB776" s="573"/>
      <c r="AC776" s="487"/>
      <c r="AD776" s="573"/>
      <c r="AE776" s="487"/>
      <c r="AF776" s="577">
        <f t="shared" si="95"/>
        <v>101358402</v>
      </c>
      <c r="AG776" s="275">
        <f t="shared" si="96"/>
        <v>94943145</v>
      </c>
    </row>
    <row r="777" spans="1:33" ht="12" customHeight="1">
      <c r="A777" s="614" t="s">
        <v>1277</v>
      </c>
      <c r="B777" s="615" t="s">
        <v>1776</v>
      </c>
      <c r="C777" s="620" t="s">
        <v>1619</v>
      </c>
      <c r="D777" s="617">
        <v>138354</v>
      </c>
      <c r="E777" s="618">
        <v>3</v>
      </c>
      <c r="F777" s="573"/>
      <c r="G777" s="487"/>
      <c r="H777" s="573">
        <v>433786</v>
      </c>
      <c r="I777" s="487">
        <v>417972</v>
      </c>
      <c r="J777" s="573"/>
      <c r="K777" s="487"/>
      <c r="L777" s="573"/>
      <c r="M777" s="573"/>
      <c r="N777" s="456">
        <f t="shared" si="97"/>
        <v>0</v>
      </c>
      <c r="O777" s="487"/>
      <c r="P777" s="487"/>
      <c r="Q777" s="274">
        <f t="shared" si="92"/>
        <v>0</v>
      </c>
      <c r="R777" s="574">
        <f t="shared" si="93"/>
        <v>433786</v>
      </c>
      <c r="S777" s="275">
        <f t="shared" si="94"/>
        <v>417972</v>
      </c>
      <c r="T777" s="575"/>
      <c r="U777" s="487"/>
      <c r="V777" s="576"/>
      <c r="W777" s="573"/>
      <c r="X777" s="574">
        <f t="shared" si="98"/>
        <v>0</v>
      </c>
      <c r="Y777" s="487"/>
      <c r="Z777" s="487"/>
      <c r="AA777" s="276">
        <f t="shared" si="99"/>
        <v>0</v>
      </c>
      <c r="AB777" s="573"/>
      <c r="AC777" s="487"/>
      <c r="AD777" s="573"/>
      <c r="AE777" s="487"/>
      <c r="AF777" s="577">
        <f t="shared" si="95"/>
        <v>433786</v>
      </c>
      <c r="AG777" s="275">
        <f t="shared" si="96"/>
        <v>417972</v>
      </c>
    </row>
    <row r="778" spans="1:33" ht="12" customHeight="1">
      <c r="A778" s="614" t="s">
        <v>1277</v>
      </c>
      <c r="B778" s="615" t="s">
        <v>1776</v>
      </c>
      <c r="C778" s="620" t="s">
        <v>1620</v>
      </c>
      <c r="D778" s="617">
        <v>138354</v>
      </c>
      <c r="E778" s="618">
        <v>3</v>
      </c>
      <c r="F778" s="573"/>
      <c r="G778" s="487"/>
      <c r="H778" s="573">
        <v>584300</v>
      </c>
      <c r="I778" s="1211">
        <v>682306</v>
      </c>
      <c r="J778" s="573"/>
      <c r="K778" s="487"/>
      <c r="L778" s="573"/>
      <c r="M778" s="573"/>
      <c r="N778" s="456">
        <f t="shared" si="97"/>
        <v>0</v>
      </c>
      <c r="O778" s="487"/>
      <c r="P778" s="487"/>
      <c r="Q778" s="274">
        <f t="shared" ref="Q778:Q841" si="100">SUM(O778:P778)</f>
        <v>0</v>
      </c>
      <c r="R778" s="574">
        <f t="shared" ref="R778:R841" si="101">SUM(F778,H778,J778,L778)</f>
        <v>584300</v>
      </c>
      <c r="S778" s="275">
        <f t="shared" ref="S778:S841" si="102">SUM(G778,I778,K778,O778)</f>
        <v>682306</v>
      </c>
      <c r="T778" s="575"/>
      <c r="U778" s="487"/>
      <c r="V778" s="576"/>
      <c r="W778" s="573"/>
      <c r="X778" s="574">
        <f t="shared" si="98"/>
        <v>0</v>
      </c>
      <c r="Y778" s="487"/>
      <c r="Z778" s="487"/>
      <c r="AA778" s="276">
        <f t="shared" si="99"/>
        <v>0</v>
      </c>
      <c r="AB778" s="573"/>
      <c r="AC778" s="487"/>
      <c r="AD778" s="573"/>
      <c r="AE778" s="487"/>
      <c r="AF778" s="577">
        <f t="shared" ref="AF778:AF841" si="103">SUM(R778,T778,V778,AB778,AD778)</f>
        <v>584300</v>
      </c>
      <c r="AG778" s="275">
        <f t="shared" ref="AG778:AG841" si="104">SUM(S778,U778,Y778,AC778,AE778)</f>
        <v>682306</v>
      </c>
    </row>
    <row r="779" spans="1:33" ht="12" customHeight="1">
      <c r="A779" s="614" t="s">
        <v>1277</v>
      </c>
      <c r="B779" s="615" t="s">
        <v>1776</v>
      </c>
      <c r="C779" s="616" t="s">
        <v>1396</v>
      </c>
      <c r="D779" s="617">
        <v>433660</v>
      </c>
      <c r="E779" s="1025">
        <v>4</v>
      </c>
      <c r="F779" s="619">
        <f>51312386+4449305</f>
        <v>55761691</v>
      </c>
      <c r="G779" s="939">
        <f>47327939+5771049</f>
        <v>53098988</v>
      </c>
      <c r="H779" s="573"/>
      <c r="I779" s="487"/>
      <c r="J779" s="573"/>
      <c r="K779" s="487"/>
      <c r="L779" s="573">
        <v>27343150</v>
      </c>
      <c r="M779" s="573">
        <v>442525</v>
      </c>
      <c r="N779" s="456">
        <f t="shared" si="97"/>
        <v>27785675</v>
      </c>
      <c r="O779" s="487">
        <v>29356128</v>
      </c>
      <c r="P779" s="487">
        <v>782569</v>
      </c>
      <c r="Q779" s="274">
        <f t="shared" si="100"/>
        <v>30138697</v>
      </c>
      <c r="R779" s="574">
        <f t="shared" si="101"/>
        <v>83104841</v>
      </c>
      <c r="S779" s="275">
        <f t="shared" si="102"/>
        <v>82455116</v>
      </c>
      <c r="T779" s="575"/>
      <c r="U779" s="487"/>
      <c r="V779" s="576"/>
      <c r="W779" s="573"/>
      <c r="X779" s="574">
        <f t="shared" si="98"/>
        <v>0</v>
      </c>
      <c r="Y779" s="487"/>
      <c r="Z779" s="487"/>
      <c r="AA779" s="276">
        <f t="shared" si="99"/>
        <v>0</v>
      </c>
      <c r="AB779" s="573"/>
      <c r="AC779" s="487"/>
      <c r="AD779" s="573"/>
      <c r="AE779" s="487"/>
      <c r="AF779" s="577">
        <f t="shared" si="103"/>
        <v>83104841</v>
      </c>
      <c r="AG779" s="275">
        <f t="shared" si="104"/>
        <v>82455116</v>
      </c>
    </row>
    <row r="780" spans="1:33" ht="12" customHeight="1">
      <c r="A780" s="614" t="s">
        <v>1277</v>
      </c>
      <c r="B780" s="615" t="s">
        <v>1776</v>
      </c>
      <c r="C780" s="620" t="s">
        <v>1619</v>
      </c>
      <c r="D780" s="617">
        <v>433660</v>
      </c>
      <c r="E780" s="1025">
        <v>4</v>
      </c>
      <c r="F780" s="573"/>
      <c r="G780" s="487"/>
      <c r="H780" s="573">
        <v>269658</v>
      </c>
      <c r="I780" s="487">
        <v>259827</v>
      </c>
      <c r="J780" s="573"/>
      <c r="K780" s="487"/>
      <c r="L780" s="573"/>
      <c r="M780" s="573"/>
      <c r="N780" s="456">
        <f t="shared" si="97"/>
        <v>0</v>
      </c>
      <c r="O780" s="487"/>
      <c r="P780" s="487"/>
      <c r="Q780" s="274">
        <f t="shared" si="100"/>
        <v>0</v>
      </c>
      <c r="R780" s="574">
        <f t="shared" si="101"/>
        <v>269658</v>
      </c>
      <c r="S780" s="275">
        <f t="shared" si="102"/>
        <v>259827</v>
      </c>
      <c r="T780" s="575"/>
      <c r="U780" s="487"/>
      <c r="V780" s="576"/>
      <c r="W780" s="573"/>
      <c r="X780" s="574">
        <f t="shared" si="98"/>
        <v>0</v>
      </c>
      <c r="Y780" s="487"/>
      <c r="Z780" s="487"/>
      <c r="AA780" s="276">
        <f t="shared" si="99"/>
        <v>0</v>
      </c>
      <c r="AB780" s="573"/>
      <c r="AC780" s="487"/>
      <c r="AD780" s="573"/>
      <c r="AE780" s="487"/>
      <c r="AF780" s="577">
        <f t="shared" si="103"/>
        <v>269658</v>
      </c>
      <c r="AG780" s="275">
        <f t="shared" si="104"/>
        <v>259827</v>
      </c>
    </row>
    <row r="781" spans="1:33" ht="12" customHeight="1">
      <c r="A781" s="614" t="s">
        <v>1277</v>
      </c>
      <c r="B781" s="615" t="s">
        <v>1776</v>
      </c>
      <c r="C781" s="620" t="s">
        <v>1620</v>
      </c>
      <c r="D781" s="617">
        <v>433660</v>
      </c>
      <c r="E781" s="1025">
        <v>4</v>
      </c>
      <c r="F781" s="573"/>
      <c r="G781" s="487"/>
      <c r="H781" s="573">
        <v>218272</v>
      </c>
      <c r="I781" s="1211">
        <v>471016</v>
      </c>
      <c r="J781" s="573"/>
      <c r="K781" s="487"/>
      <c r="L781" s="573"/>
      <c r="M781" s="573"/>
      <c r="N781" s="456">
        <f t="shared" si="97"/>
        <v>0</v>
      </c>
      <c r="O781" s="487"/>
      <c r="P781" s="487"/>
      <c r="Q781" s="274">
        <f t="shared" si="100"/>
        <v>0</v>
      </c>
      <c r="R781" s="574">
        <f t="shared" si="101"/>
        <v>218272</v>
      </c>
      <c r="S781" s="275">
        <f t="shared" si="102"/>
        <v>471016</v>
      </c>
      <c r="T781" s="575"/>
      <c r="U781" s="487"/>
      <c r="V781" s="576"/>
      <c r="W781" s="573"/>
      <c r="X781" s="574">
        <f t="shared" si="98"/>
        <v>0</v>
      </c>
      <c r="Y781" s="487"/>
      <c r="Z781" s="487"/>
      <c r="AA781" s="276">
        <f t="shared" si="99"/>
        <v>0</v>
      </c>
      <c r="AB781" s="573"/>
      <c r="AC781" s="487"/>
      <c r="AD781" s="573"/>
      <c r="AE781" s="487"/>
      <c r="AF781" s="577">
        <f t="shared" si="103"/>
        <v>218272</v>
      </c>
      <c r="AG781" s="275">
        <f t="shared" si="104"/>
        <v>471016</v>
      </c>
    </row>
    <row r="782" spans="1:33" ht="12" customHeight="1">
      <c r="A782" s="614" t="s">
        <v>1277</v>
      </c>
      <c r="B782" s="615" t="s">
        <v>1776</v>
      </c>
      <c r="C782" s="616" t="s">
        <v>1397</v>
      </c>
      <c r="D782" s="617">
        <v>262129</v>
      </c>
      <c r="E782" s="618">
        <v>6</v>
      </c>
      <c r="F782" s="619">
        <f>17862077+285798</f>
        <v>18147875</v>
      </c>
      <c r="G782" s="939">
        <f>16349916+834464</f>
        <v>17184380</v>
      </c>
      <c r="H782" s="573"/>
      <c r="I782" s="487"/>
      <c r="J782" s="573"/>
      <c r="K782" s="487"/>
      <c r="L782" s="573">
        <v>4025929</v>
      </c>
      <c r="M782" s="573">
        <v>88042</v>
      </c>
      <c r="N782" s="456">
        <f t="shared" si="97"/>
        <v>4113971</v>
      </c>
      <c r="O782" s="487">
        <v>4461102</v>
      </c>
      <c r="P782" s="487">
        <v>92369</v>
      </c>
      <c r="Q782" s="274">
        <f t="shared" si="100"/>
        <v>4553471</v>
      </c>
      <c r="R782" s="574">
        <f t="shared" si="101"/>
        <v>22173804</v>
      </c>
      <c r="S782" s="275">
        <f t="shared" si="102"/>
        <v>21645482</v>
      </c>
      <c r="T782" s="575"/>
      <c r="U782" s="487"/>
      <c r="V782" s="576"/>
      <c r="W782" s="573"/>
      <c r="X782" s="574">
        <f t="shared" si="98"/>
        <v>0</v>
      </c>
      <c r="Y782" s="487"/>
      <c r="Z782" s="487"/>
      <c r="AA782" s="276">
        <f t="shared" si="99"/>
        <v>0</v>
      </c>
      <c r="AB782" s="573"/>
      <c r="AC782" s="487"/>
      <c r="AD782" s="573"/>
      <c r="AE782" s="487"/>
      <c r="AF782" s="577">
        <f t="shared" si="103"/>
        <v>22173804</v>
      </c>
      <c r="AG782" s="275">
        <f t="shared" si="104"/>
        <v>21645482</v>
      </c>
    </row>
    <row r="783" spans="1:33" ht="12" customHeight="1">
      <c r="A783" s="614" t="s">
        <v>1277</v>
      </c>
      <c r="B783" s="615" t="s">
        <v>1776</v>
      </c>
      <c r="C783" s="620" t="s">
        <v>1619</v>
      </c>
      <c r="D783" s="617">
        <v>262129</v>
      </c>
      <c r="E783" s="618">
        <v>6</v>
      </c>
      <c r="F783" s="573"/>
      <c r="G783" s="487"/>
      <c r="H783" s="573">
        <v>562030</v>
      </c>
      <c r="I783" s="487">
        <v>541541</v>
      </c>
      <c r="J783" s="573"/>
      <c r="K783" s="487"/>
      <c r="L783" s="573"/>
      <c r="M783" s="573"/>
      <c r="N783" s="456">
        <f t="shared" si="97"/>
        <v>0</v>
      </c>
      <c r="O783" s="487"/>
      <c r="P783" s="487"/>
      <c r="Q783" s="274">
        <f t="shared" si="100"/>
        <v>0</v>
      </c>
      <c r="R783" s="574">
        <f t="shared" si="101"/>
        <v>562030</v>
      </c>
      <c r="S783" s="275">
        <f t="shared" si="102"/>
        <v>541541</v>
      </c>
      <c r="T783" s="575"/>
      <c r="U783" s="487"/>
      <c r="V783" s="576"/>
      <c r="W783" s="573"/>
      <c r="X783" s="574">
        <f t="shared" si="98"/>
        <v>0</v>
      </c>
      <c r="Y783" s="487"/>
      <c r="Z783" s="487"/>
      <c r="AA783" s="276">
        <f t="shared" si="99"/>
        <v>0</v>
      </c>
      <c r="AB783" s="573"/>
      <c r="AC783" s="487"/>
      <c r="AD783" s="573"/>
      <c r="AE783" s="487"/>
      <c r="AF783" s="577">
        <f t="shared" si="103"/>
        <v>562030</v>
      </c>
      <c r="AG783" s="275">
        <f t="shared" si="104"/>
        <v>541541</v>
      </c>
    </row>
    <row r="784" spans="1:33" ht="12" customHeight="1">
      <c r="A784" s="614" t="s">
        <v>1277</v>
      </c>
      <c r="B784" s="615" t="s">
        <v>1776</v>
      </c>
      <c r="C784" s="620" t="s">
        <v>1620</v>
      </c>
      <c r="D784" s="617">
        <v>262129</v>
      </c>
      <c r="E784" s="618">
        <v>6</v>
      </c>
      <c r="F784" s="573"/>
      <c r="G784" s="487"/>
      <c r="H784" s="573">
        <v>92358</v>
      </c>
      <c r="I784" s="1211">
        <v>113857</v>
      </c>
      <c r="J784" s="573"/>
      <c r="K784" s="487"/>
      <c r="L784" s="573"/>
      <c r="M784" s="573"/>
      <c r="N784" s="456">
        <f t="shared" si="97"/>
        <v>0</v>
      </c>
      <c r="O784" s="487"/>
      <c r="P784" s="487"/>
      <c r="Q784" s="274">
        <f t="shared" si="100"/>
        <v>0</v>
      </c>
      <c r="R784" s="574">
        <f t="shared" si="101"/>
        <v>92358</v>
      </c>
      <c r="S784" s="275">
        <f t="shared" si="102"/>
        <v>113857</v>
      </c>
      <c r="T784" s="575"/>
      <c r="U784" s="487"/>
      <c r="V784" s="576"/>
      <c r="W784" s="573"/>
      <c r="X784" s="574">
        <f t="shared" si="98"/>
        <v>0</v>
      </c>
      <c r="Y784" s="487"/>
      <c r="Z784" s="487"/>
      <c r="AA784" s="276">
        <f t="shared" si="99"/>
        <v>0</v>
      </c>
      <c r="AB784" s="573"/>
      <c r="AC784" s="487"/>
      <c r="AD784" s="573"/>
      <c r="AE784" s="487"/>
      <c r="AF784" s="577">
        <f t="shared" si="103"/>
        <v>92358</v>
      </c>
      <c r="AG784" s="275">
        <f t="shared" si="104"/>
        <v>113857</v>
      </c>
    </row>
    <row r="785" spans="1:33" ht="12" customHeight="1" thickBot="1">
      <c r="A785" s="614" t="s">
        <v>1277</v>
      </c>
      <c r="B785" s="615" t="s">
        <v>1821</v>
      </c>
      <c r="C785" s="248" t="s">
        <v>1433</v>
      </c>
      <c r="D785" s="617"/>
      <c r="E785" s="618"/>
      <c r="F785" s="573"/>
      <c r="G785" s="487"/>
      <c r="H785" s="573"/>
      <c r="I785" s="487"/>
      <c r="J785" s="573"/>
      <c r="K785" s="487"/>
      <c r="L785" s="573"/>
      <c r="M785" s="573"/>
      <c r="N785" s="456">
        <f t="shared" si="97"/>
        <v>0</v>
      </c>
      <c r="O785" s="487"/>
      <c r="P785" s="487"/>
      <c r="Q785" s="274">
        <f t="shared" si="100"/>
        <v>0</v>
      </c>
      <c r="R785" s="574">
        <f t="shared" si="101"/>
        <v>0</v>
      </c>
      <c r="S785" s="275">
        <f t="shared" si="102"/>
        <v>0</v>
      </c>
      <c r="T785" s="575"/>
      <c r="U785" s="487"/>
      <c r="V785" s="576"/>
      <c r="W785" s="573"/>
      <c r="X785" s="574">
        <f t="shared" si="98"/>
        <v>0</v>
      </c>
      <c r="Y785" s="487"/>
      <c r="Z785" s="487"/>
      <c r="AA785" s="276">
        <f t="shared" si="99"/>
        <v>0</v>
      </c>
      <c r="AB785" s="573"/>
      <c r="AC785" s="487"/>
      <c r="AD785" s="573"/>
      <c r="AE785" s="487"/>
      <c r="AF785" s="577">
        <f t="shared" si="103"/>
        <v>0</v>
      </c>
      <c r="AG785" s="275">
        <f t="shared" si="104"/>
        <v>0</v>
      </c>
    </row>
    <row r="786" spans="1:33" ht="12" customHeight="1">
      <c r="A786" s="614" t="s">
        <v>1277</v>
      </c>
      <c r="B786" s="615" t="s">
        <v>1821</v>
      </c>
      <c r="C786" s="620" t="s">
        <v>1398</v>
      </c>
      <c r="D786" s="617"/>
      <c r="E786" s="618"/>
      <c r="F786" s="573"/>
      <c r="G786" s="487"/>
      <c r="H786" s="587">
        <v>74336964</v>
      </c>
      <c r="I786" s="499">
        <v>0</v>
      </c>
      <c r="J786" s="573"/>
      <c r="K786" s="487"/>
      <c r="L786" s="573"/>
      <c r="M786" s="573"/>
      <c r="N786" s="456">
        <f t="shared" si="97"/>
        <v>0</v>
      </c>
      <c r="O786" s="487"/>
      <c r="P786" s="487"/>
      <c r="Q786" s="274">
        <f t="shared" si="100"/>
        <v>0</v>
      </c>
      <c r="R786" s="574">
        <f t="shared" si="101"/>
        <v>74336964</v>
      </c>
      <c r="S786" s="275">
        <f t="shared" si="102"/>
        <v>0</v>
      </c>
      <c r="T786" s="575"/>
      <c r="U786" s="487"/>
      <c r="V786" s="576"/>
      <c r="W786" s="573"/>
      <c r="X786" s="574">
        <f t="shared" si="98"/>
        <v>0</v>
      </c>
      <c r="Y786" s="487"/>
      <c r="Z786" s="487"/>
      <c r="AA786" s="276">
        <f t="shared" si="99"/>
        <v>0</v>
      </c>
      <c r="AB786" s="573"/>
      <c r="AC786" s="487"/>
      <c r="AD786" s="573"/>
      <c r="AE786" s="487"/>
      <c r="AF786" s="577">
        <f t="shared" si="103"/>
        <v>74336964</v>
      </c>
      <c r="AG786" s="275">
        <f t="shared" si="104"/>
        <v>0</v>
      </c>
    </row>
    <row r="787" spans="1:33" ht="12" customHeight="1">
      <c r="A787" s="614" t="s">
        <v>1277</v>
      </c>
      <c r="B787" s="615" t="s">
        <v>1786</v>
      </c>
      <c r="C787" s="240" t="s">
        <v>1891</v>
      </c>
      <c r="D787" s="617"/>
      <c r="E787" s="618"/>
      <c r="F787" s="573"/>
      <c r="G787" s="487"/>
      <c r="H787" s="576"/>
      <c r="I787" s="487"/>
      <c r="J787" s="573"/>
      <c r="K787" s="487"/>
      <c r="L787" s="573"/>
      <c r="M787" s="573"/>
      <c r="N787" s="456">
        <f t="shared" ref="N787:N850" si="105">SUM(L787:M787)</f>
        <v>0</v>
      </c>
      <c r="O787" s="487"/>
      <c r="P787" s="487"/>
      <c r="Q787" s="274">
        <f t="shared" si="100"/>
        <v>0</v>
      </c>
      <c r="R787" s="574">
        <f t="shared" si="101"/>
        <v>0</v>
      </c>
      <c r="S787" s="275">
        <f t="shared" si="102"/>
        <v>0</v>
      </c>
      <c r="T787" s="575"/>
      <c r="U787" s="487"/>
      <c r="V787" s="576"/>
      <c r="W787" s="573"/>
      <c r="X787" s="574">
        <f t="shared" ref="X787:X850" si="106">SUM(V787:W787)</f>
        <v>0</v>
      </c>
      <c r="Y787" s="487"/>
      <c r="Z787" s="487"/>
      <c r="AA787" s="276">
        <f t="shared" ref="AA787:AA850" si="107">SUM(Y787:Z787)</f>
        <v>0</v>
      </c>
      <c r="AB787" s="573"/>
      <c r="AC787" s="487"/>
      <c r="AD787" s="573"/>
      <c r="AE787" s="487"/>
      <c r="AF787" s="577">
        <f t="shared" si="103"/>
        <v>0</v>
      </c>
      <c r="AG787" s="275">
        <f t="shared" si="104"/>
        <v>0</v>
      </c>
    </row>
    <row r="788" spans="1:33" ht="12" customHeight="1">
      <c r="A788" s="614" t="s">
        <v>1277</v>
      </c>
      <c r="B788" s="615" t="s">
        <v>1786</v>
      </c>
      <c r="C788" s="620" t="s">
        <v>1559</v>
      </c>
      <c r="D788" s="617"/>
      <c r="E788" s="618"/>
      <c r="F788" s="573"/>
      <c r="G788" s="487"/>
      <c r="H788" s="955">
        <v>1920000</v>
      </c>
      <c r="I788" s="487">
        <v>0</v>
      </c>
      <c r="J788" s="573"/>
      <c r="K788" s="487"/>
      <c r="L788" s="573"/>
      <c r="M788" s="573"/>
      <c r="N788" s="456">
        <f t="shared" si="105"/>
        <v>0</v>
      </c>
      <c r="O788" s="487"/>
      <c r="P788" s="487"/>
      <c r="Q788" s="274">
        <f t="shared" si="100"/>
        <v>0</v>
      </c>
      <c r="R788" s="574">
        <f t="shared" si="101"/>
        <v>1920000</v>
      </c>
      <c r="S788" s="275">
        <f t="shared" si="102"/>
        <v>0</v>
      </c>
      <c r="T788" s="575"/>
      <c r="U788" s="487"/>
      <c r="V788" s="576"/>
      <c r="W788" s="573"/>
      <c r="X788" s="574">
        <f t="shared" si="106"/>
        <v>0</v>
      </c>
      <c r="Y788" s="487"/>
      <c r="Z788" s="487"/>
      <c r="AA788" s="276">
        <f t="shared" si="107"/>
        <v>0</v>
      </c>
      <c r="AB788" s="573"/>
      <c r="AC788" s="487"/>
      <c r="AD788" s="573"/>
      <c r="AE788" s="487"/>
      <c r="AF788" s="577">
        <f t="shared" si="103"/>
        <v>1920000</v>
      </c>
      <c r="AG788" s="275">
        <f t="shared" si="104"/>
        <v>0</v>
      </c>
    </row>
    <row r="789" spans="1:33" ht="12" customHeight="1">
      <c r="A789" s="614" t="s">
        <v>1277</v>
      </c>
      <c r="B789" s="615" t="s">
        <v>1791</v>
      </c>
      <c r="C789" s="240" t="s">
        <v>1881</v>
      </c>
      <c r="D789" s="617"/>
      <c r="E789" s="618"/>
      <c r="F789" s="573"/>
      <c r="G789" s="487"/>
      <c r="H789" s="955"/>
      <c r="I789" s="487"/>
      <c r="J789" s="573"/>
      <c r="K789" s="487"/>
      <c r="L789" s="573"/>
      <c r="M789" s="573"/>
      <c r="N789" s="456">
        <f t="shared" si="105"/>
        <v>0</v>
      </c>
      <c r="O789" s="487"/>
      <c r="P789" s="487"/>
      <c r="Q789" s="274">
        <f t="shared" si="100"/>
        <v>0</v>
      </c>
      <c r="R789" s="574">
        <f t="shared" si="101"/>
        <v>0</v>
      </c>
      <c r="S789" s="275">
        <f t="shared" si="102"/>
        <v>0</v>
      </c>
      <c r="T789" s="575"/>
      <c r="U789" s="487"/>
      <c r="V789" s="576"/>
      <c r="W789" s="573"/>
      <c r="X789" s="574">
        <f t="shared" si="106"/>
        <v>0</v>
      </c>
      <c r="Y789" s="487"/>
      <c r="Z789" s="487"/>
      <c r="AA789" s="276">
        <f t="shared" si="107"/>
        <v>0</v>
      </c>
      <c r="AB789" s="573"/>
      <c r="AC789" s="487"/>
      <c r="AD789" s="573"/>
      <c r="AE789" s="487"/>
      <c r="AF789" s="577">
        <f t="shared" si="103"/>
        <v>0</v>
      </c>
      <c r="AG789" s="275">
        <f t="shared" si="104"/>
        <v>0</v>
      </c>
    </row>
    <row r="790" spans="1:33" ht="12" customHeight="1">
      <c r="A790" s="614" t="s">
        <v>1277</v>
      </c>
      <c r="B790" s="615" t="s">
        <v>1791</v>
      </c>
      <c r="C790" s="620" t="s">
        <v>1399</v>
      </c>
      <c r="D790" s="617"/>
      <c r="E790" s="618"/>
      <c r="F790" s="573"/>
      <c r="G790" s="487"/>
      <c r="H790" s="955">
        <v>12999888</v>
      </c>
      <c r="I790" s="1211">
        <f>11718645-468746</f>
        <v>11249899</v>
      </c>
      <c r="J790" s="573"/>
      <c r="K790" s="487"/>
      <c r="L790" s="573"/>
      <c r="M790" s="573"/>
      <c r="N790" s="456">
        <f t="shared" si="105"/>
        <v>0</v>
      </c>
      <c r="O790" s="487"/>
      <c r="P790" s="487"/>
      <c r="Q790" s="274">
        <f t="shared" si="100"/>
        <v>0</v>
      </c>
      <c r="R790" s="574">
        <f t="shared" si="101"/>
        <v>12999888</v>
      </c>
      <c r="S790" s="275">
        <f t="shared" si="102"/>
        <v>11249899</v>
      </c>
      <c r="T790" s="575"/>
      <c r="U790" s="487"/>
      <c r="V790" s="576"/>
      <c r="W790" s="573"/>
      <c r="X790" s="574">
        <f t="shared" si="106"/>
        <v>0</v>
      </c>
      <c r="Y790" s="487"/>
      <c r="Z790" s="487"/>
      <c r="AA790" s="276">
        <f t="shared" si="107"/>
        <v>0</v>
      </c>
      <c r="AB790" s="573"/>
      <c r="AC790" s="487"/>
      <c r="AD790" s="573"/>
      <c r="AE790" s="487"/>
      <c r="AF790" s="577">
        <f t="shared" si="103"/>
        <v>12999888</v>
      </c>
      <c r="AG790" s="275">
        <f t="shared" si="104"/>
        <v>11249899</v>
      </c>
    </row>
    <row r="791" spans="1:33" ht="12" customHeight="1">
      <c r="A791" s="614" t="s">
        <v>1277</v>
      </c>
      <c r="B791" s="615" t="s">
        <v>1791</v>
      </c>
      <c r="C791" s="620" t="s">
        <v>1400</v>
      </c>
      <c r="D791" s="617"/>
      <c r="E791" s="618"/>
      <c r="F791" s="573"/>
      <c r="G791" s="487"/>
      <c r="H791" s="955">
        <v>2873636</v>
      </c>
      <c r="I791" s="1211">
        <f>1600000-96000</f>
        <v>1504000</v>
      </c>
      <c r="J791" s="573"/>
      <c r="K791" s="487"/>
      <c r="L791" s="573"/>
      <c r="M791" s="573"/>
      <c r="N791" s="456">
        <f t="shared" si="105"/>
        <v>0</v>
      </c>
      <c r="O791" s="487"/>
      <c r="P791" s="487"/>
      <c r="Q791" s="274">
        <f t="shared" si="100"/>
        <v>0</v>
      </c>
      <c r="R791" s="574">
        <f t="shared" si="101"/>
        <v>2873636</v>
      </c>
      <c r="S791" s="275">
        <f t="shared" si="102"/>
        <v>1504000</v>
      </c>
      <c r="T791" s="575"/>
      <c r="U791" s="487"/>
      <c r="V791" s="576"/>
      <c r="W791" s="573"/>
      <c r="X791" s="574">
        <f t="shared" si="106"/>
        <v>0</v>
      </c>
      <c r="Y791" s="487"/>
      <c r="Z791" s="487"/>
      <c r="AA791" s="276">
        <f t="shared" si="107"/>
        <v>0</v>
      </c>
      <c r="AB791" s="573"/>
      <c r="AC791" s="487"/>
      <c r="AD791" s="573"/>
      <c r="AE791" s="487"/>
      <c r="AF791" s="577">
        <f t="shared" si="103"/>
        <v>2873636</v>
      </c>
      <c r="AG791" s="275">
        <f t="shared" si="104"/>
        <v>1504000</v>
      </c>
    </row>
    <row r="792" spans="1:33" ht="12" customHeight="1">
      <c r="A792" s="614" t="s">
        <v>1277</v>
      </c>
      <c r="B792" s="615" t="s">
        <v>1792</v>
      </c>
      <c r="C792" s="240" t="s">
        <v>2039</v>
      </c>
      <c r="D792" s="617"/>
      <c r="E792" s="618"/>
      <c r="F792" s="573"/>
      <c r="G792" s="487"/>
      <c r="H792" s="573"/>
      <c r="I792" s="487"/>
      <c r="J792" s="573"/>
      <c r="K792" s="487"/>
      <c r="L792" s="573"/>
      <c r="M792" s="573"/>
      <c r="N792" s="456">
        <f t="shared" si="105"/>
        <v>0</v>
      </c>
      <c r="O792" s="487"/>
      <c r="P792" s="487"/>
      <c r="Q792" s="274">
        <f t="shared" si="100"/>
        <v>0</v>
      </c>
      <c r="R792" s="574">
        <f t="shared" si="101"/>
        <v>0</v>
      </c>
      <c r="S792" s="275">
        <f t="shared" si="102"/>
        <v>0</v>
      </c>
      <c r="T792" s="575"/>
      <c r="U792" s="487"/>
      <c r="V792" s="576"/>
      <c r="W792" s="573"/>
      <c r="X792" s="574">
        <f t="shared" si="106"/>
        <v>0</v>
      </c>
      <c r="Y792" s="487"/>
      <c r="Z792" s="487"/>
      <c r="AA792" s="276">
        <f t="shared" si="107"/>
        <v>0</v>
      </c>
      <c r="AB792" s="573"/>
      <c r="AC792" s="487"/>
      <c r="AD792" s="573"/>
      <c r="AE792" s="487"/>
      <c r="AF792" s="577">
        <f t="shared" si="103"/>
        <v>0</v>
      </c>
      <c r="AG792" s="275">
        <f t="shared" si="104"/>
        <v>0</v>
      </c>
    </row>
    <row r="793" spans="1:33" ht="12" customHeight="1">
      <c r="A793" s="614" t="s">
        <v>1277</v>
      </c>
      <c r="B793" s="615" t="s">
        <v>1792</v>
      </c>
      <c r="C793" s="620" t="s">
        <v>1236</v>
      </c>
      <c r="D793" s="617"/>
      <c r="E793" s="618"/>
      <c r="F793" s="573"/>
      <c r="G793" s="487"/>
      <c r="H793" s="576">
        <v>0</v>
      </c>
      <c r="I793" s="1211">
        <f>334026-20042</f>
        <v>313984</v>
      </c>
      <c r="J793" s="573"/>
      <c r="K793" s="487"/>
      <c r="L793" s="573"/>
      <c r="M793" s="573"/>
      <c r="N793" s="456">
        <f t="shared" si="105"/>
        <v>0</v>
      </c>
      <c r="O793" s="487"/>
      <c r="P793" s="487"/>
      <c r="Q793" s="274">
        <f t="shared" si="100"/>
        <v>0</v>
      </c>
      <c r="R793" s="574">
        <f t="shared" si="101"/>
        <v>0</v>
      </c>
      <c r="S793" s="275">
        <f t="shared" si="102"/>
        <v>313984</v>
      </c>
      <c r="T793" s="575"/>
      <c r="U793" s="487"/>
      <c r="V793" s="576"/>
      <c r="W793" s="573"/>
      <c r="X793" s="574">
        <f t="shared" si="106"/>
        <v>0</v>
      </c>
      <c r="Y793" s="487"/>
      <c r="Z793" s="487"/>
      <c r="AA793" s="276">
        <f t="shared" si="107"/>
        <v>0</v>
      </c>
      <c r="AB793" s="573"/>
      <c r="AC793" s="487"/>
      <c r="AD793" s="573"/>
      <c r="AE793" s="487"/>
      <c r="AF793" s="577">
        <f t="shared" si="103"/>
        <v>0</v>
      </c>
      <c r="AG793" s="275">
        <f t="shared" si="104"/>
        <v>313984</v>
      </c>
    </row>
    <row r="794" spans="1:33" ht="12" customHeight="1">
      <c r="A794" s="614" t="s">
        <v>1277</v>
      </c>
      <c r="B794" s="615" t="s">
        <v>1792</v>
      </c>
      <c r="C794" s="620" t="s">
        <v>1401</v>
      </c>
      <c r="D794" s="617"/>
      <c r="E794" s="618"/>
      <c r="F794" s="573"/>
      <c r="G794" s="487"/>
      <c r="H794" s="955">
        <v>186000</v>
      </c>
      <c r="I794" s="487">
        <v>0</v>
      </c>
      <c r="J794" s="573"/>
      <c r="K794" s="487"/>
      <c r="L794" s="573"/>
      <c r="M794" s="573"/>
      <c r="N794" s="456">
        <f t="shared" si="105"/>
        <v>0</v>
      </c>
      <c r="O794" s="487"/>
      <c r="P794" s="487"/>
      <c r="Q794" s="274">
        <f t="shared" si="100"/>
        <v>0</v>
      </c>
      <c r="R794" s="574">
        <f t="shared" si="101"/>
        <v>186000</v>
      </c>
      <c r="S794" s="275">
        <f t="shared" si="102"/>
        <v>0</v>
      </c>
      <c r="T794" s="575"/>
      <c r="U794" s="487"/>
      <c r="V794" s="576"/>
      <c r="W794" s="573"/>
      <c r="X794" s="574">
        <f t="shared" si="106"/>
        <v>0</v>
      </c>
      <c r="Y794" s="487"/>
      <c r="Z794" s="487"/>
      <c r="AA794" s="276">
        <f t="shared" si="107"/>
        <v>0</v>
      </c>
      <c r="AB794" s="573"/>
      <c r="AC794" s="487"/>
      <c r="AD794" s="573"/>
      <c r="AE794" s="487"/>
      <c r="AF794" s="577">
        <f t="shared" si="103"/>
        <v>186000</v>
      </c>
      <c r="AG794" s="275">
        <f t="shared" si="104"/>
        <v>0</v>
      </c>
    </row>
    <row r="795" spans="1:33" ht="12" customHeight="1" thickBot="1">
      <c r="A795" s="614" t="s">
        <v>1277</v>
      </c>
      <c r="B795" s="615" t="s">
        <v>1792</v>
      </c>
      <c r="C795" s="620" t="s">
        <v>1560</v>
      </c>
      <c r="D795" s="617"/>
      <c r="E795" s="618"/>
      <c r="F795" s="573"/>
      <c r="G795" s="487"/>
      <c r="H795" s="956">
        <v>3840000</v>
      </c>
      <c r="I795" s="471">
        <v>0</v>
      </c>
      <c r="J795" s="573"/>
      <c r="K795" s="487"/>
      <c r="L795" s="573"/>
      <c r="M795" s="573"/>
      <c r="N795" s="456">
        <f t="shared" si="105"/>
        <v>0</v>
      </c>
      <c r="O795" s="487"/>
      <c r="P795" s="487"/>
      <c r="Q795" s="274">
        <f t="shared" si="100"/>
        <v>0</v>
      </c>
      <c r="R795" s="574">
        <f t="shared" si="101"/>
        <v>3840000</v>
      </c>
      <c r="S795" s="275">
        <f t="shared" si="102"/>
        <v>0</v>
      </c>
      <c r="T795" s="575"/>
      <c r="U795" s="487"/>
      <c r="V795" s="576"/>
      <c r="W795" s="573"/>
      <c r="X795" s="574">
        <f t="shared" si="106"/>
        <v>0</v>
      </c>
      <c r="Y795" s="487"/>
      <c r="Z795" s="487"/>
      <c r="AA795" s="276">
        <f t="shared" si="107"/>
        <v>0</v>
      </c>
      <c r="AB795" s="573"/>
      <c r="AC795" s="487"/>
      <c r="AD795" s="573"/>
      <c r="AE795" s="487"/>
      <c r="AF795" s="577">
        <f t="shared" si="103"/>
        <v>3840000</v>
      </c>
      <c r="AG795" s="275">
        <f t="shared" si="104"/>
        <v>0</v>
      </c>
    </row>
    <row r="796" spans="1:33" ht="12" customHeight="1">
      <c r="A796" s="614" t="s">
        <v>1277</v>
      </c>
      <c r="B796" s="615" t="s">
        <v>1794</v>
      </c>
      <c r="C796" s="248" t="s">
        <v>849</v>
      </c>
      <c r="D796" s="617"/>
      <c r="E796" s="618"/>
      <c r="F796" s="573"/>
      <c r="G796" s="487"/>
      <c r="H796" s="573"/>
      <c r="I796" s="487"/>
      <c r="J796" s="573"/>
      <c r="K796" s="487"/>
      <c r="L796" s="573"/>
      <c r="M796" s="573"/>
      <c r="N796" s="456">
        <f t="shared" si="105"/>
        <v>0</v>
      </c>
      <c r="O796" s="487"/>
      <c r="P796" s="487"/>
      <c r="Q796" s="274">
        <f t="shared" si="100"/>
        <v>0</v>
      </c>
      <c r="R796" s="574">
        <f t="shared" si="101"/>
        <v>0</v>
      </c>
      <c r="S796" s="275">
        <f t="shared" si="102"/>
        <v>0</v>
      </c>
      <c r="T796" s="575"/>
      <c r="U796" s="487"/>
      <c r="V796" s="576"/>
      <c r="W796" s="573"/>
      <c r="X796" s="574">
        <f t="shared" si="106"/>
        <v>0</v>
      </c>
      <c r="Y796" s="487"/>
      <c r="Z796" s="487"/>
      <c r="AA796" s="276">
        <f t="shared" si="107"/>
        <v>0</v>
      </c>
      <c r="AB796" s="573"/>
      <c r="AC796" s="487"/>
      <c r="AD796" s="573"/>
      <c r="AE796" s="487"/>
      <c r="AF796" s="577">
        <f t="shared" si="103"/>
        <v>0</v>
      </c>
      <c r="AG796" s="275">
        <f t="shared" si="104"/>
        <v>0</v>
      </c>
    </row>
    <row r="797" spans="1:33" ht="12" customHeight="1">
      <c r="A797" s="614" t="s">
        <v>1277</v>
      </c>
      <c r="B797" s="615" t="s">
        <v>1795</v>
      </c>
      <c r="C797" s="240" t="s">
        <v>957</v>
      </c>
      <c r="D797" s="617"/>
      <c r="E797" s="618"/>
      <c r="F797" s="573"/>
      <c r="G797" s="487"/>
      <c r="H797" s="573"/>
      <c r="I797" s="487"/>
      <c r="J797" s="573"/>
      <c r="K797" s="487"/>
      <c r="L797" s="573"/>
      <c r="M797" s="573"/>
      <c r="N797" s="456">
        <f t="shared" si="105"/>
        <v>0</v>
      </c>
      <c r="O797" s="487"/>
      <c r="P797" s="487"/>
      <c r="Q797" s="274">
        <f t="shared" si="100"/>
        <v>0</v>
      </c>
      <c r="R797" s="574">
        <f t="shared" si="101"/>
        <v>0</v>
      </c>
      <c r="S797" s="275">
        <f t="shared" si="102"/>
        <v>0</v>
      </c>
      <c r="T797" s="575"/>
      <c r="U797" s="487"/>
      <c r="V797" s="576"/>
      <c r="W797" s="573"/>
      <c r="X797" s="574">
        <f t="shared" si="106"/>
        <v>0</v>
      </c>
      <c r="Y797" s="487"/>
      <c r="Z797" s="487"/>
      <c r="AA797" s="276">
        <f t="shared" si="107"/>
        <v>0</v>
      </c>
      <c r="AB797" s="573"/>
      <c r="AC797" s="487"/>
      <c r="AD797" s="573"/>
      <c r="AE797" s="487"/>
      <c r="AF797" s="577">
        <f t="shared" si="103"/>
        <v>0</v>
      </c>
      <c r="AG797" s="275">
        <f t="shared" si="104"/>
        <v>0</v>
      </c>
    </row>
    <row r="798" spans="1:33" ht="12" customHeight="1">
      <c r="A798" s="614" t="s">
        <v>1277</v>
      </c>
      <c r="B798" s="615" t="s">
        <v>1795</v>
      </c>
      <c r="C798" s="620" t="s">
        <v>1402</v>
      </c>
      <c r="D798" s="617"/>
      <c r="E798" s="623"/>
      <c r="F798" s="573"/>
      <c r="G798" s="487"/>
      <c r="H798" s="573"/>
      <c r="I798" s="487"/>
      <c r="J798" s="573"/>
      <c r="K798" s="487"/>
      <c r="L798" s="573"/>
      <c r="M798" s="573"/>
      <c r="N798" s="456">
        <f t="shared" si="105"/>
        <v>0</v>
      </c>
      <c r="O798" s="487"/>
      <c r="P798" s="487"/>
      <c r="Q798" s="274">
        <f t="shared" si="100"/>
        <v>0</v>
      </c>
      <c r="R798" s="574">
        <f t="shared" si="101"/>
        <v>0</v>
      </c>
      <c r="S798" s="275">
        <f t="shared" si="102"/>
        <v>0</v>
      </c>
      <c r="T798" s="575">
        <f>7460688+957219</f>
        <v>8417907</v>
      </c>
      <c r="U798" s="941">
        <v>6619141</v>
      </c>
      <c r="V798" s="576"/>
      <c r="W798" s="573"/>
      <c r="X798" s="574">
        <f t="shared" si="106"/>
        <v>0</v>
      </c>
      <c r="Y798" s="487"/>
      <c r="Z798" s="487"/>
      <c r="AA798" s="276">
        <f t="shared" si="107"/>
        <v>0</v>
      </c>
      <c r="AB798" s="573"/>
      <c r="AC798" s="487"/>
      <c r="AD798" s="573"/>
      <c r="AE798" s="487"/>
      <c r="AF798" s="577">
        <f t="shared" si="103"/>
        <v>8417907</v>
      </c>
      <c r="AG798" s="275">
        <f t="shared" si="104"/>
        <v>6619141</v>
      </c>
    </row>
    <row r="799" spans="1:33" ht="12" customHeight="1">
      <c r="A799" s="614" t="s">
        <v>1277</v>
      </c>
      <c r="B799" s="615" t="s">
        <v>1797</v>
      </c>
      <c r="C799" s="240" t="s">
        <v>955</v>
      </c>
      <c r="D799" s="617"/>
      <c r="E799" s="618"/>
      <c r="F799" s="573"/>
      <c r="G799" s="487"/>
      <c r="H799" s="573"/>
      <c r="I799" s="487"/>
      <c r="J799" s="573"/>
      <c r="K799" s="487"/>
      <c r="L799" s="573"/>
      <c r="M799" s="573"/>
      <c r="N799" s="456">
        <f t="shared" si="105"/>
        <v>0</v>
      </c>
      <c r="O799" s="487"/>
      <c r="P799" s="487"/>
      <c r="Q799" s="274">
        <f t="shared" si="100"/>
        <v>0</v>
      </c>
      <c r="R799" s="574">
        <f t="shared" si="101"/>
        <v>0</v>
      </c>
      <c r="S799" s="275">
        <f t="shared" si="102"/>
        <v>0</v>
      </c>
      <c r="T799" s="575"/>
      <c r="U799" s="487"/>
      <c r="V799" s="576"/>
      <c r="W799" s="573"/>
      <c r="X799" s="574">
        <f t="shared" si="106"/>
        <v>0</v>
      </c>
      <c r="Y799" s="487"/>
      <c r="Z799" s="487"/>
      <c r="AA799" s="276">
        <f t="shared" si="107"/>
        <v>0</v>
      </c>
      <c r="AB799" s="573"/>
      <c r="AC799" s="487"/>
      <c r="AD799" s="573"/>
      <c r="AE799" s="487"/>
      <c r="AF799" s="577">
        <f t="shared" si="103"/>
        <v>0</v>
      </c>
      <c r="AG799" s="275">
        <f t="shared" si="104"/>
        <v>0</v>
      </c>
    </row>
    <row r="800" spans="1:33" ht="12" customHeight="1">
      <c r="A800" s="614" t="s">
        <v>1277</v>
      </c>
      <c r="B800" s="615" t="s">
        <v>1797</v>
      </c>
      <c r="C800" s="620" t="s">
        <v>1403</v>
      </c>
      <c r="D800" s="617"/>
      <c r="E800" s="618"/>
      <c r="F800" s="573"/>
      <c r="G800" s="487"/>
      <c r="H800" s="573"/>
      <c r="I800" s="487"/>
      <c r="J800" s="573"/>
      <c r="K800" s="487"/>
      <c r="L800" s="573"/>
      <c r="M800" s="573"/>
      <c r="N800" s="456">
        <f t="shared" si="105"/>
        <v>0</v>
      </c>
      <c r="O800" s="487"/>
      <c r="P800" s="487"/>
      <c r="Q800" s="274">
        <f t="shared" si="100"/>
        <v>0</v>
      </c>
      <c r="R800" s="574">
        <f t="shared" si="101"/>
        <v>0</v>
      </c>
      <c r="S800" s="275">
        <f t="shared" si="102"/>
        <v>0</v>
      </c>
      <c r="T800" s="575">
        <v>187900</v>
      </c>
      <c r="U800" s="941">
        <v>193550</v>
      </c>
      <c r="V800" s="576"/>
      <c r="W800" s="573"/>
      <c r="X800" s="574">
        <f t="shared" si="106"/>
        <v>0</v>
      </c>
      <c r="Y800" s="487"/>
      <c r="Z800" s="487"/>
      <c r="AA800" s="276">
        <f t="shared" si="107"/>
        <v>0</v>
      </c>
      <c r="AB800" s="573"/>
      <c r="AC800" s="487"/>
      <c r="AD800" s="573"/>
      <c r="AE800" s="487"/>
      <c r="AF800" s="577">
        <f t="shared" si="103"/>
        <v>187900</v>
      </c>
      <c r="AG800" s="275">
        <f t="shared" si="104"/>
        <v>193550</v>
      </c>
    </row>
    <row r="801" spans="1:33" ht="12" customHeight="1">
      <c r="A801" s="614" t="s">
        <v>1277</v>
      </c>
      <c r="B801" s="615" t="s">
        <v>1798</v>
      </c>
      <c r="C801" s="240" t="s">
        <v>1606</v>
      </c>
      <c r="D801" s="617"/>
      <c r="E801" s="618"/>
      <c r="F801" s="573"/>
      <c r="G801" s="487"/>
      <c r="H801" s="573"/>
      <c r="I801" s="487"/>
      <c r="J801" s="573"/>
      <c r="K801" s="487"/>
      <c r="L801" s="573"/>
      <c r="M801" s="573"/>
      <c r="N801" s="456">
        <f t="shared" si="105"/>
        <v>0</v>
      </c>
      <c r="O801" s="487"/>
      <c r="P801" s="487"/>
      <c r="Q801" s="274">
        <f t="shared" si="100"/>
        <v>0</v>
      </c>
      <c r="R801" s="574">
        <f t="shared" si="101"/>
        <v>0</v>
      </c>
      <c r="S801" s="275">
        <f t="shared" si="102"/>
        <v>0</v>
      </c>
      <c r="T801" s="575"/>
      <c r="U801" s="487"/>
      <c r="V801" s="576"/>
      <c r="W801" s="573"/>
      <c r="X801" s="574">
        <f t="shared" si="106"/>
        <v>0</v>
      </c>
      <c r="Y801" s="487"/>
      <c r="Z801" s="487"/>
      <c r="AA801" s="276">
        <f t="shared" si="107"/>
        <v>0</v>
      </c>
      <c r="AB801" s="573"/>
      <c r="AC801" s="487"/>
      <c r="AD801" s="573"/>
      <c r="AE801" s="487"/>
      <c r="AF801" s="577">
        <f t="shared" si="103"/>
        <v>0</v>
      </c>
      <c r="AG801" s="275">
        <f t="shared" si="104"/>
        <v>0</v>
      </c>
    </row>
    <row r="802" spans="1:33" ht="12" customHeight="1">
      <c r="A802" s="614" t="s">
        <v>1277</v>
      </c>
      <c r="B802" s="615" t="s">
        <v>1799</v>
      </c>
      <c r="C802" s="248" t="s">
        <v>853</v>
      </c>
      <c r="D802" s="617"/>
      <c r="E802" s="618"/>
      <c r="F802" s="573"/>
      <c r="G802" s="487"/>
      <c r="H802" s="573"/>
      <c r="I802" s="487"/>
      <c r="J802" s="573"/>
      <c r="K802" s="487"/>
      <c r="L802" s="573"/>
      <c r="M802" s="573"/>
      <c r="N802" s="456">
        <f t="shared" si="105"/>
        <v>0</v>
      </c>
      <c r="O802" s="487"/>
      <c r="P802" s="487"/>
      <c r="Q802" s="274">
        <f t="shared" si="100"/>
        <v>0</v>
      </c>
      <c r="R802" s="574">
        <f t="shared" si="101"/>
        <v>0</v>
      </c>
      <c r="S802" s="275">
        <f t="shared" si="102"/>
        <v>0</v>
      </c>
      <c r="T802" s="575">
        <v>9731607</v>
      </c>
      <c r="U802" s="941">
        <v>8352309</v>
      </c>
      <c r="V802" s="576"/>
      <c r="W802" s="573"/>
      <c r="X802" s="574">
        <f t="shared" si="106"/>
        <v>0</v>
      </c>
      <c r="Y802" s="487"/>
      <c r="Z802" s="487"/>
      <c r="AA802" s="276">
        <f t="shared" si="107"/>
        <v>0</v>
      </c>
      <c r="AB802" s="573"/>
      <c r="AC802" s="487"/>
      <c r="AD802" s="573"/>
      <c r="AE802" s="487"/>
      <c r="AF802" s="577">
        <f t="shared" si="103"/>
        <v>9731607</v>
      </c>
      <c r="AG802" s="275">
        <f t="shared" si="104"/>
        <v>8352309</v>
      </c>
    </row>
    <row r="803" spans="1:33" ht="12" customHeight="1">
      <c r="A803" s="614" t="s">
        <v>1277</v>
      </c>
      <c r="B803" s="615" t="s">
        <v>1799</v>
      </c>
      <c r="C803" s="620" t="s">
        <v>1404</v>
      </c>
      <c r="D803" s="617"/>
      <c r="E803" s="618"/>
      <c r="F803" s="573"/>
      <c r="G803" s="487"/>
      <c r="H803" s="573"/>
      <c r="I803" s="487"/>
      <c r="J803" s="573"/>
      <c r="K803" s="487"/>
      <c r="L803" s="573"/>
      <c r="M803" s="573"/>
      <c r="N803" s="456">
        <f t="shared" si="105"/>
        <v>0</v>
      </c>
      <c r="O803" s="487"/>
      <c r="P803" s="487"/>
      <c r="Q803" s="274">
        <f t="shared" si="100"/>
        <v>0</v>
      </c>
      <c r="R803" s="574">
        <f t="shared" si="101"/>
        <v>0</v>
      </c>
      <c r="S803" s="275">
        <f t="shared" si="102"/>
        <v>0</v>
      </c>
      <c r="T803" s="575">
        <v>3410000</v>
      </c>
      <c r="U803" s="941">
        <v>2776922</v>
      </c>
      <c r="V803" s="576"/>
      <c r="W803" s="573"/>
      <c r="X803" s="574">
        <f t="shared" si="106"/>
        <v>0</v>
      </c>
      <c r="Y803" s="487"/>
      <c r="Z803" s="487"/>
      <c r="AA803" s="276">
        <f t="shared" si="107"/>
        <v>0</v>
      </c>
      <c r="AB803" s="573"/>
      <c r="AC803" s="487"/>
      <c r="AD803" s="573"/>
      <c r="AE803" s="487"/>
      <c r="AF803" s="577">
        <f t="shared" si="103"/>
        <v>3410000</v>
      </c>
      <c r="AG803" s="275">
        <f t="shared" si="104"/>
        <v>2776922</v>
      </c>
    </row>
    <row r="804" spans="1:33" ht="12" customHeight="1">
      <c r="A804" s="614" t="s">
        <v>1277</v>
      </c>
      <c r="B804" s="615" t="s">
        <v>1799</v>
      </c>
      <c r="C804" s="620" t="s">
        <v>1405</v>
      </c>
      <c r="D804" s="617"/>
      <c r="E804" s="618"/>
      <c r="F804" s="573"/>
      <c r="G804" s="487"/>
      <c r="H804" s="573"/>
      <c r="I804" s="487"/>
      <c r="J804" s="573"/>
      <c r="K804" s="487"/>
      <c r="L804" s="573"/>
      <c r="M804" s="573"/>
      <c r="N804" s="456">
        <f t="shared" si="105"/>
        <v>0</v>
      </c>
      <c r="O804" s="487"/>
      <c r="P804" s="487"/>
      <c r="Q804" s="274">
        <f t="shared" si="100"/>
        <v>0</v>
      </c>
      <c r="R804" s="574">
        <f t="shared" si="101"/>
        <v>0</v>
      </c>
      <c r="S804" s="275">
        <f t="shared" si="102"/>
        <v>0</v>
      </c>
      <c r="T804" s="575"/>
      <c r="U804" s="487"/>
      <c r="V804" s="576"/>
      <c r="W804" s="573"/>
      <c r="X804" s="574">
        <f t="shared" si="106"/>
        <v>0</v>
      </c>
      <c r="Y804" s="487"/>
      <c r="Z804" s="487"/>
      <c r="AA804" s="276">
        <f t="shared" si="107"/>
        <v>0</v>
      </c>
      <c r="AB804" s="573"/>
      <c r="AC804" s="487"/>
      <c r="AD804" s="573"/>
      <c r="AE804" s="487"/>
      <c r="AF804" s="577">
        <f t="shared" si="103"/>
        <v>0</v>
      </c>
      <c r="AG804" s="275">
        <f t="shared" si="104"/>
        <v>0</v>
      </c>
    </row>
    <row r="805" spans="1:33" ht="12" customHeight="1">
      <c r="A805" s="614" t="s">
        <v>1277</v>
      </c>
      <c r="B805" s="615" t="s">
        <v>1799</v>
      </c>
      <c r="C805" s="620" t="s">
        <v>1406</v>
      </c>
      <c r="D805" s="617"/>
      <c r="E805" s="618"/>
      <c r="F805" s="573"/>
      <c r="G805" s="487"/>
      <c r="H805" s="573"/>
      <c r="I805" s="487"/>
      <c r="J805" s="573"/>
      <c r="K805" s="487"/>
      <c r="L805" s="573"/>
      <c r="M805" s="573"/>
      <c r="N805" s="456">
        <f t="shared" si="105"/>
        <v>0</v>
      </c>
      <c r="O805" s="487"/>
      <c r="P805" s="487"/>
      <c r="Q805" s="274">
        <f t="shared" si="100"/>
        <v>0</v>
      </c>
      <c r="R805" s="574">
        <f t="shared" si="101"/>
        <v>0</v>
      </c>
      <c r="S805" s="275">
        <f t="shared" si="102"/>
        <v>0</v>
      </c>
      <c r="T805" s="575"/>
      <c r="U805" s="487"/>
      <c r="V805" s="576"/>
      <c r="W805" s="573"/>
      <c r="X805" s="574">
        <f t="shared" si="106"/>
        <v>0</v>
      </c>
      <c r="Y805" s="487"/>
      <c r="Z805" s="487"/>
      <c r="AA805" s="276">
        <f t="shared" si="107"/>
        <v>0</v>
      </c>
      <c r="AB805" s="573"/>
      <c r="AC805" s="487"/>
      <c r="AD805" s="573"/>
      <c r="AE805" s="487"/>
      <c r="AF805" s="577">
        <f t="shared" si="103"/>
        <v>0</v>
      </c>
      <c r="AG805" s="275">
        <f t="shared" si="104"/>
        <v>0</v>
      </c>
    </row>
    <row r="806" spans="1:33" ht="12" customHeight="1">
      <c r="A806" s="614" t="s">
        <v>1277</v>
      </c>
      <c r="B806" s="615" t="s">
        <v>1799</v>
      </c>
      <c r="C806" s="620" t="s">
        <v>1407</v>
      </c>
      <c r="D806" s="617"/>
      <c r="E806" s="618"/>
      <c r="F806" s="573"/>
      <c r="G806" s="487"/>
      <c r="H806" s="573"/>
      <c r="I806" s="487"/>
      <c r="J806" s="573"/>
      <c r="K806" s="487"/>
      <c r="L806" s="573"/>
      <c r="M806" s="573"/>
      <c r="N806" s="456">
        <f t="shared" si="105"/>
        <v>0</v>
      </c>
      <c r="O806" s="487"/>
      <c r="P806" s="487"/>
      <c r="Q806" s="274">
        <f t="shared" si="100"/>
        <v>0</v>
      </c>
      <c r="R806" s="574">
        <f t="shared" si="101"/>
        <v>0</v>
      </c>
      <c r="S806" s="275">
        <f t="shared" si="102"/>
        <v>0</v>
      </c>
      <c r="T806" s="575"/>
      <c r="U806" s="487"/>
      <c r="V806" s="576"/>
      <c r="W806" s="573"/>
      <c r="X806" s="574">
        <f t="shared" si="106"/>
        <v>0</v>
      </c>
      <c r="Y806" s="487"/>
      <c r="Z806" s="487"/>
      <c r="AA806" s="276">
        <f t="shared" si="107"/>
        <v>0</v>
      </c>
      <c r="AB806" s="573"/>
      <c r="AC806" s="487"/>
      <c r="AD806" s="573"/>
      <c r="AE806" s="487"/>
      <c r="AF806" s="577">
        <f t="shared" si="103"/>
        <v>0</v>
      </c>
      <c r="AG806" s="275">
        <f t="shared" si="104"/>
        <v>0</v>
      </c>
    </row>
    <row r="807" spans="1:33" ht="12" customHeight="1">
      <c r="A807" s="614" t="s">
        <v>1277</v>
      </c>
      <c r="B807" s="615" t="s">
        <v>1799</v>
      </c>
      <c r="C807" s="620" t="s">
        <v>1408</v>
      </c>
      <c r="D807" s="617"/>
      <c r="E807" s="618"/>
      <c r="F807" s="573"/>
      <c r="G807" s="487"/>
      <c r="H807" s="573"/>
      <c r="I807" s="487"/>
      <c r="J807" s="573"/>
      <c r="K807" s="487"/>
      <c r="L807" s="573"/>
      <c r="M807" s="573"/>
      <c r="N807" s="456">
        <f t="shared" si="105"/>
        <v>0</v>
      </c>
      <c r="O807" s="487"/>
      <c r="P807" s="487"/>
      <c r="Q807" s="274">
        <f t="shared" si="100"/>
        <v>0</v>
      </c>
      <c r="R807" s="574">
        <f t="shared" si="101"/>
        <v>0</v>
      </c>
      <c r="S807" s="275">
        <f t="shared" si="102"/>
        <v>0</v>
      </c>
      <c r="T807" s="575">
        <v>578211</v>
      </c>
      <c r="U807" s="941">
        <v>521509</v>
      </c>
      <c r="V807" s="576"/>
      <c r="W807" s="573"/>
      <c r="X807" s="574">
        <f t="shared" si="106"/>
        <v>0</v>
      </c>
      <c r="Y807" s="487"/>
      <c r="Z807" s="487"/>
      <c r="AA807" s="276">
        <f t="shared" si="107"/>
        <v>0</v>
      </c>
      <c r="AB807" s="573"/>
      <c r="AC807" s="487"/>
      <c r="AD807" s="573"/>
      <c r="AE807" s="487"/>
      <c r="AF807" s="577">
        <f t="shared" si="103"/>
        <v>578211</v>
      </c>
      <c r="AG807" s="275">
        <f t="shared" si="104"/>
        <v>521509</v>
      </c>
    </row>
    <row r="808" spans="1:33" ht="12" customHeight="1">
      <c r="A808" s="614" t="s">
        <v>1277</v>
      </c>
      <c r="B808" s="615" t="s">
        <v>1799</v>
      </c>
      <c r="C808" s="620" t="s">
        <v>1414</v>
      </c>
      <c r="D808" s="617"/>
      <c r="E808" s="618"/>
      <c r="F808" s="573"/>
      <c r="G808" s="487"/>
      <c r="H808" s="573"/>
      <c r="I808" s="487"/>
      <c r="J808" s="573"/>
      <c r="K808" s="487"/>
      <c r="L808" s="573"/>
      <c r="M808" s="573"/>
      <c r="N808" s="456">
        <f t="shared" si="105"/>
        <v>0</v>
      </c>
      <c r="O808" s="487"/>
      <c r="P808" s="487"/>
      <c r="Q808" s="274">
        <f t="shared" si="100"/>
        <v>0</v>
      </c>
      <c r="R808" s="574">
        <f t="shared" si="101"/>
        <v>0</v>
      </c>
      <c r="S808" s="275">
        <f t="shared" si="102"/>
        <v>0</v>
      </c>
      <c r="T808" s="575">
        <v>1429170</v>
      </c>
      <c r="U808" s="941">
        <v>1302030</v>
      </c>
      <c r="V808" s="576"/>
      <c r="W808" s="573"/>
      <c r="X808" s="574">
        <f t="shared" si="106"/>
        <v>0</v>
      </c>
      <c r="Y808" s="487"/>
      <c r="Z808" s="487"/>
      <c r="AA808" s="276">
        <f t="shared" si="107"/>
        <v>0</v>
      </c>
      <c r="AB808" s="573"/>
      <c r="AC808" s="487"/>
      <c r="AD808" s="573"/>
      <c r="AE808" s="487"/>
      <c r="AF808" s="577">
        <f t="shared" si="103"/>
        <v>1429170</v>
      </c>
      <c r="AG808" s="275">
        <f t="shared" si="104"/>
        <v>1302030</v>
      </c>
    </row>
    <row r="809" spans="1:33" ht="12" customHeight="1">
      <c r="A809" s="614" t="s">
        <v>1277</v>
      </c>
      <c r="B809" s="615" t="s">
        <v>1799</v>
      </c>
      <c r="C809" s="620" t="s">
        <v>358</v>
      </c>
      <c r="D809" s="617"/>
      <c r="E809" s="618"/>
      <c r="F809" s="573"/>
      <c r="G809" s="487"/>
      <c r="H809" s="573"/>
      <c r="I809" s="487"/>
      <c r="J809" s="573"/>
      <c r="K809" s="487"/>
      <c r="L809" s="573"/>
      <c r="M809" s="573"/>
      <c r="N809" s="456">
        <f t="shared" si="105"/>
        <v>0</v>
      </c>
      <c r="O809" s="487"/>
      <c r="P809" s="487"/>
      <c r="Q809" s="274">
        <f t="shared" si="100"/>
        <v>0</v>
      </c>
      <c r="R809" s="574">
        <f t="shared" si="101"/>
        <v>0</v>
      </c>
      <c r="S809" s="275">
        <f t="shared" si="102"/>
        <v>0</v>
      </c>
      <c r="T809" s="575">
        <v>6490750</v>
      </c>
      <c r="U809" s="941">
        <v>5853583</v>
      </c>
      <c r="V809" s="576"/>
      <c r="W809" s="573"/>
      <c r="X809" s="574">
        <f t="shared" si="106"/>
        <v>0</v>
      </c>
      <c r="Y809" s="487"/>
      <c r="Z809" s="487"/>
      <c r="AA809" s="276">
        <f t="shared" si="107"/>
        <v>0</v>
      </c>
      <c r="AB809" s="573"/>
      <c r="AC809" s="487"/>
      <c r="AD809" s="573"/>
      <c r="AE809" s="487"/>
      <c r="AF809" s="577">
        <f t="shared" si="103"/>
        <v>6490750</v>
      </c>
      <c r="AG809" s="275">
        <f t="shared" si="104"/>
        <v>5853583</v>
      </c>
    </row>
    <row r="810" spans="1:33" ht="12" customHeight="1">
      <c r="A810" s="614" t="s">
        <v>1277</v>
      </c>
      <c r="B810" s="615" t="s">
        <v>1799</v>
      </c>
      <c r="C810" s="620" t="s">
        <v>359</v>
      </c>
      <c r="D810" s="617"/>
      <c r="E810" s="618"/>
      <c r="F810" s="573"/>
      <c r="G810" s="487"/>
      <c r="H810" s="573"/>
      <c r="I810" s="487"/>
      <c r="J810" s="573"/>
      <c r="K810" s="487"/>
      <c r="L810" s="573"/>
      <c r="M810" s="573"/>
      <c r="N810" s="456">
        <f t="shared" si="105"/>
        <v>0</v>
      </c>
      <c r="O810" s="487"/>
      <c r="P810" s="487"/>
      <c r="Q810" s="274">
        <f t="shared" si="100"/>
        <v>0</v>
      </c>
      <c r="R810" s="574">
        <f t="shared" si="101"/>
        <v>0</v>
      </c>
      <c r="S810" s="275">
        <f t="shared" si="102"/>
        <v>0</v>
      </c>
      <c r="T810" s="575">
        <v>4676475</v>
      </c>
      <c r="U810" s="941">
        <v>4294266</v>
      </c>
      <c r="V810" s="576"/>
      <c r="W810" s="573"/>
      <c r="X810" s="574">
        <f t="shared" si="106"/>
        <v>0</v>
      </c>
      <c r="Y810" s="487"/>
      <c r="Z810" s="487"/>
      <c r="AA810" s="276">
        <f t="shared" si="107"/>
        <v>0</v>
      </c>
      <c r="AB810" s="573"/>
      <c r="AC810" s="487"/>
      <c r="AD810" s="573"/>
      <c r="AE810" s="487"/>
      <c r="AF810" s="577">
        <f t="shared" si="103"/>
        <v>4676475</v>
      </c>
      <c r="AG810" s="275">
        <f t="shared" si="104"/>
        <v>4294266</v>
      </c>
    </row>
    <row r="811" spans="1:33" ht="12" customHeight="1">
      <c r="A811" s="614" t="s">
        <v>1277</v>
      </c>
      <c r="B811" s="615" t="s">
        <v>1799</v>
      </c>
      <c r="C811" s="620" t="s">
        <v>360</v>
      </c>
      <c r="D811" s="617"/>
      <c r="E811" s="618"/>
      <c r="F811" s="573"/>
      <c r="G811" s="487"/>
      <c r="H811" s="573"/>
      <c r="I811" s="487"/>
      <c r="J811" s="573"/>
      <c r="K811" s="487"/>
      <c r="L811" s="573"/>
      <c r="M811" s="573"/>
      <c r="N811" s="456">
        <f t="shared" si="105"/>
        <v>0</v>
      </c>
      <c r="O811" s="487"/>
      <c r="P811" s="487"/>
      <c r="Q811" s="274">
        <f t="shared" si="100"/>
        <v>0</v>
      </c>
      <c r="R811" s="574">
        <f t="shared" si="101"/>
        <v>0</v>
      </c>
      <c r="S811" s="275">
        <f t="shared" si="102"/>
        <v>0</v>
      </c>
      <c r="T811" s="575">
        <v>3518343</v>
      </c>
      <c r="U811" s="941">
        <v>3337859</v>
      </c>
      <c r="V811" s="576"/>
      <c r="W811" s="573"/>
      <c r="X811" s="574">
        <f t="shared" si="106"/>
        <v>0</v>
      </c>
      <c r="Y811" s="487"/>
      <c r="Z811" s="487"/>
      <c r="AA811" s="276">
        <f t="shared" si="107"/>
        <v>0</v>
      </c>
      <c r="AB811" s="573"/>
      <c r="AC811" s="487"/>
      <c r="AD811" s="573"/>
      <c r="AE811" s="487"/>
      <c r="AF811" s="577">
        <f t="shared" si="103"/>
        <v>3518343</v>
      </c>
      <c r="AG811" s="275">
        <f t="shared" si="104"/>
        <v>3337859</v>
      </c>
    </row>
    <row r="812" spans="1:33" ht="12" customHeight="1">
      <c r="A812" s="614" t="s">
        <v>1277</v>
      </c>
      <c r="B812" s="615" t="s">
        <v>1799</v>
      </c>
      <c r="C812" s="620" t="s">
        <v>361</v>
      </c>
      <c r="D812" s="617"/>
      <c r="E812" s="618"/>
      <c r="F812" s="573"/>
      <c r="G812" s="487"/>
      <c r="H812" s="573"/>
      <c r="I812" s="487"/>
      <c r="J812" s="573"/>
      <c r="K812" s="487"/>
      <c r="L812" s="573"/>
      <c r="M812" s="573"/>
      <c r="N812" s="456">
        <f t="shared" si="105"/>
        <v>0</v>
      </c>
      <c r="O812" s="487"/>
      <c r="P812" s="487"/>
      <c r="Q812" s="274">
        <f t="shared" si="100"/>
        <v>0</v>
      </c>
      <c r="R812" s="574">
        <f t="shared" si="101"/>
        <v>0</v>
      </c>
      <c r="S812" s="275">
        <f t="shared" si="102"/>
        <v>0</v>
      </c>
      <c r="T812" s="575">
        <v>3988501</v>
      </c>
      <c r="U812" s="941">
        <v>3718513</v>
      </c>
      <c r="V812" s="576"/>
      <c r="W812" s="573"/>
      <c r="X812" s="574">
        <f t="shared" si="106"/>
        <v>0</v>
      </c>
      <c r="Y812" s="487"/>
      <c r="Z812" s="487"/>
      <c r="AA812" s="276">
        <f t="shared" si="107"/>
        <v>0</v>
      </c>
      <c r="AB812" s="573"/>
      <c r="AC812" s="487"/>
      <c r="AD812" s="573"/>
      <c r="AE812" s="487"/>
      <c r="AF812" s="577">
        <f t="shared" si="103"/>
        <v>3988501</v>
      </c>
      <c r="AG812" s="275">
        <f t="shared" si="104"/>
        <v>3718513</v>
      </c>
    </row>
    <row r="813" spans="1:33" ht="12" customHeight="1">
      <c r="A813" s="614" t="s">
        <v>1277</v>
      </c>
      <c r="B813" s="615" t="s">
        <v>1799</v>
      </c>
      <c r="C813" s="620" t="s">
        <v>362</v>
      </c>
      <c r="D813" s="617"/>
      <c r="E813" s="618"/>
      <c r="F813" s="573"/>
      <c r="G813" s="487"/>
      <c r="H813" s="573"/>
      <c r="I813" s="487"/>
      <c r="J813" s="573"/>
      <c r="K813" s="487"/>
      <c r="L813" s="573"/>
      <c r="M813" s="573"/>
      <c r="N813" s="456">
        <f t="shared" si="105"/>
        <v>0</v>
      </c>
      <c r="O813" s="487"/>
      <c r="P813" s="487"/>
      <c r="Q813" s="274">
        <f t="shared" si="100"/>
        <v>0</v>
      </c>
      <c r="R813" s="574">
        <f t="shared" si="101"/>
        <v>0</v>
      </c>
      <c r="S813" s="275">
        <f t="shared" si="102"/>
        <v>0</v>
      </c>
      <c r="T813" s="575">
        <v>168042</v>
      </c>
      <c r="U813" s="941">
        <v>159855</v>
      </c>
      <c r="V813" s="576"/>
      <c r="W813" s="573"/>
      <c r="X813" s="574">
        <f t="shared" si="106"/>
        <v>0</v>
      </c>
      <c r="Y813" s="487"/>
      <c r="Z813" s="487"/>
      <c r="AA813" s="276">
        <f t="shared" si="107"/>
        <v>0</v>
      </c>
      <c r="AB813" s="573"/>
      <c r="AC813" s="487"/>
      <c r="AD813" s="573"/>
      <c r="AE813" s="487"/>
      <c r="AF813" s="577">
        <f t="shared" si="103"/>
        <v>168042</v>
      </c>
      <c r="AG813" s="275">
        <f t="shared" si="104"/>
        <v>159855</v>
      </c>
    </row>
    <row r="814" spans="1:33" ht="12" customHeight="1">
      <c r="A814" s="614" t="s">
        <v>1277</v>
      </c>
      <c r="B814" s="615" t="s">
        <v>1800</v>
      </c>
      <c r="C814" s="248" t="s">
        <v>858</v>
      </c>
      <c r="D814" s="617"/>
      <c r="E814" s="618"/>
      <c r="F814" s="573"/>
      <c r="G814" s="487"/>
      <c r="H814" s="573"/>
      <c r="I814" s="487"/>
      <c r="J814" s="573"/>
      <c r="K814" s="487"/>
      <c r="L814" s="573"/>
      <c r="M814" s="573"/>
      <c r="N814" s="456">
        <f t="shared" si="105"/>
        <v>0</v>
      </c>
      <c r="O814" s="487"/>
      <c r="P814" s="487"/>
      <c r="Q814" s="274">
        <f t="shared" si="100"/>
        <v>0</v>
      </c>
      <c r="R814" s="574">
        <f t="shared" si="101"/>
        <v>0</v>
      </c>
      <c r="S814" s="275">
        <f t="shared" si="102"/>
        <v>0</v>
      </c>
      <c r="T814" s="575" t="s">
        <v>648</v>
      </c>
      <c r="U814" s="487"/>
      <c r="V814" s="576"/>
      <c r="W814" s="573"/>
      <c r="X814" s="574">
        <f t="shared" si="106"/>
        <v>0</v>
      </c>
      <c r="Y814" s="487"/>
      <c r="Z814" s="487"/>
      <c r="AA814" s="276">
        <f t="shared" si="107"/>
        <v>0</v>
      </c>
      <c r="AB814" s="573"/>
      <c r="AC814" s="487"/>
      <c r="AD814" s="573"/>
      <c r="AE814" s="487"/>
      <c r="AF814" s="577">
        <f t="shared" si="103"/>
        <v>0</v>
      </c>
      <c r="AG814" s="275">
        <f t="shared" si="104"/>
        <v>0</v>
      </c>
    </row>
    <row r="815" spans="1:33" ht="12" customHeight="1">
      <c r="A815" s="614" t="s">
        <v>1277</v>
      </c>
      <c r="B815" s="615" t="s">
        <v>1801</v>
      </c>
      <c r="C815" s="240" t="s">
        <v>859</v>
      </c>
      <c r="D815" s="617"/>
      <c r="E815" s="618"/>
      <c r="F815" s="573"/>
      <c r="G815" s="487"/>
      <c r="H815" s="573"/>
      <c r="I815" s="487"/>
      <c r="J815" s="573"/>
      <c r="K815" s="487"/>
      <c r="L815" s="573"/>
      <c r="M815" s="573"/>
      <c r="N815" s="456">
        <f t="shared" si="105"/>
        <v>0</v>
      </c>
      <c r="O815" s="487"/>
      <c r="P815" s="487"/>
      <c r="Q815" s="274">
        <f t="shared" si="100"/>
        <v>0</v>
      </c>
      <c r="R815" s="574">
        <f t="shared" si="101"/>
        <v>0</v>
      </c>
      <c r="S815" s="275">
        <f t="shared" si="102"/>
        <v>0</v>
      </c>
      <c r="T815" s="575"/>
      <c r="U815" s="487"/>
      <c r="V815" s="576"/>
      <c r="W815" s="573"/>
      <c r="X815" s="574">
        <f t="shared" si="106"/>
        <v>0</v>
      </c>
      <c r="Y815" s="487"/>
      <c r="Z815" s="487"/>
      <c r="AA815" s="276">
        <f t="shared" si="107"/>
        <v>0</v>
      </c>
      <c r="AB815" s="573"/>
      <c r="AC815" s="487"/>
      <c r="AD815" s="573"/>
      <c r="AE815" s="487"/>
      <c r="AF815" s="577">
        <f t="shared" si="103"/>
        <v>0</v>
      </c>
      <c r="AG815" s="275">
        <f t="shared" si="104"/>
        <v>0</v>
      </c>
    </row>
    <row r="816" spans="1:33" ht="12" customHeight="1">
      <c r="A816" s="614" t="s">
        <v>1277</v>
      </c>
      <c r="B816" s="615" t="s">
        <v>1802</v>
      </c>
      <c r="C816" s="240" t="s">
        <v>861</v>
      </c>
      <c r="D816" s="617"/>
      <c r="E816" s="618"/>
      <c r="F816" s="573"/>
      <c r="G816" s="487"/>
      <c r="H816" s="573"/>
      <c r="I816" s="487"/>
      <c r="J816" s="573"/>
      <c r="K816" s="487"/>
      <c r="L816" s="573"/>
      <c r="M816" s="573"/>
      <c r="N816" s="456">
        <f t="shared" si="105"/>
        <v>0</v>
      </c>
      <c r="O816" s="487"/>
      <c r="P816" s="487"/>
      <c r="Q816" s="274">
        <f t="shared" si="100"/>
        <v>0</v>
      </c>
      <c r="R816" s="574">
        <f t="shared" si="101"/>
        <v>0</v>
      </c>
      <c r="S816" s="275">
        <f t="shared" si="102"/>
        <v>0</v>
      </c>
      <c r="T816" s="575"/>
      <c r="U816" s="487"/>
      <c r="V816" s="576"/>
      <c r="W816" s="573"/>
      <c r="X816" s="574">
        <f t="shared" si="106"/>
        <v>0</v>
      </c>
      <c r="Y816" s="487"/>
      <c r="Z816" s="487"/>
      <c r="AA816" s="276">
        <f t="shared" si="107"/>
        <v>0</v>
      </c>
      <c r="AB816" s="573"/>
      <c r="AC816" s="487"/>
      <c r="AD816" s="573"/>
      <c r="AE816" s="487"/>
      <c r="AF816" s="577">
        <f t="shared" si="103"/>
        <v>0</v>
      </c>
      <c r="AG816" s="275">
        <f t="shared" si="104"/>
        <v>0</v>
      </c>
    </row>
    <row r="817" spans="1:33" ht="12" customHeight="1">
      <c r="A817" s="614" t="s">
        <v>1277</v>
      </c>
      <c r="B817" s="615" t="s">
        <v>1803</v>
      </c>
      <c r="C817" s="240" t="s">
        <v>954</v>
      </c>
      <c r="D817" s="617"/>
      <c r="E817" s="618"/>
      <c r="F817" s="573"/>
      <c r="G817" s="487"/>
      <c r="H817" s="573"/>
      <c r="I817" s="487"/>
      <c r="J817" s="573"/>
      <c r="K817" s="487"/>
      <c r="L817" s="573"/>
      <c r="M817" s="573"/>
      <c r="N817" s="456">
        <f t="shared" si="105"/>
        <v>0</v>
      </c>
      <c r="O817" s="487"/>
      <c r="P817" s="487"/>
      <c r="Q817" s="274">
        <f t="shared" si="100"/>
        <v>0</v>
      </c>
      <c r="R817" s="574">
        <f t="shared" si="101"/>
        <v>0</v>
      </c>
      <c r="S817" s="275">
        <f t="shared" si="102"/>
        <v>0</v>
      </c>
      <c r="T817" s="575"/>
      <c r="U817" s="487"/>
      <c r="V817" s="576"/>
      <c r="W817" s="573"/>
      <c r="X817" s="574">
        <f t="shared" si="106"/>
        <v>0</v>
      </c>
      <c r="Y817" s="487"/>
      <c r="Z817" s="487"/>
      <c r="AA817" s="276">
        <f t="shared" si="107"/>
        <v>0</v>
      </c>
      <c r="AB817" s="573"/>
      <c r="AC817" s="487"/>
      <c r="AD817" s="573"/>
      <c r="AE817" s="487"/>
      <c r="AF817" s="577">
        <f t="shared" si="103"/>
        <v>0</v>
      </c>
      <c r="AG817" s="275">
        <f t="shared" si="104"/>
        <v>0</v>
      </c>
    </row>
    <row r="818" spans="1:33" ht="12" customHeight="1">
      <c r="A818" s="614" t="s">
        <v>1277</v>
      </c>
      <c r="B818" s="615" t="s">
        <v>1803</v>
      </c>
      <c r="C818" s="621" t="s">
        <v>363</v>
      </c>
      <c r="D818" s="617"/>
      <c r="E818" s="618"/>
      <c r="F818" s="573"/>
      <c r="G818" s="487"/>
      <c r="H818" s="573"/>
      <c r="I818" s="487"/>
      <c r="J818" s="573"/>
      <c r="K818" s="487"/>
      <c r="L818" s="573"/>
      <c r="M818" s="573"/>
      <c r="N818" s="456">
        <f t="shared" si="105"/>
        <v>0</v>
      </c>
      <c r="O818" s="487"/>
      <c r="P818" s="487"/>
      <c r="Q818" s="274">
        <f t="shared" si="100"/>
        <v>0</v>
      </c>
      <c r="R818" s="574">
        <f t="shared" si="101"/>
        <v>0</v>
      </c>
      <c r="S818" s="275">
        <f t="shared" si="102"/>
        <v>0</v>
      </c>
      <c r="T818" s="575">
        <v>550745</v>
      </c>
      <c r="U818" s="941">
        <f>182438+317824</f>
        <v>500262</v>
      </c>
      <c r="V818" s="576"/>
      <c r="W818" s="573"/>
      <c r="X818" s="574">
        <f t="shared" si="106"/>
        <v>0</v>
      </c>
      <c r="Y818" s="487"/>
      <c r="Z818" s="487"/>
      <c r="AA818" s="276">
        <f t="shared" si="107"/>
        <v>0</v>
      </c>
      <c r="AB818" s="573"/>
      <c r="AC818" s="487"/>
      <c r="AD818" s="573"/>
      <c r="AE818" s="487"/>
      <c r="AF818" s="577">
        <f t="shared" si="103"/>
        <v>550745</v>
      </c>
      <c r="AG818" s="275">
        <f t="shared" si="104"/>
        <v>500262</v>
      </c>
    </row>
    <row r="819" spans="1:33" ht="12" customHeight="1">
      <c r="A819" s="614" t="s">
        <v>1277</v>
      </c>
      <c r="B819" s="615" t="s">
        <v>1803</v>
      </c>
      <c r="C819" s="621" t="s">
        <v>364</v>
      </c>
      <c r="D819" s="617"/>
      <c r="E819" s="618"/>
      <c r="F819" s="573"/>
      <c r="G819" s="487"/>
      <c r="H819" s="573"/>
      <c r="I819" s="487"/>
      <c r="J819" s="573"/>
      <c r="K819" s="487"/>
      <c r="L819" s="573"/>
      <c r="M819" s="573"/>
      <c r="N819" s="456">
        <f t="shared" si="105"/>
        <v>0</v>
      </c>
      <c r="O819" s="487"/>
      <c r="P819" s="487"/>
      <c r="Q819" s="274">
        <f t="shared" si="100"/>
        <v>0</v>
      </c>
      <c r="R819" s="574">
        <f t="shared" si="101"/>
        <v>0</v>
      </c>
      <c r="S819" s="275">
        <f t="shared" si="102"/>
        <v>0</v>
      </c>
      <c r="T819" s="575">
        <v>88627</v>
      </c>
      <c r="U819" s="941">
        <v>78843</v>
      </c>
      <c r="V819" s="576"/>
      <c r="W819" s="573"/>
      <c r="X819" s="574">
        <f t="shared" si="106"/>
        <v>0</v>
      </c>
      <c r="Y819" s="487"/>
      <c r="Z819" s="487"/>
      <c r="AA819" s="276">
        <f t="shared" si="107"/>
        <v>0</v>
      </c>
      <c r="AB819" s="573"/>
      <c r="AC819" s="487"/>
      <c r="AD819" s="573"/>
      <c r="AE819" s="487"/>
      <c r="AF819" s="577">
        <f t="shared" si="103"/>
        <v>88627</v>
      </c>
      <c r="AG819" s="275">
        <f t="shared" si="104"/>
        <v>78843</v>
      </c>
    </row>
    <row r="820" spans="1:33" ht="12" customHeight="1">
      <c r="A820" s="614" t="s">
        <v>1277</v>
      </c>
      <c r="B820" s="615" t="s">
        <v>1803</v>
      </c>
      <c r="C820" s="621" t="s">
        <v>365</v>
      </c>
      <c r="D820" s="617"/>
      <c r="E820" s="618"/>
      <c r="F820" s="573"/>
      <c r="G820" s="487"/>
      <c r="H820" s="573"/>
      <c r="I820" s="487"/>
      <c r="J820" s="573"/>
      <c r="K820" s="487"/>
      <c r="L820" s="573"/>
      <c r="M820" s="573"/>
      <c r="N820" s="456">
        <f t="shared" si="105"/>
        <v>0</v>
      </c>
      <c r="O820" s="487"/>
      <c r="P820" s="487"/>
      <c r="Q820" s="274">
        <f t="shared" si="100"/>
        <v>0</v>
      </c>
      <c r="R820" s="574">
        <f t="shared" si="101"/>
        <v>0</v>
      </c>
      <c r="S820" s="275">
        <f t="shared" si="102"/>
        <v>0</v>
      </c>
      <c r="T820" s="575">
        <v>291000</v>
      </c>
      <c r="U820" s="941">
        <v>258875</v>
      </c>
      <c r="V820" s="576"/>
      <c r="W820" s="573"/>
      <c r="X820" s="574">
        <f t="shared" si="106"/>
        <v>0</v>
      </c>
      <c r="Y820" s="487"/>
      <c r="Z820" s="487"/>
      <c r="AA820" s="276">
        <f t="shared" si="107"/>
        <v>0</v>
      </c>
      <c r="AB820" s="573"/>
      <c r="AC820" s="487"/>
      <c r="AD820" s="573"/>
      <c r="AE820" s="487"/>
      <c r="AF820" s="577">
        <f t="shared" si="103"/>
        <v>291000</v>
      </c>
      <c r="AG820" s="275">
        <f t="shared" si="104"/>
        <v>258875</v>
      </c>
    </row>
    <row r="821" spans="1:33" ht="12" customHeight="1">
      <c r="A821" s="614" t="s">
        <v>1277</v>
      </c>
      <c r="B821" s="615" t="s">
        <v>1803</v>
      </c>
      <c r="C821" s="621" t="s">
        <v>366</v>
      </c>
      <c r="D821" s="617"/>
      <c r="E821" s="618"/>
      <c r="F821" s="573"/>
      <c r="G821" s="487"/>
      <c r="H821" s="573"/>
      <c r="I821" s="487"/>
      <c r="J821" s="573"/>
      <c r="K821" s="487"/>
      <c r="L821" s="573"/>
      <c r="M821" s="573"/>
      <c r="N821" s="456">
        <f t="shared" si="105"/>
        <v>0</v>
      </c>
      <c r="O821" s="487"/>
      <c r="P821" s="487"/>
      <c r="Q821" s="274">
        <f t="shared" si="100"/>
        <v>0</v>
      </c>
      <c r="R821" s="574">
        <f t="shared" si="101"/>
        <v>0</v>
      </c>
      <c r="S821" s="275">
        <f t="shared" si="102"/>
        <v>0</v>
      </c>
      <c r="T821" s="575">
        <v>157972</v>
      </c>
      <c r="U821" s="941">
        <v>140533</v>
      </c>
      <c r="V821" s="576"/>
      <c r="W821" s="573"/>
      <c r="X821" s="574">
        <f t="shared" si="106"/>
        <v>0</v>
      </c>
      <c r="Y821" s="487"/>
      <c r="Z821" s="487"/>
      <c r="AA821" s="276">
        <f t="shared" si="107"/>
        <v>0</v>
      </c>
      <c r="AB821" s="573"/>
      <c r="AC821" s="487"/>
      <c r="AD821" s="573"/>
      <c r="AE821" s="487"/>
      <c r="AF821" s="577">
        <f t="shared" si="103"/>
        <v>157972</v>
      </c>
      <c r="AG821" s="275">
        <f t="shared" si="104"/>
        <v>140533</v>
      </c>
    </row>
    <row r="822" spans="1:33" ht="12" customHeight="1">
      <c r="A822" s="614" t="s">
        <v>1277</v>
      </c>
      <c r="B822" s="615" t="s">
        <v>1803</v>
      </c>
      <c r="C822" s="621" t="s">
        <v>1561</v>
      </c>
      <c r="D822" s="617"/>
      <c r="E822" s="618"/>
      <c r="F822" s="573"/>
      <c r="G822" s="487"/>
      <c r="H822" s="573"/>
      <c r="I822" s="487"/>
      <c r="J822" s="573"/>
      <c r="K822" s="487"/>
      <c r="L822" s="573"/>
      <c r="M822" s="573"/>
      <c r="N822" s="456">
        <f t="shared" si="105"/>
        <v>0</v>
      </c>
      <c r="O822" s="487"/>
      <c r="P822" s="487"/>
      <c r="Q822" s="274">
        <f t="shared" si="100"/>
        <v>0</v>
      </c>
      <c r="R822" s="574">
        <f t="shared" si="101"/>
        <v>0</v>
      </c>
      <c r="S822" s="275">
        <f t="shared" si="102"/>
        <v>0</v>
      </c>
      <c r="T822" s="575">
        <v>1469889</v>
      </c>
      <c r="U822" s="941">
        <v>1325745</v>
      </c>
      <c r="V822" s="576"/>
      <c r="W822" s="573"/>
      <c r="X822" s="574">
        <f t="shared" si="106"/>
        <v>0</v>
      </c>
      <c r="Y822" s="487"/>
      <c r="Z822" s="487"/>
      <c r="AA822" s="276">
        <f t="shared" si="107"/>
        <v>0</v>
      </c>
      <c r="AB822" s="573"/>
      <c r="AC822" s="487"/>
      <c r="AD822" s="573"/>
      <c r="AE822" s="487"/>
      <c r="AF822" s="577">
        <f t="shared" si="103"/>
        <v>1469889</v>
      </c>
      <c r="AG822" s="275">
        <f t="shared" si="104"/>
        <v>1325745</v>
      </c>
    </row>
    <row r="823" spans="1:33" ht="12" customHeight="1">
      <c r="A823" s="614" t="s">
        <v>1277</v>
      </c>
      <c r="B823" s="615" t="s">
        <v>1803</v>
      </c>
      <c r="C823" s="621" t="s">
        <v>1562</v>
      </c>
      <c r="D823" s="617"/>
      <c r="E823" s="618"/>
      <c r="F823" s="573"/>
      <c r="G823" s="487"/>
      <c r="H823" s="573"/>
      <c r="I823" s="487"/>
      <c r="J823" s="573"/>
      <c r="K823" s="487"/>
      <c r="L823" s="573"/>
      <c r="M823" s="573"/>
      <c r="N823" s="456">
        <f t="shared" si="105"/>
        <v>0</v>
      </c>
      <c r="O823" s="487"/>
      <c r="P823" s="487"/>
      <c r="Q823" s="274">
        <f t="shared" si="100"/>
        <v>0</v>
      </c>
      <c r="R823" s="574">
        <f t="shared" si="101"/>
        <v>0</v>
      </c>
      <c r="S823" s="275">
        <f t="shared" si="102"/>
        <v>0</v>
      </c>
      <c r="T823" s="575">
        <v>0</v>
      </c>
      <c r="U823" s="487"/>
      <c r="V823" s="576"/>
      <c r="W823" s="573"/>
      <c r="X823" s="574">
        <f t="shared" si="106"/>
        <v>0</v>
      </c>
      <c r="Y823" s="487"/>
      <c r="Z823" s="487"/>
      <c r="AA823" s="276">
        <f t="shared" si="107"/>
        <v>0</v>
      </c>
      <c r="AB823" s="573"/>
      <c r="AC823" s="487"/>
      <c r="AD823" s="573"/>
      <c r="AE823" s="487"/>
      <c r="AF823" s="577">
        <f t="shared" si="103"/>
        <v>0</v>
      </c>
      <c r="AG823" s="275">
        <f t="shared" si="104"/>
        <v>0</v>
      </c>
    </row>
    <row r="824" spans="1:33" ht="12" customHeight="1">
      <c r="A824" s="614" t="s">
        <v>1277</v>
      </c>
      <c r="B824" s="615" t="s">
        <v>1804</v>
      </c>
      <c r="C824" s="248" t="s">
        <v>418</v>
      </c>
      <c r="D824" s="617"/>
      <c r="E824" s="618"/>
      <c r="F824" s="573"/>
      <c r="G824" s="487"/>
      <c r="H824" s="573"/>
      <c r="I824" s="487"/>
      <c r="J824" s="573"/>
      <c r="K824" s="487"/>
      <c r="L824" s="573"/>
      <c r="M824" s="573"/>
      <c r="N824" s="456">
        <f t="shared" si="105"/>
        <v>0</v>
      </c>
      <c r="O824" s="487"/>
      <c r="P824" s="487"/>
      <c r="Q824" s="274">
        <f t="shared" si="100"/>
        <v>0</v>
      </c>
      <c r="R824" s="574">
        <f t="shared" si="101"/>
        <v>0</v>
      </c>
      <c r="S824" s="275">
        <f t="shared" si="102"/>
        <v>0</v>
      </c>
      <c r="T824" s="575"/>
      <c r="U824" s="487"/>
      <c r="V824" s="576"/>
      <c r="W824" s="573"/>
      <c r="X824" s="574">
        <f t="shared" si="106"/>
        <v>0</v>
      </c>
      <c r="Y824" s="487"/>
      <c r="Z824" s="487"/>
      <c r="AA824" s="276">
        <f t="shared" si="107"/>
        <v>0</v>
      </c>
      <c r="AB824" s="573"/>
      <c r="AC824" s="487"/>
      <c r="AD824" s="573"/>
      <c r="AE824" s="487"/>
      <c r="AF824" s="577">
        <f t="shared" si="103"/>
        <v>0</v>
      </c>
      <c r="AG824" s="275">
        <f t="shared" si="104"/>
        <v>0</v>
      </c>
    </row>
    <row r="825" spans="1:33" ht="12" customHeight="1">
      <c r="A825" s="614" t="s">
        <v>1277</v>
      </c>
      <c r="B825" s="615" t="s">
        <v>1805</v>
      </c>
      <c r="C825" s="482" t="s">
        <v>419</v>
      </c>
      <c r="D825" s="624"/>
      <c r="E825" s="625"/>
      <c r="F825" s="573"/>
      <c r="G825" s="487"/>
      <c r="H825" s="573"/>
      <c r="I825" s="487"/>
      <c r="J825" s="573"/>
      <c r="K825" s="487"/>
      <c r="L825" s="573"/>
      <c r="M825" s="573"/>
      <c r="N825" s="456">
        <f t="shared" si="105"/>
        <v>0</v>
      </c>
      <c r="O825" s="487"/>
      <c r="P825" s="487"/>
      <c r="Q825" s="274">
        <f t="shared" si="100"/>
        <v>0</v>
      </c>
      <c r="R825" s="574">
        <f t="shared" si="101"/>
        <v>0</v>
      </c>
      <c r="S825" s="275">
        <f t="shared" si="102"/>
        <v>0</v>
      </c>
      <c r="T825" s="575"/>
      <c r="U825" s="487"/>
      <c r="V825" s="576"/>
      <c r="W825" s="573"/>
      <c r="X825" s="574">
        <f t="shared" si="106"/>
        <v>0</v>
      </c>
      <c r="Y825" s="487"/>
      <c r="Z825" s="487"/>
      <c r="AA825" s="276">
        <f t="shared" si="107"/>
        <v>0</v>
      </c>
      <c r="AB825" s="573"/>
      <c r="AC825" s="487"/>
      <c r="AD825" s="573"/>
      <c r="AE825" s="487"/>
      <c r="AF825" s="577">
        <f t="shared" si="103"/>
        <v>0</v>
      </c>
      <c r="AG825" s="275">
        <f t="shared" si="104"/>
        <v>0</v>
      </c>
    </row>
    <row r="826" spans="1:33" ht="12" customHeight="1">
      <c r="A826" s="614" t="s">
        <v>1277</v>
      </c>
      <c r="B826" s="615" t="s">
        <v>1805</v>
      </c>
      <c r="C826" s="249" t="s">
        <v>367</v>
      </c>
      <c r="D826" s="617"/>
      <c r="E826" s="618"/>
      <c r="F826" s="573"/>
      <c r="G826" s="487"/>
      <c r="H826" s="573"/>
      <c r="I826" s="487"/>
      <c r="J826" s="573"/>
      <c r="K826" s="487"/>
      <c r="L826" s="573"/>
      <c r="M826" s="573"/>
      <c r="N826" s="456">
        <f t="shared" si="105"/>
        <v>0</v>
      </c>
      <c r="O826" s="487"/>
      <c r="P826" s="487"/>
      <c r="Q826" s="274">
        <f t="shared" si="100"/>
        <v>0</v>
      </c>
      <c r="R826" s="574">
        <f t="shared" si="101"/>
        <v>0</v>
      </c>
      <c r="S826" s="275">
        <f t="shared" si="102"/>
        <v>0</v>
      </c>
      <c r="T826" s="575"/>
      <c r="U826" s="487"/>
      <c r="V826" s="576"/>
      <c r="W826" s="573"/>
      <c r="X826" s="574">
        <f t="shared" si="106"/>
        <v>0</v>
      </c>
      <c r="Y826" s="487"/>
      <c r="Z826" s="487"/>
      <c r="AA826" s="276">
        <f t="shared" si="107"/>
        <v>0</v>
      </c>
      <c r="AB826" s="573"/>
      <c r="AC826" s="487"/>
      <c r="AD826" s="573"/>
      <c r="AE826" s="487"/>
      <c r="AF826" s="577">
        <f t="shared" si="103"/>
        <v>0</v>
      </c>
      <c r="AG826" s="275">
        <f t="shared" si="104"/>
        <v>0</v>
      </c>
    </row>
    <row r="827" spans="1:33" ht="12" customHeight="1">
      <c r="A827" s="614" t="s">
        <v>1277</v>
      </c>
      <c r="B827" s="626" t="s">
        <v>1882</v>
      </c>
      <c r="C827" s="627" t="s">
        <v>1883</v>
      </c>
      <c r="D827" s="617"/>
      <c r="E827" s="618"/>
      <c r="F827" s="573"/>
      <c r="G827" s="487"/>
      <c r="H827" s="573"/>
      <c r="I827" s="487"/>
      <c r="J827" s="573"/>
      <c r="K827" s="487"/>
      <c r="L827" s="573"/>
      <c r="M827" s="573"/>
      <c r="N827" s="456">
        <f t="shared" si="105"/>
        <v>0</v>
      </c>
      <c r="O827" s="487"/>
      <c r="P827" s="487"/>
      <c r="Q827" s="274">
        <f t="shared" si="100"/>
        <v>0</v>
      </c>
      <c r="R827" s="574">
        <f t="shared" si="101"/>
        <v>0</v>
      </c>
      <c r="S827" s="275">
        <f t="shared" si="102"/>
        <v>0</v>
      </c>
      <c r="T827" s="575"/>
      <c r="U827" s="487"/>
      <c r="V827" s="576"/>
      <c r="W827" s="573"/>
      <c r="X827" s="574">
        <f t="shared" si="106"/>
        <v>0</v>
      </c>
      <c r="Y827" s="487"/>
      <c r="Z827" s="487"/>
      <c r="AA827" s="276">
        <f t="shared" si="107"/>
        <v>0</v>
      </c>
      <c r="AB827" s="573"/>
      <c r="AC827" s="487"/>
      <c r="AD827" s="573"/>
      <c r="AE827" s="487"/>
      <c r="AF827" s="577">
        <f t="shared" si="103"/>
        <v>0</v>
      </c>
      <c r="AG827" s="275">
        <f t="shared" si="104"/>
        <v>0</v>
      </c>
    </row>
    <row r="828" spans="1:33" ht="12" customHeight="1">
      <c r="A828" s="614" t="s">
        <v>1277</v>
      </c>
      <c r="B828" s="626" t="s">
        <v>1763</v>
      </c>
      <c r="C828" s="627" t="s">
        <v>1761</v>
      </c>
      <c r="D828" s="617"/>
      <c r="E828" s="618"/>
      <c r="F828" s="573"/>
      <c r="G828" s="487"/>
      <c r="H828" s="573"/>
      <c r="I828" s="487"/>
      <c r="J828" s="573"/>
      <c r="K828" s="487"/>
      <c r="L828" s="573"/>
      <c r="M828" s="573"/>
      <c r="N828" s="456">
        <f t="shared" si="105"/>
        <v>0</v>
      </c>
      <c r="O828" s="487"/>
      <c r="P828" s="487"/>
      <c r="Q828" s="274">
        <f t="shared" si="100"/>
        <v>0</v>
      </c>
      <c r="R828" s="574">
        <f t="shared" si="101"/>
        <v>0</v>
      </c>
      <c r="S828" s="275">
        <f t="shared" si="102"/>
        <v>0</v>
      </c>
      <c r="T828" s="575">
        <v>387685153</v>
      </c>
      <c r="U828" s="941">
        <v>436175538</v>
      </c>
      <c r="V828" s="576"/>
      <c r="W828" s="573"/>
      <c r="X828" s="574">
        <f t="shared" si="106"/>
        <v>0</v>
      </c>
      <c r="Y828" s="487"/>
      <c r="Z828" s="487"/>
      <c r="AA828" s="276">
        <f t="shared" si="107"/>
        <v>0</v>
      </c>
      <c r="AB828" s="573"/>
      <c r="AC828" s="487"/>
      <c r="AD828" s="573"/>
      <c r="AE828" s="487"/>
      <c r="AF828" s="577">
        <f t="shared" si="103"/>
        <v>387685153</v>
      </c>
      <c r="AG828" s="275">
        <f t="shared" si="104"/>
        <v>436175538</v>
      </c>
    </row>
    <row r="829" spans="1:33" ht="12" customHeight="1">
      <c r="A829" s="614" t="s">
        <v>1277</v>
      </c>
      <c r="B829" s="626" t="s">
        <v>1510</v>
      </c>
      <c r="C829" s="627" t="s">
        <v>421</v>
      </c>
      <c r="D829" s="628"/>
      <c r="E829" s="629"/>
      <c r="F829" s="573"/>
      <c r="G829" s="487"/>
      <c r="H829" s="573"/>
      <c r="I829" s="487"/>
      <c r="J829" s="573"/>
      <c r="K829" s="487"/>
      <c r="L829" s="573"/>
      <c r="M829" s="573"/>
      <c r="N829" s="456">
        <f t="shared" si="105"/>
        <v>0</v>
      </c>
      <c r="O829" s="487"/>
      <c r="P829" s="487"/>
      <c r="Q829" s="274">
        <f t="shared" si="100"/>
        <v>0</v>
      </c>
      <c r="R829" s="574">
        <f t="shared" si="101"/>
        <v>0</v>
      </c>
      <c r="S829" s="275">
        <f t="shared" si="102"/>
        <v>0</v>
      </c>
      <c r="T829" s="1144" t="s">
        <v>150</v>
      </c>
      <c r="U829" s="487"/>
      <c r="V829" s="576"/>
      <c r="W829" s="573"/>
      <c r="X829" s="574">
        <f t="shared" si="106"/>
        <v>0</v>
      </c>
      <c r="Y829" s="487"/>
      <c r="Z829" s="487"/>
      <c r="AA829" s="276">
        <f t="shared" si="107"/>
        <v>0</v>
      </c>
      <c r="AB829" s="573"/>
      <c r="AC829" s="487"/>
      <c r="AD829" s="573"/>
      <c r="AE829" s="487"/>
      <c r="AF829" s="577">
        <f t="shared" si="103"/>
        <v>0</v>
      </c>
      <c r="AG829" s="275">
        <f t="shared" si="104"/>
        <v>0</v>
      </c>
    </row>
    <row r="830" spans="1:33" ht="12" customHeight="1">
      <c r="A830" s="614" t="s">
        <v>1277</v>
      </c>
      <c r="B830" s="626" t="s">
        <v>1511</v>
      </c>
      <c r="C830" s="627" t="s">
        <v>1883</v>
      </c>
      <c r="D830" s="628"/>
      <c r="E830" s="629"/>
      <c r="F830" s="573"/>
      <c r="G830" s="487"/>
      <c r="H830" s="573"/>
      <c r="I830" s="487"/>
      <c r="J830" s="573"/>
      <c r="K830" s="487"/>
      <c r="L830" s="573"/>
      <c r="M830" s="573"/>
      <c r="N830" s="456">
        <f t="shared" si="105"/>
        <v>0</v>
      </c>
      <c r="O830" s="487"/>
      <c r="P830" s="487"/>
      <c r="Q830" s="274">
        <f t="shared" si="100"/>
        <v>0</v>
      </c>
      <c r="R830" s="574">
        <f t="shared" si="101"/>
        <v>0</v>
      </c>
      <c r="S830" s="275">
        <f t="shared" si="102"/>
        <v>0</v>
      </c>
      <c r="T830" s="1148"/>
      <c r="U830" s="487"/>
      <c r="V830" s="576"/>
      <c r="W830" s="573"/>
      <c r="X830" s="574">
        <f t="shared" si="106"/>
        <v>0</v>
      </c>
      <c r="Y830" s="487"/>
      <c r="Z830" s="487"/>
      <c r="AA830" s="276">
        <f t="shared" si="107"/>
        <v>0</v>
      </c>
      <c r="AB830" s="573"/>
      <c r="AC830" s="487"/>
      <c r="AD830" s="573"/>
      <c r="AE830" s="487"/>
      <c r="AF830" s="577">
        <f t="shared" si="103"/>
        <v>0</v>
      </c>
      <c r="AG830" s="275">
        <f t="shared" si="104"/>
        <v>0</v>
      </c>
    </row>
    <row r="831" spans="1:33" ht="12" customHeight="1">
      <c r="A831" s="614" t="s">
        <v>1277</v>
      </c>
      <c r="B831" s="626" t="s">
        <v>1412</v>
      </c>
      <c r="C831" s="627" t="s">
        <v>1761</v>
      </c>
      <c r="D831" s="628"/>
      <c r="E831" s="629"/>
      <c r="F831" s="573"/>
      <c r="G831" s="487"/>
      <c r="H831" s="573"/>
      <c r="I831" s="487"/>
      <c r="J831" s="573"/>
      <c r="K831" s="487"/>
      <c r="L831" s="573"/>
      <c r="M831" s="573"/>
      <c r="N831" s="456">
        <f t="shared" si="105"/>
        <v>0</v>
      </c>
      <c r="O831" s="487"/>
      <c r="P831" s="487"/>
      <c r="Q831" s="274">
        <f t="shared" si="100"/>
        <v>0</v>
      </c>
      <c r="R831" s="574">
        <f t="shared" si="101"/>
        <v>0</v>
      </c>
      <c r="S831" s="275">
        <f t="shared" si="102"/>
        <v>0</v>
      </c>
      <c r="T831" s="1148"/>
      <c r="U831" s="487"/>
      <c r="V831" s="576"/>
      <c r="W831" s="573"/>
      <c r="X831" s="574">
        <f t="shared" si="106"/>
        <v>0</v>
      </c>
      <c r="Y831" s="487"/>
      <c r="Z831" s="487"/>
      <c r="AA831" s="276">
        <f t="shared" si="107"/>
        <v>0</v>
      </c>
      <c r="AB831" s="573"/>
      <c r="AC831" s="487"/>
      <c r="AD831" s="573"/>
      <c r="AE831" s="487"/>
      <c r="AF831" s="577">
        <f t="shared" si="103"/>
        <v>0</v>
      </c>
      <c r="AG831" s="275">
        <f t="shared" si="104"/>
        <v>0</v>
      </c>
    </row>
    <row r="832" spans="1:33" ht="12" customHeight="1">
      <c r="A832" s="614" t="s">
        <v>1277</v>
      </c>
      <c r="B832" s="626" t="s">
        <v>1413</v>
      </c>
      <c r="C832" s="627" t="s">
        <v>422</v>
      </c>
      <c r="D832" s="628"/>
      <c r="E832" s="629"/>
      <c r="F832" s="573"/>
      <c r="G832" s="487"/>
      <c r="H832" s="573"/>
      <c r="I832" s="487"/>
      <c r="J832" s="573"/>
      <c r="K832" s="487"/>
      <c r="L832" s="573"/>
      <c r="M832" s="573"/>
      <c r="N832" s="456">
        <f t="shared" si="105"/>
        <v>0</v>
      </c>
      <c r="O832" s="487"/>
      <c r="P832" s="487"/>
      <c r="Q832" s="274">
        <f t="shared" si="100"/>
        <v>0</v>
      </c>
      <c r="R832" s="574">
        <f t="shared" si="101"/>
        <v>0</v>
      </c>
      <c r="S832" s="275">
        <f t="shared" si="102"/>
        <v>0</v>
      </c>
      <c r="T832" s="1149"/>
      <c r="U832" s="487"/>
      <c r="V832" s="576"/>
      <c r="W832" s="573"/>
      <c r="X832" s="574">
        <f t="shared" si="106"/>
        <v>0</v>
      </c>
      <c r="Y832" s="487"/>
      <c r="Z832" s="487"/>
      <c r="AA832" s="276">
        <f t="shared" si="107"/>
        <v>0</v>
      </c>
      <c r="AB832" s="573"/>
      <c r="AC832" s="487"/>
      <c r="AD832" s="573"/>
      <c r="AE832" s="487"/>
      <c r="AF832" s="577">
        <f t="shared" si="103"/>
        <v>0</v>
      </c>
      <c r="AG832" s="275">
        <f t="shared" si="104"/>
        <v>0</v>
      </c>
    </row>
    <row r="833" spans="1:33" ht="12" customHeight="1">
      <c r="A833" s="614" t="s">
        <v>1277</v>
      </c>
      <c r="B833" s="626" t="s">
        <v>1582</v>
      </c>
      <c r="C833" s="627" t="s">
        <v>1883</v>
      </c>
      <c r="D833" s="628"/>
      <c r="E833" s="629"/>
      <c r="F833" s="573"/>
      <c r="G833" s="487"/>
      <c r="H833" s="573"/>
      <c r="I833" s="487"/>
      <c r="J833" s="573"/>
      <c r="K833" s="487"/>
      <c r="L833" s="573"/>
      <c r="M833" s="573"/>
      <c r="N833" s="456">
        <f t="shared" si="105"/>
        <v>0</v>
      </c>
      <c r="O833" s="487"/>
      <c r="P833" s="487"/>
      <c r="Q833" s="274">
        <f t="shared" si="100"/>
        <v>0</v>
      </c>
      <c r="R833" s="574">
        <f t="shared" si="101"/>
        <v>0</v>
      </c>
      <c r="S833" s="275">
        <f t="shared" si="102"/>
        <v>0</v>
      </c>
      <c r="T833" s="575"/>
      <c r="U833" s="487"/>
      <c r="V833" s="576"/>
      <c r="W833" s="573"/>
      <c r="X833" s="574">
        <f t="shared" si="106"/>
        <v>0</v>
      </c>
      <c r="Y833" s="487"/>
      <c r="Z833" s="487"/>
      <c r="AA833" s="276">
        <f t="shared" si="107"/>
        <v>0</v>
      </c>
      <c r="AB833" s="573"/>
      <c r="AC833" s="487"/>
      <c r="AD833" s="573"/>
      <c r="AE833" s="487"/>
      <c r="AF833" s="577">
        <f t="shared" si="103"/>
        <v>0</v>
      </c>
      <c r="AG833" s="275">
        <f t="shared" si="104"/>
        <v>0</v>
      </c>
    </row>
    <row r="834" spans="1:33" ht="12" customHeight="1">
      <c r="A834" s="614" t="s">
        <v>1277</v>
      </c>
      <c r="B834" s="626" t="s">
        <v>1583</v>
      </c>
      <c r="C834" s="627" t="s">
        <v>1761</v>
      </c>
      <c r="D834" s="628"/>
      <c r="E834" s="629"/>
      <c r="F834" s="573"/>
      <c r="G834" s="487"/>
      <c r="H834" s="573"/>
      <c r="I834" s="487"/>
      <c r="J834" s="573"/>
      <c r="K834" s="487"/>
      <c r="L834" s="573"/>
      <c r="M834" s="573"/>
      <c r="N834" s="456">
        <f t="shared" si="105"/>
        <v>0</v>
      </c>
      <c r="O834" s="487"/>
      <c r="P834" s="487"/>
      <c r="Q834" s="274">
        <f t="shared" si="100"/>
        <v>0</v>
      </c>
      <c r="R834" s="574">
        <f t="shared" si="101"/>
        <v>0</v>
      </c>
      <c r="S834" s="275">
        <f t="shared" si="102"/>
        <v>0</v>
      </c>
      <c r="T834" s="575"/>
      <c r="U834" s="487"/>
      <c r="V834" s="576"/>
      <c r="W834" s="573"/>
      <c r="X834" s="574">
        <f t="shared" si="106"/>
        <v>0</v>
      </c>
      <c r="Y834" s="487"/>
      <c r="Z834" s="487"/>
      <c r="AA834" s="276">
        <f t="shared" si="107"/>
        <v>0</v>
      </c>
      <c r="AB834" s="573"/>
      <c r="AC834" s="487"/>
      <c r="AD834" s="573"/>
      <c r="AE834" s="487"/>
      <c r="AF834" s="577">
        <f t="shared" si="103"/>
        <v>0</v>
      </c>
      <c r="AG834" s="275">
        <f t="shared" si="104"/>
        <v>0</v>
      </c>
    </row>
    <row r="835" spans="1:33" ht="12" customHeight="1">
      <c r="A835" s="614" t="s">
        <v>1277</v>
      </c>
      <c r="B835" s="615" t="s">
        <v>1805</v>
      </c>
      <c r="C835" s="249" t="s">
        <v>368</v>
      </c>
      <c r="D835" s="617"/>
      <c r="E835" s="618"/>
      <c r="F835" s="573"/>
      <c r="G835" s="487"/>
      <c r="H835" s="573"/>
      <c r="I835" s="487"/>
      <c r="J835" s="573"/>
      <c r="K835" s="487"/>
      <c r="L835" s="573"/>
      <c r="M835" s="573"/>
      <c r="N835" s="456">
        <f t="shared" si="105"/>
        <v>0</v>
      </c>
      <c r="O835" s="487"/>
      <c r="P835" s="487"/>
      <c r="Q835" s="274">
        <f t="shared" si="100"/>
        <v>0</v>
      </c>
      <c r="R835" s="574">
        <f t="shared" si="101"/>
        <v>0</v>
      </c>
      <c r="S835" s="275">
        <f t="shared" si="102"/>
        <v>0</v>
      </c>
      <c r="T835" s="575"/>
      <c r="U835" s="487"/>
      <c r="V835" s="576"/>
      <c r="W835" s="573"/>
      <c r="X835" s="574">
        <f t="shared" si="106"/>
        <v>0</v>
      </c>
      <c r="Y835" s="487"/>
      <c r="Z835" s="487"/>
      <c r="AA835" s="276">
        <f t="shared" si="107"/>
        <v>0</v>
      </c>
      <c r="AB835" s="573"/>
      <c r="AC835" s="487"/>
      <c r="AD835" s="573"/>
      <c r="AE835" s="487"/>
      <c r="AF835" s="577">
        <f t="shared" si="103"/>
        <v>0</v>
      </c>
      <c r="AG835" s="275">
        <f t="shared" si="104"/>
        <v>0</v>
      </c>
    </row>
    <row r="836" spans="1:33" ht="12" customHeight="1">
      <c r="A836" s="614" t="s">
        <v>1277</v>
      </c>
      <c r="B836" s="626" t="s">
        <v>1882</v>
      </c>
      <c r="C836" s="627" t="s">
        <v>1883</v>
      </c>
      <c r="D836" s="617"/>
      <c r="E836" s="618"/>
      <c r="F836" s="573"/>
      <c r="G836" s="487"/>
      <c r="H836" s="573"/>
      <c r="I836" s="487"/>
      <c r="J836" s="573"/>
      <c r="K836" s="487"/>
      <c r="L836" s="573"/>
      <c r="M836" s="573"/>
      <c r="N836" s="456">
        <f t="shared" si="105"/>
        <v>0</v>
      </c>
      <c r="O836" s="487"/>
      <c r="P836" s="487"/>
      <c r="Q836" s="274">
        <f t="shared" si="100"/>
        <v>0</v>
      </c>
      <c r="R836" s="574">
        <f t="shared" si="101"/>
        <v>0</v>
      </c>
      <c r="S836" s="275">
        <f t="shared" si="102"/>
        <v>0</v>
      </c>
      <c r="T836" s="575"/>
      <c r="U836" s="487"/>
      <c r="V836" s="576"/>
      <c r="W836" s="573"/>
      <c r="X836" s="574">
        <f t="shared" si="106"/>
        <v>0</v>
      </c>
      <c r="Y836" s="487"/>
      <c r="Z836" s="487"/>
      <c r="AA836" s="276">
        <f t="shared" si="107"/>
        <v>0</v>
      </c>
      <c r="AB836" s="573"/>
      <c r="AC836" s="487"/>
      <c r="AD836" s="573"/>
      <c r="AE836" s="487"/>
      <c r="AF836" s="577">
        <f t="shared" si="103"/>
        <v>0</v>
      </c>
      <c r="AG836" s="275">
        <f t="shared" si="104"/>
        <v>0</v>
      </c>
    </row>
    <row r="837" spans="1:33" ht="12" customHeight="1">
      <c r="A837" s="614" t="s">
        <v>1277</v>
      </c>
      <c r="B837" s="626" t="s">
        <v>1763</v>
      </c>
      <c r="C837" s="627" t="s">
        <v>1761</v>
      </c>
      <c r="D837" s="617"/>
      <c r="E837" s="618"/>
      <c r="F837" s="573"/>
      <c r="G837" s="487"/>
      <c r="H837" s="573"/>
      <c r="I837" s="487"/>
      <c r="J837" s="573"/>
      <c r="K837" s="487"/>
      <c r="L837" s="573"/>
      <c r="M837" s="573"/>
      <c r="N837" s="456">
        <f t="shared" si="105"/>
        <v>0</v>
      </c>
      <c r="O837" s="487"/>
      <c r="P837" s="487"/>
      <c r="Q837" s="274">
        <f t="shared" si="100"/>
        <v>0</v>
      </c>
      <c r="R837" s="574">
        <f t="shared" si="101"/>
        <v>0</v>
      </c>
      <c r="S837" s="275">
        <f t="shared" si="102"/>
        <v>0</v>
      </c>
      <c r="T837" s="575">
        <v>1101410</v>
      </c>
      <c r="U837" s="941">
        <v>1997365</v>
      </c>
      <c r="V837" s="576"/>
      <c r="W837" s="573"/>
      <c r="X837" s="574">
        <f t="shared" si="106"/>
        <v>0</v>
      </c>
      <c r="Y837" s="487"/>
      <c r="Z837" s="487"/>
      <c r="AA837" s="276">
        <f t="shared" si="107"/>
        <v>0</v>
      </c>
      <c r="AB837" s="573"/>
      <c r="AC837" s="487"/>
      <c r="AD837" s="573"/>
      <c r="AE837" s="487"/>
      <c r="AF837" s="577">
        <f t="shared" si="103"/>
        <v>1101410</v>
      </c>
      <c r="AG837" s="275">
        <f t="shared" si="104"/>
        <v>1997365</v>
      </c>
    </row>
    <row r="838" spans="1:33" ht="12" customHeight="1">
      <c r="A838" s="614" t="s">
        <v>1277</v>
      </c>
      <c r="B838" s="626" t="s">
        <v>1510</v>
      </c>
      <c r="C838" s="627" t="s">
        <v>421</v>
      </c>
      <c r="D838" s="628"/>
      <c r="E838" s="629"/>
      <c r="F838" s="573"/>
      <c r="G838" s="487"/>
      <c r="H838" s="573"/>
      <c r="I838" s="487"/>
      <c r="J838" s="573"/>
      <c r="K838" s="487"/>
      <c r="L838" s="573"/>
      <c r="M838" s="573"/>
      <c r="N838" s="456">
        <f t="shared" si="105"/>
        <v>0</v>
      </c>
      <c r="O838" s="487"/>
      <c r="P838" s="487"/>
      <c r="Q838" s="274">
        <f t="shared" si="100"/>
        <v>0</v>
      </c>
      <c r="R838" s="574">
        <f t="shared" si="101"/>
        <v>0</v>
      </c>
      <c r="S838" s="275">
        <f t="shared" si="102"/>
        <v>0</v>
      </c>
      <c r="T838" s="1144" t="s">
        <v>150</v>
      </c>
      <c r="U838" s="487"/>
      <c r="V838" s="576"/>
      <c r="W838" s="573"/>
      <c r="X838" s="574">
        <f t="shared" si="106"/>
        <v>0</v>
      </c>
      <c r="Y838" s="487"/>
      <c r="Z838" s="487"/>
      <c r="AA838" s="276">
        <f t="shared" si="107"/>
        <v>0</v>
      </c>
      <c r="AB838" s="573"/>
      <c r="AC838" s="487"/>
      <c r="AD838" s="573"/>
      <c r="AE838" s="487"/>
      <c r="AF838" s="577">
        <f t="shared" si="103"/>
        <v>0</v>
      </c>
      <c r="AG838" s="275">
        <f t="shared" si="104"/>
        <v>0</v>
      </c>
    </row>
    <row r="839" spans="1:33" ht="12" customHeight="1">
      <c r="A839" s="614" t="s">
        <v>1277</v>
      </c>
      <c r="B839" s="626" t="s">
        <v>1511</v>
      </c>
      <c r="C839" s="627" t="s">
        <v>1883</v>
      </c>
      <c r="D839" s="628"/>
      <c r="E839" s="629"/>
      <c r="F839" s="573"/>
      <c r="G839" s="487"/>
      <c r="H839" s="573"/>
      <c r="I839" s="487"/>
      <c r="J839" s="573"/>
      <c r="K839" s="487"/>
      <c r="L839" s="573"/>
      <c r="M839" s="573"/>
      <c r="N839" s="456">
        <f t="shared" si="105"/>
        <v>0</v>
      </c>
      <c r="O839" s="487"/>
      <c r="P839" s="487"/>
      <c r="Q839" s="274">
        <f t="shared" si="100"/>
        <v>0</v>
      </c>
      <c r="R839" s="574">
        <f t="shared" si="101"/>
        <v>0</v>
      </c>
      <c r="S839" s="275">
        <f t="shared" si="102"/>
        <v>0</v>
      </c>
      <c r="T839" s="1148"/>
      <c r="U839" s="487"/>
      <c r="V839" s="576"/>
      <c r="W839" s="573"/>
      <c r="X839" s="574">
        <f t="shared" si="106"/>
        <v>0</v>
      </c>
      <c r="Y839" s="487"/>
      <c r="Z839" s="487"/>
      <c r="AA839" s="276">
        <f t="shared" si="107"/>
        <v>0</v>
      </c>
      <c r="AB839" s="573"/>
      <c r="AC839" s="487"/>
      <c r="AD839" s="573"/>
      <c r="AE839" s="487"/>
      <c r="AF839" s="577">
        <f t="shared" si="103"/>
        <v>0</v>
      </c>
      <c r="AG839" s="275">
        <f t="shared" si="104"/>
        <v>0</v>
      </c>
    </row>
    <row r="840" spans="1:33" ht="12" customHeight="1">
      <c r="A840" s="614" t="s">
        <v>1277</v>
      </c>
      <c r="B840" s="626" t="s">
        <v>1412</v>
      </c>
      <c r="C840" s="627" t="s">
        <v>1761</v>
      </c>
      <c r="D840" s="628"/>
      <c r="E840" s="629"/>
      <c r="F840" s="573"/>
      <c r="G840" s="487"/>
      <c r="H840" s="573"/>
      <c r="I840" s="487"/>
      <c r="J840" s="573"/>
      <c r="K840" s="487"/>
      <c r="L840" s="573"/>
      <c r="M840" s="573"/>
      <c r="N840" s="456">
        <f t="shared" si="105"/>
        <v>0</v>
      </c>
      <c r="O840" s="487"/>
      <c r="P840" s="487"/>
      <c r="Q840" s="274">
        <f t="shared" si="100"/>
        <v>0</v>
      </c>
      <c r="R840" s="574">
        <f t="shared" si="101"/>
        <v>0</v>
      </c>
      <c r="S840" s="275">
        <f t="shared" si="102"/>
        <v>0</v>
      </c>
      <c r="T840" s="1148"/>
      <c r="U840" s="487"/>
      <c r="V840" s="576"/>
      <c r="W840" s="573"/>
      <c r="X840" s="574">
        <f t="shared" si="106"/>
        <v>0</v>
      </c>
      <c r="Y840" s="487"/>
      <c r="Z840" s="487"/>
      <c r="AA840" s="276">
        <f t="shared" si="107"/>
        <v>0</v>
      </c>
      <c r="AB840" s="573"/>
      <c r="AC840" s="487"/>
      <c r="AD840" s="573"/>
      <c r="AE840" s="487"/>
      <c r="AF840" s="577">
        <f t="shared" si="103"/>
        <v>0</v>
      </c>
      <c r="AG840" s="275">
        <f t="shared" si="104"/>
        <v>0</v>
      </c>
    </row>
    <row r="841" spans="1:33" ht="12" customHeight="1">
      <c r="A841" s="614" t="s">
        <v>1277</v>
      </c>
      <c r="B841" s="626" t="s">
        <v>1413</v>
      </c>
      <c r="C841" s="627" t="s">
        <v>422</v>
      </c>
      <c r="D841" s="628"/>
      <c r="E841" s="629"/>
      <c r="F841" s="573"/>
      <c r="G841" s="487"/>
      <c r="H841" s="573"/>
      <c r="I841" s="487"/>
      <c r="J841" s="573"/>
      <c r="K841" s="487"/>
      <c r="L841" s="573"/>
      <c r="M841" s="573"/>
      <c r="N841" s="456">
        <f t="shared" si="105"/>
        <v>0</v>
      </c>
      <c r="O841" s="487"/>
      <c r="P841" s="487"/>
      <c r="Q841" s="274">
        <f t="shared" si="100"/>
        <v>0</v>
      </c>
      <c r="R841" s="574">
        <f t="shared" si="101"/>
        <v>0</v>
      </c>
      <c r="S841" s="275">
        <f t="shared" si="102"/>
        <v>0</v>
      </c>
      <c r="T841" s="1149"/>
      <c r="U841" s="487"/>
      <c r="V841" s="576"/>
      <c r="W841" s="573"/>
      <c r="X841" s="574">
        <f t="shared" si="106"/>
        <v>0</v>
      </c>
      <c r="Y841" s="487"/>
      <c r="Z841" s="487"/>
      <c r="AA841" s="276">
        <f t="shared" si="107"/>
        <v>0</v>
      </c>
      <c r="AB841" s="573"/>
      <c r="AC841" s="487"/>
      <c r="AD841" s="573"/>
      <c r="AE841" s="487"/>
      <c r="AF841" s="577">
        <f t="shared" si="103"/>
        <v>0</v>
      </c>
      <c r="AG841" s="275">
        <f t="shared" si="104"/>
        <v>0</v>
      </c>
    </row>
    <row r="842" spans="1:33" ht="12" customHeight="1">
      <c r="A842" s="614" t="s">
        <v>1277</v>
      </c>
      <c r="B842" s="626" t="s">
        <v>1582</v>
      </c>
      <c r="C842" s="627" t="s">
        <v>1883</v>
      </c>
      <c r="D842" s="628"/>
      <c r="E842" s="629"/>
      <c r="F842" s="573"/>
      <c r="G842" s="487"/>
      <c r="H842" s="573"/>
      <c r="I842" s="487"/>
      <c r="J842" s="573"/>
      <c r="K842" s="487"/>
      <c r="L842" s="573"/>
      <c r="M842" s="573"/>
      <c r="N842" s="456">
        <f t="shared" si="105"/>
        <v>0</v>
      </c>
      <c r="O842" s="487"/>
      <c r="P842" s="487"/>
      <c r="Q842" s="274">
        <f t="shared" ref="Q842:Q905" si="108">SUM(O842:P842)</f>
        <v>0</v>
      </c>
      <c r="R842" s="574">
        <f t="shared" ref="R842:R905" si="109">SUM(F842,H842,J842,L842)</f>
        <v>0</v>
      </c>
      <c r="S842" s="275">
        <f t="shared" ref="S842:S905" si="110">SUM(G842,I842,K842,O842)</f>
        <v>0</v>
      </c>
      <c r="T842" s="575"/>
      <c r="U842" s="487"/>
      <c r="V842" s="576"/>
      <c r="W842" s="573"/>
      <c r="X842" s="574">
        <f t="shared" si="106"/>
        <v>0</v>
      </c>
      <c r="Y842" s="487"/>
      <c r="Z842" s="487"/>
      <c r="AA842" s="276">
        <f t="shared" si="107"/>
        <v>0</v>
      </c>
      <c r="AB842" s="573"/>
      <c r="AC842" s="487"/>
      <c r="AD842" s="573"/>
      <c r="AE842" s="487"/>
      <c r="AF842" s="577">
        <f t="shared" ref="AF842:AF905" si="111">SUM(R842,T842,V842,AB842,AD842)</f>
        <v>0</v>
      </c>
      <c r="AG842" s="275">
        <f t="shared" ref="AG842:AG905" si="112">SUM(S842,U842,Y842,AC842,AE842)</f>
        <v>0</v>
      </c>
    </row>
    <row r="843" spans="1:33" ht="12" customHeight="1">
      <c r="A843" s="614" t="s">
        <v>1277</v>
      </c>
      <c r="B843" s="626" t="s">
        <v>1583</v>
      </c>
      <c r="C843" s="627" t="s">
        <v>1761</v>
      </c>
      <c r="D843" s="628"/>
      <c r="E843" s="629"/>
      <c r="F843" s="573"/>
      <c r="G843" s="487"/>
      <c r="H843" s="573"/>
      <c r="I843" s="487"/>
      <c r="J843" s="573"/>
      <c r="K843" s="487"/>
      <c r="L843" s="573"/>
      <c r="M843" s="573"/>
      <c r="N843" s="456">
        <f t="shared" si="105"/>
        <v>0</v>
      </c>
      <c r="O843" s="487"/>
      <c r="P843" s="487"/>
      <c r="Q843" s="274">
        <f t="shared" si="108"/>
        <v>0</v>
      </c>
      <c r="R843" s="574">
        <f t="shared" si="109"/>
        <v>0</v>
      </c>
      <c r="S843" s="275">
        <f t="shared" si="110"/>
        <v>0</v>
      </c>
      <c r="T843" s="575"/>
      <c r="U843" s="487"/>
      <c r="V843" s="576"/>
      <c r="W843" s="573"/>
      <c r="X843" s="574">
        <f t="shared" si="106"/>
        <v>0</v>
      </c>
      <c r="Y843" s="487"/>
      <c r="Z843" s="487"/>
      <c r="AA843" s="276">
        <f t="shared" si="107"/>
        <v>0</v>
      </c>
      <c r="AB843" s="573"/>
      <c r="AC843" s="487"/>
      <c r="AD843" s="573"/>
      <c r="AE843" s="487"/>
      <c r="AF843" s="577">
        <f t="shared" si="111"/>
        <v>0</v>
      </c>
      <c r="AG843" s="275">
        <f t="shared" si="112"/>
        <v>0</v>
      </c>
    </row>
    <row r="844" spans="1:33" ht="12" customHeight="1">
      <c r="A844" s="614" t="s">
        <v>1277</v>
      </c>
      <c r="B844" s="615" t="s">
        <v>1805</v>
      </c>
      <c r="C844" s="249" t="s">
        <v>369</v>
      </c>
      <c r="D844" s="617"/>
      <c r="E844" s="618"/>
      <c r="F844" s="573"/>
      <c r="G844" s="487"/>
      <c r="H844" s="573"/>
      <c r="I844" s="487"/>
      <c r="J844" s="573"/>
      <c r="K844" s="487"/>
      <c r="L844" s="573"/>
      <c r="M844" s="573"/>
      <c r="N844" s="456">
        <f t="shared" si="105"/>
        <v>0</v>
      </c>
      <c r="O844" s="487"/>
      <c r="P844" s="487"/>
      <c r="Q844" s="274">
        <f t="shared" si="108"/>
        <v>0</v>
      </c>
      <c r="R844" s="574">
        <f t="shared" si="109"/>
        <v>0</v>
      </c>
      <c r="S844" s="275">
        <f t="shared" si="110"/>
        <v>0</v>
      </c>
      <c r="T844" s="575">
        <v>500000</v>
      </c>
      <c r="U844" s="941">
        <v>500000</v>
      </c>
      <c r="V844" s="576"/>
      <c r="W844" s="573"/>
      <c r="X844" s="574">
        <f t="shared" si="106"/>
        <v>0</v>
      </c>
      <c r="Y844" s="487"/>
      <c r="Z844" s="487"/>
      <c r="AA844" s="276">
        <f t="shared" si="107"/>
        <v>0</v>
      </c>
      <c r="AB844" s="573"/>
      <c r="AC844" s="487"/>
      <c r="AD844" s="573"/>
      <c r="AE844" s="487"/>
      <c r="AF844" s="577">
        <f t="shared" si="111"/>
        <v>500000</v>
      </c>
      <c r="AG844" s="275">
        <f t="shared" si="112"/>
        <v>500000</v>
      </c>
    </row>
    <row r="845" spans="1:33" ht="12" customHeight="1">
      <c r="A845" s="614" t="s">
        <v>1277</v>
      </c>
      <c r="B845" s="626" t="s">
        <v>1882</v>
      </c>
      <c r="C845" s="627" t="s">
        <v>1883</v>
      </c>
      <c r="D845" s="617"/>
      <c r="E845" s="618"/>
      <c r="F845" s="573"/>
      <c r="G845" s="487"/>
      <c r="H845" s="573"/>
      <c r="I845" s="487"/>
      <c r="J845" s="573"/>
      <c r="K845" s="487"/>
      <c r="L845" s="573"/>
      <c r="M845" s="573"/>
      <c r="N845" s="456">
        <f t="shared" si="105"/>
        <v>0</v>
      </c>
      <c r="O845" s="487"/>
      <c r="P845" s="487"/>
      <c r="Q845" s="274">
        <f t="shared" si="108"/>
        <v>0</v>
      </c>
      <c r="R845" s="574">
        <f t="shared" si="109"/>
        <v>0</v>
      </c>
      <c r="S845" s="275">
        <f t="shared" si="110"/>
        <v>0</v>
      </c>
      <c r="T845" s="1144" t="s">
        <v>1224</v>
      </c>
      <c r="U845" s="487"/>
      <c r="V845" s="576"/>
      <c r="W845" s="573"/>
      <c r="X845" s="574">
        <f t="shared" si="106"/>
        <v>0</v>
      </c>
      <c r="Y845" s="487"/>
      <c r="Z845" s="487"/>
      <c r="AA845" s="276">
        <f t="shared" si="107"/>
        <v>0</v>
      </c>
      <c r="AB845" s="573"/>
      <c r="AC845" s="487"/>
      <c r="AD845" s="573"/>
      <c r="AE845" s="487"/>
      <c r="AF845" s="577">
        <f t="shared" si="111"/>
        <v>0</v>
      </c>
      <c r="AG845" s="275">
        <f t="shared" si="112"/>
        <v>0</v>
      </c>
    </row>
    <row r="846" spans="1:33" ht="12" customHeight="1">
      <c r="A846" s="614" t="s">
        <v>1277</v>
      </c>
      <c r="B846" s="626" t="s">
        <v>1763</v>
      </c>
      <c r="C846" s="627" t="s">
        <v>1761</v>
      </c>
      <c r="D846" s="617"/>
      <c r="E846" s="618"/>
      <c r="F846" s="573"/>
      <c r="G846" s="487"/>
      <c r="H846" s="573"/>
      <c r="I846" s="487"/>
      <c r="J846" s="573"/>
      <c r="K846" s="487"/>
      <c r="L846" s="573"/>
      <c r="M846" s="573"/>
      <c r="N846" s="456">
        <f t="shared" si="105"/>
        <v>0</v>
      </c>
      <c r="O846" s="487"/>
      <c r="P846" s="487"/>
      <c r="Q846" s="274">
        <f t="shared" si="108"/>
        <v>0</v>
      </c>
      <c r="R846" s="574">
        <f t="shared" si="109"/>
        <v>0</v>
      </c>
      <c r="S846" s="275">
        <f t="shared" si="110"/>
        <v>0</v>
      </c>
      <c r="T846" s="1148"/>
      <c r="U846" s="487"/>
      <c r="V846" s="576"/>
      <c r="W846" s="573"/>
      <c r="X846" s="574">
        <f t="shared" si="106"/>
        <v>0</v>
      </c>
      <c r="Y846" s="487"/>
      <c r="Z846" s="487"/>
      <c r="AA846" s="276">
        <f t="shared" si="107"/>
        <v>0</v>
      </c>
      <c r="AB846" s="573"/>
      <c r="AC846" s="487"/>
      <c r="AD846" s="573"/>
      <c r="AE846" s="487"/>
      <c r="AF846" s="577">
        <f t="shared" si="111"/>
        <v>0</v>
      </c>
      <c r="AG846" s="275">
        <f t="shared" si="112"/>
        <v>0</v>
      </c>
    </row>
    <row r="847" spans="1:33" ht="12" customHeight="1">
      <c r="A847" s="614" t="s">
        <v>1277</v>
      </c>
      <c r="B847" s="626" t="s">
        <v>1510</v>
      </c>
      <c r="C847" s="627" t="s">
        <v>421</v>
      </c>
      <c r="D847" s="628"/>
      <c r="E847" s="629"/>
      <c r="F847" s="573"/>
      <c r="G847" s="487"/>
      <c r="H847" s="573"/>
      <c r="I847" s="487"/>
      <c r="J847" s="573"/>
      <c r="K847" s="487"/>
      <c r="L847" s="573"/>
      <c r="M847" s="573"/>
      <c r="N847" s="456">
        <f t="shared" si="105"/>
        <v>0</v>
      </c>
      <c r="O847" s="487"/>
      <c r="P847" s="487"/>
      <c r="Q847" s="274">
        <f t="shared" si="108"/>
        <v>0</v>
      </c>
      <c r="R847" s="574">
        <f t="shared" si="109"/>
        <v>0</v>
      </c>
      <c r="S847" s="275">
        <f t="shared" si="110"/>
        <v>0</v>
      </c>
      <c r="T847" s="1148"/>
      <c r="U847" s="487"/>
      <c r="V847" s="576"/>
      <c r="W847" s="573"/>
      <c r="X847" s="574">
        <f t="shared" si="106"/>
        <v>0</v>
      </c>
      <c r="Y847" s="487"/>
      <c r="Z847" s="487"/>
      <c r="AA847" s="276">
        <f t="shared" si="107"/>
        <v>0</v>
      </c>
      <c r="AB847" s="573"/>
      <c r="AC847" s="487"/>
      <c r="AD847" s="573"/>
      <c r="AE847" s="487"/>
      <c r="AF847" s="577">
        <f t="shared" si="111"/>
        <v>0</v>
      </c>
      <c r="AG847" s="275">
        <f t="shared" si="112"/>
        <v>0</v>
      </c>
    </row>
    <row r="848" spans="1:33" ht="12" customHeight="1">
      <c r="A848" s="614" t="s">
        <v>1277</v>
      </c>
      <c r="B848" s="626" t="s">
        <v>1511</v>
      </c>
      <c r="C848" s="627" t="s">
        <v>1883</v>
      </c>
      <c r="D848" s="628"/>
      <c r="E848" s="629"/>
      <c r="F848" s="573"/>
      <c r="G848" s="487"/>
      <c r="H848" s="573"/>
      <c r="I848" s="487"/>
      <c r="J848" s="573"/>
      <c r="K848" s="487"/>
      <c r="L848" s="573"/>
      <c r="M848" s="573"/>
      <c r="N848" s="456">
        <f t="shared" si="105"/>
        <v>0</v>
      </c>
      <c r="O848" s="487"/>
      <c r="P848" s="487"/>
      <c r="Q848" s="274">
        <f t="shared" si="108"/>
        <v>0</v>
      </c>
      <c r="R848" s="574">
        <f t="shared" si="109"/>
        <v>0</v>
      </c>
      <c r="S848" s="275">
        <f t="shared" si="110"/>
        <v>0</v>
      </c>
      <c r="T848" s="1148"/>
      <c r="U848" s="487"/>
      <c r="V848" s="576"/>
      <c r="W848" s="573"/>
      <c r="X848" s="574">
        <f t="shared" si="106"/>
        <v>0</v>
      </c>
      <c r="Y848" s="487"/>
      <c r="Z848" s="487"/>
      <c r="AA848" s="276">
        <f t="shared" si="107"/>
        <v>0</v>
      </c>
      <c r="AB848" s="573"/>
      <c r="AC848" s="487"/>
      <c r="AD848" s="573"/>
      <c r="AE848" s="487"/>
      <c r="AF848" s="577">
        <f t="shared" si="111"/>
        <v>0</v>
      </c>
      <c r="AG848" s="275">
        <f t="shared" si="112"/>
        <v>0</v>
      </c>
    </row>
    <row r="849" spans="1:33" ht="12" customHeight="1">
      <c r="A849" s="614" t="s">
        <v>1277</v>
      </c>
      <c r="B849" s="626" t="s">
        <v>1412</v>
      </c>
      <c r="C849" s="627" t="s">
        <v>1761</v>
      </c>
      <c r="D849" s="628"/>
      <c r="E849" s="629"/>
      <c r="F849" s="573"/>
      <c r="G849" s="487"/>
      <c r="H849" s="573"/>
      <c r="I849" s="487"/>
      <c r="J849" s="573"/>
      <c r="K849" s="487"/>
      <c r="L849" s="573"/>
      <c r="M849" s="573"/>
      <c r="N849" s="456">
        <f t="shared" si="105"/>
        <v>0</v>
      </c>
      <c r="O849" s="487"/>
      <c r="P849" s="487"/>
      <c r="Q849" s="274">
        <f t="shared" si="108"/>
        <v>0</v>
      </c>
      <c r="R849" s="574">
        <f t="shared" si="109"/>
        <v>0</v>
      </c>
      <c r="S849" s="275">
        <f t="shared" si="110"/>
        <v>0</v>
      </c>
      <c r="T849" s="1148"/>
      <c r="U849" s="487"/>
      <c r="V849" s="576"/>
      <c r="W849" s="573"/>
      <c r="X849" s="574">
        <f t="shared" si="106"/>
        <v>0</v>
      </c>
      <c r="Y849" s="487"/>
      <c r="Z849" s="487"/>
      <c r="AA849" s="276">
        <f t="shared" si="107"/>
        <v>0</v>
      </c>
      <c r="AB849" s="573"/>
      <c r="AC849" s="487"/>
      <c r="AD849" s="573"/>
      <c r="AE849" s="487"/>
      <c r="AF849" s="577">
        <f t="shared" si="111"/>
        <v>0</v>
      </c>
      <c r="AG849" s="275">
        <f t="shared" si="112"/>
        <v>0</v>
      </c>
    </row>
    <row r="850" spans="1:33" ht="12" customHeight="1">
      <c r="A850" s="614" t="s">
        <v>1277</v>
      </c>
      <c r="B850" s="626" t="s">
        <v>1413</v>
      </c>
      <c r="C850" s="627" t="s">
        <v>422</v>
      </c>
      <c r="D850" s="628"/>
      <c r="E850" s="629"/>
      <c r="F850" s="573"/>
      <c r="G850" s="487"/>
      <c r="H850" s="573"/>
      <c r="I850" s="487"/>
      <c r="J850" s="573"/>
      <c r="K850" s="487"/>
      <c r="L850" s="573"/>
      <c r="M850" s="573"/>
      <c r="N850" s="456">
        <f t="shared" si="105"/>
        <v>0</v>
      </c>
      <c r="O850" s="487"/>
      <c r="P850" s="487"/>
      <c r="Q850" s="274">
        <f t="shared" si="108"/>
        <v>0</v>
      </c>
      <c r="R850" s="574">
        <f t="shared" si="109"/>
        <v>0</v>
      </c>
      <c r="S850" s="275">
        <f t="shared" si="110"/>
        <v>0</v>
      </c>
      <c r="T850" s="1149"/>
      <c r="U850" s="487"/>
      <c r="V850" s="576"/>
      <c r="W850" s="573"/>
      <c r="X850" s="574">
        <f t="shared" si="106"/>
        <v>0</v>
      </c>
      <c r="Y850" s="487"/>
      <c r="Z850" s="487"/>
      <c r="AA850" s="276">
        <f t="shared" si="107"/>
        <v>0</v>
      </c>
      <c r="AB850" s="573"/>
      <c r="AC850" s="487"/>
      <c r="AD850" s="573"/>
      <c r="AE850" s="487"/>
      <c r="AF850" s="577">
        <f t="shared" si="111"/>
        <v>0</v>
      </c>
      <c r="AG850" s="275">
        <f t="shared" si="112"/>
        <v>0</v>
      </c>
    </row>
    <row r="851" spans="1:33" ht="12" customHeight="1">
      <c r="A851" s="614" t="s">
        <v>1277</v>
      </c>
      <c r="B851" s="626" t="s">
        <v>1582</v>
      </c>
      <c r="C851" s="627" t="s">
        <v>1883</v>
      </c>
      <c r="D851" s="628"/>
      <c r="E851" s="629"/>
      <c r="F851" s="573"/>
      <c r="G851" s="487"/>
      <c r="H851" s="573"/>
      <c r="I851" s="487"/>
      <c r="J851" s="573"/>
      <c r="K851" s="487"/>
      <c r="L851" s="573"/>
      <c r="M851" s="573"/>
      <c r="N851" s="456">
        <f t="shared" ref="N851:N914" si="113">SUM(L851:M851)</f>
        <v>0</v>
      </c>
      <c r="O851" s="487"/>
      <c r="P851" s="487"/>
      <c r="Q851" s="274">
        <f t="shared" si="108"/>
        <v>0</v>
      </c>
      <c r="R851" s="574">
        <f t="shared" si="109"/>
        <v>0</v>
      </c>
      <c r="S851" s="275">
        <f t="shared" si="110"/>
        <v>0</v>
      </c>
      <c r="T851" s="575"/>
      <c r="U851" s="487"/>
      <c r="V851" s="576"/>
      <c r="W851" s="573"/>
      <c r="X851" s="574">
        <f t="shared" ref="X851:X914" si="114">SUM(V851:W851)</f>
        <v>0</v>
      </c>
      <c r="Y851" s="487"/>
      <c r="Z851" s="487"/>
      <c r="AA851" s="276">
        <f t="shared" ref="AA851:AA914" si="115">SUM(Y851:Z851)</f>
        <v>0</v>
      </c>
      <c r="AB851" s="573"/>
      <c r="AC851" s="487"/>
      <c r="AD851" s="573"/>
      <c r="AE851" s="487"/>
      <c r="AF851" s="577">
        <f t="shared" si="111"/>
        <v>0</v>
      </c>
      <c r="AG851" s="275">
        <f t="shared" si="112"/>
        <v>0</v>
      </c>
    </row>
    <row r="852" spans="1:33" ht="12" customHeight="1">
      <c r="A852" s="614" t="s">
        <v>1277</v>
      </c>
      <c r="B852" s="626" t="s">
        <v>1583</v>
      </c>
      <c r="C852" s="627" t="s">
        <v>1761</v>
      </c>
      <c r="D852" s="628"/>
      <c r="E852" s="629"/>
      <c r="F852" s="573"/>
      <c r="G852" s="487"/>
      <c r="H852" s="573"/>
      <c r="I852" s="487"/>
      <c r="J852" s="573"/>
      <c r="K852" s="487"/>
      <c r="L852" s="573"/>
      <c r="M852" s="573"/>
      <c r="N852" s="456">
        <f t="shared" si="113"/>
        <v>0</v>
      </c>
      <c r="O852" s="487"/>
      <c r="P852" s="487"/>
      <c r="Q852" s="274">
        <f t="shared" si="108"/>
        <v>0</v>
      </c>
      <c r="R852" s="574">
        <f t="shared" si="109"/>
        <v>0</v>
      </c>
      <c r="S852" s="275">
        <f t="shared" si="110"/>
        <v>0</v>
      </c>
      <c r="T852" s="575"/>
      <c r="U852" s="487"/>
      <c r="V852" s="576"/>
      <c r="W852" s="573"/>
      <c r="X852" s="574">
        <f t="shared" si="114"/>
        <v>0</v>
      </c>
      <c r="Y852" s="487"/>
      <c r="Z852" s="487"/>
      <c r="AA852" s="276">
        <f t="shared" si="115"/>
        <v>0</v>
      </c>
      <c r="AB852" s="573"/>
      <c r="AC852" s="487"/>
      <c r="AD852" s="573"/>
      <c r="AE852" s="487"/>
      <c r="AF852" s="577">
        <f t="shared" si="111"/>
        <v>0</v>
      </c>
      <c r="AG852" s="275">
        <f t="shared" si="112"/>
        <v>0</v>
      </c>
    </row>
    <row r="853" spans="1:33" ht="12" customHeight="1">
      <c r="A853" s="614" t="s">
        <v>1277</v>
      </c>
      <c r="B853" s="615" t="s">
        <v>1805</v>
      </c>
      <c r="C853" s="249" t="s">
        <v>370</v>
      </c>
      <c r="D853" s="617"/>
      <c r="E853" s="618"/>
      <c r="F853" s="573"/>
      <c r="G853" s="487"/>
      <c r="H853" s="573"/>
      <c r="I853" s="487"/>
      <c r="J853" s="573"/>
      <c r="K853" s="487"/>
      <c r="L853" s="573"/>
      <c r="M853" s="573"/>
      <c r="N853" s="456">
        <f t="shared" si="113"/>
        <v>0</v>
      </c>
      <c r="O853" s="487"/>
      <c r="P853" s="487"/>
      <c r="Q853" s="274">
        <f t="shared" si="108"/>
        <v>0</v>
      </c>
      <c r="R853" s="574">
        <f t="shared" si="109"/>
        <v>0</v>
      </c>
      <c r="S853" s="275">
        <f t="shared" si="110"/>
        <v>0</v>
      </c>
      <c r="T853" s="1144" t="s">
        <v>1230</v>
      </c>
      <c r="U853" s="487"/>
      <c r="V853" s="576"/>
      <c r="W853" s="573"/>
      <c r="X853" s="574">
        <f t="shared" si="114"/>
        <v>0</v>
      </c>
      <c r="Y853" s="487"/>
      <c r="Z853" s="487"/>
      <c r="AA853" s="276">
        <f t="shared" si="115"/>
        <v>0</v>
      </c>
      <c r="AB853" s="573"/>
      <c r="AC853" s="487"/>
      <c r="AD853" s="573"/>
      <c r="AE853" s="487"/>
      <c r="AF853" s="577">
        <f t="shared" si="111"/>
        <v>0</v>
      </c>
      <c r="AG853" s="275">
        <f t="shared" si="112"/>
        <v>0</v>
      </c>
    </row>
    <row r="854" spans="1:33" ht="12" customHeight="1">
      <c r="A854" s="614" t="s">
        <v>1277</v>
      </c>
      <c r="B854" s="626" t="s">
        <v>1882</v>
      </c>
      <c r="C854" s="627" t="s">
        <v>1883</v>
      </c>
      <c r="D854" s="617"/>
      <c r="E854" s="618"/>
      <c r="F854" s="573"/>
      <c r="G854" s="487"/>
      <c r="H854" s="573"/>
      <c r="I854" s="487"/>
      <c r="J854" s="573"/>
      <c r="K854" s="487"/>
      <c r="L854" s="573"/>
      <c r="M854" s="573"/>
      <c r="N854" s="456">
        <f t="shared" si="113"/>
        <v>0</v>
      </c>
      <c r="O854" s="487"/>
      <c r="P854" s="487"/>
      <c r="Q854" s="274">
        <f t="shared" si="108"/>
        <v>0</v>
      </c>
      <c r="R854" s="574">
        <f t="shared" si="109"/>
        <v>0</v>
      </c>
      <c r="S854" s="275">
        <f t="shared" si="110"/>
        <v>0</v>
      </c>
      <c r="T854" s="1148"/>
      <c r="U854" s="941">
        <v>1569922</v>
      </c>
      <c r="V854" s="576"/>
      <c r="W854" s="573"/>
      <c r="X854" s="574">
        <f t="shared" si="114"/>
        <v>0</v>
      </c>
      <c r="Y854" s="487"/>
      <c r="Z854" s="487"/>
      <c r="AA854" s="276">
        <f t="shared" si="115"/>
        <v>0</v>
      </c>
      <c r="AB854" s="573"/>
      <c r="AC854" s="487"/>
      <c r="AD854" s="573"/>
      <c r="AE854" s="487"/>
      <c r="AF854" s="577">
        <f t="shared" si="111"/>
        <v>0</v>
      </c>
      <c r="AG854" s="275">
        <f t="shared" si="112"/>
        <v>1569922</v>
      </c>
    </row>
    <row r="855" spans="1:33" ht="12" customHeight="1">
      <c r="A855" s="614" t="s">
        <v>1277</v>
      </c>
      <c r="B855" s="626" t="s">
        <v>1763</v>
      </c>
      <c r="C855" s="627" t="s">
        <v>1761</v>
      </c>
      <c r="D855" s="617"/>
      <c r="E855" s="618"/>
      <c r="F855" s="573"/>
      <c r="G855" s="487"/>
      <c r="H855" s="573"/>
      <c r="I855" s="487"/>
      <c r="J855" s="573"/>
      <c r="K855" s="487"/>
      <c r="L855" s="573"/>
      <c r="M855" s="573"/>
      <c r="N855" s="456">
        <f t="shared" si="113"/>
        <v>0</v>
      </c>
      <c r="O855" s="487"/>
      <c r="P855" s="487"/>
      <c r="Q855" s="274">
        <f t="shared" si="108"/>
        <v>0</v>
      </c>
      <c r="R855" s="574">
        <f t="shared" si="109"/>
        <v>0</v>
      </c>
      <c r="S855" s="275">
        <f t="shared" si="110"/>
        <v>0</v>
      </c>
      <c r="T855" s="1148"/>
      <c r="U855" s="487"/>
      <c r="V855" s="576"/>
      <c r="W855" s="573"/>
      <c r="X855" s="574">
        <f t="shared" si="114"/>
        <v>0</v>
      </c>
      <c r="Y855" s="487"/>
      <c r="Z855" s="487"/>
      <c r="AA855" s="276">
        <f t="shared" si="115"/>
        <v>0</v>
      </c>
      <c r="AB855" s="573"/>
      <c r="AC855" s="487"/>
      <c r="AD855" s="573"/>
      <c r="AE855" s="487"/>
      <c r="AF855" s="577">
        <f t="shared" si="111"/>
        <v>0</v>
      </c>
      <c r="AG855" s="275">
        <f t="shared" si="112"/>
        <v>0</v>
      </c>
    </row>
    <row r="856" spans="1:33" ht="12" customHeight="1">
      <c r="A856" s="614" t="s">
        <v>1277</v>
      </c>
      <c r="B856" s="626" t="s">
        <v>1510</v>
      </c>
      <c r="C856" s="627" t="s">
        <v>421</v>
      </c>
      <c r="D856" s="628"/>
      <c r="E856" s="629"/>
      <c r="F856" s="573"/>
      <c r="G856" s="487"/>
      <c r="H856" s="573"/>
      <c r="I856" s="487"/>
      <c r="J856" s="573"/>
      <c r="K856" s="487"/>
      <c r="L856" s="573"/>
      <c r="M856" s="573"/>
      <c r="N856" s="456">
        <f t="shared" si="113"/>
        <v>0</v>
      </c>
      <c r="O856" s="487"/>
      <c r="P856" s="487"/>
      <c r="Q856" s="274">
        <f t="shared" si="108"/>
        <v>0</v>
      </c>
      <c r="R856" s="574">
        <f t="shared" si="109"/>
        <v>0</v>
      </c>
      <c r="S856" s="275">
        <f t="shared" si="110"/>
        <v>0</v>
      </c>
      <c r="T856" s="1148"/>
      <c r="U856" s="487"/>
      <c r="V856" s="576"/>
      <c r="W856" s="573"/>
      <c r="X856" s="574">
        <f t="shared" si="114"/>
        <v>0</v>
      </c>
      <c r="Y856" s="487"/>
      <c r="Z856" s="487"/>
      <c r="AA856" s="276">
        <f t="shared" si="115"/>
        <v>0</v>
      </c>
      <c r="AB856" s="573"/>
      <c r="AC856" s="487"/>
      <c r="AD856" s="573"/>
      <c r="AE856" s="487"/>
      <c r="AF856" s="577">
        <f t="shared" si="111"/>
        <v>0</v>
      </c>
      <c r="AG856" s="275">
        <f t="shared" si="112"/>
        <v>0</v>
      </c>
    </row>
    <row r="857" spans="1:33" ht="12" customHeight="1">
      <c r="A857" s="614" t="s">
        <v>1277</v>
      </c>
      <c r="B857" s="626" t="s">
        <v>1511</v>
      </c>
      <c r="C857" s="627" t="s">
        <v>1883</v>
      </c>
      <c r="D857" s="628"/>
      <c r="E857" s="629"/>
      <c r="F857" s="573"/>
      <c r="G857" s="487"/>
      <c r="H857" s="573"/>
      <c r="I857" s="487"/>
      <c r="J857" s="573"/>
      <c r="K857" s="487"/>
      <c r="L857" s="573"/>
      <c r="M857" s="573"/>
      <c r="N857" s="456">
        <f t="shared" si="113"/>
        <v>0</v>
      </c>
      <c r="O857" s="487"/>
      <c r="P857" s="487"/>
      <c r="Q857" s="274">
        <f t="shared" si="108"/>
        <v>0</v>
      </c>
      <c r="R857" s="574">
        <f t="shared" si="109"/>
        <v>0</v>
      </c>
      <c r="S857" s="275">
        <f t="shared" si="110"/>
        <v>0</v>
      </c>
      <c r="T857" s="1148"/>
      <c r="U857" s="487"/>
      <c r="V857" s="576"/>
      <c r="W857" s="573"/>
      <c r="X857" s="574">
        <f t="shared" si="114"/>
        <v>0</v>
      </c>
      <c r="Y857" s="487"/>
      <c r="Z857" s="487"/>
      <c r="AA857" s="276">
        <f t="shared" si="115"/>
        <v>0</v>
      </c>
      <c r="AB857" s="573"/>
      <c r="AC857" s="487"/>
      <c r="AD857" s="573"/>
      <c r="AE857" s="487"/>
      <c r="AF857" s="577">
        <f t="shared" si="111"/>
        <v>0</v>
      </c>
      <c r="AG857" s="275">
        <f t="shared" si="112"/>
        <v>0</v>
      </c>
    </row>
    <row r="858" spans="1:33" ht="12" customHeight="1">
      <c r="A858" s="614" t="s">
        <v>1277</v>
      </c>
      <c r="B858" s="626" t="s">
        <v>1412</v>
      </c>
      <c r="C858" s="627" t="s">
        <v>1761</v>
      </c>
      <c r="D858" s="628"/>
      <c r="E858" s="629"/>
      <c r="F858" s="573"/>
      <c r="G858" s="487"/>
      <c r="H858" s="573"/>
      <c r="I858" s="487"/>
      <c r="J858" s="573"/>
      <c r="K858" s="487"/>
      <c r="L858" s="573"/>
      <c r="M858" s="573"/>
      <c r="N858" s="456">
        <f t="shared" si="113"/>
        <v>0</v>
      </c>
      <c r="O858" s="487"/>
      <c r="P858" s="487"/>
      <c r="Q858" s="274">
        <f t="shared" si="108"/>
        <v>0</v>
      </c>
      <c r="R858" s="574">
        <f t="shared" si="109"/>
        <v>0</v>
      </c>
      <c r="S858" s="275">
        <f t="shared" si="110"/>
        <v>0</v>
      </c>
      <c r="T858" s="1148"/>
      <c r="U858" s="487"/>
      <c r="V858" s="576"/>
      <c r="W858" s="573"/>
      <c r="X858" s="574">
        <f t="shared" si="114"/>
        <v>0</v>
      </c>
      <c r="Y858" s="487"/>
      <c r="Z858" s="487"/>
      <c r="AA858" s="276">
        <f t="shared" si="115"/>
        <v>0</v>
      </c>
      <c r="AB858" s="573"/>
      <c r="AC858" s="487"/>
      <c r="AD858" s="573"/>
      <c r="AE858" s="487"/>
      <c r="AF858" s="577">
        <f t="shared" si="111"/>
        <v>0</v>
      </c>
      <c r="AG858" s="275">
        <f t="shared" si="112"/>
        <v>0</v>
      </c>
    </row>
    <row r="859" spans="1:33" ht="12" customHeight="1">
      <c r="A859" s="614" t="s">
        <v>1277</v>
      </c>
      <c r="B859" s="626" t="s">
        <v>1413</v>
      </c>
      <c r="C859" s="627" t="s">
        <v>422</v>
      </c>
      <c r="D859" s="628"/>
      <c r="E859" s="629"/>
      <c r="F859" s="573"/>
      <c r="G859" s="487"/>
      <c r="H859" s="573"/>
      <c r="I859" s="487"/>
      <c r="J859" s="573"/>
      <c r="K859" s="487"/>
      <c r="L859" s="573"/>
      <c r="M859" s="573"/>
      <c r="N859" s="456">
        <f t="shared" si="113"/>
        <v>0</v>
      </c>
      <c r="O859" s="487"/>
      <c r="P859" s="487"/>
      <c r="Q859" s="274">
        <f t="shared" si="108"/>
        <v>0</v>
      </c>
      <c r="R859" s="574">
        <f t="shared" si="109"/>
        <v>0</v>
      </c>
      <c r="S859" s="275">
        <f t="shared" si="110"/>
        <v>0</v>
      </c>
      <c r="T859" s="1148"/>
      <c r="U859" s="487"/>
      <c r="V859" s="576"/>
      <c r="W859" s="573"/>
      <c r="X859" s="574">
        <f t="shared" si="114"/>
        <v>0</v>
      </c>
      <c r="Y859" s="487"/>
      <c r="Z859" s="487"/>
      <c r="AA859" s="276">
        <f t="shared" si="115"/>
        <v>0</v>
      </c>
      <c r="AB859" s="573"/>
      <c r="AC859" s="487"/>
      <c r="AD859" s="573"/>
      <c r="AE859" s="487"/>
      <c r="AF859" s="577">
        <f t="shared" si="111"/>
        <v>0</v>
      </c>
      <c r="AG859" s="275">
        <f t="shared" si="112"/>
        <v>0</v>
      </c>
    </row>
    <row r="860" spans="1:33" ht="12" customHeight="1">
      <c r="A860" s="614" t="s">
        <v>1277</v>
      </c>
      <c r="B860" s="626" t="s">
        <v>1582</v>
      </c>
      <c r="C860" s="627" t="s">
        <v>1883</v>
      </c>
      <c r="D860" s="628"/>
      <c r="E860" s="629"/>
      <c r="F860" s="573"/>
      <c r="G860" s="487"/>
      <c r="H860" s="573"/>
      <c r="I860" s="487"/>
      <c r="J860" s="573"/>
      <c r="K860" s="487"/>
      <c r="L860" s="573"/>
      <c r="M860" s="573"/>
      <c r="N860" s="456">
        <f t="shared" si="113"/>
        <v>0</v>
      </c>
      <c r="O860" s="487"/>
      <c r="P860" s="487"/>
      <c r="Q860" s="274">
        <f t="shared" si="108"/>
        <v>0</v>
      </c>
      <c r="R860" s="574">
        <f t="shared" si="109"/>
        <v>0</v>
      </c>
      <c r="S860" s="275">
        <f t="shared" si="110"/>
        <v>0</v>
      </c>
      <c r="T860" s="1148"/>
      <c r="U860" s="487"/>
      <c r="V860" s="576"/>
      <c r="W860" s="573"/>
      <c r="X860" s="574">
        <f t="shared" si="114"/>
        <v>0</v>
      </c>
      <c r="Y860" s="487"/>
      <c r="Z860" s="487"/>
      <c r="AA860" s="276">
        <f t="shared" si="115"/>
        <v>0</v>
      </c>
      <c r="AB860" s="573"/>
      <c r="AC860" s="487"/>
      <c r="AD860" s="573"/>
      <c r="AE860" s="487"/>
      <c r="AF860" s="577">
        <f t="shared" si="111"/>
        <v>0</v>
      </c>
      <c r="AG860" s="275">
        <f t="shared" si="112"/>
        <v>0</v>
      </c>
    </row>
    <row r="861" spans="1:33" ht="12" customHeight="1">
      <c r="A861" s="614" t="s">
        <v>1277</v>
      </c>
      <c r="B861" s="626" t="s">
        <v>1583</v>
      </c>
      <c r="C861" s="627" t="s">
        <v>1761</v>
      </c>
      <c r="D861" s="628"/>
      <c r="E861" s="629"/>
      <c r="F861" s="573"/>
      <c r="G861" s="487"/>
      <c r="H861" s="573"/>
      <c r="I861" s="487"/>
      <c r="J861" s="573"/>
      <c r="K861" s="487"/>
      <c r="L861" s="573"/>
      <c r="M861" s="573"/>
      <c r="N861" s="456">
        <f t="shared" si="113"/>
        <v>0</v>
      </c>
      <c r="O861" s="487"/>
      <c r="P861" s="487"/>
      <c r="Q861" s="274">
        <f t="shared" si="108"/>
        <v>0</v>
      </c>
      <c r="R861" s="574">
        <f t="shared" si="109"/>
        <v>0</v>
      </c>
      <c r="S861" s="275">
        <f t="shared" si="110"/>
        <v>0</v>
      </c>
      <c r="T861" s="1149"/>
      <c r="U861" s="487"/>
      <c r="V861" s="576"/>
      <c r="W861" s="573"/>
      <c r="X861" s="574">
        <f t="shared" si="114"/>
        <v>0</v>
      </c>
      <c r="Y861" s="487"/>
      <c r="Z861" s="487"/>
      <c r="AA861" s="276">
        <f t="shared" si="115"/>
        <v>0</v>
      </c>
      <c r="AB861" s="573"/>
      <c r="AC861" s="487"/>
      <c r="AD861" s="573"/>
      <c r="AE861" s="487"/>
      <c r="AF861" s="577">
        <f t="shared" si="111"/>
        <v>0</v>
      </c>
      <c r="AG861" s="275">
        <f t="shared" si="112"/>
        <v>0</v>
      </c>
    </row>
    <row r="862" spans="1:33" ht="12" customHeight="1">
      <c r="A862" s="614" t="s">
        <v>1277</v>
      </c>
      <c r="B862" s="615" t="s">
        <v>1805</v>
      </c>
      <c r="C862" s="249" t="s">
        <v>371</v>
      </c>
      <c r="D862" s="617"/>
      <c r="E862" s="618"/>
      <c r="F862" s="573"/>
      <c r="G862" s="487"/>
      <c r="H862" s="573"/>
      <c r="I862" s="487"/>
      <c r="J862" s="573"/>
      <c r="K862" s="487"/>
      <c r="L862" s="573"/>
      <c r="M862" s="573"/>
      <c r="N862" s="456">
        <f t="shared" si="113"/>
        <v>0</v>
      </c>
      <c r="O862" s="487"/>
      <c r="P862" s="487"/>
      <c r="Q862" s="274">
        <f t="shared" si="108"/>
        <v>0</v>
      </c>
      <c r="R862" s="574">
        <f t="shared" si="109"/>
        <v>0</v>
      </c>
      <c r="S862" s="275">
        <f t="shared" si="110"/>
        <v>0</v>
      </c>
      <c r="T862" s="575"/>
      <c r="U862" s="487"/>
      <c r="V862" s="576"/>
      <c r="W862" s="573"/>
      <c r="X862" s="574">
        <f t="shared" si="114"/>
        <v>0</v>
      </c>
      <c r="Y862" s="487"/>
      <c r="Z862" s="487"/>
      <c r="AA862" s="276">
        <f t="shared" si="115"/>
        <v>0</v>
      </c>
      <c r="AB862" s="573"/>
      <c r="AC862" s="487"/>
      <c r="AD862" s="573"/>
      <c r="AE862" s="487"/>
      <c r="AF862" s="577">
        <f t="shared" si="111"/>
        <v>0</v>
      </c>
      <c r="AG862" s="275">
        <f t="shared" si="112"/>
        <v>0</v>
      </c>
    </row>
    <row r="863" spans="1:33" ht="12" customHeight="1">
      <c r="A863" s="614" t="s">
        <v>1277</v>
      </c>
      <c r="B863" s="626" t="s">
        <v>1882</v>
      </c>
      <c r="C863" s="627" t="s">
        <v>1883</v>
      </c>
      <c r="D863" s="617"/>
      <c r="E863" s="618"/>
      <c r="F863" s="573"/>
      <c r="G863" s="487"/>
      <c r="H863" s="573"/>
      <c r="I863" s="487"/>
      <c r="J863" s="573"/>
      <c r="K863" s="487"/>
      <c r="L863" s="573"/>
      <c r="M863" s="573"/>
      <c r="N863" s="456">
        <f t="shared" si="113"/>
        <v>0</v>
      </c>
      <c r="O863" s="487"/>
      <c r="P863" s="487"/>
      <c r="Q863" s="274">
        <f t="shared" si="108"/>
        <v>0</v>
      </c>
      <c r="R863" s="574">
        <f t="shared" si="109"/>
        <v>0</v>
      </c>
      <c r="S863" s="275">
        <f t="shared" si="110"/>
        <v>0</v>
      </c>
      <c r="T863" s="575">
        <v>276267</v>
      </c>
      <c r="U863" s="941">
        <v>270939</v>
      </c>
      <c r="V863" s="576"/>
      <c r="W863" s="573"/>
      <c r="X863" s="574">
        <f t="shared" si="114"/>
        <v>0</v>
      </c>
      <c r="Y863" s="487"/>
      <c r="Z863" s="487"/>
      <c r="AA863" s="276">
        <f t="shared" si="115"/>
        <v>0</v>
      </c>
      <c r="AB863" s="573"/>
      <c r="AC863" s="487"/>
      <c r="AD863" s="573"/>
      <c r="AE863" s="487"/>
      <c r="AF863" s="577">
        <f t="shared" si="111"/>
        <v>276267</v>
      </c>
      <c r="AG863" s="275">
        <f t="shared" si="112"/>
        <v>270939</v>
      </c>
    </row>
    <row r="864" spans="1:33" ht="12" customHeight="1">
      <c r="A864" s="614" t="s">
        <v>1277</v>
      </c>
      <c r="B864" s="626" t="s">
        <v>1763</v>
      </c>
      <c r="C864" s="627" t="s">
        <v>1761</v>
      </c>
      <c r="D864" s="617"/>
      <c r="E864" s="618"/>
      <c r="F864" s="573"/>
      <c r="G864" s="487"/>
      <c r="H864" s="573"/>
      <c r="I864" s="487"/>
      <c r="J864" s="573"/>
      <c r="K864" s="487"/>
      <c r="L864" s="573"/>
      <c r="M864" s="573"/>
      <c r="N864" s="456">
        <f t="shared" si="113"/>
        <v>0</v>
      </c>
      <c r="O864" s="487"/>
      <c r="P864" s="487"/>
      <c r="Q864" s="274">
        <f t="shared" si="108"/>
        <v>0</v>
      </c>
      <c r="R864" s="574">
        <f t="shared" si="109"/>
        <v>0</v>
      </c>
      <c r="S864" s="275">
        <f t="shared" si="110"/>
        <v>0</v>
      </c>
      <c r="T864" s="1144" t="s">
        <v>150</v>
      </c>
      <c r="U864" s="487"/>
      <c r="V864" s="576"/>
      <c r="W864" s="573"/>
      <c r="X864" s="574">
        <f t="shared" si="114"/>
        <v>0</v>
      </c>
      <c r="Y864" s="487"/>
      <c r="Z864" s="487"/>
      <c r="AA864" s="276">
        <f t="shared" si="115"/>
        <v>0</v>
      </c>
      <c r="AB864" s="573"/>
      <c r="AC864" s="487"/>
      <c r="AD864" s="573"/>
      <c r="AE864" s="487"/>
      <c r="AF864" s="577">
        <f t="shared" si="111"/>
        <v>0</v>
      </c>
      <c r="AG864" s="275">
        <f t="shared" si="112"/>
        <v>0</v>
      </c>
    </row>
    <row r="865" spans="1:33" ht="12" customHeight="1">
      <c r="A865" s="614" t="s">
        <v>1277</v>
      </c>
      <c r="B865" s="626" t="s">
        <v>1510</v>
      </c>
      <c r="C865" s="627" t="s">
        <v>421</v>
      </c>
      <c r="D865" s="628"/>
      <c r="E865" s="629"/>
      <c r="F865" s="573"/>
      <c r="G865" s="487"/>
      <c r="H865" s="573"/>
      <c r="I865" s="487"/>
      <c r="J865" s="573"/>
      <c r="K865" s="487"/>
      <c r="L865" s="573"/>
      <c r="M865" s="573"/>
      <c r="N865" s="456">
        <f t="shared" si="113"/>
        <v>0</v>
      </c>
      <c r="O865" s="487"/>
      <c r="P865" s="487"/>
      <c r="Q865" s="274">
        <f t="shared" si="108"/>
        <v>0</v>
      </c>
      <c r="R865" s="574">
        <f t="shared" si="109"/>
        <v>0</v>
      </c>
      <c r="S865" s="275">
        <f t="shared" si="110"/>
        <v>0</v>
      </c>
      <c r="T865" s="1148"/>
      <c r="U865" s="487"/>
      <c r="V865" s="576"/>
      <c r="W865" s="573"/>
      <c r="X865" s="574">
        <f t="shared" si="114"/>
        <v>0</v>
      </c>
      <c r="Y865" s="487"/>
      <c r="Z865" s="487"/>
      <c r="AA865" s="276">
        <f t="shared" si="115"/>
        <v>0</v>
      </c>
      <c r="AB865" s="573"/>
      <c r="AC865" s="487"/>
      <c r="AD865" s="573"/>
      <c r="AE865" s="487"/>
      <c r="AF865" s="577">
        <f t="shared" si="111"/>
        <v>0</v>
      </c>
      <c r="AG865" s="275">
        <f t="shared" si="112"/>
        <v>0</v>
      </c>
    </row>
    <row r="866" spans="1:33" ht="12" customHeight="1">
      <c r="A866" s="614" t="s">
        <v>1277</v>
      </c>
      <c r="B866" s="626" t="s">
        <v>1511</v>
      </c>
      <c r="C866" s="627" t="s">
        <v>1883</v>
      </c>
      <c r="D866" s="628"/>
      <c r="E866" s="629"/>
      <c r="F866" s="573"/>
      <c r="G866" s="487"/>
      <c r="H866" s="573"/>
      <c r="I866" s="487"/>
      <c r="J866" s="573"/>
      <c r="K866" s="487"/>
      <c r="L866" s="573"/>
      <c r="M866" s="573"/>
      <c r="N866" s="456">
        <f t="shared" si="113"/>
        <v>0</v>
      </c>
      <c r="O866" s="487"/>
      <c r="P866" s="487"/>
      <c r="Q866" s="274">
        <f t="shared" si="108"/>
        <v>0</v>
      </c>
      <c r="R866" s="574">
        <f t="shared" si="109"/>
        <v>0</v>
      </c>
      <c r="S866" s="275">
        <f t="shared" si="110"/>
        <v>0</v>
      </c>
      <c r="T866" s="1148"/>
      <c r="U866" s="487"/>
      <c r="V866" s="576"/>
      <c r="W866" s="573"/>
      <c r="X866" s="574">
        <f t="shared" si="114"/>
        <v>0</v>
      </c>
      <c r="Y866" s="487"/>
      <c r="Z866" s="487"/>
      <c r="AA866" s="276">
        <f t="shared" si="115"/>
        <v>0</v>
      </c>
      <c r="AB866" s="573"/>
      <c r="AC866" s="487"/>
      <c r="AD866" s="573"/>
      <c r="AE866" s="487"/>
      <c r="AF866" s="577">
        <f t="shared" si="111"/>
        <v>0</v>
      </c>
      <c r="AG866" s="275">
        <f t="shared" si="112"/>
        <v>0</v>
      </c>
    </row>
    <row r="867" spans="1:33" ht="12" customHeight="1">
      <c r="A867" s="614" t="s">
        <v>1277</v>
      </c>
      <c r="B867" s="626" t="s">
        <v>1412</v>
      </c>
      <c r="C867" s="627" t="s">
        <v>1761</v>
      </c>
      <c r="D867" s="628"/>
      <c r="E867" s="629"/>
      <c r="F867" s="573"/>
      <c r="G867" s="487"/>
      <c r="H867" s="573"/>
      <c r="I867" s="487"/>
      <c r="J867" s="573"/>
      <c r="K867" s="487"/>
      <c r="L867" s="573"/>
      <c r="M867" s="573"/>
      <c r="N867" s="456">
        <f t="shared" si="113"/>
        <v>0</v>
      </c>
      <c r="O867" s="487"/>
      <c r="P867" s="487"/>
      <c r="Q867" s="274">
        <f t="shared" si="108"/>
        <v>0</v>
      </c>
      <c r="R867" s="574">
        <f t="shared" si="109"/>
        <v>0</v>
      </c>
      <c r="S867" s="275">
        <f t="shared" si="110"/>
        <v>0</v>
      </c>
      <c r="T867" s="1148"/>
      <c r="U867" s="487"/>
      <c r="V867" s="576"/>
      <c r="W867" s="573"/>
      <c r="X867" s="574">
        <f t="shared" si="114"/>
        <v>0</v>
      </c>
      <c r="Y867" s="487"/>
      <c r="Z867" s="487"/>
      <c r="AA867" s="276">
        <f t="shared" si="115"/>
        <v>0</v>
      </c>
      <c r="AB867" s="573"/>
      <c r="AC867" s="487"/>
      <c r="AD867" s="573"/>
      <c r="AE867" s="487"/>
      <c r="AF867" s="577">
        <f t="shared" si="111"/>
        <v>0</v>
      </c>
      <c r="AG867" s="275">
        <f t="shared" si="112"/>
        <v>0</v>
      </c>
    </row>
    <row r="868" spans="1:33" ht="12" customHeight="1">
      <c r="A868" s="614" t="s">
        <v>1277</v>
      </c>
      <c r="B868" s="626" t="s">
        <v>1413</v>
      </c>
      <c r="C868" s="627" t="s">
        <v>422</v>
      </c>
      <c r="D868" s="628"/>
      <c r="E868" s="629"/>
      <c r="F868" s="573"/>
      <c r="G868" s="487"/>
      <c r="H868" s="573"/>
      <c r="I868" s="487"/>
      <c r="J868" s="573"/>
      <c r="K868" s="487"/>
      <c r="L868" s="573"/>
      <c r="M868" s="573"/>
      <c r="N868" s="456">
        <f t="shared" si="113"/>
        <v>0</v>
      </c>
      <c r="O868" s="487"/>
      <c r="P868" s="487"/>
      <c r="Q868" s="274">
        <f t="shared" si="108"/>
        <v>0</v>
      </c>
      <c r="R868" s="574">
        <f t="shared" si="109"/>
        <v>0</v>
      </c>
      <c r="S868" s="275">
        <f t="shared" si="110"/>
        <v>0</v>
      </c>
      <c r="T868" s="575"/>
      <c r="U868" s="487"/>
      <c r="V868" s="576"/>
      <c r="W868" s="573"/>
      <c r="X868" s="574">
        <f t="shared" si="114"/>
        <v>0</v>
      </c>
      <c r="Y868" s="487"/>
      <c r="Z868" s="487"/>
      <c r="AA868" s="276">
        <f t="shared" si="115"/>
        <v>0</v>
      </c>
      <c r="AB868" s="573"/>
      <c r="AC868" s="487"/>
      <c r="AD868" s="573"/>
      <c r="AE868" s="487"/>
      <c r="AF868" s="577">
        <f t="shared" si="111"/>
        <v>0</v>
      </c>
      <c r="AG868" s="275">
        <f t="shared" si="112"/>
        <v>0</v>
      </c>
    </row>
    <row r="869" spans="1:33" ht="12" customHeight="1">
      <c r="A869" s="614" t="s">
        <v>1277</v>
      </c>
      <c r="B869" s="626" t="s">
        <v>1582</v>
      </c>
      <c r="C869" s="627" t="s">
        <v>1883</v>
      </c>
      <c r="D869" s="628"/>
      <c r="E869" s="629"/>
      <c r="F869" s="573"/>
      <c r="G869" s="487"/>
      <c r="H869" s="573"/>
      <c r="I869" s="487"/>
      <c r="J869" s="573"/>
      <c r="K869" s="487"/>
      <c r="L869" s="573"/>
      <c r="M869" s="573"/>
      <c r="N869" s="456">
        <f t="shared" si="113"/>
        <v>0</v>
      </c>
      <c r="O869" s="487"/>
      <c r="P869" s="487"/>
      <c r="Q869" s="274">
        <f t="shared" si="108"/>
        <v>0</v>
      </c>
      <c r="R869" s="574">
        <f t="shared" si="109"/>
        <v>0</v>
      </c>
      <c r="S869" s="275">
        <f t="shared" si="110"/>
        <v>0</v>
      </c>
      <c r="T869" s="575"/>
      <c r="U869" s="487"/>
      <c r="V869" s="576"/>
      <c r="W869" s="573"/>
      <c r="X869" s="574">
        <f t="shared" si="114"/>
        <v>0</v>
      </c>
      <c r="Y869" s="487"/>
      <c r="Z869" s="487"/>
      <c r="AA869" s="276">
        <f t="shared" si="115"/>
        <v>0</v>
      </c>
      <c r="AB869" s="573"/>
      <c r="AC869" s="487"/>
      <c r="AD869" s="573"/>
      <c r="AE869" s="487"/>
      <c r="AF869" s="577">
        <f t="shared" si="111"/>
        <v>0</v>
      </c>
      <c r="AG869" s="275">
        <f t="shared" si="112"/>
        <v>0</v>
      </c>
    </row>
    <row r="870" spans="1:33" ht="12" customHeight="1">
      <c r="A870" s="614" t="s">
        <v>1277</v>
      </c>
      <c r="B870" s="626" t="s">
        <v>1583</v>
      </c>
      <c r="C870" s="627" t="s">
        <v>1761</v>
      </c>
      <c r="D870" s="628"/>
      <c r="E870" s="629"/>
      <c r="F870" s="573"/>
      <c r="G870" s="487"/>
      <c r="H870" s="573"/>
      <c r="I870" s="487"/>
      <c r="J870" s="573"/>
      <c r="K870" s="487"/>
      <c r="L870" s="573"/>
      <c r="M870" s="573"/>
      <c r="N870" s="456">
        <f t="shared" si="113"/>
        <v>0</v>
      </c>
      <c r="O870" s="487"/>
      <c r="P870" s="487"/>
      <c r="Q870" s="274">
        <f t="shared" si="108"/>
        <v>0</v>
      </c>
      <c r="R870" s="574">
        <f t="shared" si="109"/>
        <v>0</v>
      </c>
      <c r="S870" s="275">
        <f t="shared" si="110"/>
        <v>0</v>
      </c>
      <c r="T870" s="575"/>
      <c r="U870" s="487"/>
      <c r="V870" s="576"/>
      <c r="W870" s="573"/>
      <c r="X870" s="574">
        <f t="shared" si="114"/>
        <v>0</v>
      </c>
      <c r="Y870" s="487"/>
      <c r="Z870" s="487"/>
      <c r="AA870" s="276">
        <f t="shared" si="115"/>
        <v>0</v>
      </c>
      <c r="AB870" s="573"/>
      <c r="AC870" s="487"/>
      <c r="AD870" s="573"/>
      <c r="AE870" s="487"/>
      <c r="AF870" s="577">
        <f t="shared" si="111"/>
        <v>0</v>
      </c>
      <c r="AG870" s="275">
        <f t="shared" si="112"/>
        <v>0</v>
      </c>
    </row>
    <row r="871" spans="1:33" ht="12" customHeight="1">
      <c r="A871" s="614" t="s">
        <v>1277</v>
      </c>
      <c r="B871" s="615" t="s">
        <v>1805</v>
      </c>
      <c r="C871" s="249" t="s">
        <v>372</v>
      </c>
      <c r="D871" s="617"/>
      <c r="E871" s="618"/>
      <c r="F871" s="573"/>
      <c r="G871" s="487"/>
      <c r="H871" s="573"/>
      <c r="I871" s="487"/>
      <c r="J871" s="573"/>
      <c r="K871" s="487"/>
      <c r="L871" s="573"/>
      <c r="M871" s="573"/>
      <c r="N871" s="456">
        <f t="shared" si="113"/>
        <v>0</v>
      </c>
      <c r="O871" s="487"/>
      <c r="P871" s="487"/>
      <c r="Q871" s="274">
        <f t="shared" si="108"/>
        <v>0</v>
      </c>
      <c r="R871" s="574">
        <f t="shared" si="109"/>
        <v>0</v>
      </c>
      <c r="S871" s="275">
        <f t="shared" si="110"/>
        <v>0</v>
      </c>
      <c r="T871" s="575"/>
      <c r="U871" s="487"/>
      <c r="V871" s="576"/>
      <c r="W871" s="573"/>
      <c r="X871" s="574">
        <f t="shared" si="114"/>
        <v>0</v>
      </c>
      <c r="Y871" s="487"/>
      <c r="Z871" s="487"/>
      <c r="AA871" s="276">
        <f t="shared" si="115"/>
        <v>0</v>
      </c>
      <c r="AB871" s="573"/>
      <c r="AC871" s="487"/>
      <c r="AD871" s="573"/>
      <c r="AE871" s="487"/>
      <c r="AF871" s="577">
        <f t="shared" si="111"/>
        <v>0</v>
      </c>
      <c r="AG871" s="275">
        <f t="shared" si="112"/>
        <v>0</v>
      </c>
    </row>
    <row r="872" spans="1:33" ht="12" customHeight="1">
      <c r="A872" s="614" t="s">
        <v>1277</v>
      </c>
      <c r="B872" s="626" t="s">
        <v>1882</v>
      </c>
      <c r="C872" s="627" t="s">
        <v>1883</v>
      </c>
      <c r="D872" s="617"/>
      <c r="E872" s="618"/>
      <c r="F872" s="573"/>
      <c r="G872" s="487"/>
      <c r="H872" s="573"/>
      <c r="I872" s="487"/>
      <c r="J872" s="573"/>
      <c r="K872" s="487"/>
      <c r="L872" s="573"/>
      <c r="M872" s="573"/>
      <c r="N872" s="456">
        <f t="shared" si="113"/>
        <v>0</v>
      </c>
      <c r="O872" s="487"/>
      <c r="P872" s="487"/>
      <c r="Q872" s="274">
        <f t="shared" si="108"/>
        <v>0</v>
      </c>
      <c r="R872" s="574">
        <f t="shared" si="109"/>
        <v>0</v>
      </c>
      <c r="S872" s="275">
        <f t="shared" si="110"/>
        <v>0</v>
      </c>
      <c r="T872" s="575">
        <v>5975000</v>
      </c>
      <c r="U872" s="941">
        <f>5044000+775000</f>
        <v>5819000</v>
      </c>
      <c r="V872" s="576"/>
      <c r="W872" s="573"/>
      <c r="X872" s="574">
        <f t="shared" si="114"/>
        <v>0</v>
      </c>
      <c r="Y872" s="487"/>
      <c r="Z872" s="487"/>
      <c r="AA872" s="276">
        <f t="shared" si="115"/>
        <v>0</v>
      </c>
      <c r="AB872" s="573"/>
      <c r="AC872" s="487"/>
      <c r="AD872" s="573"/>
      <c r="AE872" s="487"/>
      <c r="AF872" s="577">
        <f t="shared" si="111"/>
        <v>5975000</v>
      </c>
      <c r="AG872" s="275">
        <f t="shared" si="112"/>
        <v>5819000</v>
      </c>
    </row>
    <row r="873" spans="1:33" ht="12" customHeight="1">
      <c r="A873" s="614" t="s">
        <v>1277</v>
      </c>
      <c r="B873" s="626" t="s">
        <v>1763</v>
      </c>
      <c r="C873" s="627" t="s">
        <v>1761</v>
      </c>
      <c r="D873" s="617"/>
      <c r="E873" s="618"/>
      <c r="F873" s="573"/>
      <c r="G873" s="487"/>
      <c r="H873" s="573"/>
      <c r="I873" s="487"/>
      <c r="J873" s="573"/>
      <c r="K873" s="487"/>
      <c r="L873" s="573"/>
      <c r="M873" s="573"/>
      <c r="N873" s="456">
        <f t="shared" si="113"/>
        <v>0</v>
      </c>
      <c r="O873" s="487"/>
      <c r="P873" s="487"/>
      <c r="Q873" s="274">
        <f t="shared" si="108"/>
        <v>0</v>
      </c>
      <c r="R873" s="574">
        <f t="shared" si="109"/>
        <v>0</v>
      </c>
      <c r="S873" s="275">
        <f t="shared" si="110"/>
        <v>0</v>
      </c>
      <c r="T873" s="1144" t="s">
        <v>150</v>
      </c>
      <c r="U873" s="487"/>
      <c r="V873" s="576"/>
      <c r="W873" s="573"/>
      <c r="X873" s="574">
        <f t="shared" si="114"/>
        <v>0</v>
      </c>
      <c r="Y873" s="487"/>
      <c r="Z873" s="487"/>
      <c r="AA873" s="276">
        <f t="shared" si="115"/>
        <v>0</v>
      </c>
      <c r="AB873" s="573"/>
      <c r="AC873" s="487"/>
      <c r="AD873" s="573"/>
      <c r="AE873" s="487"/>
      <c r="AF873" s="577">
        <f t="shared" si="111"/>
        <v>0</v>
      </c>
      <c r="AG873" s="275">
        <f t="shared" si="112"/>
        <v>0</v>
      </c>
    </row>
    <row r="874" spans="1:33" ht="12" customHeight="1">
      <c r="A874" s="614" t="s">
        <v>1277</v>
      </c>
      <c r="B874" s="626" t="s">
        <v>1510</v>
      </c>
      <c r="C874" s="627" t="s">
        <v>421</v>
      </c>
      <c r="D874" s="628"/>
      <c r="E874" s="629"/>
      <c r="F874" s="573"/>
      <c r="G874" s="487"/>
      <c r="H874" s="573"/>
      <c r="I874" s="487"/>
      <c r="J874" s="573"/>
      <c r="K874" s="487"/>
      <c r="L874" s="573"/>
      <c r="M874" s="573"/>
      <c r="N874" s="456">
        <f t="shared" si="113"/>
        <v>0</v>
      </c>
      <c r="O874" s="487"/>
      <c r="P874" s="487"/>
      <c r="Q874" s="274">
        <f t="shared" si="108"/>
        <v>0</v>
      </c>
      <c r="R874" s="574">
        <f t="shared" si="109"/>
        <v>0</v>
      </c>
      <c r="S874" s="275">
        <f t="shared" si="110"/>
        <v>0</v>
      </c>
      <c r="T874" s="1148"/>
      <c r="U874" s="487"/>
      <c r="V874" s="576"/>
      <c r="W874" s="573"/>
      <c r="X874" s="574">
        <f t="shared" si="114"/>
        <v>0</v>
      </c>
      <c r="Y874" s="487"/>
      <c r="Z874" s="487"/>
      <c r="AA874" s="276">
        <f t="shared" si="115"/>
        <v>0</v>
      </c>
      <c r="AB874" s="573"/>
      <c r="AC874" s="487"/>
      <c r="AD874" s="573"/>
      <c r="AE874" s="487"/>
      <c r="AF874" s="577">
        <f t="shared" si="111"/>
        <v>0</v>
      </c>
      <c r="AG874" s="275">
        <f t="shared" si="112"/>
        <v>0</v>
      </c>
    </row>
    <row r="875" spans="1:33" ht="12" customHeight="1">
      <c r="A875" s="614" t="s">
        <v>1277</v>
      </c>
      <c r="B875" s="626" t="s">
        <v>1511</v>
      </c>
      <c r="C875" s="627" t="s">
        <v>1883</v>
      </c>
      <c r="D875" s="628"/>
      <c r="E875" s="629"/>
      <c r="F875" s="573"/>
      <c r="G875" s="487"/>
      <c r="H875" s="573"/>
      <c r="I875" s="487"/>
      <c r="J875" s="573"/>
      <c r="K875" s="487"/>
      <c r="L875" s="573"/>
      <c r="M875" s="573"/>
      <c r="N875" s="456">
        <f t="shared" si="113"/>
        <v>0</v>
      </c>
      <c r="O875" s="487"/>
      <c r="P875" s="487"/>
      <c r="Q875" s="274">
        <f t="shared" si="108"/>
        <v>0</v>
      </c>
      <c r="R875" s="574">
        <f t="shared" si="109"/>
        <v>0</v>
      </c>
      <c r="S875" s="275">
        <f t="shared" si="110"/>
        <v>0</v>
      </c>
      <c r="T875" s="1148"/>
      <c r="U875" s="487"/>
      <c r="V875" s="576"/>
      <c r="W875" s="573"/>
      <c r="X875" s="574">
        <f t="shared" si="114"/>
        <v>0</v>
      </c>
      <c r="Y875" s="487"/>
      <c r="Z875" s="487"/>
      <c r="AA875" s="276">
        <f t="shared" si="115"/>
        <v>0</v>
      </c>
      <c r="AB875" s="573"/>
      <c r="AC875" s="487"/>
      <c r="AD875" s="573"/>
      <c r="AE875" s="487"/>
      <c r="AF875" s="577">
        <f t="shared" si="111"/>
        <v>0</v>
      </c>
      <c r="AG875" s="275">
        <f t="shared" si="112"/>
        <v>0</v>
      </c>
    </row>
    <row r="876" spans="1:33" ht="12" customHeight="1">
      <c r="A876" s="614" t="s">
        <v>1277</v>
      </c>
      <c r="B876" s="626" t="s">
        <v>1412</v>
      </c>
      <c r="C876" s="627" t="s">
        <v>1761</v>
      </c>
      <c r="D876" s="628"/>
      <c r="E876" s="629"/>
      <c r="F876" s="573"/>
      <c r="G876" s="487"/>
      <c r="H876" s="573"/>
      <c r="I876" s="487"/>
      <c r="J876" s="573"/>
      <c r="K876" s="487"/>
      <c r="L876" s="573"/>
      <c r="M876" s="573"/>
      <c r="N876" s="456">
        <f t="shared" si="113"/>
        <v>0</v>
      </c>
      <c r="O876" s="487"/>
      <c r="P876" s="487"/>
      <c r="Q876" s="274">
        <f t="shared" si="108"/>
        <v>0</v>
      </c>
      <c r="R876" s="574">
        <f t="shared" si="109"/>
        <v>0</v>
      </c>
      <c r="S876" s="275">
        <f t="shared" si="110"/>
        <v>0</v>
      </c>
      <c r="T876" s="1148"/>
      <c r="U876" s="487"/>
      <c r="V876" s="576"/>
      <c r="W876" s="573"/>
      <c r="X876" s="574">
        <f t="shared" si="114"/>
        <v>0</v>
      </c>
      <c r="Y876" s="487"/>
      <c r="Z876" s="487"/>
      <c r="AA876" s="276">
        <f t="shared" si="115"/>
        <v>0</v>
      </c>
      <c r="AB876" s="573"/>
      <c r="AC876" s="487"/>
      <c r="AD876" s="573"/>
      <c r="AE876" s="487"/>
      <c r="AF876" s="577">
        <f t="shared" si="111"/>
        <v>0</v>
      </c>
      <c r="AG876" s="275">
        <f t="shared" si="112"/>
        <v>0</v>
      </c>
    </row>
    <row r="877" spans="1:33" ht="12" customHeight="1">
      <c r="A877" s="614" t="s">
        <v>1277</v>
      </c>
      <c r="B877" s="626" t="s">
        <v>1413</v>
      </c>
      <c r="C877" s="627" t="s">
        <v>422</v>
      </c>
      <c r="D877" s="628"/>
      <c r="E877" s="629"/>
      <c r="F877" s="573"/>
      <c r="G877" s="487"/>
      <c r="H877" s="573"/>
      <c r="I877" s="487"/>
      <c r="J877" s="573"/>
      <c r="K877" s="487"/>
      <c r="L877" s="573"/>
      <c r="M877" s="573"/>
      <c r="N877" s="456">
        <f t="shared" si="113"/>
        <v>0</v>
      </c>
      <c r="O877" s="487"/>
      <c r="P877" s="487"/>
      <c r="Q877" s="274">
        <f t="shared" si="108"/>
        <v>0</v>
      </c>
      <c r="R877" s="574">
        <f t="shared" si="109"/>
        <v>0</v>
      </c>
      <c r="S877" s="275">
        <f t="shared" si="110"/>
        <v>0</v>
      </c>
      <c r="T877" s="575"/>
      <c r="U877" s="487"/>
      <c r="V877" s="576"/>
      <c r="W877" s="573"/>
      <c r="X877" s="574">
        <f t="shared" si="114"/>
        <v>0</v>
      </c>
      <c r="Y877" s="487"/>
      <c r="Z877" s="487"/>
      <c r="AA877" s="276">
        <f t="shared" si="115"/>
        <v>0</v>
      </c>
      <c r="AB877" s="573"/>
      <c r="AC877" s="487"/>
      <c r="AD877" s="573"/>
      <c r="AE877" s="487"/>
      <c r="AF877" s="577">
        <f t="shared" si="111"/>
        <v>0</v>
      </c>
      <c r="AG877" s="275">
        <f t="shared" si="112"/>
        <v>0</v>
      </c>
    </row>
    <row r="878" spans="1:33" ht="12" customHeight="1">
      <c r="A878" s="614" t="s">
        <v>1277</v>
      </c>
      <c r="B878" s="626" t="s">
        <v>1582</v>
      </c>
      <c r="C878" s="627" t="s">
        <v>1883</v>
      </c>
      <c r="D878" s="628"/>
      <c r="E878" s="629"/>
      <c r="F878" s="573"/>
      <c r="G878" s="487"/>
      <c r="H878" s="573"/>
      <c r="I878" s="487"/>
      <c r="J878" s="573"/>
      <c r="K878" s="487"/>
      <c r="L878" s="573"/>
      <c r="M878" s="573"/>
      <c r="N878" s="456">
        <f t="shared" si="113"/>
        <v>0</v>
      </c>
      <c r="O878" s="487"/>
      <c r="P878" s="487"/>
      <c r="Q878" s="274">
        <f t="shared" si="108"/>
        <v>0</v>
      </c>
      <c r="R878" s="574">
        <f t="shared" si="109"/>
        <v>0</v>
      </c>
      <c r="S878" s="275">
        <f t="shared" si="110"/>
        <v>0</v>
      </c>
      <c r="T878" s="575"/>
      <c r="U878" s="487"/>
      <c r="V878" s="576"/>
      <c r="W878" s="573"/>
      <c r="X878" s="574">
        <f t="shared" si="114"/>
        <v>0</v>
      </c>
      <c r="Y878" s="487"/>
      <c r="Z878" s="487"/>
      <c r="AA878" s="276">
        <f t="shared" si="115"/>
        <v>0</v>
      </c>
      <c r="AB878" s="573"/>
      <c r="AC878" s="487"/>
      <c r="AD878" s="573"/>
      <c r="AE878" s="487"/>
      <c r="AF878" s="577">
        <f t="shared" si="111"/>
        <v>0</v>
      </c>
      <c r="AG878" s="275">
        <f t="shared" si="112"/>
        <v>0</v>
      </c>
    </row>
    <row r="879" spans="1:33" ht="12" customHeight="1">
      <c r="A879" s="614" t="s">
        <v>1277</v>
      </c>
      <c r="B879" s="626" t="s">
        <v>1583</v>
      </c>
      <c r="C879" s="627" t="s">
        <v>1761</v>
      </c>
      <c r="D879" s="628"/>
      <c r="E879" s="629"/>
      <c r="F879" s="573"/>
      <c r="G879" s="487"/>
      <c r="H879" s="573"/>
      <c r="I879" s="487"/>
      <c r="J879" s="573"/>
      <c r="K879" s="487"/>
      <c r="L879" s="573"/>
      <c r="M879" s="573"/>
      <c r="N879" s="456">
        <f t="shared" si="113"/>
        <v>0</v>
      </c>
      <c r="O879" s="487"/>
      <c r="P879" s="487"/>
      <c r="Q879" s="274">
        <f t="shared" si="108"/>
        <v>0</v>
      </c>
      <c r="R879" s="574">
        <f t="shared" si="109"/>
        <v>0</v>
      </c>
      <c r="S879" s="275">
        <f t="shared" si="110"/>
        <v>0</v>
      </c>
      <c r="T879" s="575"/>
      <c r="U879" s="487"/>
      <c r="V879" s="576"/>
      <c r="W879" s="573"/>
      <c r="X879" s="574">
        <f t="shared" si="114"/>
        <v>0</v>
      </c>
      <c r="Y879" s="487"/>
      <c r="Z879" s="487"/>
      <c r="AA879" s="276">
        <f t="shared" si="115"/>
        <v>0</v>
      </c>
      <c r="AB879" s="573"/>
      <c r="AC879" s="487"/>
      <c r="AD879" s="573"/>
      <c r="AE879" s="487"/>
      <c r="AF879" s="577">
        <f t="shared" si="111"/>
        <v>0</v>
      </c>
      <c r="AG879" s="275">
        <f t="shared" si="112"/>
        <v>0</v>
      </c>
    </row>
    <row r="880" spans="1:33" ht="12" customHeight="1">
      <c r="A880" s="614" t="s">
        <v>1277</v>
      </c>
      <c r="B880" s="615" t="s">
        <v>1806</v>
      </c>
      <c r="C880" s="482" t="s">
        <v>912</v>
      </c>
      <c r="D880" s="617"/>
      <c r="E880" s="618"/>
      <c r="F880" s="573"/>
      <c r="G880" s="487"/>
      <c r="H880" s="573"/>
      <c r="I880" s="487"/>
      <c r="J880" s="573"/>
      <c r="K880" s="487"/>
      <c r="L880" s="573"/>
      <c r="M880" s="573"/>
      <c r="N880" s="456">
        <f t="shared" si="113"/>
        <v>0</v>
      </c>
      <c r="O880" s="487"/>
      <c r="P880" s="487"/>
      <c r="Q880" s="274">
        <f t="shared" si="108"/>
        <v>0</v>
      </c>
      <c r="R880" s="574">
        <f t="shared" si="109"/>
        <v>0</v>
      </c>
      <c r="S880" s="275">
        <f t="shared" si="110"/>
        <v>0</v>
      </c>
      <c r="T880" s="575"/>
      <c r="U880" s="487"/>
      <c r="V880" s="576"/>
      <c r="W880" s="573"/>
      <c r="X880" s="574">
        <f t="shared" si="114"/>
        <v>0</v>
      </c>
      <c r="Y880" s="487"/>
      <c r="Z880" s="487"/>
      <c r="AA880" s="276">
        <f t="shared" si="115"/>
        <v>0</v>
      </c>
      <c r="AB880" s="573"/>
      <c r="AC880" s="487"/>
      <c r="AD880" s="573"/>
      <c r="AE880" s="487"/>
      <c r="AF880" s="577">
        <f t="shared" si="111"/>
        <v>0</v>
      </c>
      <c r="AG880" s="275">
        <f t="shared" si="112"/>
        <v>0</v>
      </c>
    </row>
    <row r="881" spans="1:33" ht="12" customHeight="1">
      <c r="A881" s="614" t="s">
        <v>1277</v>
      </c>
      <c r="B881" s="615" t="s">
        <v>1806</v>
      </c>
      <c r="C881" s="249" t="s">
        <v>373</v>
      </c>
      <c r="D881" s="617"/>
      <c r="E881" s="618"/>
      <c r="F881" s="573"/>
      <c r="G881" s="487"/>
      <c r="H881" s="573"/>
      <c r="I881" s="487"/>
      <c r="J881" s="573"/>
      <c r="K881" s="487"/>
      <c r="L881" s="573"/>
      <c r="M881" s="573"/>
      <c r="N881" s="456">
        <f t="shared" si="113"/>
        <v>0</v>
      </c>
      <c r="O881" s="487"/>
      <c r="P881" s="487"/>
      <c r="Q881" s="274">
        <f t="shared" si="108"/>
        <v>0</v>
      </c>
      <c r="R881" s="574">
        <f t="shared" si="109"/>
        <v>0</v>
      </c>
      <c r="S881" s="275">
        <f t="shared" si="110"/>
        <v>0</v>
      </c>
      <c r="T881" s="575"/>
      <c r="U881" s="487"/>
      <c r="V881" s="576"/>
      <c r="W881" s="573"/>
      <c r="X881" s="574">
        <f t="shared" si="114"/>
        <v>0</v>
      </c>
      <c r="Y881" s="487"/>
      <c r="Z881" s="487"/>
      <c r="AA881" s="276">
        <f t="shared" si="115"/>
        <v>0</v>
      </c>
      <c r="AB881" s="573"/>
      <c r="AC881" s="487"/>
      <c r="AD881" s="573"/>
      <c r="AE881" s="487"/>
      <c r="AF881" s="577">
        <f t="shared" si="111"/>
        <v>0</v>
      </c>
      <c r="AG881" s="275">
        <f t="shared" si="112"/>
        <v>0</v>
      </c>
    </row>
    <row r="882" spans="1:33" ht="12" customHeight="1">
      <c r="A882" s="614" t="s">
        <v>1277</v>
      </c>
      <c r="B882" s="626" t="s">
        <v>1764</v>
      </c>
      <c r="C882" s="627" t="s">
        <v>1883</v>
      </c>
      <c r="D882" s="628"/>
      <c r="E882" s="629"/>
      <c r="F882" s="573"/>
      <c r="G882" s="487"/>
      <c r="H882" s="573"/>
      <c r="I882" s="487"/>
      <c r="J882" s="573"/>
      <c r="K882" s="487"/>
      <c r="L882" s="573"/>
      <c r="M882" s="573"/>
      <c r="N882" s="456">
        <f t="shared" si="113"/>
        <v>0</v>
      </c>
      <c r="O882" s="487"/>
      <c r="P882" s="487"/>
      <c r="Q882" s="274">
        <f t="shared" si="108"/>
        <v>0</v>
      </c>
      <c r="R882" s="574">
        <f t="shared" si="109"/>
        <v>0</v>
      </c>
      <c r="S882" s="275">
        <f t="shared" si="110"/>
        <v>0</v>
      </c>
      <c r="T882" s="575"/>
      <c r="U882" s="487"/>
      <c r="V882" s="576"/>
      <c r="W882" s="573"/>
      <c r="X882" s="574">
        <f t="shared" si="114"/>
        <v>0</v>
      </c>
      <c r="Y882" s="487"/>
      <c r="Z882" s="487"/>
      <c r="AA882" s="276">
        <f t="shared" si="115"/>
        <v>0</v>
      </c>
      <c r="AB882" s="573"/>
      <c r="AC882" s="487"/>
      <c r="AD882" s="573"/>
      <c r="AE882" s="487"/>
      <c r="AF882" s="577">
        <f t="shared" si="111"/>
        <v>0</v>
      </c>
      <c r="AG882" s="275">
        <f t="shared" si="112"/>
        <v>0</v>
      </c>
    </row>
    <row r="883" spans="1:33" ht="12" customHeight="1">
      <c r="A883" s="614" t="s">
        <v>1277</v>
      </c>
      <c r="B883" s="626" t="s">
        <v>1765</v>
      </c>
      <c r="C883" s="627" t="s">
        <v>1761</v>
      </c>
      <c r="D883" s="628"/>
      <c r="E883" s="629"/>
      <c r="F883" s="573"/>
      <c r="G883" s="487"/>
      <c r="H883" s="573"/>
      <c r="I883" s="487"/>
      <c r="J883" s="573"/>
      <c r="K883" s="487"/>
      <c r="L883" s="573"/>
      <c r="M883" s="573"/>
      <c r="N883" s="456">
        <f t="shared" si="113"/>
        <v>0</v>
      </c>
      <c r="O883" s="487"/>
      <c r="P883" s="487"/>
      <c r="Q883" s="274">
        <f t="shared" si="108"/>
        <v>0</v>
      </c>
      <c r="R883" s="574">
        <f t="shared" si="109"/>
        <v>0</v>
      </c>
      <c r="S883" s="275">
        <f t="shared" si="110"/>
        <v>0</v>
      </c>
      <c r="T883" s="575">
        <v>2500000</v>
      </c>
      <c r="U883" s="941">
        <v>2500000</v>
      </c>
      <c r="V883" s="576"/>
      <c r="W883" s="573"/>
      <c r="X883" s="574">
        <f t="shared" si="114"/>
        <v>0</v>
      </c>
      <c r="Y883" s="487"/>
      <c r="Z883" s="487"/>
      <c r="AA883" s="276">
        <f t="shared" si="115"/>
        <v>0</v>
      </c>
      <c r="AB883" s="573"/>
      <c r="AC883" s="487"/>
      <c r="AD883" s="573"/>
      <c r="AE883" s="487"/>
      <c r="AF883" s="577">
        <f t="shared" si="111"/>
        <v>2500000</v>
      </c>
      <c r="AG883" s="275">
        <f t="shared" si="112"/>
        <v>2500000</v>
      </c>
    </row>
    <row r="884" spans="1:33" ht="12" customHeight="1">
      <c r="A884" s="614" t="s">
        <v>1277</v>
      </c>
      <c r="B884" s="615" t="s">
        <v>1806</v>
      </c>
      <c r="C884" s="249" t="s">
        <v>374</v>
      </c>
      <c r="D884" s="628"/>
      <c r="E884" s="629"/>
      <c r="F884" s="573"/>
      <c r="G884" s="487"/>
      <c r="H884" s="573"/>
      <c r="I884" s="487"/>
      <c r="J884" s="573"/>
      <c r="K884" s="487"/>
      <c r="L884" s="573"/>
      <c r="M884" s="573"/>
      <c r="N884" s="456">
        <f t="shared" si="113"/>
        <v>0</v>
      </c>
      <c r="O884" s="487"/>
      <c r="P884" s="487"/>
      <c r="Q884" s="274">
        <f t="shared" si="108"/>
        <v>0</v>
      </c>
      <c r="R884" s="574">
        <f t="shared" si="109"/>
        <v>0</v>
      </c>
      <c r="S884" s="275">
        <f t="shared" si="110"/>
        <v>0</v>
      </c>
      <c r="T884" s="575"/>
      <c r="U884" s="487"/>
      <c r="V884" s="576"/>
      <c r="W884" s="573"/>
      <c r="X884" s="574">
        <f t="shared" si="114"/>
        <v>0</v>
      </c>
      <c r="Y884" s="487"/>
      <c r="Z884" s="487"/>
      <c r="AA884" s="276">
        <f t="shared" si="115"/>
        <v>0</v>
      </c>
      <c r="AB884" s="573"/>
      <c r="AC884" s="487"/>
      <c r="AD884" s="573"/>
      <c r="AE884" s="487"/>
      <c r="AF884" s="577">
        <f t="shared" si="111"/>
        <v>0</v>
      </c>
      <c r="AG884" s="275">
        <f t="shared" si="112"/>
        <v>0</v>
      </c>
    </row>
    <row r="885" spans="1:33" ht="12" customHeight="1">
      <c r="A885" s="614" t="s">
        <v>1277</v>
      </c>
      <c r="B885" s="626" t="s">
        <v>1764</v>
      </c>
      <c r="C885" s="627" t="s">
        <v>1883</v>
      </c>
      <c r="D885" s="628"/>
      <c r="E885" s="629"/>
      <c r="F885" s="573"/>
      <c r="G885" s="487"/>
      <c r="H885" s="573"/>
      <c r="I885" s="487"/>
      <c r="J885" s="573"/>
      <c r="K885" s="487"/>
      <c r="L885" s="573"/>
      <c r="M885" s="573"/>
      <c r="N885" s="456">
        <f t="shared" si="113"/>
        <v>0</v>
      </c>
      <c r="O885" s="487"/>
      <c r="P885" s="487"/>
      <c r="Q885" s="274">
        <f t="shared" si="108"/>
        <v>0</v>
      </c>
      <c r="R885" s="574">
        <f t="shared" si="109"/>
        <v>0</v>
      </c>
      <c r="S885" s="275">
        <f t="shared" si="110"/>
        <v>0</v>
      </c>
      <c r="T885" s="575">
        <v>100705360</v>
      </c>
      <c r="U885" s="941">
        <v>98546590</v>
      </c>
      <c r="V885" s="576"/>
      <c r="W885" s="573"/>
      <c r="X885" s="574">
        <f t="shared" si="114"/>
        <v>0</v>
      </c>
      <c r="Y885" s="487"/>
      <c r="Z885" s="487"/>
      <c r="AA885" s="276">
        <f t="shared" si="115"/>
        <v>0</v>
      </c>
      <c r="AB885" s="573"/>
      <c r="AC885" s="487"/>
      <c r="AD885" s="573"/>
      <c r="AE885" s="487"/>
      <c r="AF885" s="577">
        <f t="shared" si="111"/>
        <v>100705360</v>
      </c>
      <c r="AG885" s="275">
        <f t="shared" si="112"/>
        <v>98546590</v>
      </c>
    </row>
    <row r="886" spans="1:33" ht="12" customHeight="1">
      <c r="A886" s="614" t="s">
        <v>1277</v>
      </c>
      <c r="B886" s="626" t="s">
        <v>1765</v>
      </c>
      <c r="C886" s="627" t="s">
        <v>1761</v>
      </c>
      <c r="D886" s="628"/>
      <c r="E886" s="629"/>
      <c r="F886" s="573"/>
      <c r="G886" s="487"/>
      <c r="H886" s="573"/>
      <c r="I886" s="487"/>
      <c r="J886" s="573"/>
      <c r="K886" s="487"/>
      <c r="L886" s="573"/>
      <c r="M886" s="573"/>
      <c r="N886" s="456">
        <f t="shared" si="113"/>
        <v>0</v>
      </c>
      <c r="O886" s="487"/>
      <c r="P886" s="487"/>
      <c r="Q886" s="274">
        <f t="shared" si="108"/>
        <v>0</v>
      </c>
      <c r="R886" s="574">
        <f t="shared" si="109"/>
        <v>0</v>
      </c>
      <c r="S886" s="275">
        <f t="shared" si="110"/>
        <v>0</v>
      </c>
      <c r="T886" s="575"/>
      <c r="U886" s="487"/>
      <c r="V886" s="576"/>
      <c r="W886" s="573"/>
      <c r="X886" s="574">
        <f t="shared" si="114"/>
        <v>0</v>
      </c>
      <c r="Y886" s="487"/>
      <c r="Z886" s="487"/>
      <c r="AA886" s="276">
        <f t="shared" si="115"/>
        <v>0</v>
      </c>
      <c r="AB886" s="573"/>
      <c r="AC886" s="487"/>
      <c r="AD886" s="573"/>
      <c r="AE886" s="487"/>
      <c r="AF886" s="577">
        <f t="shared" si="111"/>
        <v>0</v>
      </c>
      <c r="AG886" s="275">
        <f t="shared" si="112"/>
        <v>0</v>
      </c>
    </row>
    <row r="887" spans="1:33" ht="12" customHeight="1">
      <c r="A887" s="614" t="s">
        <v>1277</v>
      </c>
      <c r="B887" s="615" t="s">
        <v>1806</v>
      </c>
      <c r="C887" s="249" t="s">
        <v>375</v>
      </c>
      <c r="D887" s="617"/>
      <c r="E887" s="618"/>
      <c r="F887" s="573"/>
      <c r="G887" s="487"/>
      <c r="H887" s="573"/>
      <c r="I887" s="487"/>
      <c r="J887" s="573"/>
      <c r="K887" s="487"/>
      <c r="L887" s="573"/>
      <c r="M887" s="573"/>
      <c r="N887" s="456">
        <f t="shared" si="113"/>
        <v>0</v>
      </c>
      <c r="O887" s="487"/>
      <c r="P887" s="487"/>
      <c r="Q887" s="274">
        <f t="shared" si="108"/>
        <v>0</v>
      </c>
      <c r="R887" s="574">
        <f t="shared" si="109"/>
        <v>0</v>
      </c>
      <c r="S887" s="275">
        <f t="shared" si="110"/>
        <v>0</v>
      </c>
      <c r="T887" s="575"/>
      <c r="U887" s="487"/>
      <c r="V887" s="576"/>
      <c r="W887" s="573"/>
      <c r="X887" s="574">
        <f t="shared" si="114"/>
        <v>0</v>
      </c>
      <c r="Y887" s="487"/>
      <c r="Z887" s="487"/>
      <c r="AA887" s="276">
        <f t="shared" si="115"/>
        <v>0</v>
      </c>
      <c r="AB887" s="573"/>
      <c r="AC887" s="487"/>
      <c r="AD887" s="573"/>
      <c r="AE887" s="487"/>
      <c r="AF887" s="577">
        <f t="shared" si="111"/>
        <v>0</v>
      </c>
      <c r="AG887" s="275">
        <f t="shared" si="112"/>
        <v>0</v>
      </c>
    </row>
    <row r="888" spans="1:33" ht="12" customHeight="1">
      <c r="A888" s="614" t="s">
        <v>1277</v>
      </c>
      <c r="B888" s="626" t="s">
        <v>1764</v>
      </c>
      <c r="C888" s="627" t="s">
        <v>1883</v>
      </c>
      <c r="D888" s="628"/>
      <c r="E888" s="629"/>
      <c r="F888" s="573"/>
      <c r="G888" s="487"/>
      <c r="H888" s="573"/>
      <c r="I888" s="487"/>
      <c r="J888" s="573"/>
      <c r="K888" s="487"/>
      <c r="L888" s="573"/>
      <c r="M888" s="573"/>
      <c r="N888" s="456">
        <f t="shared" si="113"/>
        <v>0</v>
      </c>
      <c r="O888" s="487"/>
      <c r="P888" s="487"/>
      <c r="Q888" s="274">
        <f t="shared" si="108"/>
        <v>0</v>
      </c>
      <c r="R888" s="574">
        <f t="shared" si="109"/>
        <v>0</v>
      </c>
      <c r="S888" s="275">
        <f t="shared" si="110"/>
        <v>0</v>
      </c>
      <c r="T888" s="575"/>
      <c r="U888" s="487"/>
      <c r="V888" s="576"/>
      <c r="W888" s="573"/>
      <c r="X888" s="574">
        <f t="shared" si="114"/>
        <v>0</v>
      </c>
      <c r="Y888" s="487"/>
      <c r="Z888" s="487"/>
      <c r="AA888" s="276">
        <f t="shared" si="115"/>
        <v>0</v>
      </c>
      <c r="AB888" s="573"/>
      <c r="AC888" s="487"/>
      <c r="AD888" s="573"/>
      <c r="AE888" s="487"/>
      <c r="AF888" s="577">
        <f t="shared" si="111"/>
        <v>0</v>
      </c>
      <c r="AG888" s="275">
        <f t="shared" si="112"/>
        <v>0</v>
      </c>
    </row>
    <row r="889" spans="1:33" ht="12" customHeight="1">
      <c r="A889" s="614" t="s">
        <v>1277</v>
      </c>
      <c r="B889" s="626" t="s">
        <v>1765</v>
      </c>
      <c r="C889" s="627" t="s">
        <v>1761</v>
      </c>
      <c r="D889" s="628"/>
      <c r="E889" s="629"/>
      <c r="F889" s="573"/>
      <c r="G889" s="487"/>
      <c r="H889" s="573"/>
      <c r="I889" s="487"/>
      <c r="J889" s="573"/>
      <c r="K889" s="487"/>
      <c r="L889" s="573"/>
      <c r="M889" s="573"/>
      <c r="N889" s="456">
        <f t="shared" si="113"/>
        <v>0</v>
      </c>
      <c r="O889" s="487"/>
      <c r="P889" s="487"/>
      <c r="Q889" s="274">
        <f t="shared" si="108"/>
        <v>0</v>
      </c>
      <c r="R889" s="574">
        <f t="shared" si="109"/>
        <v>0</v>
      </c>
      <c r="S889" s="275">
        <f t="shared" si="110"/>
        <v>0</v>
      </c>
      <c r="T889" s="575">
        <v>3095864</v>
      </c>
      <c r="U889" s="941">
        <v>3002988</v>
      </c>
      <c r="V889" s="576"/>
      <c r="W889" s="573"/>
      <c r="X889" s="574">
        <f t="shared" si="114"/>
        <v>0</v>
      </c>
      <c r="Y889" s="487"/>
      <c r="Z889" s="487"/>
      <c r="AA889" s="276">
        <f t="shared" si="115"/>
        <v>0</v>
      </c>
      <c r="AB889" s="573"/>
      <c r="AC889" s="487"/>
      <c r="AD889" s="573"/>
      <c r="AE889" s="487"/>
      <c r="AF889" s="577">
        <f t="shared" si="111"/>
        <v>3095864</v>
      </c>
      <c r="AG889" s="275">
        <f t="shared" si="112"/>
        <v>3002988</v>
      </c>
    </row>
    <row r="890" spans="1:33" ht="12" customHeight="1">
      <c r="A890" s="614" t="s">
        <v>1277</v>
      </c>
      <c r="B890" s="615" t="s">
        <v>1806</v>
      </c>
      <c r="C890" s="249" t="s">
        <v>376</v>
      </c>
      <c r="D890" s="617"/>
      <c r="E890" s="618"/>
      <c r="F890" s="573"/>
      <c r="G890" s="487"/>
      <c r="H890" s="573"/>
      <c r="I890" s="487"/>
      <c r="J890" s="573"/>
      <c r="K890" s="487"/>
      <c r="L890" s="573"/>
      <c r="M890" s="573"/>
      <c r="N890" s="456">
        <f t="shared" si="113"/>
        <v>0</v>
      </c>
      <c r="O890" s="487"/>
      <c r="P890" s="487"/>
      <c r="Q890" s="274">
        <f t="shared" si="108"/>
        <v>0</v>
      </c>
      <c r="R890" s="574">
        <f t="shared" si="109"/>
        <v>0</v>
      </c>
      <c r="S890" s="275">
        <f t="shared" si="110"/>
        <v>0</v>
      </c>
      <c r="T890" s="575"/>
      <c r="U890" s="487"/>
      <c r="V890" s="576"/>
      <c r="W890" s="573"/>
      <c r="X890" s="574">
        <f t="shared" si="114"/>
        <v>0</v>
      </c>
      <c r="Y890" s="487"/>
      <c r="Z890" s="487"/>
      <c r="AA890" s="276">
        <f t="shared" si="115"/>
        <v>0</v>
      </c>
      <c r="AB890" s="573"/>
      <c r="AC890" s="487"/>
      <c r="AD890" s="573"/>
      <c r="AE890" s="487"/>
      <c r="AF890" s="577">
        <f t="shared" si="111"/>
        <v>0</v>
      </c>
      <c r="AG890" s="275">
        <f t="shared" si="112"/>
        <v>0</v>
      </c>
    </row>
    <row r="891" spans="1:33" ht="12" customHeight="1">
      <c r="A891" s="614" t="s">
        <v>1277</v>
      </c>
      <c r="B891" s="626" t="s">
        <v>1764</v>
      </c>
      <c r="C891" s="627" t="s">
        <v>1883</v>
      </c>
      <c r="D891" s="628"/>
      <c r="E891" s="629"/>
      <c r="F891" s="573"/>
      <c r="G891" s="487"/>
      <c r="H891" s="573"/>
      <c r="I891" s="487"/>
      <c r="J891" s="573"/>
      <c r="K891" s="487"/>
      <c r="L891" s="573"/>
      <c r="M891" s="573"/>
      <c r="N891" s="456">
        <f t="shared" si="113"/>
        <v>0</v>
      </c>
      <c r="O891" s="487"/>
      <c r="P891" s="487"/>
      <c r="Q891" s="274">
        <f t="shared" si="108"/>
        <v>0</v>
      </c>
      <c r="R891" s="574">
        <f t="shared" si="109"/>
        <v>0</v>
      </c>
      <c r="S891" s="275">
        <f t="shared" si="110"/>
        <v>0</v>
      </c>
      <c r="T891" s="575"/>
      <c r="U891" s="487"/>
      <c r="V891" s="576"/>
      <c r="W891" s="573"/>
      <c r="X891" s="574">
        <f t="shared" si="114"/>
        <v>0</v>
      </c>
      <c r="Y891" s="487"/>
      <c r="Z891" s="487"/>
      <c r="AA891" s="276">
        <f t="shared" si="115"/>
        <v>0</v>
      </c>
      <c r="AB891" s="573"/>
      <c r="AC891" s="487"/>
      <c r="AD891" s="573"/>
      <c r="AE891" s="487"/>
      <c r="AF891" s="577">
        <f t="shared" si="111"/>
        <v>0</v>
      </c>
      <c r="AG891" s="275">
        <f t="shared" si="112"/>
        <v>0</v>
      </c>
    </row>
    <row r="892" spans="1:33" ht="12" customHeight="1">
      <c r="A892" s="614" t="s">
        <v>1277</v>
      </c>
      <c r="B892" s="626" t="s">
        <v>1765</v>
      </c>
      <c r="C892" s="627" t="s">
        <v>1761</v>
      </c>
      <c r="D892" s="628"/>
      <c r="E892" s="629"/>
      <c r="F892" s="573"/>
      <c r="G892" s="487"/>
      <c r="H892" s="573"/>
      <c r="I892" s="487"/>
      <c r="J892" s="573"/>
      <c r="K892" s="487"/>
      <c r="L892" s="573"/>
      <c r="M892" s="573"/>
      <c r="N892" s="456">
        <f t="shared" si="113"/>
        <v>0</v>
      </c>
      <c r="O892" s="487"/>
      <c r="P892" s="487"/>
      <c r="Q892" s="274">
        <f t="shared" si="108"/>
        <v>0</v>
      </c>
      <c r="R892" s="574">
        <f t="shared" si="109"/>
        <v>0</v>
      </c>
      <c r="S892" s="275">
        <f t="shared" si="110"/>
        <v>0</v>
      </c>
      <c r="T892" s="575">
        <v>90000</v>
      </c>
      <c r="U892" s="941">
        <v>90000</v>
      </c>
      <c r="V892" s="576"/>
      <c r="W892" s="573"/>
      <c r="X892" s="574">
        <f t="shared" si="114"/>
        <v>0</v>
      </c>
      <c r="Y892" s="487"/>
      <c r="Z892" s="487"/>
      <c r="AA892" s="276">
        <f t="shared" si="115"/>
        <v>0</v>
      </c>
      <c r="AB892" s="573"/>
      <c r="AC892" s="487"/>
      <c r="AD892" s="573"/>
      <c r="AE892" s="487"/>
      <c r="AF892" s="577">
        <f t="shared" si="111"/>
        <v>90000</v>
      </c>
      <c r="AG892" s="275">
        <f t="shared" si="112"/>
        <v>90000</v>
      </c>
    </row>
    <row r="893" spans="1:33" ht="12" customHeight="1">
      <c r="A893" s="614" t="s">
        <v>1277</v>
      </c>
      <c r="B893" s="615" t="s">
        <v>1807</v>
      </c>
      <c r="C893" s="482" t="s">
        <v>1879</v>
      </c>
      <c r="D893" s="617"/>
      <c r="E893" s="618"/>
      <c r="F893" s="573"/>
      <c r="G893" s="487"/>
      <c r="H893" s="573"/>
      <c r="I893" s="487"/>
      <c r="J893" s="573"/>
      <c r="K893" s="487"/>
      <c r="L893" s="573"/>
      <c r="M893" s="573"/>
      <c r="N893" s="456">
        <f t="shared" si="113"/>
        <v>0</v>
      </c>
      <c r="O893" s="487"/>
      <c r="P893" s="487"/>
      <c r="Q893" s="274">
        <f t="shared" si="108"/>
        <v>0</v>
      </c>
      <c r="R893" s="574">
        <f t="shared" si="109"/>
        <v>0</v>
      </c>
      <c r="S893" s="275">
        <f t="shared" si="110"/>
        <v>0</v>
      </c>
      <c r="T893" s="575"/>
      <c r="U893" s="487"/>
      <c r="V893" s="576"/>
      <c r="W893" s="573"/>
      <c r="X893" s="574">
        <f t="shared" si="114"/>
        <v>0</v>
      </c>
      <c r="Y893" s="487"/>
      <c r="Z893" s="487"/>
      <c r="AA893" s="276">
        <f t="shared" si="115"/>
        <v>0</v>
      </c>
      <c r="AB893" s="573"/>
      <c r="AC893" s="487"/>
      <c r="AD893" s="573"/>
      <c r="AE893" s="487"/>
      <c r="AF893" s="577">
        <f t="shared" si="111"/>
        <v>0</v>
      </c>
      <c r="AG893" s="275">
        <f t="shared" si="112"/>
        <v>0</v>
      </c>
    </row>
    <row r="894" spans="1:33" ht="12" customHeight="1">
      <c r="A894" s="614" t="s">
        <v>1277</v>
      </c>
      <c r="B894" s="615" t="s">
        <v>1807</v>
      </c>
      <c r="C894" s="249" t="s">
        <v>1811</v>
      </c>
      <c r="D894" s="617"/>
      <c r="E894" s="618"/>
      <c r="F894" s="573"/>
      <c r="G894" s="487"/>
      <c r="H894" s="573"/>
      <c r="I894" s="487"/>
      <c r="J894" s="573"/>
      <c r="K894" s="487"/>
      <c r="L894" s="573"/>
      <c r="M894" s="573"/>
      <c r="N894" s="456">
        <f t="shared" si="113"/>
        <v>0</v>
      </c>
      <c r="O894" s="487"/>
      <c r="P894" s="487"/>
      <c r="Q894" s="274">
        <f t="shared" si="108"/>
        <v>0</v>
      </c>
      <c r="R894" s="574">
        <f t="shared" si="109"/>
        <v>0</v>
      </c>
      <c r="S894" s="275">
        <f t="shared" si="110"/>
        <v>0</v>
      </c>
      <c r="T894" s="575"/>
      <c r="U894" s="487"/>
      <c r="V894" s="576"/>
      <c r="W894" s="573"/>
      <c r="X894" s="574">
        <f t="shared" si="114"/>
        <v>0</v>
      </c>
      <c r="Y894" s="487"/>
      <c r="Z894" s="487"/>
      <c r="AA894" s="276">
        <f t="shared" si="115"/>
        <v>0</v>
      </c>
      <c r="AB894" s="573"/>
      <c r="AC894" s="487"/>
      <c r="AD894" s="573"/>
      <c r="AE894" s="487"/>
      <c r="AF894" s="577">
        <f t="shared" si="111"/>
        <v>0</v>
      </c>
      <c r="AG894" s="275">
        <f t="shared" si="112"/>
        <v>0</v>
      </c>
    </row>
    <row r="895" spans="1:33" ht="12" customHeight="1">
      <c r="A895" s="614" t="s">
        <v>1277</v>
      </c>
      <c r="B895" s="626" t="s">
        <v>1766</v>
      </c>
      <c r="C895" s="627" t="s">
        <v>1883</v>
      </c>
      <c r="D895" s="628"/>
      <c r="E895" s="629"/>
      <c r="F895" s="573"/>
      <c r="G895" s="487"/>
      <c r="H895" s="573"/>
      <c r="I895" s="487"/>
      <c r="J895" s="573"/>
      <c r="K895" s="487"/>
      <c r="L895" s="573"/>
      <c r="M895" s="573"/>
      <c r="N895" s="456">
        <f t="shared" si="113"/>
        <v>0</v>
      </c>
      <c r="O895" s="487"/>
      <c r="P895" s="487"/>
      <c r="Q895" s="274">
        <f t="shared" si="108"/>
        <v>0</v>
      </c>
      <c r="R895" s="574">
        <f t="shared" si="109"/>
        <v>0</v>
      </c>
      <c r="S895" s="275">
        <f t="shared" si="110"/>
        <v>0</v>
      </c>
      <c r="T895" s="575"/>
      <c r="U895" s="487"/>
      <c r="V895" s="576"/>
      <c r="W895" s="573"/>
      <c r="X895" s="574">
        <f t="shared" si="114"/>
        <v>0</v>
      </c>
      <c r="Y895" s="487"/>
      <c r="Z895" s="487"/>
      <c r="AA895" s="276">
        <f t="shared" si="115"/>
        <v>0</v>
      </c>
      <c r="AB895" s="573"/>
      <c r="AC895" s="487"/>
      <c r="AD895" s="573"/>
      <c r="AE895" s="487"/>
      <c r="AF895" s="577">
        <f t="shared" si="111"/>
        <v>0</v>
      </c>
      <c r="AG895" s="275">
        <f t="shared" si="112"/>
        <v>0</v>
      </c>
    </row>
    <row r="896" spans="1:33" ht="12" customHeight="1">
      <c r="A896" s="614" t="s">
        <v>1277</v>
      </c>
      <c r="B896" s="626" t="s">
        <v>1767</v>
      </c>
      <c r="C896" s="627" t="s">
        <v>1761</v>
      </c>
      <c r="D896" s="628"/>
      <c r="E896" s="629"/>
      <c r="F896" s="573"/>
      <c r="G896" s="487"/>
      <c r="H896" s="573"/>
      <c r="I896" s="487"/>
      <c r="J896" s="573"/>
      <c r="K896" s="487"/>
      <c r="L896" s="573"/>
      <c r="M896" s="573"/>
      <c r="N896" s="456">
        <f t="shared" si="113"/>
        <v>0</v>
      </c>
      <c r="O896" s="487"/>
      <c r="P896" s="487"/>
      <c r="Q896" s="274">
        <f t="shared" si="108"/>
        <v>0</v>
      </c>
      <c r="R896" s="574">
        <f t="shared" si="109"/>
        <v>0</v>
      </c>
      <c r="S896" s="275">
        <f t="shared" si="110"/>
        <v>0</v>
      </c>
      <c r="T896" s="575">
        <v>102693000</v>
      </c>
      <c r="U896" s="941">
        <v>97042395</v>
      </c>
      <c r="V896" s="576"/>
      <c r="W896" s="573"/>
      <c r="X896" s="574">
        <f t="shared" si="114"/>
        <v>0</v>
      </c>
      <c r="Y896" s="487"/>
      <c r="Z896" s="487"/>
      <c r="AA896" s="276">
        <f t="shared" si="115"/>
        <v>0</v>
      </c>
      <c r="AB896" s="573"/>
      <c r="AC896" s="487"/>
      <c r="AD896" s="573"/>
      <c r="AE896" s="487"/>
      <c r="AF896" s="577">
        <f t="shared" si="111"/>
        <v>102693000</v>
      </c>
      <c r="AG896" s="275">
        <f t="shared" si="112"/>
        <v>97042395</v>
      </c>
    </row>
    <row r="897" spans="1:33" ht="12" customHeight="1">
      <c r="A897" s="614" t="s">
        <v>1277</v>
      </c>
      <c r="B897" s="615" t="s">
        <v>1807</v>
      </c>
      <c r="C897" s="249" t="s">
        <v>651</v>
      </c>
      <c r="D897" s="628"/>
      <c r="E897" s="629"/>
      <c r="F897" s="573"/>
      <c r="G897" s="487"/>
      <c r="H897" s="573"/>
      <c r="I897" s="487"/>
      <c r="J897" s="573"/>
      <c r="K897" s="487"/>
      <c r="L897" s="573"/>
      <c r="M897" s="573"/>
      <c r="N897" s="456">
        <f t="shared" si="113"/>
        <v>0</v>
      </c>
      <c r="O897" s="487"/>
      <c r="P897" s="487"/>
      <c r="Q897" s="274">
        <f t="shared" si="108"/>
        <v>0</v>
      </c>
      <c r="R897" s="574">
        <f t="shared" si="109"/>
        <v>0</v>
      </c>
      <c r="S897" s="275">
        <f t="shared" si="110"/>
        <v>0</v>
      </c>
      <c r="T897" s="575"/>
      <c r="U897" s="487"/>
      <c r="V897" s="576"/>
      <c r="W897" s="573"/>
      <c r="X897" s="574">
        <f t="shared" si="114"/>
        <v>0</v>
      </c>
      <c r="Y897" s="487"/>
      <c r="Z897" s="487"/>
      <c r="AA897" s="276">
        <f t="shared" si="115"/>
        <v>0</v>
      </c>
      <c r="AB897" s="573"/>
      <c r="AC897" s="487"/>
      <c r="AD897" s="573"/>
      <c r="AE897" s="487"/>
      <c r="AF897" s="577">
        <f t="shared" si="111"/>
        <v>0</v>
      </c>
      <c r="AG897" s="275">
        <f t="shared" si="112"/>
        <v>0</v>
      </c>
    </row>
    <row r="898" spans="1:33" ht="12" customHeight="1">
      <c r="A898" s="614" t="s">
        <v>1277</v>
      </c>
      <c r="B898" s="626" t="s">
        <v>1766</v>
      </c>
      <c r="C898" s="627" t="s">
        <v>1883</v>
      </c>
      <c r="D898" s="628"/>
      <c r="E898" s="629"/>
      <c r="F898" s="573"/>
      <c r="G898" s="487"/>
      <c r="H898" s="573"/>
      <c r="I898" s="487"/>
      <c r="J898" s="573"/>
      <c r="K898" s="487"/>
      <c r="L898" s="573"/>
      <c r="M898" s="573"/>
      <c r="N898" s="456">
        <f t="shared" si="113"/>
        <v>0</v>
      </c>
      <c r="O898" s="487"/>
      <c r="P898" s="487"/>
      <c r="Q898" s="274">
        <f t="shared" si="108"/>
        <v>0</v>
      </c>
      <c r="R898" s="574">
        <f t="shared" si="109"/>
        <v>0</v>
      </c>
      <c r="S898" s="275">
        <f t="shared" si="110"/>
        <v>0</v>
      </c>
      <c r="T898" s="575"/>
      <c r="U898" s="487"/>
      <c r="V898" s="576"/>
      <c r="W898" s="573"/>
      <c r="X898" s="574">
        <f t="shared" si="114"/>
        <v>0</v>
      </c>
      <c r="Y898" s="487"/>
      <c r="Z898" s="487"/>
      <c r="AA898" s="276">
        <f t="shared" si="115"/>
        <v>0</v>
      </c>
      <c r="AB898" s="573"/>
      <c r="AC898" s="487"/>
      <c r="AD898" s="573"/>
      <c r="AE898" s="487"/>
      <c r="AF898" s="577">
        <f t="shared" si="111"/>
        <v>0</v>
      </c>
      <c r="AG898" s="275">
        <f t="shared" si="112"/>
        <v>0</v>
      </c>
    </row>
    <row r="899" spans="1:33" ht="12" customHeight="1">
      <c r="A899" s="614" t="s">
        <v>1277</v>
      </c>
      <c r="B899" s="626" t="s">
        <v>1767</v>
      </c>
      <c r="C899" s="627" t="s">
        <v>1761</v>
      </c>
      <c r="D899" s="628"/>
      <c r="E899" s="629"/>
      <c r="F899" s="573"/>
      <c r="G899" s="487"/>
      <c r="H899" s="573"/>
      <c r="I899" s="487"/>
      <c r="J899" s="573"/>
      <c r="K899" s="487"/>
      <c r="L899" s="573"/>
      <c r="M899" s="573"/>
      <c r="N899" s="456">
        <f t="shared" si="113"/>
        <v>0</v>
      </c>
      <c r="O899" s="487"/>
      <c r="P899" s="487"/>
      <c r="Q899" s="274">
        <f t="shared" si="108"/>
        <v>0</v>
      </c>
      <c r="R899" s="574">
        <f t="shared" si="109"/>
        <v>0</v>
      </c>
      <c r="S899" s="275">
        <f t="shared" si="110"/>
        <v>0</v>
      </c>
      <c r="T899" s="575">
        <v>4438750</v>
      </c>
      <c r="U899" s="941">
        <v>4439592</v>
      </c>
      <c r="V899" s="576"/>
      <c r="W899" s="573"/>
      <c r="X899" s="574">
        <f t="shared" si="114"/>
        <v>0</v>
      </c>
      <c r="Y899" s="487"/>
      <c r="Z899" s="487"/>
      <c r="AA899" s="276">
        <f t="shared" si="115"/>
        <v>0</v>
      </c>
      <c r="AB899" s="573"/>
      <c r="AC899" s="487"/>
      <c r="AD899" s="573"/>
      <c r="AE899" s="487"/>
      <c r="AF899" s="577">
        <f t="shared" si="111"/>
        <v>4438750</v>
      </c>
      <c r="AG899" s="275">
        <f t="shared" si="112"/>
        <v>4439592</v>
      </c>
    </row>
    <row r="900" spans="1:33" ht="12" customHeight="1">
      <c r="A900" s="614" t="s">
        <v>1277</v>
      </c>
      <c r="B900" s="615" t="s">
        <v>1807</v>
      </c>
      <c r="C900" s="249" t="s">
        <v>1812</v>
      </c>
      <c r="D900" s="617"/>
      <c r="E900" s="618"/>
      <c r="F900" s="573"/>
      <c r="G900" s="487"/>
      <c r="H900" s="573"/>
      <c r="I900" s="487"/>
      <c r="J900" s="573"/>
      <c r="K900" s="487"/>
      <c r="L900" s="573"/>
      <c r="M900" s="573"/>
      <c r="N900" s="456">
        <f t="shared" si="113"/>
        <v>0</v>
      </c>
      <c r="O900" s="487"/>
      <c r="P900" s="487"/>
      <c r="Q900" s="274">
        <f t="shared" si="108"/>
        <v>0</v>
      </c>
      <c r="R900" s="574">
        <f t="shared" si="109"/>
        <v>0</v>
      </c>
      <c r="S900" s="275">
        <f t="shared" si="110"/>
        <v>0</v>
      </c>
      <c r="T900" s="575"/>
      <c r="U900" s="487"/>
      <c r="V900" s="576"/>
      <c r="W900" s="573"/>
      <c r="X900" s="574">
        <f t="shared" si="114"/>
        <v>0</v>
      </c>
      <c r="Y900" s="487"/>
      <c r="Z900" s="487"/>
      <c r="AA900" s="276">
        <f t="shared" si="115"/>
        <v>0</v>
      </c>
      <c r="AB900" s="573"/>
      <c r="AC900" s="487"/>
      <c r="AD900" s="573"/>
      <c r="AE900" s="487"/>
      <c r="AF900" s="577">
        <f t="shared" si="111"/>
        <v>0</v>
      </c>
      <c r="AG900" s="275">
        <f t="shared" si="112"/>
        <v>0</v>
      </c>
    </row>
    <row r="901" spans="1:33" ht="12" customHeight="1">
      <c r="A901" s="614" t="s">
        <v>1277</v>
      </c>
      <c r="B901" s="626" t="s">
        <v>1766</v>
      </c>
      <c r="C901" s="627" t="s">
        <v>1883</v>
      </c>
      <c r="D901" s="628"/>
      <c r="E901" s="629"/>
      <c r="F901" s="573"/>
      <c r="G901" s="487"/>
      <c r="H901" s="573"/>
      <c r="I901" s="487"/>
      <c r="J901" s="573"/>
      <c r="K901" s="487"/>
      <c r="L901" s="573"/>
      <c r="M901" s="573"/>
      <c r="N901" s="456">
        <f t="shared" si="113"/>
        <v>0</v>
      </c>
      <c r="O901" s="487"/>
      <c r="P901" s="487"/>
      <c r="Q901" s="274">
        <f t="shared" si="108"/>
        <v>0</v>
      </c>
      <c r="R901" s="574">
        <f t="shared" si="109"/>
        <v>0</v>
      </c>
      <c r="S901" s="275">
        <f t="shared" si="110"/>
        <v>0</v>
      </c>
      <c r="T901" s="575">
        <v>11308644</v>
      </c>
      <c r="U901" s="941">
        <v>11066226</v>
      </c>
      <c r="V901" s="576"/>
      <c r="W901" s="573"/>
      <c r="X901" s="574">
        <f t="shared" si="114"/>
        <v>0</v>
      </c>
      <c r="Y901" s="487"/>
      <c r="Z901" s="487"/>
      <c r="AA901" s="276">
        <f t="shared" si="115"/>
        <v>0</v>
      </c>
      <c r="AB901" s="573"/>
      <c r="AC901" s="487"/>
      <c r="AD901" s="573"/>
      <c r="AE901" s="487"/>
      <c r="AF901" s="577">
        <f t="shared" si="111"/>
        <v>11308644</v>
      </c>
      <c r="AG901" s="275">
        <f t="shared" si="112"/>
        <v>11066226</v>
      </c>
    </row>
    <row r="902" spans="1:33" ht="12" customHeight="1">
      <c r="A902" s="614" t="s">
        <v>1277</v>
      </c>
      <c r="B902" s="626" t="s">
        <v>1767</v>
      </c>
      <c r="C902" s="627" t="s">
        <v>1761</v>
      </c>
      <c r="D902" s="628"/>
      <c r="E902" s="629"/>
      <c r="F902" s="573"/>
      <c r="G902" s="487"/>
      <c r="H902" s="573"/>
      <c r="I902" s="487"/>
      <c r="J902" s="573"/>
      <c r="K902" s="487"/>
      <c r="L902" s="573"/>
      <c r="M902" s="573"/>
      <c r="N902" s="456">
        <f t="shared" si="113"/>
        <v>0</v>
      </c>
      <c r="O902" s="487"/>
      <c r="P902" s="487"/>
      <c r="Q902" s="274">
        <f t="shared" si="108"/>
        <v>0</v>
      </c>
      <c r="R902" s="574">
        <f t="shared" si="109"/>
        <v>0</v>
      </c>
      <c r="S902" s="275">
        <f t="shared" si="110"/>
        <v>0</v>
      </c>
      <c r="T902" s="575"/>
      <c r="U902" s="487"/>
      <c r="V902" s="576"/>
      <c r="W902" s="573"/>
      <c r="X902" s="574">
        <f t="shared" si="114"/>
        <v>0</v>
      </c>
      <c r="Y902" s="487"/>
      <c r="Z902" s="487"/>
      <c r="AA902" s="276">
        <f t="shared" si="115"/>
        <v>0</v>
      </c>
      <c r="AB902" s="573"/>
      <c r="AC902" s="487"/>
      <c r="AD902" s="573"/>
      <c r="AE902" s="487"/>
      <c r="AF902" s="577">
        <f t="shared" si="111"/>
        <v>0</v>
      </c>
      <c r="AG902" s="275">
        <f t="shared" si="112"/>
        <v>0</v>
      </c>
    </row>
    <row r="903" spans="1:33" ht="12" customHeight="1">
      <c r="A903" s="614" t="s">
        <v>1277</v>
      </c>
      <c r="B903" s="615" t="s">
        <v>1807</v>
      </c>
      <c r="C903" s="249" t="s">
        <v>1813</v>
      </c>
      <c r="D903" s="617"/>
      <c r="E903" s="618"/>
      <c r="F903" s="573"/>
      <c r="G903" s="487"/>
      <c r="H903" s="573"/>
      <c r="I903" s="487"/>
      <c r="J903" s="573"/>
      <c r="K903" s="487"/>
      <c r="L903" s="573"/>
      <c r="M903" s="573"/>
      <c r="N903" s="456">
        <f t="shared" si="113"/>
        <v>0</v>
      </c>
      <c r="O903" s="487"/>
      <c r="P903" s="487"/>
      <c r="Q903" s="274">
        <f t="shared" si="108"/>
        <v>0</v>
      </c>
      <c r="R903" s="574">
        <f t="shared" si="109"/>
        <v>0</v>
      </c>
      <c r="S903" s="275">
        <f t="shared" si="110"/>
        <v>0</v>
      </c>
      <c r="T903" s="575"/>
      <c r="U903" s="487"/>
      <c r="V903" s="576"/>
      <c r="W903" s="573"/>
      <c r="X903" s="574">
        <f t="shared" si="114"/>
        <v>0</v>
      </c>
      <c r="Y903" s="487"/>
      <c r="Z903" s="487"/>
      <c r="AA903" s="276">
        <f t="shared" si="115"/>
        <v>0</v>
      </c>
      <c r="AB903" s="573"/>
      <c r="AC903" s="487"/>
      <c r="AD903" s="573"/>
      <c r="AE903" s="487"/>
      <c r="AF903" s="577">
        <f t="shared" si="111"/>
        <v>0</v>
      </c>
      <c r="AG903" s="275">
        <f t="shared" si="112"/>
        <v>0</v>
      </c>
    </row>
    <row r="904" spans="1:33" ht="12" customHeight="1">
      <c r="A904" s="614" t="s">
        <v>1277</v>
      </c>
      <c r="B904" s="626" t="s">
        <v>1766</v>
      </c>
      <c r="C904" s="627" t="s">
        <v>1883</v>
      </c>
      <c r="D904" s="628"/>
      <c r="E904" s="629"/>
      <c r="F904" s="573"/>
      <c r="G904" s="487"/>
      <c r="H904" s="573"/>
      <c r="I904" s="487"/>
      <c r="J904" s="573"/>
      <c r="K904" s="487"/>
      <c r="L904" s="573"/>
      <c r="M904" s="573"/>
      <c r="N904" s="456">
        <f t="shared" si="113"/>
        <v>0</v>
      </c>
      <c r="O904" s="487"/>
      <c r="P904" s="487"/>
      <c r="Q904" s="274">
        <f t="shared" si="108"/>
        <v>0</v>
      </c>
      <c r="R904" s="574">
        <f t="shared" si="109"/>
        <v>0</v>
      </c>
      <c r="S904" s="275">
        <f t="shared" si="110"/>
        <v>0</v>
      </c>
      <c r="T904" s="575">
        <v>16223185</v>
      </c>
      <c r="U904" s="941">
        <v>15875417</v>
      </c>
      <c r="V904" s="576"/>
      <c r="W904" s="573"/>
      <c r="X904" s="574">
        <f t="shared" si="114"/>
        <v>0</v>
      </c>
      <c r="Y904" s="487"/>
      <c r="Z904" s="487"/>
      <c r="AA904" s="276">
        <f t="shared" si="115"/>
        <v>0</v>
      </c>
      <c r="AB904" s="573"/>
      <c r="AC904" s="487"/>
      <c r="AD904" s="573"/>
      <c r="AE904" s="487"/>
      <c r="AF904" s="577">
        <f t="shared" si="111"/>
        <v>16223185</v>
      </c>
      <c r="AG904" s="275">
        <f t="shared" si="112"/>
        <v>15875417</v>
      </c>
    </row>
    <row r="905" spans="1:33" ht="12" customHeight="1">
      <c r="A905" s="614" t="s">
        <v>1277</v>
      </c>
      <c r="B905" s="626" t="s">
        <v>1767</v>
      </c>
      <c r="C905" s="627" t="s">
        <v>1761</v>
      </c>
      <c r="D905" s="628"/>
      <c r="E905" s="629"/>
      <c r="F905" s="573"/>
      <c r="G905" s="487"/>
      <c r="H905" s="573"/>
      <c r="I905" s="487"/>
      <c r="J905" s="573"/>
      <c r="K905" s="487"/>
      <c r="L905" s="573"/>
      <c r="M905" s="573"/>
      <c r="N905" s="456">
        <f t="shared" si="113"/>
        <v>0</v>
      </c>
      <c r="O905" s="487"/>
      <c r="P905" s="487"/>
      <c r="Q905" s="274">
        <f t="shared" si="108"/>
        <v>0</v>
      </c>
      <c r="R905" s="574">
        <f t="shared" si="109"/>
        <v>0</v>
      </c>
      <c r="S905" s="275">
        <f t="shared" si="110"/>
        <v>0</v>
      </c>
      <c r="T905" s="575"/>
      <c r="U905" s="487"/>
      <c r="V905" s="576"/>
      <c r="W905" s="573"/>
      <c r="X905" s="574">
        <f t="shared" si="114"/>
        <v>0</v>
      </c>
      <c r="Y905" s="487"/>
      <c r="Z905" s="487"/>
      <c r="AA905" s="276">
        <f t="shared" si="115"/>
        <v>0</v>
      </c>
      <c r="AB905" s="573"/>
      <c r="AC905" s="487"/>
      <c r="AD905" s="573"/>
      <c r="AE905" s="487"/>
      <c r="AF905" s="577">
        <f t="shared" si="111"/>
        <v>0</v>
      </c>
      <c r="AG905" s="275">
        <f t="shared" si="112"/>
        <v>0</v>
      </c>
    </row>
    <row r="906" spans="1:33" ht="12" customHeight="1">
      <c r="A906" s="614" t="s">
        <v>1277</v>
      </c>
      <c r="B906" s="615" t="s">
        <v>1807</v>
      </c>
      <c r="C906" s="249" t="s">
        <v>1814</v>
      </c>
      <c r="D906" s="617"/>
      <c r="E906" s="618"/>
      <c r="F906" s="573"/>
      <c r="G906" s="487"/>
      <c r="H906" s="573"/>
      <c r="I906" s="487"/>
      <c r="J906" s="573"/>
      <c r="K906" s="487"/>
      <c r="L906" s="573"/>
      <c r="M906" s="573"/>
      <c r="N906" s="456">
        <f t="shared" si="113"/>
        <v>0</v>
      </c>
      <c r="O906" s="487"/>
      <c r="P906" s="487"/>
      <c r="Q906" s="274">
        <f t="shared" ref="Q906:Q969" si="116">SUM(O906:P906)</f>
        <v>0</v>
      </c>
      <c r="R906" s="574">
        <f t="shared" ref="R906:R969" si="117">SUM(F906,H906,J906,L906)</f>
        <v>0</v>
      </c>
      <c r="S906" s="275">
        <f t="shared" ref="S906:S969" si="118">SUM(G906,I906,K906,O906)</f>
        <v>0</v>
      </c>
      <c r="T906" s="575"/>
      <c r="U906" s="487"/>
      <c r="V906" s="576"/>
      <c r="W906" s="573"/>
      <c r="X906" s="574">
        <f t="shared" si="114"/>
        <v>0</v>
      </c>
      <c r="Y906" s="487"/>
      <c r="Z906" s="487"/>
      <c r="AA906" s="276">
        <f t="shared" si="115"/>
        <v>0</v>
      </c>
      <c r="AB906" s="573"/>
      <c r="AC906" s="487"/>
      <c r="AD906" s="573"/>
      <c r="AE906" s="487"/>
      <c r="AF906" s="577">
        <f t="shared" ref="AF906:AF969" si="119">SUM(R906,T906,V906,AB906,AD906)</f>
        <v>0</v>
      </c>
      <c r="AG906" s="275">
        <f t="shared" ref="AG906:AG969" si="120">SUM(S906,U906,Y906,AC906,AE906)</f>
        <v>0</v>
      </c>
    </row>
    <row r="907" spans="1:33" ht="12" customHeight="1">
      <c r="A907" s="614" t="s">
        <v>1277</v>
      </c>
      <c r="B907" s="626" t="s">
        <v>1766</v>
      </c>
      <c r="C907" s="627" t="s">
        <v>1883</v>
      </c>
      <c r="D907" s="628"/>
      <c r="E907" s="629"/>
      <c r="F907" s="573"/>
      <c r="G907" s="487"/>
      <c r="H907" s="573"/>
      <c r="I907" s="487"/>
      <c r="J907" s="573"/>
      <c r="K907" s="487"/>
      <c r="L907" s="573"/>
      <c r="M907" s="573"/>
      <c r="N907" s="456">
        <f t="shared" si="113"/>
        <v>0</v>
      </c>
      <c r="O907" s="487"/>
      <c r="P907" s="487"/>
      <c r="Q907" s="274">
        <f t="shared" si="116"/>
        <v>0</v>
      </c>
      <c r="R907" s="574">
        <f t="shared" si="117"/>
        <v>0</v>
      </c>
      <c r="S907" s="275">
        <f t="shared" si="118"/>
        <v>0</v>
      </c>
      <c r="T907" s="575">
        <v>678000</v>
      </c>
      <c r="U907" s="941">
        <f>438011+226442</f>
        <v>664453</v>
      </c>
      <c r="V907" s="576"/>
      <c r="W907" s="573"/>
      <c r="X907" s="574">
        <f t="shared" si="114"/>
        <v>0</v>
      </c>
      <c r="Y907" s="487"/>
      <c r="Z907" s="487"/>
      <c r="AA907" s="276">
        <f t="shared" si="115"/>
        <v>0</v>
      </c>
      <c r="AB907" s="573"/>
      <c r="AC907" s="487"/>
      <c r="AD907" s="573"/>
      <c r="AE907" s="487"/>
      <c r="AF907" s="577">
        <f t="shared" si="119"/>
        <v>678000</v>
      </c>
      <c r="AG907" s="275">
        <f t="shared" si="120"/>
        <v>664453</v>
      </c>
    </row>
    <row r="908" spans="1:33" ht="12" customHeight="1">
      <c r="A908" s="614" t="s">
        <v>1277</v>
      </c>
      <c r="B908" s="626" t="s">
        <v>1767</v>
      </c>
      <c r="C908" s="627" t="s">
        <v>1761</v>
      </c>
      <c r="D908" s="628"/>
      <c r="E908" s="629"/>
      <c r="F908" s="573"/>
      <c r="G908" s="487"/>
      <c r="H908" s="573"/>
      <c r="I908" s="487"/>
      <c r="J908" s="573"/>
      <c r="K908" s="487"/>
      <c r="L908" s="573"/>
      <c r="M908" s="573"/>
      <c r="N908" s="456">
        <f t="shared" si="113"/>
        <v>0</v>
      </c>
      <c r="O908" s="487"/>
      <c r="P908" s="487"/>
      <c r="Q908" s="274">
        <f t="shared" si="116"/>
        <v>0</v>
      </c>
      <c r="R908" s="574">
        <f t="shared" si="117"/>
        <v>0</v>
      </c>
      <c r="S908" s="275">
        <f t="shared" si="118"/>
        <v>0</v>
      </c>
      <c r="T908" s="575"/>
      <c r="U908" s="487"/>
      <c r="V908" s="576"/>
      <c r="W908" s="573"/>
      <c r="X908" s="574">
        <f t="shared" si="114"/>
        <v>0</v>
      </c>
      <c r="Y908" s="487"/>
      <c r="Z908" s="487"/>
      <c r="AA908" s="276">
        <f t="shared" si="115"/>
        <v>0</v>
      </c>
      <c r="AB908" s="573"/>
      <c r="AC908" s="487"/>
      <c r="AD908" s="573"/>
      <c r="AE908" s="487"/>
      <c r="AF908" s="577">
        <f t="shared" si="119"/>
        <v>0</v>
      </c>
      <c r="AG908" s="275">
        <f t="shared" si="120"/>
        <v>0</v>
      </c>
    </row>
    <row r="909" spans="1:33" ht="12" customHeight="1">
      <c r="A909" s="630" t="s">
        <v>1277</v>
      </c>
      <c r="B909" s="631" t="s">
        <v>1776</v>
      </c>
      <c r="C909" s="632" t="s">
        <v>720</v>
      </c>
      <c r="D909" s="633" t="s">
        <v>721</v>
      </c>
      <c r="E909" s="634">
        <v>7</v>
      </c>
      <c r="F909" s="573">
        <v>10221190</v>
      </c>
      <c r="G909" s="487">
        <v>9514473</v>
      </c>
      <c r="H909" s="573"/>
      <c r="I909" s="487"/>
      <c r="J909" s="573"/>
      <c r="K909" s="487"/>
      <c r="L909" s="573">
        <v>2235529</v>
      </c>
      <c r="M909" s="573"/>
      <c r="N909" s="456">
        <f t="shared" si="113"/>
        <v>2235529</v>
      </c>
      <c r="O909" s="487">
        <v>2347305</v>
      </c>
      <c r="P909" s="487"/>
      <c r="Q909" s="274">
        <f t="shared" si="116"/>
        <v>2347305</v>
      </c>
      <c r="R909" s="574">
        <f t="shared" si="117"/>
        <v>12456719</v>
      </c>
      <c r="S909" s="275">
        <f t="shared" si="118"/>
        <v>11861778</v>
      </c>
      <c r="T909" s="575"/>
      <c r="U909" s="487"/>
      <c r="V909" s="576"/>
      <c r="W909" s="573"/>
      <c r="X909" s="574">
        <f t="shared" si="114"/>
        <v>0</v>
      </c>
      <c r="Y909" s="487"/>
      <c r="Z909" s="487"/>
      <c r="AA909" s="276">
        <f t="shared" si="115"/>
        <v>0</v>
      </c>
      <c r="AB909" s="573"/>
      <c r="AC909" s="487"/>
      <c r="AD909" s="573"/>
      <c r="AE909" s="487"/>
      <c r="AF909" s="577">
        <f t="shared" si="119"/>
        <v>12456719</v>
      </c>
      <c r="AG909" s="275">
        <f t="shared" si="120"/>
        <v>11861778</v>
      </c>
    </row>
    <row r="910" spans="1:33" ht="12" customHeight="1">
      <c r="A910" s="630" t="s">
        <v>1277</v>
      </c>
      <c r="B910" s="631" t="s">
        <v>1776</v>
      </c>
      <c r="C910" s="632" t="s">
        <v>743</v>
      </c>
      <c r="D910" s="633" t="s">
        <v>744</v>
      </c>
      <c r="E910" s="634">
        <v>7</v>
      </c>
      <c r="F910" s="573">
        <v>184535403</v>
      </c>
      <c r="G910" s="487">
        <v>170116119</v>
      </c>
      <c r="H910" s="573"/>
      <c r="I910" s="487"/>
      <c r="J910" s="573"/>
      <c r="K910" s="487"/>
      <c r="L910" s="573">
        <v>93169484</v>
      </c>
      <c r="M910" s="573"/>
      <c r="N910" s="456">
        <f t="shared" si="113"/>
        <v>93169484</v>
      </c>
      <c r="O910" s="487">
        <v>97827958</v>
      </c>
      <c r="P910" s="487"/>
      <c r="Q910" s="274">
        <f t="shared" si="116"/>
        <v>97827958</v>
      </c>
      <c r="R910" s="574">
        <f t="shared" si="117"/>
        <v>277704887</v>
      </c>
      <c r="S910" s="275">
        <f t="shared" si="118"/>
        <v>267944077</v>
      </c>
      <c r="T910" s="575"/>
      <c r="U910" s="487"/>
      <c r="V910" s="576"/>
      <c r="W910" s="573"/>
      <c r="X910" s="574">
        <f t="shared" si="114"/>
        <v>0</v>
      </c>
      <c r="Y910" s="487"/>
      <c r="Z910" s="487"/>
      <c r="AA910" s="276">
        <f t="shared" si="115"/>
        <v>0</v>
      </c>
      <c r="AB910" s="573"/>
      <c r="AC910" s="487"/>
      <c r="AD910" s="573"/>
      <c r="AE910" s="487"/>
      <c r="AF910" s="577">
        <f t="shared" si="119"/>
        <v>277704887</v>
      </c>
      <c r="AG910" s="275">
        <f t="shared" si="120"/>
        <v>267944077</v>
      </c>
    </row>
    <row r="911" spans="1:33" ht="12" customHeight="1">
      <c r="A911" s="630" t="s">
        <v>1277</v>
      </c>
      <c r="B911" s="631" t="s">
        <v>1776</v>
      </c>
      <c r="C911" s="632" t="s">
        <v>2041</v>
      </c>
      <c r="D911" s="633" t="s">
        <v>747</v>
      </c>
      <c r="E911" s="969">
        <v>7</v>
      </c>
      <c r="F911" s="573">
        <v>18928392</v>
      </c>
      <c r="G911" s="487">
        <v>17470974</v>
      </c>
      <c r="H911" s="573"/>
      <c r="I911" s="487"/>
      <c r="J911" s="573"/>
      <c r="K911" s="487"/>
      <c r="L911" s="573">
        <v>7956492</v>
      </c>
      <c r="M911" s="573"/>
      <c r="N911" s="456">
        <f t="shared" si="113"/>
        <v>7956492</v>
      </c>
      <c r="O911" s="487">
        <v>8354317</v>
      </c>
      <c r="P911" s="487"/>
      <c r="Q911" s="274">
        <f t="shared" si="116"/>
        <v>8354317</v>
      </c>
      <c r="R911" s="574">
        <f t="shared" si="117"/>
        <v>26884884</v>
      </c>
      <c r="S911" s="275">
        <f t="shared" si="118"/>
        <v>25825291</v>
      </c>
      <c r="T911" s="575"/>
      <c r="U911" s="487"/>
      <c r="V911" s="576"/>
      <c r="W911" s="573"/>
      <c r="X911" s="574">
        <f t="shared" si="114"/>
        <v>0</v>
      </c>
      <c r="Y911" s="487"/>
      <c r="Z911" s="487"/>
      <c r="AA911" s="276">
        <f t="shared" si="115"/>
        <v>0</v>
      </c>
      <c r="AB911" s="573"/>
      <c r="AC911" s="487"/>
      <c r="AD911" s="573"/>
      <c r="AE911" s="487"/>
      <c r="AF911" s="577">
        <f t="shared" si="119"/>
        <v>26884884</v>
      </c>
      <c r="AG911" s="275">
        <f t="shared" si="120"/>
        <v>25825291</v>
      </c>
    </row>
    <row r="912" spans="1:33" ht="12" customHeight="1">
      <c r="A912" s="630" t="s">
        <v>1277</v>
      </c>
      <c r="B912" s="631" t="s">
        <v>1776</v>
      </c>
      <c r="C912" s="632" t="s">
        <v>758</v>
      </c>
      <c r="D912" s="633" t="s">
        <v>759</v>
      </c>
      <c r="E912" s="634">
        <v>7</v>
      </c>
      <c r="F912" s="573">
        <v>64136328</v>
      </c>
      <c r="G912" s="487">
        <v>58242041</v>
      </c>
      <c r="H912" s="573"/>
      <c r="I912" s="487"/>
      <c r="J912" s="573"/>
      <c r="K912" s="487"/>
      <c r="L912" s="573">
        <v>32341517</v>
      </c>
      <c r="M912" s="573"/>
      <c r="N912" s="456">
        <f t="shared" si="113"/>
        <v>32341517</v>
      </c>
      <c r="O912" s="487">
        <v>33958593</v>
      </c>
      <c r="P912" s="487"/>
      <c r="Q912" s="274">
        <f t="shared" si="116"/>
        <v>33958593</v>
      </c>
      <c r="R912" s="574">
        <f t="shared" si="117"/>
        <v>96477845</v>
      </c>
      <c r="S912" s="275">
        <f t="shared" si="118"/>
        <v>92200634</v>
      </c>
      <c r="T912" s="575"/>
      <c r="U912" s="487"/>
      <c r="V912" s="576"/>
      <c r="W912" s="573"/>
      <c r="X912" s="574">
        <f t="shared" si="114"/>
        <v>0</v>
      </c>
      <c r="Y912" s="487"/>
      <c r="Z912" s="487"/>
      <c r="AA912" s="276">
        <f t="shared" si="115"/>
        <v>0</v>
      </c>
      <c r="AB912" s="573"/>
      <c r="AC912" s="487"/>
      <c r="AD912" s="573"/>
      <c r="AE912" s="487"/>
      <c r="AF912" s="577">
        <f t="shared" si="119"/>
        <v>96477845</v>
      </c>
      <c r="AG912" s="275">
        <f t="shared" si="120"/>
        <v>92200634</v>
      </c>
    </row>
    <row r="913" spans="1:33" ht="12" customHeight="1">
      <c r="A913" s="630" t="s">
        <v>1277</v>
      </c>
      <c r="B913" s="631" t="s">
        <v>1776</v>
      </c>
      <c r="C913" s="632" t="s">
        <v>714</v>
      </c>
      <c r="D913" s="633" t="s">
        <v>715</v>
      </c>
      <c r="E913" s="634">
        <v>8</v>
      </c>
      <c r="F913" s="573">
        <v>41569699</v>
      </c>
      <c r="G913" s="487">
        <v>38032710</v>
      </c>
      <c r="H913" s="573"/>
      <c r="I913" s="487"/>
      <c r="J913" s="573"/>
      <c r="K913" s="487"/>
      <c r="L913" s="573">
        <v>17663845</v>
      </c>
      <c r="M913" s="573"/>
      <c r="N913" s="456">
        <f t="shared" si="113"/>
        <v>17663845</v>
      </c>
      <c r="O913" s="487">
        <v>18547037</v>
      </c>
      <c r="P913" s="487"/>
      <c r="Q913" s="274">
        <f t="shared" si="116"/>
        <v>18547037</v>
      </c>
      <c r="R913" s="574">
        <f t="shared" si="117"/>
        <v>59233544</v>
      </c>
      <c r="S913" s="275">
        <f t="shared" si="118"/>
        <v>56579747</v>
      </c>
      <c r="T913" s="575"/>
      <c r="U913" s="487"/>
      <c r="V913" s="576"/>
      <c r="W913" s="573"/>
      <c r="X913" s="574">
        <f t="shared" si="114"/>
        <v>0</v>
      </c>
      <c r="Y913" s="487"/>
      <c r="Z913" s="487"/>
      <c r="AA913" s="276">
        <f t="shared" si="115"/>
        <v>0</v>
      </c>
      <c r="AB913" s="573"/>
      <c r="AC913" s="487"/>
      <c r="AD913" s="573"/>
      <c r="AE913" s="487"/>
      <c r="AF913" s="577">
        <f t="shared" si="119"/>
        <v>59233544</v>
      </c>
      <c r="AG913" s="275">
        <f t="shared" si="120"/>
        <v>56579747</v>
      </c>
    </row>
    <row r="914" spans="1:33" ht="12" customHeight="1">
      <c r="A914" s="630" t="s">
        <v>1277</v>
      </c>
      <c r="B914" s="631" t="s">
        <v>1776</v>
      </c>
      <c r="C914" s="632" t="s">
        <v>716</v>
      </c>
      <c r="D914" s="633" t="s">
        <v>717</v>
      </c>
      <c r="E914" s="634">
        <v>8</v>
      </c>
      <c r="F914" s="573">
        <v>80078308</v>
      </c>
      <c r="G914" s="487">
        <v>73360162</v>
      </c>
      <c r="H914" s="573"/>
      <c r="I914" s="487"/>
      <c r="J914" s="573"/>
      <c r="K914" s="487"/>
      <c r="L914" s="573">
        <v>44365574</v>
      </c>
      <c r="M914" s="573"/>
      <c r="N914" s="456">
        <f t="shared" si="113"/>
        <v>44365574</v>
      </c>
      <c r="O914" s="487">
        <v>46583853</v>
      </c>
      <c r="P914" s="470"/>
      <c r="Q914" s="274">
        <f t="shared" si="116"/>
        <v>46583853</v>
      </c>
      <c r="R914" s="574">
        <f t="shared" si="117"/>
        <v>124443882</v>
      </c>
      <c r="S914" s="275">
        <f t="shared" si="118"/>
        <v>119944015</v>
      </c>
      <c r="T914" s="575"/>
      <c r="U914" s="487"/>
      <c r="V914" s="576"/>
      <c r="W914" s="573"/>
      <c r="X914" s="574">
        <f t="shared" si="114"/>
        <v>0</v>
      </c>
      <c r="Y914" s="487"/>
      <c r="Z914" s="487"/>
      <c r="AA914" s="276">
        <f t="shared" si="115"/>
        <v>0</v>
      </c>
      <c r="AB914" s="573"/>
      <c r="AC914" s="487"/>
      <c r="AD914" s="573"/>
      <c r="AE914" s="487"/>
      <c r="AF914" s="577">
        <f t="shared" si="119"/>
        <v>124443882</v>
      </c>
      <c r="AG914" s="275">
        <f t="shared" si="120"/>
        <v>119944015</v>
      </c>
    </row>
    <row r="915" spans="1:33" ht="12" customHeight="1">
      <c r="A915" s="630" t="s">
        <v>1277</v>
      </c>
      <c r="B915" s="631" t="s">
        <v>1776</v>
      </c>
      <c r="C915" s="632" t="s">
        <v>722</v>
      </c>
      <c r="D915" s="633" t="s">
        <v>723</v>
      </c>
      <c r="E915" s="634">
        <v>8</v>
      </c>
      <c r="F915" s="573">
        <v>52503824</v>
      </c>
      <c r="G915" s="487">
        <v>48141707</v>
      </c>
      <c r="H915" s="573"/>
      <c r="I915" s="487"/>
      <c r="J915" s="573"/>
      <c r="K915" s="487"/>
      <c r="L915" s="573">
        <v>18183375</v>
      </c>
      <c r="M915" s="573"/>
      <c r="N915" s="456">
        <f t="shared" ref="N915:N978" si="121">SUM(L915:M915)</f>
        <v>18183375</v>
      </c>
      <c r="O915" s="487">
        <v>19092544</v>
      </c>
      <c r="P915" s="487"/>
      <c r="Q915" s="274">
        <f t="shared" si="116"/>
        <v>19092544</v>
      </c>
      <c r="R915" s="574">
        <f t="shared" si="117"/>
        <v>70687199</v>
      </c>
      <c r="S915" s="275">
        <f t="shared" si="118"/>
        <v>67234251</v>
      </c>
      <c r="T915" s="575"/>
      <c r="U915" s="487"/>
      <c r="V915" s="576"/>
      <c r="W915" s="573"/>
      <c r="X915" s="574">
        <f t="shared" ref="X915:X978" si="122">SUM(V915:W915)</f>
        <v>0</v>
      </c>
      <c r="Y915" s="487"/>
      <c r="Z915" s="487"/>
      <c r="AA915" s="276">
        <f t="shared" ref="AA915:AA978" si="123">SUM(Y915:Z915)</f>
        <v>0</v>
      </c>
      <c r="AB915" s="573"/>
      <c r="AC915" s="487"/>
      <c r="AD915" s="573"/>
      <c r="AE915" s="487"/>
      <c r="AF915" s="577">
        <f t="shared" si="119"/>
        <v>70687199</v>
      </c>
      <c r="AG915" s="275">
        <f t="shared" si="120"/>
        <v>67234251</v>
      </c>
    </row>
    <row r="916" spans="1:33" ht="12" customHeight="1">
      <c r="A916" s="630" t="s">
        <v>1277</v>
      </c>
      <c r="B916" s="631" t="s">
        <v>1776</v>
      </c>
      <c r="C916" s="632" t="s">
        <v>2040</v>
      </c>
      <c r="D916" s="633" t="s">
        <v>726</v>
      </c>
      <c r="E916" s="969">
        <v>8</v>
      </c>
      <c r="F916" s="573">
        <v>25862851</v>
      </c>
      <c r="G916" s="487">
        <v>23900150</v>
      </c>
      <c r="H916" s="573"/>
      <c r="I916" s="487"/>
      <c r="J916" s="573"/>
      <c r="K916" s="487"/>
      <c r="L916" s="573">
        <v>14770050</v>
      </c>
      <c r="M916" s="573"/>
      <c r="N916" s="456">
        <f t="shared" si="121"/>
        <v>14770050</v>
      </c>
      <c r="O916" s="487">
        <v>15508553</v>
      </c>
      <c r="P916" s="487"/>
      <c r="Q916" s="274">
        <f t="shared" si="116"/>
        <v>15508553</v>
      </c>
      <c r="R916" s="574">
        <f t="shared" si="117"/>
        <v>40632901</v>
      </c>
      <c r="S916" s="275">
        <f t="shared" si="118"/>
        <v>39408703</v>
      </c>
      <c r="T916" s="575"/>
      <c r="U916" s="487"/>
      <c r="V916" s="576"/>
      <c r="W916" s="573"/>
      <c r="X916" s="574">
        <f t="shared" si="122"/>
        <v>0</v>
      </c>
      <c r="Y916" s="487"/>
      <c r="Z916" s="487"/>
      <c r="AA916" s="276">
        <f t="shared" si="123"/>
        <v>0</v>
      </c>
      <c r="AB916" s="573"/>
      <c r="AC916" s="487"/>
      <c r="AD916" s="573"/>
      <c r="AE916" s="487"/>
      <c r="AF916" s="577">
        <f t="shared" si="119"/>
        <v>40632901</v>
      </c>
      <c r="AG916" s="275">
        <f t="shared" si="120"/>
        <v>39408703</v>
      </c>
    </row>
    <row r="917" spans="1:33" ht="12" customHeight="1">
      <c r="A917" s="630" t="s">
        <v>1277</v>
      </c>
      <c r="B917" s="631" t="s">
        <v>1776</v>
      </c>
      <c r="C917" s="632" t="s">
        <v>727</v>
      </c>
      <c r="D917" s="633" t="s">
        <v>728</v>
      </c>
      <c r="E917" s="634">
        <v>8</v>
      </c>
      <c r="F917" s="573">
        <v>82482645</v>
      </c>
      <c r="G917" s="487">
        <v>76214505</v>
      </c>
      <c r="H917" s="573"/>
      <c r="I917" s="487"/>
      <c r="J917" s="573"/>
      <c r="K917" s="487"/>
      <c r="L917" s="573">
        <v>50018193</v>
      </c>
      <c r="M917" s="573"/>
      <c r="N917" s="456">
        <f t="shared" si="121"/>
        <v>50018193</v>
      </c>
      <c r="O917" s="487">
        <v>52519103</v>
      </c>
      <c r="P917" s="487"/>
      <c r="Q917" s="274">
        <f t="shared" si="116"/>
        <v>52519103</v>
      </c>
      <c r="R917" s="574">
        <f t="shared" si="117"/>
        <v>132500838</v>
      </c>
      <c r="S917" s="275">
        <f t="shared" si="118"/>
        <v>128733608</v>
      </c>
      <c r="T917" s="575"/>
      <c r="U917" s="487"/>
      <c r="V917" s="576"/>
      <c r="W917" s="573"/>
      <c r="X917" s="574">
        <f t="shared" si="122"/>
        <v>0</v>
      </c>
      <c r="Y917" s="487"/>
      <c r="Z917" s="487"/>
      <c r="AA917" s="276">
        <f t="shared" si="123"/>
        <v>0</v>
      </c>
      <c r="AB917" s="573"/>
      <c r="AC917" s="487"/>
      <c r="AD917" s="573"/>
      <c r="AE917" s="487"/>
      <c r="AF917" s="577">
        <f t="shared" si="119"/>
        <v>132500838</v>
      </c>
      <c r="AG917" s="275">
        <f t="shared" si="120"/>
        <v>128733608</v>
      </c>
    </row>
    <row r="918" spans="1:33" ht="12" customHeight="1">
      <c r="A918" s="630" t="s">
        <v>1277</v>
      </c>
      <c r="B918" s="631" t="s">
        <v>1776</v>
      </c>
      <c r="C918" s="632" t="s">
        <v>733</v>
      </c>
      <c r="D918" s="633" t="s">
        <v>734</v>
      </c>
      <c r="E918" s="634">
        <v>8</v>
      </c>
      <c r="F918" s="573">
        <v>53583392</v>
      </c>
      <c r="G918" s="487">
        <v>49569866</v>
      </c>
      <c r="H918" s="573"/>
      <c r="I918" s="487"/>
      <c r="J918" s="573"/>
      <c r="K918" s="487"/>
      <c r="L918" s="573">
        <v>30387202</v>
      </c>
      <c r="M918" s="573"/>
      <c r="N918" s="456">
        <f t="shared" si="121"/>
        <v>30387202</v>
      </c>
      <c r="O918" s="487">
        <v>31906562</v>
      </c>
      <c r="P918" s="487"/>
      <c r="Q918" s="274">
        <f t="shared" si="116"/>
        <v>31906562</v>
      </c>
      <c r="R918" s="574">
        <f t="shared" si="117"/>
        <v>83970594</v>
      </c>
      <c r="S918" s="275">
        <f t="shared" si="118"/>
        <v>81476428</v>
      </c>
      <c r="T918" s="575"/>
      <c r="U918" s="487"/>
      <c r="V918" s="576"/>
      <c r="W918" s="573"/>
      <c r="X918" s="574">
        <f t="shared" si="122"/>
        <v>0</v>
      </c>
      <c r="Y918" s="487"/>
      <c r="Z918" s="487"/>
      <c r="AA918" s="276">
        <f t="shared" si="123"/>
        <v>0</v>
      </c>
      <c r="AB918" s="573"/>
      <c r="AC918" s="487"/>
      <c r="AD918" s="573"/>
      <c r="AE918" s="487"/>
      <c r="AF918" s="577">
        <f t="shared" si="119"/>
        <v>83970594</v>
      </c>
      <c r="AG918" s="275">
        <f t="shared" si="120"/>
        <v>81476428</v>
      </c>
    </row>
    <row r="919" spans="1:33" ht="12" customHeight="1">
      <c r="A919" s="630" t="s">
        <v>1277</v>
      </c>
      <c r="B919" s="631" t="s">
        <v>1776</v>
      </c>
      <c r="C919" s="632" t="s">
        <v>735</v>
      </c>
      <c r="D919" s="633" t="s">
        <v>736</v>
      </c>
      <c r="E919" s="634">
        <v>8</v>
      </c>
      <c r="F919" s="573">
        <v>47587179</v>
      </c>
      <c r="G919" s="487">
        <v>44760617</v>
      </c>
      <c r="H919" s="573"/>
      <c r="I919" s="487"/>
      <c r="J919" s="573"/>
      <c r="K919" s="487"/>
      <c r="L919" s="573">
        <v>15685060</v>
      </c>
      <c r="M919" s="573"/>
      <c r="N919" s="456">
        <f t="shared" si="121"/>
        <v>15685060</v>
      </c>
      <c r="O919" s="487">
        <v>16469313</v>
      </c>
      <c r="P919" s="487"/>
      <c r="Q919" s="274">
        <f t="shared" si="116"/>
        <v>16469313</v>
      </c>
      <c r="R919" s="574">
        <f t="shared" si="117"/>
        <v>63272239</v>
      </c>
      <c r="S919" s="275">
        <f t="shared" si="118"/>
        <v>61229930</v>
      </c>
      <c r="T919" s="575"/>
      <c r="U919" s="487"/>
      <c r="V919" s="576"/>
      <c r="W919" s="573"/>
      <c r="X919" s="574">
        <f t="shared" si="122"/>
        <v>0</v>
      </c>
      <c r="Y919" s="487"/>
      <c r="Z919" s="487"/>
      <c r="AA919" s="276">
        <f t="shared" si="123"/>
        <v>0</v>
      </c>
      <c r="AB919" s="573"/>
      <c r="AC919" s="487"/>
      <c r="AD919" s="573"/>
      <c r="AE919" s="487"/>
      <c r="AF919" s="577">
        <f t="shared" si="119"/>
        <v>63272239</v>
      </c>
      <c r="AG919" s="275">
        <f t="shared" si="120"/>
        <v>61229930</v>
      </c>
    </row>
    <row r="920" spans="1:33" ht="12" customHeight="1">
      <c r="A920" s="630" t="s">
        <v>1277</v>
      </c>
      <c r="B920" s="631" t="s">
        <v>1776</v>
      </c>
      <c r="C920" s="632" t="s">
        <v>741</v>
      </c>
      <c r="D920" s="633" t="s">
        <v>742</v>
      </c>
      <c r="E920" s="634">
        <v>8</v>
      </c>
      <c r="F920" s="573">
        <v>22962987</v>
      </c>
      <c r="G920" s="487">
        <v>21218645</v>
      </c>
      <c r="H920" s="573"/>
      <c r="I920" s="487"/>
      <c r="J920" s="573"/>
      <c r="K920" s="487"/>
      <c r="L920" s="573">
        <v>14895762</v>
      </c>
      <c r="M920" s="573"/>
      <c r="N920" s="456">
        <f t="shared" si="121"/>
        <v>14895762</v>
      </c>
      <c r="O920" s="487">
        <v>15640550</v>
      </c>
      <c r="P920" s="487"/>
      <c r="Q920" s="274">
        <f t="shared" si="116"/>
        <v>15640550</v>
      </c>
      <c r="R920" s="574">
        <f t="shared" si="117"/>
        <v>37858749</v>
      </c>
      <c r="S920" s="275">
        <f t="shared" si="118"/>
        <v>36859195</v>
      </c>
      <c r="T920" s="575"/>
      <c r="U920" s="487"/>
      <c r="V920" s="576"/>
      <c r="W920" s="573"/>
      <c r="X920" s="574">
        <f t="shared" si="122"/>
        <v>0</v>
      </c>
      <c r="Y920" s="487"/>
      <c r="Z920" s="487"/>
      <c r="AA920" s="276">
        <f t="shared" si="123"/>
        <v>0</v>
      </c>
      <c r="AB920" s="573"/>
      <c r="AC920" s="487"/>
      <c r="AD920" s="573"/>
      <c r="AE920" s="487"/>
      <c r="AF920" s="577">
        <f t="shared" si="119"/>
        <v>37858749</v>
      </c>
      <c r="AG920" s="275">
        <f t="shared" si="120"/>
        <v>36859195</v>
      </c>
    </row>
    <row r="921" spans="1:33" ht="12" customHeight="1">
      <c r="A921" s="630" t="s">
        <v>1277</v>
      </c>
      <c r="B921" s="631" t="s">
        <v>1776</v>
      </c>
      <c r="C921" s="632" t="s">
        <v>748</v>
      </c>
      <c r="D921" s="633" t="s">
        <v>749</v>
      </c>
      <c r="E921" s="634">
        <v>8</v>
      </c>
      <c r="F921" s="573">
        <v>56614232</v>
      </c>
      <c r="G921" s="487">
        <v>52317057</v>
      </c>
      <c r="H921" s="573"/>
      <c r="I921" s="487"/>
      <c r="J921" s="573"/>
      <c r="K921" s="487"/>
      <c r="L921" s="573">
        <v>30478589</v>
      </c>
      <c r="M921" s="573"/>
      <c r="N921" s="456">
        <f t="shared" si="121"/>
        <v>30478589</v>
      </c>
      <c r="O921" s="487">
        <v>32002518</v>
      </c>
      <c r="P921" s="487"/>
      <c r="Q921" s="274">
        <f t="shared" si="116"/>
        <v>32002518</v>
      </c>
      <c r="R921" s="574">
        <f t="shared" si="117"/>
        <v>87092821</v>
      </c>
      <c r="S921" s="275">
        <f t="shared" si="118"/>
        <v>84319575</v>
      </c>
      <c r="T921" s="575"/>
      <c r="U921" s="487"/>
      <c r="V921" s="576"/>
      <c r="W921" s="573"/>
      <c r="X921" s="574">
        <f t="shared" si="122"/>
        <v>0</v>
      </c>
      <c r="Y921" s="487"/>
      <c r="Z921" s="487"/>
      <c r="AA921" s="276">
        <f t="shared" si="123"/>
        <v>0</v>
      </c>
      <c r="AB921" s="573"/>
      <c r="AC921" s="487"/>
      <c r="AD921" s="573"/>
      <c r="AE921" s="487"/>
      <c r="AF921" s="577">
        <f t="shared" si="119"/>
        <v>87092821</v>
      </c>
      <c r="AG921" s="275">
        <f t="shared" si="120"/>
        <v>84319575</v>
      </c>
    </row>
    <row r="922" spans="1:33" ht="12" customHeight="1">
      <c r="A922" s="630" t="s">
        <v>1277</v>
      </c>
      <c r="B922" s="631" t="s">
        <v>1776</v>
      </c>
      <c r="C922" s="632" t="s">
        <v>750</v>
      </c>
      <c r="D922" s="633" t="s">
        <v>751</v>
      </c>
      <c r="E922" s="969">
        <v>8</v>
      </c>
      <c r="F922" s="573">
        <v>20455950</v>
      </c>
      <c r="G922" s="487">
        <v>19229090</v>
      </c>
      <c r="H922" s="573"/>
      <c r="I922" s="487"/>
      <c r="J922" s="573"/>
      <c r="K922" s="487"/>
      <c r="L922" s="573">
        <v>8827635</v>
      </c>
      <c r="M922" s="573"/>
      <c r="N922" s="456">
        <f t="shared" si="121"/>
        <v>8827635</v>
      </c>
      <c r="O922" s="487">
        <v>9269017</v>
      </c>
      <c r="P922" s="487"/>
      <c r="Q922" s="274">
        <f t="shared" si="116"/>
        <v>9269017</v>
      </c>
      <c r="R922" s="574">
        <f t="shared" si="117"/>
        <v>29283585</v>
      </c>
      <c r="S922" s="275">
        <f t="shared" si="118"/>
        <v>28498107</v>
      </c>
      <c r="T922" s="575"/>
      <c r="U922" s="487"/>
      <c r="V922" s="576"/>
      <c r="W922" s="573"/>
      <c r="X922" s="574">
        <f t="shared" si="122"/>
        <v>0</v>
      </c>
      <c r="Y922" s="487"/>
      <c r="Z922" s="487"/>
      <c r="AA922" s="276">
        <f t="shared" si="123"/>
        <v>0</v>
      </c>
      <c r="AB922" s="573"/>
      <c r="AC922" s="487"/>
      <c r="AD922" s="573"/>
      <c r="AE922" s="487"/>
      <c r="AF922" s="577">
        <f t="shared" si="119"/>
        <v>29283585</v>
      </c>
      <c r="AG922" s="275">
        <f t="shared" si="120"/>
        <v>28498107</v>
      </c>
    </row>
    <row r="923" spans="1:33" ht="12" customHeight="1">
      <c r="A923" s="630" t="s">
        <v>1277</v>
      </c>
      <c r="B923" s="631" t="s">
        <v>1776</v>
      </c>
      <c r="C923" s="632" t="s">
        <v>752</v>
      </c>
      <c r="D923" s="633" t="s">
        <v>753</v>
      </c>
      <c r="E923" s="634">
        <v>8</v>
      </c>
      <c r="F923" s="573">
        <v>37553932</v>
      </c>
      <c r="G923" s="487">
        <v>34106947</v>
      </c>
      <c r="H923" s="573"/>
      <c r="I923" s="487"/>
      <c r="J923" s="573"/>
      <c r="K923" s="487"/>
      <c r="L923" s="573">
        <v>12429548</v>
      </c>
      <c r="M923" s="573"/>
      <c r="N923" s="456">
        <f t="shared" si="121"/>
        <v>12429548</v>
      </c>
      <c r="O923" s="487">
        <v>13051025</v>
      </c>
      <c r="P923" s="487"/>
      <c r="Q923" s="274">
        <f t="shared" si="116"/>
        <v>13051025</v>
      </c>
      <c r="R923" s="574">
        <f t="shared" si="117"/>
        <v>49983480</v>
      </c>
      <c r="S923" s="275">
        <f t="shared" si="118"/>
        <v>47157972</v>
      </c>
      <c r="T923" s="575"/>
      <c r="U923" s="487"/>
      <c r="V923" s="576"/>
      <c r="W923" s="573"/>
      <c r="X923" s="574">
        <f t="shared" si="122"/>
        <v>0</v>
      </c>
      <c r="Y923" s="487"/>
      <c r="Z923" s="487"/>
      <c r="AA923" s="276">
        <f t="shared" si="123"/>
        <v>0</v>
      </c>
      <c r="AB923" s="573"/>
      <c r="AC923" s="487"/>
      <c r="AD923" s="573"/>
      <c r="AE923" s="487"/>
      <c r="AF923" s="577">
        <f t="shared" si="119"/>
        <v>49983480</v>
      </c>
      <c r="AG923" s="275">
        <f t="shared" si="120"/>
        <v>47157972</v>
      </c>
    </row>
    <row r="924" spans="1:33" ht="12" customHeight="1">
      <c r="A924" s="630" t="s">
        <v>1277</v>
      </c>
      <c r="B924" s="631" t="s">
        <v>1776</v>
      </c>
      <c r="C924" s="632" t="s">
        <v>760</v>
      </c>
      <c r="D924" s="633" t="s">
        <v>761</v>
      </c>
      <c r="E924" s="634">
        <v>8</v>
      </c>
      <c r="F924" s="573">
        <v>38487973</v>
      </c>
      <c r="G924" s="487">
        <v>35482678</v>
      </c>
      <c r="H924" s="573"/>
      <c r="I924" s="487"/>
      <c r="J924" s="573"/>
      <c r="K924" s="487"/>
      <c r="L924" s="573">
        <v>21949887</v>
      </c>
      <c r="M924" s="573"/>
      <c r="N924" s="456">
        <f t="shared" si="121"/>
        <v>21949887</v>
      </c>
      <c r="O924" s="487">
        <v>23047381</v>
      </c>
      <c r="P924" s="487"/>
      <c r="Q924" s="274">
        <f t="shared" si="116"/>
        <v>23047381</v>
      </c>
      <c r="R924" s="574">
        <f t="shared" si="117"/>
        <v>60437860</v>
      </c>
      <c r="S924" s="275">
        <f t="shared" si="118"/>
        <v>58530059</v>
      </c>
      <c r="T924" s="575"/>
      <c r="U924" s="487"/>
      <c r="V924" s="576"/>
      <c r="W924" s="573"/>
      <c r="X924" s="574">
        <f t="shared" si="122"/>
        <v>0</v>
      </c>
      <c r="Y924" s="487"/>
      <c r="Z924" s="487"/>
      <c r="AA924" s="276">
        <f t="shared" si="123"/>
        <v>0</v>
      </c>
      <c r="AB924" s="573"/>
      <c r="AC924" s="487"/>
      <c r="AD924" s="573"/>
      <c r="AE924" s="487"/>
      <c r="AF924" s="577">
        <f t="shared" si="119"/>
        <v>60437860</v>
      </c>
      <c r="AG924" s="275">
        <f t="shared" si="120"/>
        <v>58530059</v>
      </c>
    </row>
    <row r="925" spans="1:33" ht="12" customHeight="1">
      <c r="A925" s="630" t="s">
        <v>1277</v>
      </c>
      <c r="B925" s="631" t="s">
        <v>1776</v>
      </c>
      <c r="C925" s="632" t="s">
        <v>762</v>
      </c>
      <c r="D925" s="633" t="s">
        <v>763</v>
      </c>
      <c r="E925" s="634">
        <v>8</v>
      </c>
      <c r="F925" s="573">
        <v>38537699</v>
      </c>
      <c r="G925" s="487">
        <v>35670319</v>
      </c>
      <c r="H925" s="573"/>
      <c r="I925" s="487"/>
      <c r="J925" s="573"/>
      <c r="K925" s="487"/>
      <c r="L925" s="573">
        <v>17424137</v>
      </c>
      <c r="M925" s="573"/>
      <c r="N925" s="456">
        <f t="shared" si="121"/>
        <v>17424137</v>
      </c>
      <c r="O925" s="487">
        <v>18295344</v>
      </c>
      <c r="P925" s="487"/>
      <c r="Q925" s="274">
        <f t="shared" si="116"/>
        <v>18295344</v>
      </c>
      <c r="R925" s="574">
        <f t="shared" si="117"/>
        <v>55961836</v>
      </c>
      <c r="S925" s="275">
        <f t="shared" si="118"/>
        <v>53965663</v>
      </c>
      <c r="T925" s="575"/>
      <c r="U925" s="487"/>
      <c r="V925" s="576"/>
      <c r="W925" s="573"/>
      <c r="X925" s="574">
        <f t="shared" si="122"/>
        <v>0</v>
      </c>
      <c r="Y925" s="487"/>
      <c r="Z925" s="487"/>
      <c r="AA925" s="276">
        <f t="shared" si="123"/>
        <v>0</v>
      </c>
      <c r="AB925" s="573"/>
      <c r="AC925" s="487"/>
      <c r="AD925" s="573"/>
      <c r="AE925" s="487"/>
      <c r="AF925" s="577">
        <f t="shared" si="119"/>
        <v>55961836</v>
      </c>
      <c r="AG925" s="275">
        <f t="shared" si="120"/>
        <v>53965663</v>
      </c>
    </row>
    <row r="926" spans="1:33" ht="12" customHeight="1">
      <c r="A926" s="630" t="s">
        <v>1277</v>
      </c>
      <c r="B926" s="631" t="s">
        <v>1776</v>
      </c>
      <c r="C926" s="632" t="s">
        <v>615</v>
      </c>
      <c r="D926" s="633" t="s">
        <v>616</v>
      </c>
      <c r="E926" s="634">
        <v>8</v>
      </c>
      <c r="F926" s="573">
        <v>32393663</v>
      </c>
      <c r="G926" s="487">
        <v>29573282</v>
      </c>
      <c r="H926" s="573"/>
      <c r="I926" s="487"/>
      <c r="J926" s="573"/>
      <c r="K926" s="487"/>
      <c r="L926" s="573">
        <v>18786233</v>
      </c>
      <c r="M926" s="573"/>
      <c r="N926" s="456">
        <f t="shared" si="121"/>
        <v>18786233</v>
      </c>
      <c r="O926" s="487">
        <v>19725545</v>
      </c>
      <c r="P926" s="487"/>
      <c r="Q926" s="274">
        <f t="shared" si="116"/>
        <v>19725545</v>
      </c>
      <c r="R926" s="574">
        <f t="shared" si="117"/>
        <v>51179896</v>
      </c>
      <c r="S926" s="275">
        <f t="shared" si="118"/>
        <v>49298827</v>
      </c>
      <c r="T926" s="575"/>
      <c r="U926" s="487"/>
      <c r="V926" s="576"/>
      <c r="W926" s="573"/>
      <c r="X926" s="574">
        <f t="shared" si="122"/>
        <v>0</v>
      </c>
      <c r="Y926" s="487"/>
      <c r="Z926" s="487"/>
      <c r="AA926" s="276">
        <f t="shared" si="123"/>
        <v>0</v>
      </c>
      <c r="AB926" s="573"/>
      <c r="AC926" s="487"/>
      <c r="AD926" s="573"/>
      <c r="AE926" s="487"/>
      <c r="AF926" s="577">
        <f t="shared" si="119"/>
        <v>51179896</v>
      </c>
      <c r="AG926" s="275">
        <f t="shared" si="120"/>
        <v>49298827</v>
      </c>
    </row>
    <row r="927" spans="1:33" ht="12" customHeight="1">
      <c r="A927" s="630" t="s">
        <v>1277</v>
      </c>
      <c r="B927" s="631" t="s">
        <v>1776</v>
      </c>
      <c r="C927" s="632" t="s">
        <v>617</v>
      </c>
      <c r="D927" s="633" t="s">
        <v>618</v>
      </c>
      <c r="E927" s="634">
        <v>8</v>
      </c>
      <c r="F927" s="573">
        <v>67973138</v>
      </c>
      <c r="G927" s="487">
        <v>62468187</v>
      </c>
      <c r="H927" s="573"/>
      <c r="I927" s="487"/>
      <c r="J927" s="573"/>
      <c r="K927" s="487"/>
      <c r="L927" s="573">
        <v>46741011</v>
      </c>
      <c r="M927" s="573"/>
      <c r="N927" s="456">
        <f t="shared" si="121"/>
        <v>46741011</v>
      </c>
      <c r="O927" s="487">
        <v>49078062</v>
      </c>
      <c r="P927" s="487"/>
      <c r="Q927" s="274">
        <f t="shared" si="116"/>
        <v>49078062</v>
      </c>
      <c r="R927" s="574">
        <f t="shared" si="117"/>
        <v>114714149</v>
      </c>
      <c r="S927" s="275">
        <f t="shared" si="118"/>
        <v>111546249</v>
      </c>
      <c r="T927" s="575"/>
      <c r="U927" s="487"/>
      <c r="V927" s="576"/>
      <c r="W927" s="573"/>
      <c r="X927" s="574">
        <f t="shared" si="122"/>
        <v>0</v>
      </c>
      <c r="Y927" s="487"/>
      <c r="Z927" s="487"/>
      <c r="AA927" s="276">
        <f t="shared" si="123"/>
        <v>0</v>
      </c>
      <c r="AB927" s="573"/>
      <c r="AC927" s="487"/>
      <c r="AD927" s="573"/>
      <c r="AE927" s="487"/>
      <c r="AF927" s="577">
        <f t="shared" si="119"/>
        <v>114714149</v>
      </c>
      <c r="AG927" s="275">
        <f t="shared" si="120"/>
        <v>111546249</v>
      </c>
    </row>
    <row r="928" spans="1:33" ht="12" customHeight="1">
      <c r="A928" s="630" t="s">
        <v>1277</v>
      </c>
      <c r="B928" s="631" t="s">
        <v>1776</v>
      </c>
      <c r="C928" s="632" t="s">
        <v>718</v>
      </c>
      <c r="D928" s="633" t="s">
        <v>719</v>
      </c>
      <c r="E928" s="634">
        <v>9</v>
      </c>
      <c r="F928" s="573">
        <v>20134622</v>
      </c>
      <c r="G928" s="487">
        <v>18794800</v>
      </c>
      <c r="H928" s="573"/>
      <c r="I928" s="487"/>
      <c r="J928" s="573"/>
      <c r="K928" s="487"/>
      <c r="L928" s="573">
        <v>10272467</v>
      </c>
      <c r="M928" s="573"/>
      <c r="N928" s="456">
        <f t="shared" si="121"/>
        <v>10272467</v>
      </c>
      <c r="O928" s="487">
        <v>10786090</v>
      </c>
      <c r="P928" s="487"/>
      <c r="Q928" s="274">
        <f t="shared" si="116"/>
        <v>10786090</v>
      </c>
      <c r="R928" s="574">
        <f t="shared" si="117"/>
        <v>30407089</v>
      </c>
      <c r="S928" s="275">
        <f t="shared" si="118"/>
        <v>29580890</v>
      </c>
      <c r="T928" s="575"/>
      <c r="U928" s="487"/>
      <c r="V928" s="576"/>
      <c r="W928" s="573"/>
      <c r="X928" s="574">
        <f t="shared" si="122"/>
        <v>0</v>
      </c>
      <c r="Y928" s="487"/>
      <c r="Z928" s="487"/>
      <c r="AA928" s="276">
        <f t="shared" si="123"/>
        <v>0</v>
      </c>
      <c r="AB928" s="573"/>
      <c r="AC928" s="487"/>
      <c r="AD928" s="573"/>
      <c r="AE928" s="487"/>
      <c r="AF928" s="577">
        <f t="shared" si="119"/>
        <v>30407089</v>
      </c>
      <c r="AG928" s="275">
        <f t="shared" si="120"/>
        <v>29580890</v>
      </c>
    </row>
    <row r="929" spans="1:33" ht="12" customHeight="1">
      <c r="A929" s="630" t="s">
        <v>1277</v>
      </c>
      <c r="B929" s="631" t="s">
        <v>1776</v>
      </c>
      <c r="C929" s="632" t="s">
        <v>731</v>
      </c>
      <c r="D929" s="633" t="s">
        <v>732</v>
      </c>
      <c r="E929" s="634">
        <v>9</v>
      </c>
      <c r="F929" s="573">
        <v>19513867</v>
      </c>
      <c r="G929" s="487">
        <v>17988909</v>
      </c>
      <c r="H929" s="573"/>
      <c r="I929" s="487"/>
      <c r="J929" s="573"/>
      <c r="K929" s="487"/>
      <c r="L929" s="573">
        <v>7991842</v>
      </c>
      <c r="M929" s="573"/>
      <c r="N929" s="456">
        <f t="shared" si="121"/>
        <v>7991842</v>
      </c>
      <c r="O929" s="487">
        <v>8391434</v>
      </c>
      <c r="P929" s="487"/>
      <c r="Q929" s="274">
        <f t="shared" si="116"/>
        <v>8391434</v>
      </c>
      <c r="R929" s="574">
        <f t="shared" si="117"/>
        <v>27505709</v>
      </c>
      <c r="S929" s="275">
        <f t="shared" si="118"/>
        <v>26380343</v>
      </c>
      <c r="T929" s="575"/>
      <c r="U929" s="487"/>
      <c r="V929" s="576"/>
      <c r="W929" s="573"/>
      <c r="X929" s="574">
        <f t="shared" si="122"/>
        <v>0</v>
      </c>
      <c r="Y929" s="487"/>
      <c r="Z929" s="487"/>
      <c r="AA929" s="276">
        <f t="shared" si="123"/>
        <v>0</v>
      </c>
      <c r="AB929" s="573"/>
      <c r="AC929" s="487"/>
      <c r="AD929" s="573"/>
      <c r="AE929" s="487"/>
      <c r="AF929" s="577">
        <f t="shared" si="119"/>
        <v>27505709</v>
      </c>
      <c r="AG929" s="275">
        <f t="shared" si="120"/>
        <v>26380343</v>
      </c>
    </row>
    <row r="930" spans="1:33" ht="12" customHeight="1">
      <c r="A930" s="630" t="s">
        <v>1277</v>
      </c>
      <c r="B930" s="631" t="s">
        <v>1776</v>
      </c>
      <c r="C930" s="632" t="s">
        <v>737</v>
      </c>
      <c r="D930" s="633" t="s">
        <v>738</v>
      </c>
      <c r="E930" s="634">
        <v>9</v>
      </c>
      <c r="F930" s="573">
        <v>13765067</v>
      </c>
      <c r="G930" s="487">
        <v>12774818</v>
      </c>
      <c r="H930" s="573"/>
      <c r="I930" s="487"/>
      <c r="J930" s="573"/>
      <c r="K930" s="487"/>
      <c r="L930" s="573">
        <v>3472381</v>
      </c>
      <c r="M930" s="573"/>
      <c r="N930" s="456">
        <f t="shared" si="121"/>
        <v>3472381</v>
      </c>
      <c r="O930" s="487">
        <v>3646000</v>
      </c>
      <c r="P930" s="487"/>
      <c r="Q930" s="274">
        <f t="shared" si="116"/>
        <v>3646000</v>
      </c>
      <c r="R930" s="574">
        <f t="shared" si="117"/>
        <v>17237448</v>
      </c>
      <c r="S930" s="275">
        <f t="shared" si="118"/>
        <v>16420818</v>
      </c>
      <c r="T930" s="575"/>
      <c r="U930" s="487"/>
      <c r="V930" s="576"/>
      <c r="W930" s="573"/>
      <c r="X930" s="574">
        <f t="shared" si="122"/>
        <v>0</v>
      </c>
      <c r="Y930" s="487"/>
      <c r="Z930" s="487"/>
      <c r="AA930" s="276">
        <f t="shared" si="123"/>
        <v>0</v>
      </c>
      <c r="AB930" s="573"/>
      <c r="AC930" s="487"/>
      <c r="AD930" s="573"/>
      <c r="AE930" s="487"/>
      <c r="AF930" s="577">
        <f t="shared" si="119"/>
        <v>17237448</v>
      </c>
      <c r="AG930" s="275">
        <f t="shared" si="120"/>
        <v>16420818</v>
      </c>
    </row>
    <row r="931" spans="1:33" ht="12" customHeight="1">
      <c r="A931" s="630" t="s">
        <v>1277</v>
      </c>
      <c r="B931" s="631" t="s">
        <v>1776</v>
      </c>
      <c r="C931" s="632" t="s">
        <v>739</v>
      </c>
      <c r="D931" s="633" t="s">
        <v>740</v>
      </c>
      <c r="E931" s="634">
        <v>9</v>
      </c>
      <c r="F931" s="573">
        <v>11454625</v>
      </c>
      <c r="G931" s="487">
        <v>10696050</v>
      </c>
      <c r="H931" s="573"/>
      <c r="I931" s="487"/>
      <c r="J931" s="573"/>
      <c r="K931" s="487"/>
      <c r="L931" s="573">
        <v>4367490</v>
      </c>
      <c r="M931" s="573"/>
      <c r="N931" s="456">
        <f t="shared" si="121"/>
        <v>4367490</v>
      </c>
      <c r="O931" s="487">
        <v>4585865</v>
      </c>
      <c r="P931" s="487"/>
      <c r="Q931" s="274">
        <f t="shared" si="116"/>
        <v>4585865</v>
      </c>
      <c r="R931" s="574">
        <f t="shared" si="117"/>
        <v>15822115</v>
      </c>
      <c r="S931" s="275">
        <f t="shared" si="118"/>
        <v>15281915</v>
      </c>
      <c r="T931" s="575"/>
      <c r="U931" s="487"/>
      <c r="V931" s="576"/>
      <c r="W931" s="573"/>
      <c r="X931" s="574">
        <f t="shared" si="122"/>
        <v>0</v>
      </c>
      <c r="Y931" s="487"/>
      <c r="Z931" s="487"/>
      <c r="AA931" s="276">
        <f t="shared" si="123"/>
        <v>0</v>
      </c>
      <c r="AB931" s="573"/>
      <c r="AC931" s="487"/>
      <c r="AD931" s="573"/>
      <c r="AE931" s="487"/>
      <c r="AF931" s="577">
        <f t="shared" si="119"/>
        <v>15822115</v>
      </c>
      <c r="AG931" s="275">
        <f t="shared" si="120"/>
        <v>15281915</v>
      </c>
    </row>
    <row r="932" spans="1:33" ht="12" customHeight="1">
      <c r="A932" s="630" t="s">
        <v>1277</v>
      </c>
      <c r="B932" s="631" t="s">
        <v>1776</v>
      </c>
      <c r="C932" s="632" t="s">
        <v>754</v>
      </c>
      <c r="D932" s="633" t="s">
        <v>755</v>
      </c>
      <c r="E932" s="634">
        <v>9</v>
      </c>
      <c r="F932" s="573">
        <v>19404184</v>
      </c>
      <c r="G932" s="487">
        <v>18145967</v>
      </c>
      <c r="H932" s="573"/>
      <c r="I932" s="487"/>
      <c r="J932" s="573"/>
      <c r="K932" s="487"/>
      <c r="L932" s="573">
        <v>8223168</v>
      </c>
      <c r="M932" s="573"/>
      <c r="N932" s="456">
        <f t="shared" si="121"/>
        <v>8223168</v>
      </c>
      <c r="O932" s="487">
        <v>8634326</v>
      </c>
      <c r="P932" s="487"/>
      <c r="Q932" s="274">
        <f t="shared" si="116"/>
        <v>8634326</v>
      </c>
      <c r="R932" s="574">
        <f t="shared" si="117"/>
        <v>27627352</v>
      </c>
      <c r="S932" s="275">
        <f t="shared" si="118"/>
        <v>26780293</v>
      </c>
      <c r="T932" s="575"/>
      <c r="U932" s="487"/>
      <c r="V932" s="576"/>
      <c r="W932" s="573"/>
      <c r="X932" s="574">
        <f t="shared" si="122"/>
        <v>0</v>
      </c>
      <c r="Y932" s="487"/>
      <c r="Z932" s="487"/>
      <c r="AA932" s="276">
        <f t="shared" si="123"/>
        <v>0</v>
      </c>
      <c r="AB932" s="573"/>
      <c r="AC932" s="487"/>
      <c r="AD932" s="573"/>
      <c r="AE932" s="487"/>
      <c r="AF932" s="577">
        <f t="shared" si="119"/>
        <v>27627352</v>
      </c>
      <c r="AG932" s="275">
        <f t="shared" si="120"/>
        <v>26780293</v>
      </c>
    </row>
    <row r="933" spans="1:33" ht="12" customHeight="1">
      <c r="A933" s="630" t="s">
        <v>1277</v>
      </c>
      <c r="B933" s="631" t="s">
        <v>1776</v>
      </c>
      <c r="C933" s="632" t="s">
        <v>764</v>
      </c>
      <c r="D933" s="633" t="s">
        <v>765</v>
      </c>
      <c r="E933" s="634">
        <v>9</v>
      </c>
      <c r="F933" s="573">
        <v>17099117</v>
      </c>
      <c r="G933" s="487">
        <v>15981739</v>
      </c>
      <c r="H933" s="573"/>
      <c r="I933" s="487"/>
      <c r="J933" s="573"/>
      <c r="K933" s="487"/>
      <c r="L933" s="573">
        <v>2811862</v>
      </c>
      <c r="M933" s="573"/>
      <c r="N933" s="456">
        <f t="shared" si="121"/>
        <v>2811862</v>
      </c>
      <c r="O933" s="487">
        <v>2952455</v>
      </c>
      <c r="P933" s="487"/>
      <c r="Q933" s="274">
        <f t="shared" si="116"/>
        <v>2952455</v>
      </c>
      <c r="R933" s="574">
        <f t="shared" si="117"/>
        <v>19910979</v>
      </c>
      <c r="S933" s="275">
        <f t="shared" si="118"/>
        <v>18934194</v>
      </c>
      <c r="T933" s="575"/>
      <c r="U933" s="487"/>
      <c r="V933" s="576"/>
      <c r="W933" s="573"/>
      <c r="X933" s="574">
        <f t="shared" si="122"/>
        <v>0</v>
      </c>
      <c r="Y933" s="487"/>
      <c r="Z933" s="487"/>
      <c r="AA933" s="276">
        <f t="shared" si="123"/>
        <v>0</v>
      </c>
      <c r="AB933" s="573"/>
      <c r="AC933" s="487"/>
      <c r="AD933" s="573"/>
      <c r="AE933" s="487"/>
      <c r="AF933" s="577">
        <f t="shared" si="119"/>
        <v>19910979</v>
      </c>
      <c r="AG933" s="275">
        <f t="shared" si="120"/>
        <v>18934194</v>
      </c>
    </row>
    <row r="934" spans="1:33" ht="12" customHeight="1">
      <c r="A934" s="630" t="s">
        <v>1277</v>
      </c>
      <c r="B934" s="631" t="s">
        <v>1776</v>
      </c>
      <c r="C934" s="632" t="s">
        <v>756</v>
      </c>
      <c r="D934" s="633" t="s">
        <v>757</v>
      </c>
      <c r="E934" s="634">
        <v>9</v>
      </c>
      <c r="F934" s="573">
        <v>16700155</v>
      </c>
      <c r="G934" s="487">
        <v>15581912</v>
      </c>
      <c r="H934" s="573"/>
      <c r="I934" s="487"/>
      <c r="J934" s="573"/>
      <c r="K934" s="487"/>
      <c r="L934" s="573">
        <v>6549640</v>
      </c>
      <c r="M934" s="573"/>
      <c r="N934" s="456">
        <f t="shared" si="121"/>
        <v>6549640</v>
      </c>
      <c r="O934" s="487">
        <v>6877122</v>
      </c>
      <c r="P934" s="487"/>
      <c r="Q934" s="274">
        <f t="shared" si="116"/>
        <v>6877122</v>
      </c>
      <c r="R934" s="574">
        <f t="shared" si="117"/>
        <v>23249795</v>
      </c>
      <c r="S934" s="275">
        <f t="shared" si="118"/>
        <v>22459034</v>
      </c>
      <c r="T934" s="575"/>
      <c r="U934" s="487"/>
      <c r="V934" s="576"/>
      <c r="W934" s="573"/>
      <c r="X934" s="574">
        <f t="shared" si="122"/>
        <v>0</v>
      </c>
      <c r="Y934" s="487"/>
      <c r="Z934" s="487"/>
      <c r="AA934" s="276">
        <f t="shared" si="123"/>
        <v>0</v>
      </c>
      <c r="AB934" s="573"/>
      <c r="AC934" s="487"/>
      <c r="AD934" s="573"/>
      <c r="AE934" s="487"/>
      <c r="AF934" s="577">
        <f t="shared" si="119"/>
        <v>23249795</v>
      </c>
      <c r="AG934" s="275">
        <f t="shared" si="120"/>
        <v>22459034</v>
      </c>
    </row>
    <row r="935" spans="1:33" ht="12" customHeight="1">
      <c r="A935" s="630" t="s">
        <v>1277</v>
      </c>
      <c r="B935" s="631" t="s">
        <v>1776</v>
      </c>
      <c r="C935" s="632" t="s">
        <v>729</v>
      </c>
      <c r="D935" s="633" t="s">
        <v>730</v>
      </c>
      <c r="E935" s="634">
        <v>10</v>
      </c>
      <c r="F935" s="573">
        <v>6323275</v>
      </c>
      <c r="G935" s="487">
        <v>5941723</v>
      </c>
      <c r="H935" s="573"/>
      <c r="I935" s="487"/>
      <c r="J935" s="573"/>
      <c r="K935" s="487"/>
      <c r="L935" s="573">
        <v>1680901</v>
      </c>
      <c r="M935" s="573"/>
      <c r="N935" s="456">
        <f t="shared" si="121"/>
        <v>1680901</v>
      </c>
      <c r="O935" s="487">
        <v>1764946</v>
      </c>
      <c r="P935" s="487"/>
      <c r="Q935" s="274">
        <f t="shared" si="116"/>
        <v>1764946</v>
      </c>
      <c r="R935" s="574">
        <f t="shared" si="117"/>
        <v>8004176</v>
      </c>
      <c r="S935" s="275">
        <f t="shared" si="118"/>
        <v>7706669</v>
      </c>
      <c r="T935" s="575"/>
      <c r="U935" s="487"/>
      <c r="V935" s="576"/>
      <c r="W935" s="573"/>
      <c r="X935" s="574">
        <f t="shared" si="122"/>
        <v>0</v>
      </c>
      <c r="Y935" s="487"/>
      <c r="Z935" s="487"/>
      <c r="AA935" s="276">
        <f t="shared" si="123"/>
        <v>0</v>
      </c>
      <c r="AB935" s="573"/>
      <c r="AC935" s="487"/>
      <c r="AD935" s="573"/>
      <c r="AE935" s="487"/>
      <c r="AF935" s="577">
        <f t="shared" si="119"/>
        <v>8004176</v>
      </c>
      <c r="AG935" s="275">
        <f t="shared" si="120"/>
        <v>7706669</v>
      </c>
    </row>
    <row r="936" spans="1:33" ht="12" customHeight="1">
      <c r="A936" s="630" t="s">
        <v>1277</v>
      </c>
      <c r="B936" s="631" t="s">
        <v>1776</v>
      </c>
      <c r="C936" s="632" t="s">
        <v>745</v>
      </c>
      <c r="D936" s="633" t="s">
        <v>746</v>
      </c>
      <c r="E936" s="634">
        <v>10</v>
      </c>
      <c r="F936" s="573">
        <v>6934299</v>
      </c>
      <c r="G936" s="487">
        <v>6290889</v>
      </c>
      <c r="H936" s="573"/>
      <c r="I936" s="487"/>
      <c r="J936" s="573"/>
      <c r="K936" s="487"/>
      <c r="L936" s="573">
        <v>1525545</v>
      </c>
      <c r="M936" s="573"/>
      <c r="N936" s="456">
        <f t="shared" si="121"/>
        <v>1525545</v>
      </c>
      <c r="O936" s="487">
        <v>1601822</v>
      </c>
      <c r="P936" s="487"/>
      <c r="Q936" s="274">
        <f t="shared" si="116"/>
        <v>1601822</v>
      </c>
      <c r="R936" s="574">
        <f t="shared" si="117"/>
        <v>8459844</v>
      </c>
      <c r="S936" s="275">
        <f t="shared" si="118"/>
        <v>7892711</v>
      </c>
      <c r="T936" s="575"/>
      <c r="U936" s="487"/>
      <c r="V936" s="576"/>
      <c r="W936" s="573"/>
      <c r="X936" s="574">
        <f t="shared" si="122"/>
        <v>0</v>
      </c>
      <c r="Y936" s="487"/>
      <c r="Z936" s="487"/>
      <c r="AA936" s="276">
        <f t="shared" si="123"/>
        <v>0</v>
      </c>
      <c r="AB936" s="573"/>
      <c r="AC936" s="487"/>
      <c r="AD936" s="573"/>
      <c r="AE936" s="487"/>
      <c r="AF936" s="577">
        <f t="shared" si="119"/>
        <v>8459844</v>
      </c>
      <c r="AG936" s="275">
        <f t="shared" si="120"/>
        <v>7892711</v>
      </c>
    </row>
    <row r="937" spans="1:33" ht="12" customHeight="1" thickBot="1">
      <c r="A937" s="635" t="s">
        <v>1277</v>
      </c>
      <c r="B937" s="636" t="s">
        <v>1796</v>
      </c>
      <c r="C937" s="637" t="s">
        <v>619</v>
      </c>
      <c r="D937" s="638"/>
      <c r="E937" s="639"/>
      <c r="F937" s="592"/>
      <c r="G937" s="471"/>
      <c r="H937" s="592"/>
      <c r="I937" s="471"/>
      <c r="J937" s="592"/>
      <c r="K937" s="471"/>
      <c r="L937" s="592"/>
      <c r="M937" s="592"/>
      <c r="N937" s="456">
        <f t="shared" si="121"/>
        <v>0</v>
      </c>
      <c r="O937" s="471"/>
      <c r="P937" s="471"/>
      <c r="Q937" s="274">
        <f t="shared" si="116"/>
        <v>0</v>
      </c>
      <c r="R937" s="574">
        <f t="shared" si="117"/>
        <v>0</v>
      </c>
      <c r="S937" s="275">
        <f t="shared" si="118"/>
        <v>0</v>
      </c>
      <c r="T937" s="640">
        <v>2089918</v>
      </c>
      <c r="U937" s="471">
        <v>1907274</v>
      </c>
      <c r="V937" s="591"/>
      <c r="W937" s="592"/>
      <c r="X937" s="574">
        <f t="shared" si="122"/>
        <v>0</v>
      </c>
      <c r="Y937" s="471"/>
      <c r="Z937" s="471"/>
      <c r="AA937" s="276">
        <f t="shared" si="123"/>
        <v>0</v>
      </c>
      <c r="AB937" s="592"/>
      <c r="AC937" s="471"/>
      <c r="AD937" s="592"/>
      <c r="AE937" s="471"/>
      <c r="AF937" s="577">
        <f t="shared" si="119"/>
        <v>2089918</v>
      </c>
      <c r="AG937" s="275">
        <f t="shared" si="120"/>
        <v>1907274</v>
      </c>
    </row>
    <row r="938" spans="1:33" ht="12" customHeight="1">
      <c r="A938" s="641" t="s">
        <v>1277</v>
      </c>
      <c r="B938" s="642" t="s">
        <v>1776</v>
      </c>
      <c r="C938" s="643" t="s">
        <v>151</v>
      </c>
      <c r="D938" s="644" t="s">
        <v>152</v>
      </c>
      <c r="E938" s="645">
        <v>14</v>
      </c>
      <c r="F938" s="573"/>
      <c r="G938" s="487"/>
      <c r="H938" s="573"/>
      <c r="I938" s="487"/>
      <c r="J938" s="573"/>
      <c r="K938" s="487"/>
      <c r="L938" s="573"/>
      <c r="M938" s="573"/>
      <c r="N938" s="456">
        <f t="shared" si="121"/>
        <v>0</v>
      </c>
      <c r="O938" s="487"/>
      <c r="P938" s="487"/>
      <c r="Q938" s="274">
        <f t="shared" si="116"/>
        <v>0</v>
      </c>
      <c r="R938" s="574">
        <f t="shared" si="117"/>
        <v>0</v>
      </c>
      <c r="S938" s="275">
        <f t="shared" si="118"/>
        <v>0</v>
      </c>
      <c r="T938" s="575"/>
      <c r="U938" s="487"/>
      <c r="V938" s="576"/>
      <c r="W938" s="573"/>
      <c r="X938" s="574">
        <f t="shared" si="122"/>
        <v>0</v>
      </c>
      <c r="Y938" s="487"/>
      <c r="Z938" s="487"/>
      <c r="AA938" s="276">
        <f t="shared" si="123"/>
        <v>0</v>
      </c>
      <c r="AB938" s="573"/>
      <c r="AC938" s="487"/>
      <c r="AD938" s="573"/>
      <c r="AE938" s="487"/>
      <c r="AF938" s="577">
        <f t="shared" si="119"/>
        <v>0</v>
      </c>
      <c r="AG938" s="275">
        <f t="shared" si="120"/>
        <v>0</v>
      </c>
    </row>
    <row r="939" spans="1:33" ht="12" customHeight="1">
      <c r="A939" s="641" t="s">
        <v>1277</v>
      </c>
      <c r="B939" s="642" t="s">
        <v>1776</v>
      </c>
      <c r="C939" s="643" t="s">
        <v>153</v>
      </c>
      <c r="D939" s="644" t="s">
        <v>154</v>
      </c>
      <c r="E939" s="645">
        <v>14</v>
      </c>
      <c r="F939" s="573"/>
      <c r="G939" s="487"/>
      <c r="H939" s="573"/>
      <c r="I939" s="487"/>
      <c r="J939" s="573"/>
      <c r="K939" s="487"/>
      <c r="L939" s="573"/>
      <c r="M939" s="573"/>
      <c r="N939" s="456">
        <f t="shared" si="121"/>
        <v>0</v>
      </c>
      <c r="O939" s="487"/>
      <c r="P939" s="487"/>
      <c r="Q939" s="274">
        <f t="shared" si="116"/>
        <v>0</v>
      </c>
      <c r="R939" s="574">
        <f t="shared" si="117"/>
        <v>0</v>
      </c>
      <c r="S939" s="275">
        <f t="shared" si="118"/>
        <v>0</v>
      </c>
      <c r="T939" s="575"/>
      <c r="U939" s="487"/>
      <c r="V939" s="576"/>
      <c r="W939" s="573"/>
      <c r="X939" s="574">
        <f t="shared" si="122"/>
        <v>0</v>
      </c>
      <c r="Y939" s="487"/>
      <c r="Z939" s="487"/>
      <c r="AA939" s="276">
        <f t="shared" si="123"/>
        <v>0</v>
      </c>
      <c r="AB939" s="573"/>
      <c r="AC939" s="487"/>
      <c r="AD939" s="573"/>
      <c r="AE939" s="487"/>
      <c r="AF939" s="577">
        <f t="shared" si="119"/>
        <v>0</v>
      </c>
      <c r="AG939" s="275">
        <f t="shared" si="120"/>
        <v>0</v>
      </c>
    </row>
    <row r="940" spans="1:33" ht="12" customHeight="1">
      <c r="A940" s="641" t="s">
        <v>1277</v>
      </c>
      <c r="B940" s="642" t="s">
        <v>1776</v>
      </c>
      <c r="C940" s="643" t="s">
        <v>155</v>
      </c>
      <c r="D940" s="644" t="s">
        <v>156</v>
      </c>
      <c r="E940" s="645">
        <v>14</v>
      </c>
      <c r="F940" s="573"/>
      <c r="G940" s="487"/>
      <c r="H940" s="573"/>
      <c r="I940" s="487"/>
      <c r="J940" s="573"/>
      <c r="K940" s="487"/>
      <c r="L940" s="573"/>
      <c r="M940" s="573"/>
      <c r="N940" s="456">
        <f t="shared" si="121"/>
        <v>0</v>
      </c>
      <c r="O940" s="487"/>
      <c r="P940" s="487"/>
      <c r="Q940" s="274">
        <f t="shared" si="116"/>
        <v>0</v>
      </c>
      <c r="R940" s="574">
        <f t="shared" si="117"/>
        <v>0</v>
      </c>
      <c r="S940" s="275">
        <f t="shared" si="118"/>
        <v>0</v>
      </c>
      <c r="T940" s="575"/>
      <c r="U940" s="487"/>
      <c r="V940" s="576"/>
      <c r="W940" s="573"/>
      <c r="X940" s="574">
        <f t="shared" si="122"/>
        <v>0</v>
      </c>
      <c r="Y940" s="487"/>
      <c r="Z940" s="487"/>
      <c r="AA940" s="276">
        <f t="shared" si="123"/>
        <v>0</v>
      </c>
      <c r="AB940" s="573"/>
      <c r="AC940" s="487"/>
      <c r="AD940" s="573"/>
      <c r="AE940" s="487"/>
      <c r="AF940" s="577">
        <f t="shared" si="119"/>
        <v>0</v>
      </c>
      <c r="AG940" s="275">
        <f t="shared" si="120"/>
        <v>0</v>
      </c>
    </row>
    <row r="941" spans="1:33" ht="12" customHeight="1">
      <c r="A941" s="641" t="s">
        <v>1277</v>
      </c>
      <c r="B941" s="642" t="s">
        <v>1776</v>
      </c>
      <c r="C941" s="643" t="s">
        <v>157</v>
      </c>
      <c r="D941" s="644" t="s">
        <v>158</v>
      </c>
      <c r="E941" s="645">
        <v>14</v>
      </c>
      <c r="F941" s="573"/>
      <c r="G941" s="487"/>
      <c r="H941" s="573"/>
      <c r="I941" s="487"/>
      <c r="J941" s="573"/>
      <c r="K941" s="487"/>
      <c r="L941" s="573"/>
      <c r="M941" s="573"/>
      <c r="N941" s="456">
        <f t="shared" si="121"/>
        <v>0</v>
      </c>
      <c r="O941" s="487"/>
      <c r="P941" s="487"/>
      <c r="Q941" s="274">
        <f t="shared" si="116"/>
        <v>0</v>
      </c>
      <c r="R941" s="574">
        <f t="shared" si="117"/>
        <v>0</v>
      </c>
      <c r="S941" s="275">
        <f t="shared" si="118"/>
        <v>0</v>
      </c>
      <c r="T941" s="575"/>
      <c r="U941" s="487"/>
      <c r="V941" s="576"/>
      <c r="W941" s="573"/>
      <c r="X941" s="574">
        <f t="shared" si="122"/>
        <v>0</v>
      </c>
      <c r="Y941" s="487"/>
      <c r="Z941" s="487"/>
      <c r="AA941" s="276">
        <f t="shared" si="123"/>
        <v>0</v>
      </c>
      <c r="AB941" s="573"/>
      <c r="AC941" s="487"/>
      <c r="AD941" s="573"/>
      <c r="AE941" s="487"/>
      <c r="AF941" s="577">
        <f t="shared" si="119"/>
        <v>0</v>
      </c>
      <c r="AG941" s="275">
        <f t="shared" si="120"/>
        <v>0</v>
      </c>
    </row>
    <row r="942" spans="1:33" ht="12" customHeight="1">
      <c r="A942" s="641" t="s">
        <v>1277</v>
      </c>
      <c r="B942" s="642" t="s">
        <v>1776</v>
      </c>
      <c r="C942" s="643" t="s">
        <v>159</v>
      </c>
      <c r="D942" s="644" t="s">
        <v>160</v>
      </c>
      <c r="E942" s="645">
        <v>14</v>
      </c>
      <c r="F942" s="573"/>
      <c r="G942" s="487"/>
      <c r="H942" s="573"/>
      <c r="I942" s="487"/>
      <c r="J942" s="573"/>
      <c r="K942" s="487"/>
      <c r="L942" s="573"/>
      <c r="M942" s="573"/>
      <c r="N942" s="456">
        <f t="shared" si="121"/>
        <v>0</v>
      </c>
      <c r="O942" s="487"/>
      <c r="P942" s="487"/>
      <c r="Q942" s="274">
        <f t="shared" si="116"/>
        <v>0</v>
      </c>
      <c r="R942" s="574">
        <f t="shared" si="117"/>
        <v>0</v>
      </c>
      <c r="S942" s="275">
        <f t="shared" si="118"/>
        <v>0</v>
      </c>
      <c r="T942" s="575"/>
      <c r="U942" s="487"/>
      <c r="V942" s="576"/>
      <c r="W942" s="573"/>
      <c r="X942" s="574">
        <f t="shared" si="122"/>
        <v>0</v>
      </c>
      <c r="Y942" s="487"/>
      <c r="Z942" s="487"/>
      <c r="AA942" s="276">
        <f t="shared" si="123"/>
        <v>0</v>
      </c>
      <c r="AB942" s="573"/>
      <c r="AC942" s="487"/>
      <c r="AD942" s="573"/>
      <c r="AE942" s="487"/>
      <c r="AF942" s="577">
        <f t="shared" si="119"/>
        <v>0</v>
      </c>
      <c r="AG942" s="275">
        <f t="shared" si="120"/>
        <v>0</v>
      </c>
    </row>
    <row r="943" spans="1:33" ht="12" customHeight="1">
      <c r="A943" s="641" t="s">
        <v>1277</v>
      </c>
      <c r="B943" s="642" t="s">
        <v>1776</v>
      </c>
      <c r="C943" s="643" t="s">
        <v>161</v>
      </c>
      <c r="D943" s="644">
        <v>134307</v>
      </c>
      <c r="E943" s="645">
        <v>14</v>
      </c>
      <c r="F943" s="573"/>
      <c r="G943" s="487"/>
      <c r="H943" s="573"/>
      <c r="I943" s="487"/>
      <c r="J943" s="573"/>
      <c r="K943" s="487"/>
      <c r="L943" s="573"/>
      <c r="M943" s="573"/>
      <c r="N943" s="456">
        <f t="shared" si="121"/>
        <v>0</v>
      </c>
      <c r="O943" s="487"/>
      <c r="P943" s="487"/>
      <c r="Q943" s="274">
        <f t="shared" si="116"/>
        <v>0</v>
      </c>
      <c r="R943" s="574">
        <f t="shared" si="117"/>
        <v>0</v>
      </c>
      <c r="S943" s="275">
        <f t="shared" si="118"/>
        <v>0</v>
      </c>
      <c r="T943" s="575"/>
      <c r="U943" s="487"/>
      <c r="V943" s="576"/>
      <c r="W943" s="573"/>
      <c r="X943" s="574">
        <f t="shared" si="122"/>
        <v>0</v>
      </c>
      <c r="Y943" s="487"/>
      <c r="Z943" s="487"/>
      <c r="AA943" s="276">
        <f t="shared" si="123"/>
        <v>0</v>
      </c>
      <c r="AB943" s="573"/>
      <c r="AC943" s="487"/>
      <c r="AD943" s="573"/>
      <c r="AE943" s="487"/>
      <c r="AF943" s="577">
        <f t="shared" si="119"/>
        <v>0</v>
      </c>
      <c r="AG943" s="275">
        <f t="shared" si="120"/>
        <v>0</v>
      </c>
    </row>
    <row r="944" spans="1:33" ht="12" customHeight="1">
      <c r="A944" s="641" t="s">
        <v>1277</v>
      </c>
      <c r="B944" s="642" t="s">
        <v>1776</v>
      </c>
      <c r="C944" s="643" t="s">
        <v>162</v>
      </c>
      <c r="D944" s="644">
        <v>382300</v>
      </c>
      <c r="E944" s="645">
        <v>14</v>
      </c>
      <c r="F944" s="573"/>
      <c r="G944" s="487"/>
      <c r="H944" s="573"/>
      <c r="I944" s="487"/>
      <c r="J944" s="573"/>
      <c r="K944" s="487"/>
      <c r="L944" s="573"/>
      <c r="M944" s="573"/>
      <c r="N944" s="456">
        <f t="shared" si="121"/>
        <v>0</v>
      </c>
      <c r="O944" s="487"/>
      <c r="P944" s="487"/>
      <c r="Q944" s="274">
        <f t="shared" si="116"/>
        <v>0</v>
      </c>
      <c r="R944" s="574">
        <f t="shared" si="117"/>
        <v>0</v>
      </c>
      <c r="S944" s="275">
        <f t="shared" si="118"/>
        <v>0</v>
      </c>
      <c r="T944" s="575"/>
      <c r="U944" s="487"/>
      <c r="V944" s="576"/>
      <c r="W944" s="573"/>
      <c r="X944" s="574">
        <f t="shared" si="122"/>
        <v>0</v>
      </c>
      <c r="Y944" s="487"/>
      <c r="Z944" s="487"/>
      <c r="AA944" s="276">
        <f t="shared" si="123"/>
        <v>0</v>
      </c>
      <c r="AB944" s="573"/>
      <c r="AC944" s="487"/>
      <c r="AD944" s="573"/>
      <c r="AE944" s="487"/>
      <c r="AF944" s="577">
        <f t="shared" si="119"/>
        <v>0</v>
      </c>
      <c r="AG944" s="275">
        <f t="shared" si="120"/>
        <v>0</v>
      </c>
    </row>
    <row r="945" spans="1:33" ht="12" customHeight="1">
      <c r="A945" s="641" t="s">
        <v>1277</v>
      </c>
      <c r="B945" s="642" t="s">
        <v>1776</v>
      </c>
      <c r="C945" s="643" t="s">
        <v>163</v>
      </c>
      <c r="D945" s="644" t="s">
        <v>164</v>
      </c>
      <c r="E945" s="645">
        <v>14</v>
      </c>
      <c r="F945" s="573"/>
      <c r="G945" s="487"/>
      <c r="H945" s="573"/>
      <c r="I945" s="487"/>
      <c r="J945" s="573"/>
      <c r="K945" s="487"/>
      <c r="L945" s="573"/>
      <c r="M945" s="573"/>
      <c r="N945" s="456">
        <f t="shared" si="121"/>
        <v>0</v>
      </c>
      <c r="O945" s="487"/>
      <c r="P945" s="487"/>
      <c r="Q945" s="274">
        <f t="shared" si="116"/>
        <v>0</v>
      </c>
      <c r="R945" s="574">
        <f t="shared" si="117"/>
        <v>0</v>
      </c>
      <c r="S945" s="275">
        <f t="shared" si="118"/>
        <v>0</v>
      </c>
      <c r="T945" s="575"/>
      <c r="U945" s="487"/>
      <c r="V945" s="576"/>
      <c r="W945" s="573"/>
      <c r="X945" s="574">
        <f t="shared" si="122"/>
        <v>0</v>
      </c>
      <c r="Y945" s="487"/>
      <c r="Z945" s="487"/>
      <c r="AA945" s="276">
        <f t="shared" si="123"/>
        <v>0</v>
      </c>
      <c r="AB945" s="573"/>
      <c r="AC945" s="487"/>
      <c r="AD945" s="573"/>
      <c r="AE945" s="487"/>
      <c r="AF945" s="577">
        <f t="shared" si="119"/>
        <v>0</v>
      </c>
      <c r="AG945" s="275">
        <f t="shared" si="120"/>
        <v>0</v>
      </c>
    </row>
    <row r="946" spans="1:33" ht="12" customHeight="1">
      <c r="A946" s="641" t="s">
        <v>1277</v>
      </c>
      <c r="B946" s="642" t="s">
        <v>1776</v>
      </c>
      <c r="C946" s="643" t="s">
        <v>165</v>
      </c>
      <c r="D946" s="644" t="s">
        <v>166</v>
      </c>
      <c r="E946" s="645">
        <v>14</v>
      </c>
      <c r="F946" s="573"/>
      <c r="G946" s="487"/>
      <c r="H946" s="573"/>
      <c r="I946" s="487"/>
      <c r="J946" s="573"/>
      <c r="K946" s="487"/>
      <c r="L946" s="573"/>
      <c r="M946" s="573"/>
      <c r="N946" s="456">
        <f t="shared" si="121"/>
        <v>0</v>
      </c>
      <c r="O946" s="487"/>
      <c r="P946" s="487"/>
      <c r="Q946" s="274">
        <f t="shared" si="116"/>
        <v>0</v>
      </c>
      <c r="R946" s="574">
        <f t="shared" si="117"/>
        <v>0</v>
      </c>
      <c r="S946" s="275">
        <f t="shared" si="118"/>
        <v>0</v>
      </c>
      <c r="T946" s="575"/>
      <c r="U946" s="487"/>
      <c r="V946" s="576"/>
      <c r="W946" s="573"/>
      <c r="X946" s="574">
        <f t="shared" si="122"/>
        <v>0</v>
      </c>
      <c r="Y946" s="487"/>
      <c r="Z946" s="487"/>
      <c r="AA946" s="276">
        <f t="shared" si="123"/>
        <v>0</v>
      </c>
      <c r="AB946" s="573"/>
      <c r="AC946" s="487"/>
      <c r="AD946" s="573"/>
      <c r="AE946" s="487"/>
      <c r="AF946" s="577">
        <f t="shared" si="119"/>
        <v>0</v>
      </c>
      <c r="AG946" s="275">
        <f t="shared" si="120"/>
        <v>0</v>
      </c>
    </row>
    <row r="947" spans="1:33" ht="12" customHeight="1">
      <c r="A947" s="641" t="s">
        <v>1277</v>
      </c>
      <c r="B947" s="642" t="s">
        <v>1776</v>
      </c>
      <c r="C947" s="643" t="s">
        <v>167</v>
      </c>
      <c r="D947" s="644">
        <v>431558</v>
      </c>
      <c r="E947" s="645">
        <v>14</v>
      </c>
      <c r="F947" s="573"/>
      <c r="G947" s="487"/>
      <c r="H947" s="573"/>
      <c r="I947" s="487"/>
      <c r="J947" s="573"/>
      <c r="K947" s="487"/>
      <c r="L947" s="573"/>
      <c r="M947" s="573"/>
      <c r="N947" s="456">
        <f t="shared" si="121"/>
        <v>0</v>
      </c>
      <c r="O947" s="487"/>
      <c r="P947" s="487"/>
      <c r="Q947" s="274">
        <f t="shared" si="116"/>
        <v>0</v>
      </c>
      <c r="R947" s="574">
        <f t="shared" si="117"/>
        <v>0</v>
      </c>
      <c r="S947" s="275">
        <f t="shared" si="118"/>
        <v>0</v>
      </c>
      <c r="T947" s="575"/>
      <c r="U947" s="487"/>
      <c r="V947" s="576"/>
      <c r="W947" s="573"/>
      <c r="X947" s="574">
        <f t="shared" si="122"/>
        <v>0</v>
      </c>
      <c r="Y947" s="487"/>
      <c r="Z947" s="487"/>
      <c r="AA947" s="276">
        <f t="shared" si="123"/>
        <v>0</v>
      </c>
      <c r="AB947" s="573"/>
      <c r="AC947" s="487"/>
      <c r="AD947" s="573"/>
      <c r="AE947" s="487"/>
      <c r="AF947" s="577">
        <f t="shared" si="119"/>
        <v>0</v>
      </c>
      <c r="AG947" s="275">
        <f t="shared" si="120"/>
        <v>0</v>
      </c>
    </row>
    <row r="948" spans="1:33" ht="12" customHeight="1">
      <c r="A948" s="641" t="s">
        <v>1277</v>
      </c>
      <c r="B948" s="642" t="s">
        <v>1776</v>
      </c>
      <c r="C948" s="643" t="s">
        <v>168</v>
      </c>
      <c r="D948" s="644" t="s">
        <v>169</v>
      </c>
      <c r="E948" s="645">
        <v>14</v>
      </c>
      <c r="F948" s="573"/>
      <c r="G948" s="487"/>
      <c r="H948" s="573"/>
      <c r="I948" s="487"/>
      <c r="J948" s="573"/>
      <c r="K948" s="487"/>
      <c r="L948" s="573"/>
      <c r="M948" s="573"/>
      <c r="N948" s="456">
        <f t="shared" si="121"/>
        <v>0</v>
      </c>
      <c r="O948" s="487"/>
      <c r="P948" s="487"/>
      <c r="Q948" s="274">
        <f t="shared" si="116"/>
        <v>0</v>
      </c>
      <c r="R948" s="574">
        <f t="shared" si="117"/>
        <v>0</v>
      </c>
      <c r="S948" s="275">
        <f t="shared" si="118"/>
        <v>0</v>
      </c>
      <c r="T948" s="575"/>
      <c r="U948" s="487"/>
      <c r="V948" s="576"/>
      <c r="W948" s="573"/>
      <c r="X948" s="574">
        <f t="shared" si="122"/>
        <v>0</v>
      </c>
      <c r="Y948" s="487"/>
      <c r="Z948" s="487"/>
      <c r="AA948" s="276">
        <f t="shared" si="123"/>
        <v>0</v>
      </c>
      <c r="AB948" s="573"/>
      <c r="AC948" s="487"/>
      <c r="AD948" s="573"/>
      <c r="AE948" s="487"/>
      <c r="AF948" s="577">
        <f t="shared" si="119"/>
        <v>0</v>
      </c>
      <c r="AG948" s="275">
        <f t="shared" si="120"/>
        <v>0</v>
      </c>
    </row>
    <row r="949" spans="1:33" ht="12" customHeight="1">
      <c r="A949" s="641" t="s">
        <v>1277</v>
      </c>
      <c r="B949" s="642" t="s">
        <v>1776</v>
      </c>
      <c r="C949" s="643" t="s">
        <v>170</v>
      </c>
      <c r="D949" s="644" t="s">
        <v>171</v>
      </c>
      <c r="E949" s="645">
        <v>14</v>
      </c>
      <c r="F949" s="573"/>
      <c r="G949" s="487"/>
      <c r="H949" s="573"/>
      <c r="I949" s="487"/>
      <c r="J949" s="573"/>
      <c r="K949" s="487"/>
      <c r="L949" s="573"/>
      <c r="M949" s="573"/>
      <c r="N949" s="456">
        <f t="shared" si="121"/>
        <v>0</v>
      </c>
      <c r="O949" s="487"/>
      <c r="P949" s="487"/>
      <c r="Q949" s="274">
        <f t="shared" si="116"/>
        <v>0</v>
      </c>
      <c r="R949" s="574">
        <f t="shared" si="117"/>
        <v>0</v>
      </c>
      <c r="S949" s="275">
        <f t="shared" si="118"/>
        <v>0</v>
      </c>
      <c r="T949" s="575"/>
      <c r="U949" s="487"/>
      <c r="V949" s="576"/>
      <c r="W949" s="573"/>
      <c r="X949" s="574">
        <f t="shared" si="122"/>
        <v>0</v>
      </c>
      <c r="Y949" s="487"/>
      <c r="Z949" s="487"/>
      <c r="AA949" s="276">
        <f t="shared" si="123"/>
        <v>0</v>
      </c>
      <c r="AB949" s="573"/>
      <c r="AC949" s="487"/>
      <c r="AD949" s="573"/>
      <c r="AE949" s="487"/>
      <c r="AF949" s="577">
        <f t="shared" si="119"/>
        <v>0</v>
      </c>
      <c r="AG949" s="275">
        <f t="shared" si="120"/>
        <v>0</v>
      </c>
    </row>
    <row r="950" spans="1:33" ht="12" customHeight="1">
      <c r="A950" s="641" t="s">
        <v>1277</v>
      </c>
      <c r="B950" s="642" t="s">
        <v>1776</v>
      </c>
      <c r="C950" s="643" t="s">
        <v>172</v>
      </c>
      <c r="D950" s="644">
        <v>133155</v>
      </c>
      <c r="E950" s="645">
        <v>14</v>
      </c>
      <c r="F950" s="573"/>
      <c r="G950" s="487"/>
      <c r="H950" s="573"/>
      <c r="I950" s="487"/>
      <c r="J950" s="573"/>
      <c r="K950" s="487"/>
      <c r="L950" s="573"/>
      <c r="M950" s="573"/>
      <c r="N950" s="456">
        <f t="shared" si="121"/>
        <v>0</v>
      </c>
      <c r="O950" s="487"/>
      <c r="P950" s="487"/>
      <c r="Q950" s="274">
        <f t="shared" si="116"/>
        <v>0</v>
      </c>
      <c r="R950" s="574">
        <f t="shared" si="117"/>
        <v>0</v>
      </c>
      <c r="S950" s="275">
        <f t="shared" si="118"/>
        <v>0</v>
      </c>
      <c r="T950" s="575"/>
      <c r="U950" s="487"/>
      <c r="V950" s="576"/>
      <c r="W950" s="573"/>
      <c r="X950" s="574">
        <f t="shared" si="122"/>
        <v>0</v>
      </c>
      <c r="Y950" s="487"/>
      <c r="Z950" s="487"/>
      <c r="AA950" s="276">
        <f t="shared" si="123"/>
        <v>0</v>
      </c>
      <c r="AB950" s="573"/>
      <c r="AC950" s="487"/>
      <c r="AD950" s="573"/>
      <c r="AE950" s="487"/>
      <c r="AF950" s="577">
        <f t="shared" si="119"/>
        <v>0</v>
      </c>
      <c r="AG950" s="275">
        <f t="shared" si="120"/>
        <v>0</v>
      </c>
    </row>
    <row r="951" spans="1:33" ht="12" customHeight="1">
      <c r="A951" s="641" t="s">
        <v>1277</v>
      </c>
      <c r="B951" s="642" t="s">
        <v>1776</v>
      </c>
      <c r="C951" s="643" t="s">
        <v>1165</v>
      </c>
      <c r="D951" s="644" t="s">
        <v>1166</v>
      </c>
      <c r="E951" s="645">
        <v>14</v>
      </c>
      <c r="F951" s="573"/>
      <c r="G951" s="487"/>
      <c r="H951" s="573"/>
      <c r="I951" s="487"/>
      <c r="J951" s="573"/>
      <c r="K951" s="487"/>
      <c r="L951" s="573"/>
      <c r="M951" s="573"/>
      <c r="N951" s="456">
        <f t="shared" si="121"/>
        <v>0</v>
      </c>
      <c r="O951" s="487"/>
      <c r="P951" s="487"/>
      <c r="Q951" s="274">
        <f t="shared" si="116"/>
        <v>0</v>
      </c>
      <c r="R951" s="574">
        <f t="shared" si="117"/>
        <v>0</v>
      </c>
      <c r="S951" s="275">
        <f t="shared" si="118"/>
        <v>0</v>
      </c>
      <c r="T951" s="575"/>
      <c r="U951" s="487"/>
      <c r="V951" s="576"/>
      <c r="W951" s="573"/>
      <c r="X951" s="574">
        <f t="shared" si="122"/>
        <v>0</v>
      </c>
      <c r="Y951" s="487"/>
      <c r="Z951" s="487"/>
      <c r="AA951" s="276">
        <f t="shared" si="123"/>
        <v>0</v>
      </c>
      <c r="AB951" s="573"/>
      <c r="AC951" s="487"/>
      <c r="AD951" s="573"/>
      <c r="AE951" s="487"/>
      <c r="AF951" s="577">
        <f t="shared" si="119"/>
        <v>0</v>
      </c>
      <c r="AG951" s="275">
        <f t="shared" si="120"/>
        <v>0</v>
      </c>
    </row>
    <row r="952" spans="1:33" ht="12" customHeight="1">
      <c r="A952" s="641" t="s">
        <v>1277</v>
      </c>
      <c r="B952" s="642" t="s">
        <v>1776</v>
      </c>
      <c r="C952" s="643" t="s">
        <v>1167</v>
      </c>
      <c r="D952" s="644">
        <v>419226</v>
      </c>
      <c r="E952" s="645">
        <v>14</v>
      </c>
      <c r="F952" s="573"/>
      <c r="G952" s="487"/>
      <c r="H952" s="573"/>
      <c r="I952" s="487"/>
      <c r="J952" s="573"/>
      <c r="K952" s="487"/>
      <c r="L952" s="573"/>
      <c r="M952" s="573"/>
      <c r="N952" s="456">
        <f t="shared" si="121"/>
        <v>0</v>
      </c>
      <c r="O952" s="487"/>
      <c r="P952" s="487"/>
      <c r="Q952" s="274">
        <f t="shared" si="116"/>
        <v>0</v>
      </c>
      <c r="R952" s="574">
        <f t="shared" si="117"/>
        <v>0</v>
      </c>
      <c r="S952" s="275">
        <f t="shared" si="118"/>
        <v>0</v>
      </c>
      <c r="T952" s="575"/>
      <c r="U952" s="487"/>
      <c r="V952" s="576"/>
      <c r="W952" s="573"/>
      <c r="X952" s="574">
        <f t="shared" si="122"/>
        <v>0</v>
      </c>
      <c r="Y952" s="487"/>
      <c r="Z952" s="487"/>
      <c r="AA952" s="276">
        <f t="shared" si="123"/>
        <v>0</v>
      </c>
      <c r="AB952" s="573"/>
      <c r="AC952" s="487"/>
      <c r="AD952" s="573"/>
      <c r="AE952" s="487"/>
      <c r="AF952" s="577">
        <f t="shared" si="119"/>
        <v>0</v>
      </c>
      <c r="AG952" s="275">
        <f t="shared" si="120"/>
        <v>0</v>
      </c>
    </row>
    <row r="953" spans="1:33" ht="12" customHeight="1">
      <c r="A953" s="641" t="s">
        <v>1277</v>
      </c>
      <c r="B953" s="642" t="s">
        <v>1776</v>
      </c>
      <c r="C953" s="643" t="s">
        <v>1168</v>
      </c>
      <c r="D953" s="644">
        <v>425162</v>
      </c>
      <c r="E953" s="645">
        <v>14</v>
      </c>
      <c r="F953" s="573"/>
      <c r="G953" s="487"/>
      <c r="H953" s="573"/>
      <c r="I953" s="487"/>
      <c r="J953" s="573"/>
      <c r="K953" s="487"/>
      <c r="L953" s="573"/>
      <c r="M953" s="573"/>
      <c r="N953" s="456">
        <f t="shared" si="121"/>
        <v>0</v>
      </c>
      <c r="O953" s="487"/>
      <c r="P953" s="487"/>
      <c r="Q953" s="274">
        <f t="shared" si="116"/>
        <v>0</v>
      </c>
      <c r="R953" s="574">
        <f t="shared" si="117"/>
        <v>0</v>
      </c>
      <c r="S953" s="275">
        <f t="shared" si="118"/>
        <v>0</v>
      </c>
      <c r="T953" s="575"/>
      <c r="U953" s="487"/>
      <c r="V953" s="576"/>
      <c r="W953" s="573"/>
      <c r="X953" s="574">
        <f t="shared" si="122"/>
        <v>0</v>
      </c>
      <c r="Y953" s="487"/>
      <c r="Z953" s="487"/>
      <c r="AA953" s="276">
        <f t="shared" si="123"/>
        <v>0</v>
      </c>
      <c r="AB953" s="573"/>
      <c r="AC953" s="487"/>
      <c r="AD953" s="573"/>
      <c r="AE953" s="487"/>
      <c r="AF953" s="577">
        <f t="shared" si="119"/>
        <v>0</v>
      </c>
      <c r="AG953" s="275">
        <f t="shared" si="120"/>
        <v>0</v>
      </c>
    </row>
    <row r="954" spans="1:33" ht="12" customHeight="1">
      <c r="A954" s="641" t="s">
        <v>1277</v>
      </c>
      <c r="B954" s="642" t="s">
        <v>1776</v>
      </c>
      <c r="C954" s="643" t="s">
        <v>1169</v>
      </c>
      <c r="D954" s="644" t="s">
        <v>1170</v>
      </c>
      <c r="E954" s="645">
        <v>14</v>
      </c>
      <c r="F954" s="573"/>
      <c r="G954" s="487"/>
      <c r="H954" s="573"/>
      <c r="I954" s="487"/>
      <c r="J954" s="573"/>
      <c r="K954" s="487"/>
      <c r="L954" s="573"/>
      <c r="M954" s="573"/>
      <c r="N954" s="456">
        <f t="shared" si="121"/>
        <v>0</v>
      </c>
      <c r="O954" s="487"/>
      <c r="P954" s="487"/>
      <c r="Q954" s="274">
        <f t="shared" si="116"/>
        <v>0</v>
      </c>
      <c r="R954" s="574">
        <f t="shared" si="117"/>
        <v>0</v>
      </c>
      <c r="S954" s="275">
        <f t="shared" si="118"/>
        <v>0</v>
      </c>
      <c r="T954" s="575"/>
      <c r="U954" s="487"/>
      <c r="V954" s="576"/>
      <c r="W954" s="573"/>
      <c r="X954" s="574">
        <f t="shared" si="122"/>
        <v>0</v>
      </c>
      <c r="Y954" s="487"/>
      <c r="Z954" s="487"/>
      <c r="AA954" s="276">
        <f t="shared" si="123"/>
        <v>0</v>
      </c>
      <c r="AB954" s="573"/>
      <c r="AC954" s="487"/>
      <c r="AD954" s="573"/>
      <c r="AE954" s="487"/>
      <c r="AF954" s="577">
        <f t="shared" si="119"/>
        <v>0</v>
      </c>
      <c r="AG954" s="275">
        <f t="shared" si="120"/>
        <v>0</v>
      </c>
    </row>
    <row r="955" spans="1:33" ht="12" customHeight="1">
      <c r="A955" s="641" t="s">
        <v>1277</v>
      </c>
      <c r="B955" s="642" t="s">
        <v>1776</v>
      </c>
      <c r="C955" s="643" t="s">
        <v>1171</v>
      </c>
      <c r="D955" s="644" t="s">
        <v>1172</v>
      </c>
      <c r="E955" s="645">
        <v>14</v>
      </c>
      <c r="F955" s="573"/>
      <c r="G955" s="487"/>
      <c r="H955" s="573"/>
      <c r="I955" s="487"/>
      <c r="J955" s="573"/>
      <c r="K955" s="487"/>
      <c r="L955" s="573"/>
      <c r="M955" s="573"/>
      <c r="N955" s="456">
        <f t="shared" si="121"/>
        <v>0</v>
      </c>
      <c r="O955" s="487"/>
      <c r="P955" s="487"/>
      <c r="Q955" s="274">
        <f t="shared" si="116"/>
        <v>0</v>
      </c>
      <c r="R955" s="574">
        <f t="shared" si="117"/>
        <v>0</v>
      </c>
      <c r="S955" s="275">
        <f t="shared" si="118"/>
        <v>0</v>
      </c>
      <c r="T955" s="575"/>
      <c r="U955" s="487"/>
      <c r="V955" s="576"/>
      <c r="W955" s="573"/>
      <c r="X955" s="574">
        <f t="shared" si="122"/>
        <v>0</v>
      </c>
      <c r="Y955" s="487"/>
      <c r="Z955" s="487"/>
      <c r="AA955" s="276">
        <f t="shared" si="123"/>
        <v>0</v>
      </c>
      <c r="AB955" s="573"/>
      <c r="AC955" s="487"/>
      <c r="AD955" s="573"/>
      <c r="AE955" s="487"/>
      <c r="AF955" s="577">
        <f t="shared" si="119"/>
        <v>0</v>
      </c>
      <c r="AG955" s="275">
        <f t="shared" si="120"/>
        <v>0</v>
      </c>
    </row>
    <row r="956" spans="1:33" ht="12" customHeight="1">
      <c r="A956" s="641" t="s">
        <v>1277</v>
      </c>
      <c r="B956" s="642" t="s">
        <v>1776</v>
      </c>
      <c r="C956" s="643" t="s">
        <v>1173</v>
      </c>
      <c r="D956" s="644">
        <v>135656</v>
      </c>
      <c r="E956" s="645">
        <v>14</v>
      </c>
      <c r="F956" s="573"/>
      <c r="G956" s="487"/>
      <c r="H956" s="573"/>
      <c r="I956" s="487"/>
      <c r="J956" s="573"/>
      <c r="K956" s="487"/>
      <c r="L956" s="573"/>
      <c r="M956" s="573"/>
      <c r="N956" s="456">
        <f t="shared" si="121"/>
        <v>0</v>
      </c>
      <c r="O956" s="487"/>
      <c r="P956" s="487"/>
      <c r="Q956" s="274">
        <f t="shared" si="116"/>
        <v>0</v>
      </c>
      <c r="R956" s="574">
        <f t="shared" si="117"/>
        <v>0</v>
      </c>
      <c r="S956" s="275">
        <f t="shared" si="118"/>
        <v>0</v>
      </c>
      <c r="T956" s="575"/>
      <c r="U956" s="487"/>
      <c r="V956" s="576"/>
      <c r="W956" s="573"/>
      <c r="X956" s="574">
        <f t="shared" si="122"/>
        <v>0</v>
      </c>
      <c r="Y956" s="487"/>
      <c r="Z956" s="487"/>
      <c r="AA956" s="276">
        <f t="shared" si="123"/>
        <v>0</v>
      </c>
      <c r="AB956" s="573"/>
      <c r="AC956" s="487"/>
      <c r="AD956" s="573"/>
      <c r="AE956" s="487"/>
      <c r="AF956" s="577">
        <f t="shared" si="119"/>
        <v>0</v>
      </c>
      <c r="AG956" s="275">
        <f t="shared" si="120"/>
        <v>0</v>
      </c>
    </row>
    <row r="957" spans="1:33" ht="12" customHeight="1">
      <c r="A957" s="641" t="s">
        <v>1277</v>
      </c>
      <c r="B957" s="642" t="s">
        <v>1776</v>
      </c>
      <c r="C957" s="643" t="s">
        <v>1174</v>
      </c>
      <c r="D957" s="644" t="s">
        <v>1175</v>
      </c>
      <c r="E957" s="645">
        <v>14</v>
      </c>
      <c r="F957" s="573"/>
      <c r="G957" s="487"/>
      <c r="H957" s="573"/>
      <c r="I957" s="487"/>
      <c r="J957" s="573"/>
      <c r="K957" s="487"/>
      <c r="L957" s="573"/>
      <c r="M957" s="573"/>
      <c r="N957" s="456">
        <f t="shared" si="121"/>
        <v>0</v>
      </c>
      <c r="O957" s="487"/>
      <c r="P957" s="487"/>
      <c r="Q957" s="274">
        <f t="shared" si="116"/>
        <v>0</v>
      </c>
      <c r="R957" s="574">
        <f t="shared" si="117"/>
        <v>0</v>
      </c>
      <c r="S957" s="275">
        <f t="shared" si="118"/>
        <v>0</v>
      </c>
      <c r="T957" s="575"/>
      <c r="U957" s="487"/>
      <c r="V957" s="576"/>
      <c r="W957" s="573"/>
      <c r="X957" s="574">
        <f t="shared" si="122"/>
        <v>0</v>
      </c>
      <c r="Y957" s="487"/>
      <c r="Z957" s="487"/>
      <c r="AA957" s="276">
        <f t="shared" si="123"/>
        <v>0</v>
      </c>
      <c r="AB957" s="573"/>
      <c r="AC957" s="487"/>
      <c r="AD957" s="573"/>
      <c r="AE957" s="487"/>
      <c r="AF957" s="577">
        <f t="shared" si="119"/>
        <v>0</v>
      </c>
      <c r="AG957" s="275">
        <f t="shared" si="120"/>
        <v>0</v>
      </c>
    </row>
    <row r="958" spans="1:33" ht="12" customHeight="1">
      <c r="A958" s="641" t="s">
        <v>1277</v>
      </c>
      <c r="B958" s="642" t="s">
        <v>1776</v>
      </c>
      <c r="C958" s="643" t="s">
        <v>1176</v>
      </c>
      <c r="D958" s="644" t="s">
        <v>1177</v>
      </c>
      <c r="E958" s="645">
        <v>14</v>
      </c>
      <c r="F958" s="573"/>
      <c r="G958" s="487"/>
      <c r="H958" s="573"/>
      <c r="I958" s="487"/>
      <c r="J958" s="573"/>
      <c r="K958" s="487"/>
      <c r="L958" s="573"/>
      <c r="M958" s="573"/>
      <c r="N958" s="456">
        <f t="shared" si="121"/>
        <v>0</v>
      </c>
      <c r="O958" s="487"/>
      <c r="P958" s="487"/>
      <c r="Q958" s="274">
        <f t="shared" si="116"/>
        <v>0</v>
      </c>
      <c r="R958" s="574">
        <f t="shared" si="117"/>
        <v>0</v>
      </c>
      <c r="S958" s="275">
        <f t="shared" si="118"/>
        <v>0</v>
      </c>
      <c r="T958" s="575"/>
      <c r="U958" s="487"/>
      <c r="V958" s="576"/>
      <c r="W958" s="573"/>
      <c r="X958" s="574">
        <f t="shared" si="122"/>
        <v>0</v>
      </c>
      <c r="Y958" s="487"/>
      <c r="Z958" s="487"/>
      <c r="AA958" s="276">
        <f t="shared" si="123"/>
        <v>0</v>
      </c>
      <c r="AB958" s="573"/>
      <c r="AC958" s="487"/>
      <c r="AD958" s="573"/>
      <c r="AE958" s="487"/>
      <c r="AF958" s="577">
        <f t="shared" si="119"/>
        <v>0</v>
      </c>
      <c r="AG958" s="275">
        <f t="shared" si="120"/>
        <v>0</v>
      </c>
    </row>
    <row r="959" spans="1:33" ht="12" customHeight="1">
      <c r="A959" s="641" t="s">
        <v>1277</v>
      </c>
      <c r="B959" s="642" t="s">
        <v>1776</v>
      </c>
      <c r="C959" s="643" t="s">
        <v>1178</v>
      </c>
      <c r="D959" s="644">
        <v>433068</v>
      </c>
      <c r="E959" s="645">
        <v>14</v>
      </c>
      <c r="F959" s="573"/>
      <c r="G959" s="487"/>
      <c r="H959" s="573"/>
      <c r="I959" s="487"/>
      <c r="J959" s="573"/>
      <c r="K959" s="487"/>
      <c r="L959" s="573"/>
      <c r="M959" s="573"/>
      <c r="N959" s="456">
        <f t="shared" si="121"/>
        <v>0</v>
      </c>
      <c r="O959" s="487"/>
      <c r="P959" s="487"/>
      <c r="Q959" s="274">
        <f t="shared" si="116"/>
        <v>0</v>
      </c>
      <c r="R959" s="574">
        <f t="shared" si="117"/>
        <v>0</v>
      </c>
      <c r="S959" s="275">
        <f t="shared" si="118"/>
        <v>0</v>
      </c>
      <c r="T959" s="575"/>
      <c r="U959" s="487"/>
      <c r="V959" s="576"/>
      <c r="W959" s="573"/>
      <c r="X959" s="574">
        <f t="shared" si="122"/>
        <v>0</v>
      </c>
      <c r="Y959" s="487"/>
      <c r="Z959" s="487"/>
      <c r="AA959" s="276">
        <f t="shared" si="123"/>
        <v>0</v>
      </c>
      <c r="AB959" s="573"/>
      <c r="AC959" s="487"/>
      <c r="AD959" s="573"/>
      <c r="AE959" s="487"/>
      <c r="AF959" s="577">
        <f t="shared" si="119"/>
        <v>0</v>
      </c>
      <c r="AG959" s="275">
        <f t="shared" si="120"/>
        <v>0</v>
      </c>
    </row>
    <row r="960" spans="1:33" ht="12" customHeight="1">
      <c r="A960" s="641" t="s">
        <v>1277</v>
      </c>
      <c r="B960" s="642" t="s">
        <v>1776</v>
      </c>
      <c r="C960" s="643" t="s">
        <v>1179</v>
      </c>
      <c r="D960" s="644" t="s">
        <v>1180</v>
      </c>
      <c r="E960" s="645">
        <v>14</v>
      </c>
      <c r="F960" s="573"/>
      <c r="G960" s="487"/>
      <c r="H960" s="573"/>
      <c r="I960" s="487"/>
      <c r="J960" s="573"/>
      <c r="K960" s="487"/>
      <c r="L960" s="573"/>
      <c r="M960" s="573"/>
      <c r="N960" s="456">
        <f t="shared" si="121"/>
        <v>0</v>
      </c>
      <c r="O960" s="487"/>
      <c r="P960" s="487"/>
      <c r="Q960" s="274">
        <f t="shared" si="116"/>
        <v>0</v>
      </c>
      <c r="R960" s="574">
        <f t="shared" si="117"/>
        <v>0</v>
      </c>
      <c r="S960" s="275">
        <f t="shared" si="118"/>
        <v>0</v>
      </c>
      <c r="T960" s="575"/>
      <c r="U960" s="487"/>
      <c r="V960" s="576"/>
      <c r="W960" s="573"/>
      <c r="X960" s="574">
        <f t="shared" si="122"/>
        <v>0</v>
      </c>
      <c r="Y960" s="487"/>
      <c r="Z960" s="487"/>
      <c r="AA960" s="276">
        <f t="shared" si="123"/>
        <v>0</v>
      </c>
      <c r="AB960" s="573"/>
      <c r="AC960" s="487"/>
      <c r="AD960" s="573"/>
      <c r="AE960" s="487"/>
      <c r="AF960" s="577">
        <f t="shared" si="119"/>
        <v>0</v>
      </c>
      <c r="AG960" s="275">
        <f t="shared" si="120"/>
        <v>0</v>
      </c>
    </row>
    <row r="961" spans="1:33" ht="12" customHeight="1">
      <c r="A961" s="641" t="s">
        <v>1277</v>
      </c>
      <c r="B961" s="642" t="s">
        <v>1776</v>
      </c>
      <c r="C961" s="643" t="s">
        <v>1181</v>
      </c>
      <c r="D961" s="644" t="s">
        <v>1182</v>
      </c>
      <c r="E961" s="645">
        <v>14</v>
      </c>
      <c r="F961" s="573"/>
      <c r="G961" s="487"/>
      <c r="H961" s="573"/>
      <c r="I961" s="487"/>
      <c r="J961" s="573"/>
      <c r="K961" s="487"/>
      <c r="L961" s="573"/>
      <c r="M961" s="573"/>
      <c r="N961" s="456">
        <f t="shared" si="121"/>
        <v>0</v>
      </c>
      <c r="O961" s="487"/>
      <c r="P961" s="487"/>
      <c r="Q961" s="274">
        <f t="shared" si="116"/>
        <v>0</v>
      </c>
      <c r="R961" s="574">
        <f t="shared" si="117"/>
        <v>0</v>
      </c>
      <c r="S961" s="275">
        <f t="shared" si="118"/>
        <v>0</v>
      </c>
      <c r="T961" s="575"/>
      <c r="U961" s="487"/>
      <c r="V961" s="576"/>
      <c r="W961" s="573"/>
      <c r="X961" s="574">
        <f t="shared" si="122"/>
        <v>0</v>
      </c>
      <c r="Y961" s="487"/>
      <c r="Z961" s="487"/>
      <c r="AA961" s="276">
        <f t="shared" si="123"/>
        <v>0</v>
      </c>
      <c r="AB961" s="573"/>
      <c r="AC961" s="487"/>
      <c r="AD961" s="573"/>
      <c r="AE961" s="487"/>
      <c r="AF961" s="577">
        <f t="shared" si="119"/>
        <v>0</v>
      </c>
      <c r="AG961" s="275">
        <f t="shared" si="120"/>
        <v>0</v>
      </c>
    </row>
    <row r="962" spans="1:33" ht="12" customHeight="1">
      <c r="A962" s="641" t="s">
        <v>1277</v>
      </c>
      <c r="B962" s="642" t="s">
        <v>1776</v>
      </c>
      <c r="C962" s="643" t="s">
        <v>1183</v>
      </c>
      <c r="D962" s="644" t="s">
        <v>1184</v>
      </c>
      <c r="E962" s="645">
        <v>14</v>
      </c>
      <c r="F962" s="573"/>
      <c r="G962" s="487"/>
      <c r="H962" s="573"/>
      <c r="I962" s="487"/>
      <c r="J962" s="573"/>
      <c r="K962" s="487"/>
      <c r="L962" s="573"/>
      <c r="M962" s="573"/>
      <c r="N962" s="456">
        <f t="shared" si="121"/>
        <v>0</v>
      </c>
      <c r="O962" s="487"/>
      <c r="P962" s="487"/>
      <c r="Q962" s="274">
        <f t="shared" si="116"/>
        <v>0</v>
      </c>
      <c r="R962" s="574">
        <f t="shared" si="117"/>
        <v>0</v>
      </c>
      <c r="S962" s="275">
        <f t="shared" si="118"/>
        <v>0</v>
      </c>
      <c r="T962" s="575"/>
      <c r="U962" s="487"/>
      <c r="V962" s="576"/>
      <c r="W962" s="573"/>
      <c r="X962" s="574">
        <f t="shared" si="122"/>
        <v>0</v>
      </c>
      <c r="Y962" s="487"/>
      <c r="Z962" s="487"/>
      <c r="AA962" s="276">
        <f t="shared" si="123"/>
        <v>0</v>
      </c>
      <c r="AB962" s="573"/>
      <c r="AC962" s="487"/>
      <c r="AD962" s="573"/>
      <c r="AE962" s="487"/>
      <c r="AF962" s="577">
        <f t="shared" si="119"/>
        <v>0</v>
      </c>
      <c r="AG962" s="275">
        <f t="shared" si="120"/>
        <v>0</v>
      </c>
    </row>
    <row r="963" spans="1:33" ht="12" customHeight="1">
      <c r="A963" s="641" t="s">
        <v>1277</v>
      </c>
      <c r="B963" s="642" t="s">
        <v>1776</v>
      </c>
      <c r="C963" s="643" t="s">
        <v>1185</v>
      </c>
      <c r="D963" s="644" t="s">
        <v>1186</v>
      </c>
      <c r="E963" s="645">
        <v>14</v>
      </c>
      <c r="F963" s="573"/>
      <c r="G963" s="487"/>
      <c r="H963" s="573"/>
      <c r="I963" s="487"/>
      <c r="J963" s="573"/>
      <c r="K963" s="487"/>
      <c r="L963" s="573"/>
      <c r="M963" s="573"/>
      <c r="N963" s="456">
        <f t="shared" si="121"/>
        <v>0</v>
      </c>
      <c r="O963" s="487"/>
      <c r="P963" s="487"/>
      <c r="Q963" s="274">
        <f t="shared" si="116"/>
        <v>0</v>
      </c>
      <c r="R963" s="574">
        <f t="shared" si="117"/>
        <v>0</v>
      </c>
      <c r="S963" s="275">
        <f t="shared" si="118"/>
        <v>0</v>
      </c>
      <c r="T963" s="575"/>
      <c r="U963" s="487"/>
      <c r="V963" s="576"/>
      <c r="W963" s="573"/>
      <c r="X963" s="574">
        <f t="shared" si="122"/>
        <v>0</v>
      </c>
      <c r="Y963" s="487"/>
      <c r="Z963" s="487"/>
      <c r="AA963" s="276">
        <f t="shared" si="123"/>
        <v>0</v>
      </c>
      <c r="AB963" s="573"/>
      <c r="AC963" s="487"/>
      <c r="AD963" s="573"/>
      <c r="AE963" s="487"/>
      <c r="AF963" s="577">
        <f t="shared" si="119"/>
        <v>0</v>
      </c>
      <c r="AG963" s="275">
        <f t="shared" si="120"/>
        <v>0</v>
      </c>
    </row>
    <row r="964" spans="1:33" ht="12" customHeight="1">
      <c r="A964" s="641" t="s">
        <v>1277</v>
      </c>
      <c r="B964" s="642" t="s">
        <v>1776</v>
      </c>
      <c r="C964" s="643" t="s">
        <v>1187</v>
      </c>
      <c r="D964" s="644" t="s">
        <v>1188</v>
      </c>
      <c r="E964" s="645">
        <v>14</v>
      </c>
      <c r="F964" s="573"/>
      <c r="G964" s="487"/>
      <c r="H964" s="573"/>
      <c r="I964" s="487"/>
      <c r="J964" s="573"/>
      <c r="K964" s="487"/>
      <c r="L964" s="573"/>
      <c r="M964" s="573"/>
      <c r="N964" s="456">
        <f t="shared" si="121"/>
        <v>0</v>
      </c>
      <c r="O964" s="487"/>
      <c r="P964" s="487"/>
      <c r="Q964" s="274">
        <f t="shared" si="116"/>
        <v>0</v>
      </c>
      <c r="R964" s="574">
        <f t="shared" si="117"/>
        <v>0</v>
      </c>
      <c r="S964" s="275">
        <f t="shared" si="118"/>
        <v>0</v>
      </c>
      <c r="T964" s="575"/>
      <c r="U964" s="487"/>
      <c r="V964" s="576"/>
      <c r="W964" s="573"/>
      <c r="X964" s="574">
        <f t="shared" si="122"/>
        <v>0</v>
      </c>
      <c r="Y964" s="487"/>
      <c r="Z964" s="487"/>
      <c r="AA964" s="276">
        <f t="shared" si="123"/>
        <v>0</v>
      </c>
      <c r="AB964" s="573"/>
      <c r="AC964" s="487"/>
      <c r="AD964" s="573"/>
      <c r="AE964" s="487"/>
      <c r="AF964" s="577">
        <f t="shared" si="119"/>
        <v>0</v>
      </c>
      <c r="AG964" s="275">
        <f t="shared" si="120"/>
        <v>0</v>
      </c>
    </row>
    <row r="965" spans="1:33" ht="12" customHeight="1">
      <c r="A965" s="641" t="s">
        <v>1277</v>
      </c>
      <c r="B965" s="642" t="s">
        <v>1776</v>
      </c>
      <c r="C965" s="643" t="s">
        <v>1189</v>
      </c>
      <c r="D965" s="644">
        <v>136826</v>
      </c>
      <c r="E965" s="645">
        <v>14</v>
      </c>
      <c r="F965" s="573"/>
      <c r="G965" s="487"/>
      <c r="H965" s="573"/>
      <c r="I965" s="487"/>
      <c r="J965" s="573"/>
      <c r="K965" s="487"/>
      <c r="L965" s="573"/>
      <c r="M965" s="573"/>
      <c r="N965" s="456">
        <f t="shared" si="121"/>
        <v>0</v>
      </c>
      <c r="O965" s="487"/>
      <c r="P965" s="487"/>
      <c r="Q965" s="274">
        <f t="shared" si="116"/>
        <v>0</v>
      </c>
      <c r="R965" s="574">
        <f t="shared" si="117"/>
        <v>0</v>
      </c>
      <c r="S965" s="275">
        <f t="shared" si="118"/>
        <v>0</v>
      </c>
      <c r="T965" s="575"/>
      <c r="U965" s="487"/>
      <c r="V965" s="576"/>
      <c r="W965" s="573"/>
      <c r="X965" s="574">
        <f t="shared" si="122"/>
        <v>0</v>
      </c>
      <c r="Y965" s="487"/>
      <c r="Z965" s="487"/>
      <c r="AA965" s="276">
        <f t="shared" si="123"/>
        <v>0</v>
      </c>
      <c r="AB965" s="573"/>
      <c r="AC965" s="487"/>
      <c r="AD965" s="573"/>
      <c r="AE965" s="487"/>
      <c r="AF965" s="577">
        <f t="shared" si="119"/>
        <v>0</v>
      </c>
      <c r="AG965" s="275">
        <f t="shared" si="120"/>
        <v>0</v>
      </c>
    </row>
    <row r="966" spans="1:33" ht="12" customHeight="1">
      <c r="A966" s="641" t="s">
        <v>1277</v>
      </c>
      <c r="B966" s="642" t="s">
        <v>1776</v>
      </c>
      <c r="C966" s="643" t="s">
        <v>1190</v>
      </c>
      <c r="D966" s="644" t="s">
        <v>1191</v>
      </c>
      <c r="E966" s="645">
        <v>14</v>
      </c>
      <c r="F966" s="573"/>
      <c r="G966" s="487"/>
      <c r="H966" s="573"/>
      <c r="I966" s="487"/>
      <c r="J966" s="573"/>
      <c r="K966" s="487"/>
      <c r="L966" s="573"/>
      <c r="M966" s="573"/>
      <c r="N966" s="456">
        <f t="shared" si="121"/>
        <v>0</v>
      </c>
      <c r="O966" s="487"/>
      <c r="P966" s="487"/>
      <c r="Q966" s="274">
        <f t="shared" si="116"/>
        <v>0</v>
      </c>
      <c r="R966" s="574">
        <f t="shared" si="117"/>
        <v>0</v>
      </c>
      <c r="S966" s="275">
        <f t="shared" si="118"/>
        <v>0</v>
      </c>
      <c r="T966" s="575"/>
      <c r="U966" s="487"/>
      <c r="V966" s="576"/>
      <c r="W966" s="573"/>
      <c r="X966" s="574">
        <f t="shared" si="122"/>
        <v>0</v>
      </c>
      <c r="Y966" s="487"/>
      <c r="Z966" s="487"/>
      <c r="AA966" s="276">
        <f t="shared" si="123"/>
        <v>0</v>
      </c>
      <c r="AB966" s="573"/>
      <c r="AC966" s="487"/>
      <c r="AD966" s="573"/>
      <c r="AE966" s="487"/>
      <c r="AF966" s="577">
        <f t="shared" si="119"/>
        <v>0</v>
      </c>
      <c r="AG966" s="275">
        <f t="shared" si="120"/>
        <v>0</v>
      </c>
    </row>
    <row r="967" spans="1:33" ht="12" customHeight="1">
      <c r="A967" s="641" t="s">
        <v>1277</v>
      </c>
      <c r="B967" s="642" t="s">
        <v>1776</v>
      </c>
      <c r="C967" s="643" t="s">
        <v>1192</v>
      </c>
      <c r="D967" s="644" t="s">
        <v>1193</v>
      </c>
      <c r="E967" s="645">
        <v>14</v>
      </c>
      <c r="F967" s="573"/>
      <c r="G967" s="487"/>
      <c r="H967" s="573"/>
      <c r="I967" s="487"/>
      <c r="J967" s="573"/>
      <c r="K967" s="487"/>
      <c r="L967" s="573"/>
      <c r="M967" s="573"/>
      <c r="N967" s="456">
        <f t="shared" si="121"/>
        <v>0</v>
      </c>
      <c r="O967" s="487"/>
      <c r="P967" s="487"/>
      <c r="Q967" s="274">
        <f t="shared" si="116"/>
        <v>0</v>
      </c>
      <c r="R967" s="574">
        <f t="shared" si="117"/>
        <v>0</v>
      </c>
      <c r="S967" s="275">
        <f t="shared" si="118"/>
        <v>0</v>
      </c>
      <c r="T967" s="575"/>
      <c r="U967" s="487"/>
      <c r="V967" s="576"/>
      <c r="W967" s="573"/>
      <c r="X967" s="574">
        <f t="shared" si="122"/>
        <v>0</v>
      </c>
      <c r="Y967" s="487"/>
      <c r="Z967" s="487"/>
      <c r="AA967" s="276">
        <f t="shared" si="123"/>
        <v>0</v>
      </c>
      <c r="AB967" s="573"/>
      <c r="AC967" s="487"/>
      <c r="AD967" s="573"/>
      <c r="AE967" s="487"/>
      <c r="AF967" s="577">
        <f t="shared" si="119"/>
        <v>0</v>
      </c>
      <c r="AG967" s="275">
        <f t="shared" si="120"/>
        <v>0</v>
      </c>
    </row>
    <row r="968" spans="1:33" ht="12" customHeight="1">
      <c r="A968" s="641" t="s">
        <v>1277</v>
      </c>
      <c r="B968" s="642" t="s">
        <v>1776</v>
      </c>
      <c r="C968" s="643" t="s">
        <v>1194</v>
      </c>
      <c r="D968" s="644">
        <v>137290</v>
      </c>
      <c r="E968" s="645">
        <v>14</v>
      </c>
      <c r="F968" s="573"/>
      <c r="G968" s="487"/>
      <c r="H968" s="573"/>
      <c r="I968" s="487"/>
      <c r="J968" s="573"/>
      <c r="K968" s="487"/>
      <c r="L968" s="573"/>
      <c r="M968" s="573"/>
      <c r="N968" s="456">
        <f t="shared" si="121"/>
        <v>0</v>
      </c>
      <c r="O968" s="487"/>
      <c r="P968" s="487"/>
      <c r="Q968" s="274">
        <f t="shared" si="116"/>
        <v>0</v>
      </c>
      <c r="R968" s="574">
        <f t="shared" si="117"/>
        <v>0</v>
      </c>
      <c r="S968" s="275">
        <f t="shared" si="118"/>
        <v>0</v>
      </c>
      <c r="T968" s="575"/>
      <c r="U968" s="487"/>
      <c r="V968" s="576"/>
      <c r="W968" s="573"/>
      <c r="X968" s="574">
        <f t="shared" si="122"/>
        <v>0</v>
      </c>
      <c r="Y968" s="487"/>
      <c r="Z968" s="487"/>
      <c r="AA968" s="276">
        <f t="shared" si="123"/>
        <v>0</v>
      </c>
      <c r="AB968" s="573"/>
      <c r="AC968" s="487"/>
      <c r="AD968" s="573"/>
      <c r="AE968" s="487"/>
      <c r="AF968" s="577">
        <f t="shared" si="119"/>
        <v>0</v>
      </c>
      <c r="AG968" s="275">
        <f t="shared" si="120"/>
        <v>0</v>
      </c>
    </row>
    <row r="969" spans="1:33" ht="12" customHeight="1">
      <c r="A969" s="641" t="s">
        <v>1277</v>
      </c>
      <c r="B969" s="642" t="s">
        <v>1776</v>
      </c>
      <c r="C969" s="643" t="s">
        <v>1195</v>
      </c>
      <c r="D969" s="644" t="s">
        <v>1196</v>
      </c>
      <c r="E969" s="645">
        <v>14</v>
      </c>
      <c r="F969" s="573"/>
      <c r="G969" s="487"/>
      <c r="H969" s="573"/>
      <c r="I969" s="487"/>
      <c r="J969" s="573"/>
      <c r="K969" s="487"/>
      <c r="L969" s="573"/>
      <c r="M969" s="573"/>
      <c r="N969" s="456">
        <f t="shared" si="121"/>
        <v>0</v>
      </c>
      <c r="O969" s="487"/>
      <c r="P969" s="487"/>
      <c r="Q969" s="274">
        <f t="shared" si="116"/>
        <v>0</v>
      </c>
      <c r="R969" s="574">
        <f t="shared" si="117"/>
        <v>0</v>
      </c>
      <c r="S969" s="275">
        <f t="shared" si="118"/>
        <v>0</v>
      </c>
      <c r="T969" s="575"/>
      <c r="U969" s="487"/>
      <c r="V969" s="576"/>
      <c r="W969" s="573"/>
      <c r="X969" s="574">
        <f t="shared" si="122"/>
        <v>0</v>
      </c>
      <c r="Y969" s="487"/>
      <c r="Z969" s="487"/>
      <c r="AA969" s="276">
        <f t="shared" si="123"/>
        <v>0</v>
      </c>
      <c r="AB969" s="573"/>
      <c r="AC969" s="487"/>
      <c r="AD969" s="573"/>
      <c r="AE969" s="487"/>
      <c r="AF969" s="577">
        <f t="shared" si="119"/>
        <v>0</v>
      </c>
      <c r="AG969" s="275">
        <f t="shared" si="120"/>
        <v>0</v>
      </c>
    </row>
    <row r="970" spans="1:33" ht="12" customHeight="1">
      <c r="A970" s="641" t="s">
        <v>1277</v>
      </c>
      <c r="B970" s="642" t="s">
        <v>1776</v>
      </c>
      <c r="C970" s="643" t="s">
        <v>1197</v>
      </c>
      <c r="D970" s="644" t="s">
        <v>1198</v>
      </c>
      <c r="E970" s="645">
        <v>14</v>
      </c>
      <c r="F970" s="573"/>
      <c r="G970" s="487"/>
      <c r="H970" s="573"/>
      <c r="I970" s="487"/>
      <c r="J970" s="573"/>
      <c r="K970" s="487"/>
      <c r="L970" s="573"/>
      <c r="M970" s="573"/>
      <c r="N970" s="456">
        <f t="shared" si="121"/>
        <v>0</v>
      </c>
      <c r="O970" s="487"/>
      <c r="P970" s="487"/>
      <c r="Q970" s="274">
        <f t="shared" ref="Q970:Q1033" si="124">SUM(O970:P970)</f>
        <v>0</v>
      </c>
      <c r="R970" s="574">
        <f t="shared" ref="R970:R1033" si="125">SUM(F970,H970,J970,L970)</f>
        <v>0</v>
      </c>
      <c r="S970" s="275">
        <f t="shared" ref="S970:S1033" si="126">SUM(G970,I970,K970,O970)</f>
        <v>0</v>
      </c>
      <c r="T970" s="575"/>
      <c r="U970" s="487"/>
      <c r="V970" s="576"/>
      <c r="W970" s="573"/>
      <c r="X970" s="574">
        <f t="shared" si="122"/>
        <v>0</v>
      </c>
      <c r="Y970" s="487"/>
      <c r="Z970" s="487"/>
      <c r="AA970" s="276">
        <f t="shared" si="123"/>
        <v>0</v>
      </c>
      <c r="AB970" s="573"/>
      <c r="AC970" s="487"/>
      <c r="AD970" s="573"/>
      <c r="AE970" s="487"/>
      <c r="AF970" s="577">
        <f t="shared" ref="AF970:AF1033" si="127">SUM(R970,T970,V970,AB970,AD970)</f>
        <v>0</v>
      </c>
      <c r="AG970" s="275">
        <f t="shared" ref="AG970:AG1033" si="128">SUM(S970,U970,Y970,AC970,AE970)</f>
        <v>0</v>
      </c>
    </row>
    <row r="971" spans="1:33" ht="12" customHeight="1">
      <c r="A971" s="641" t="s">
        <v>1277</v>
      </c>
      <c r="B971" s="642" t="s">
        <v>1776</v>
      </c>
      <c r="C971" s="643" t="s">
        <v>1199</v>
      </c>
      <c r="D971" s="644" t="s">
        <v>1200</v>
      </c>
      <c r="E971" s="645">
        <v>14</v>
      </c>
      <c r="F971" s="573"/>
      <c r="G971" s="487"/>
      <c r="H971" s="573"/>
      <c r="I971" s="487"/>
      <c r="J971" s="573"/>
      <c r="K971" s="487"/>
      <c r="L971" s="573"/>
      <c r="M971" s="573"/>
      <c r="N971" s="456">
        <f t="shared" si="121"/>
        <v>0</v>
      </c>
      <c r="O971" s="487"/>
      <c r="P971" s="487"/>
      <c r="Q971" s="274">
        <f t="shared" si="124"/>
        <v>0</v>
      </c>
      <c r="R971" s="574">
        <f t="shared" si="125"/>
        <v>0</v>
      </c>
      <c r="S971" s="275">
        <f t="shared" si="126"/>
        <v>0</v>
      </c>
      <c r="T971" s="575"/>
      <c r="U971" s="487"/>
      <c r="V971" s="576"/>
      <c r="W971" s="573"/>
      <c r="X971" s="574">
        <f t="shared" si="122"/>
        <v>0</v>
      </c>
      <c r="Y971" s="487"/>
      <c r="Z971" s="487"/>
      <c r="AA971" s="276">
        <f t="shared" si="123"/>
        <v>0</v>
      </c>
      <c r="AB971" s="573"/>
      <c r="AC971" s="487"/>
      <c r="AD971" s="573"/>
      <c r="AE971" s="487"/>
      <c r="AF971" s="577">
        <f t="shared" si="127"/>
        <v>0</v>
      </c>
      <c r="AG971" s="275">
        <f t="shared" si="128"/>
        <v>0</v>
      </c>
    </row>
    <row r="972" spans="1:33" ht="12" customHeight="1">
      <c r="A972" s="641" t="s">
        <v>1277</v>
      </c>
      <c r="B972" s="642" t="s">
        <v>1776</v>
      </c>
      <c r="C972" s="643" t="s">
        <v>1201</v>
      </c>
      <c r="D972" s="644" t="s">
        <v>1202</v>
      </c>
      <c r="E972" s="645">
        <v>14</v>
      </c>
      <c r="F972" s="573"/>
      <c r="G972" s="487"/>
      <c r="H972" s="573"/>
      <c r="I972" s="487"/>
      <c r="J972" s="573"/>
      <c r="K972" s="487"/>
      <c r="L972" s="573"/>
      <c r="M972" s="573"/>
      <c r="N972" s="456">
        <f t="shared" si="121"/>
        <v>0</v>
      </c>
      <c r="O972" s="487"/>
      <c r="P972" s="487"/>
      <c r="Q972" s="274">
        <f t="shared" si="124"/>
        <v>0</v>
      </c>
      <c r="R972" s="574">
        <f t="shared" si="125"/>
        <v>0</v>
      </c>
      <c r="S972" s="275">
        <f t="shared" si="126"/>
        <v>0</v>
      </c>
      <c r="T972" s="575"/>
      <c r="U972" s="487"/>
      <c r="V972" s="576"/>
      <c r="W972" s="573"/>
      <c r="X972" s="574">
        <f t="shared" si="122"/>
        <v>0</v>
      </c>
      <c r="Y972" s="487"/>
      <c r="Z972" s="487"/>
      <c r="AA972" s="276">
        <f t="shared" si="123"/>
        <v>0</v>
      </c>
      <c r="AB972" s="573"/>
      <c r="AC972" s="487"/>
      <c r="AD972" s="573"/>
      <c r="AE972" s="487"/>
      <c r="AF972" s="577">
        <f t="shared" si="127"/>
        <v>0</v>
      </c>
      <c r="AG972" s="275">
        <f t="shared" si="128"/>
        <v>0</v>
      </c>
    </row>
    <row r="973" spans="1:33" ht="12" customHeight="1">
      <c r="A973" s="641" t="s">
        <v>1277</v>
      </c>
      <c r="B973" s="642" t="s">
        <v>1776</v>
      </c>
      <c r="C973" s="643" t="s">
        <v>1203</v>
      </c>
      <c r="D973" s="644" t="s">
        <v>1204</v>
      </c>
      <c r="E973" s="645">
        <v>14</v>
      </c>
      <c r="F973" s="573"/>
      <c r="G973" s="487"/>
      <c r="H973" s="573"/>
      <c r="I973" s="487"/>
      <c r="J973" s="573"/>
      <c r="K973" s="487"/>
      <c r="L973" s="573"/>
      <c r="M973" s="573"/>
      <c r="N973" s="456">
        <f t="shared" si="121"/>
        <v>0</v>
      </c>
      <c r="O973" s="487"/>
      <c r="P973" s="487"/>
      <c r="Q973" s="274">
        <f t="shared" si="124"/>
        <v>0</v>
      </c>
      <c r="R973" s="574">
        <f t="shared" si="125"/>
        <v>0</v>
      </c>
      <c r="S973" s="275">
        <f t="shared" si="126"/>
        <v>0</v>
      </c>
      <c r="T973" s="575"/>
      <c r="U973" s="487"/>
      <c r="V973" s="576"/>
      <c r="W973" s="573"/>
      <c r="X973" s="574">
        <f t="shared" si="122"/>
        <v>0</v>
      </c>
      <c r="Y973" s="487"/>
      <c r="Z973" s="487"/>
      <c r="AA973" s="276">
        <f t="shared" si="123"/>
        <v>0</v>
      </c>
      <c r="AB973" s="573"/>
      <c r="AC973" s="487"/>
      <c r="AD973" s="573"/>
      <c r="AE973" s="487"/>
      <c r="AF973" s="577">
        <f t="shared" si="127"/>
        <v>0</v>
      </c>
      <c r="AG973" s="275">
        <f t="shared" si="128"/>
        <v>0</v>
      </c>
    </row>
    <row r="974" spans="1:33" ht="12" customHeight="1">
      <c r="A974" s="641" t="s">
        <v>1277</v>
      </c>
      <c r="B974" s="642" t="s">
        <v>1776</v>
      </c>
      <c r="C974" s="643" t="s">
        <v>1205</v>
      </c>
      <c r="D974" s="644" t="s">
        <v>1206</v>
      </c>
      <c r="E974" s="645">
        <v>14</v>
      </c>
      <c r="F974" s="573"/>
      <c r="G974" s="487"/>
      <c r="H974" s="573"/>
      <c r="I974" s="487"/>
      <c r="J974" s="573"/>
      <c r="K974" s="487"/>
      <c r="L974" s="573"/>
      <c r="M974" s="573"/>
      <c r="N974" s="456">
        <f t="shared" si="121"/>
        <v>0</v>
      </c>
      <c r="O974" s="487"/>
      <c r="P974" s="487"/>
      <c r="Q974" s="274">
        <f t="shared" si="124"/>
        <v>0</v>
      </c>
      <c r="R974" s="574">
        <f t="shared" si="125"/>
        <v>0</v>
      </c>
      <c r="S974" s="275">
        <f t="shared" si="126"/>
        <v>0</v>
      </c>
      <c r="T974" s="575"/>
      <c r="U974" s="487"/>
      <c r="V974" s="576"/>
      <c r="W974" s="573"/>
      <c r="X974" s="574">
        <f t="shared" si="122"/>
        <v>0</v>
      </c>
      <c r="Y974" s="487"/>
      <c r="Z974" s="487"/>
      <c r="AA974" s="276">
        <f t="shared" si="123"/>
        <v>0</v>
      </c>
      <c r="AB974" s="573"/>
      <c r="AC974" s="487"/>
      <c r="AD974" s="573"/>
      <c r="AE974" s="487"/>
      <c r="AF974" s="577">
        <f t="shared" si="127"/>
        <v>0</v>
      </c>
      <c r="AG974" s="275">
        <f t="shared" si="128"/>
        <v>0</v>
      </c>
    </row>
    <row r="975" spans="1:33" ht="12" customHeight="1">
      <c r="A975" s="641" t="s">
        <v>1277</v>
      </c>
      <c r="B975" s="642" t="s">
        <v>1776</v>
      </c>
      <c r="C975" s="643" t="s">
        <v>1207</v>
      </c>
      <c r="D975" s="644" t="s">
        <v>1208</v>
      </c>
      <c r="E975" s="645">
        <v>14</v>
      </c>
      <c r="F975" s="573"/>
      <c r="G975" s="487"/>
      <c r="H975" s="573"/>
      <c r="I975" s="487"/>
      <c r="J975" s="573"/>
      <c r="K975" s="487"/>
      <c r="L975" s="573"/>
      <c r="M975" s="573"/>
      <c r="N975" s="456">
        <f t="shared" si="121"/>
        <v>0</v>
      </c>
      <c r="O975" s="487"/>
      <c r="P975" s="487"/>
      <c r="Q975" s="274">
        <f t="shared" si="124"/>
        <v>0</v>
      </c>
      <c r="R975" s="574">
        <f t="shared" si="125"/>
        <v>0</v>
      </c>
      <c r="S975" s="275">
        <f t="shared" si="126"/>
        <v>0</v>
      </c>
      <c r="T975" s="575"/>
      <c r="U975" s="487"/>
      <c r="V975" s="576"/>
      <c r="W975" s="573"/>
      <c r="X975" s="574">
        <f t="shared" si="122"/>
        <v>0</v>
      </c>
      <c r="Y975" s="487"/>
      <c r="Z975" s="487"/>
      <c r="AA975" s="276">
        <f t="shared" si="123"/>
        <v>0</v>
      </c>
      <c r="AB975" s="573"/>
      <c r="AC975" s="487"/>
      <c r="AD975" s="573"/>
      <c r="AE975" s="487"/>
      <c r="AF975" s="577">
        <f t="shared" si="127"/>
        <v>0</v>
      </c>
      <c r="AG975" s="275">
        <f t="shared" si="128"/>
        <v>0</v>
      </c>
    </row>
    <row r="976" spans="1:33" ht="12" customHeight="1">
      <c r="A976" s="641" t="s">
        <v>1277</v>
      </c>
      <c r="B976" s="642" t="s">
        <v>1776</v>
      </c>
      <c r="C976" s="643" t="s">
        <v>1209</v>
      </c>
      <c r="D976" s="644" t="s">
        <v>1210</v>
      </c>
      <c r="E976" s="645">
        <v>14</v>
      </c>
      <c r="F976" s="573"/>
      <c r="G976" s="487"/>
      <c r="H976" s="573"/>
      <c r="I976" s="487"/>
      <c r="J976" s="573"/>
      <c r="K976" s="487"/>
      <c r="L976" s="573"/>
      <c r="M976" s="573"/>
      <c r="N976" s="456">
        <f t="shared" si="121"/>
        <v>0</v>
      </c>
      <c r="O976" s="487"/>
      <c r="P976" s="487"/>
      <c r="Q976" s="274">
        <f t="shared" si="124"/>
        <v>0</v>
      </c>
      <c r="R976" s="574">
        <f t="shared" si="125"/>
        <v>0</v>
      </c>
      <c r="S976" s="275">
        <f t="shared" si="126"/>
        <v>0</v>
      </c>
      <c r="T976" s="575"/>
      <c r="U976" s="487"/>
      <c r="V976" s="576"/>
      <c r="W976" s="573"/>
      <c r="X976" s="574">
        <f t="shared" si="122"/>
        <v>0</v>
      </c>
      <c r="Y976" s="487"/>
      <c r="Z976" s="487"/>
      <c r="AA976" s="276">
        <f t="shared" si="123"/>
        <v>0</v>
      </c>
      <c r="AB976" s="573"/>
      <c r="AC976" s="487"/>
      <c r="AD976" s="573"/>
      <c r="AE976" s="487"/>
      <c r="AF976" s="577">
        <f t="shared" si="127"/>
        <v>0</v>
      </c>
      <c r="AG976" s="275">
        <f t="shared" si="128"/>
        <v>0</v>
      </c>
    </row>
    <row r="977" spans="1:33" ht="12" customHeight="1">
      <c r="A977" s="641" t="s">
        <v>1277</v>
      </c>
      <c r="B977" s="642" t="s">
        <v>1776</v>
      </c>
      <c r="C977" s="643" t="s">
        <v>1211</v>
      </c>
      <c r="D977" s="644">
        <v>138372</v>
      </c>
      <c r="E977" s="645">
        <v>14</v>
      </c>
      <c r="F977" s="573"/>
      <c r="G977" s="487"/>
      <c r="H977" s="573"/>
      <c r="I977" s="487"/>
      <c r="J977" s="573"/>
      <c r="K977" s="487"/>
      <c r="L977" s="573"/>
      <c r="M977" s="573"/>
      <c r="N977" s="456">
        <f t="shared" si="121"/>
        <v>0</v>
      </c>
      <c r="O977" s="487"/>
      <c r="P977" s="487"/>
      <c r="Q977" s="274">
        <f t="shared" si="124"/>
        <v>0</v>
      </c>
      <c r="R977" s="574">
        <f t="shared" si="125"/>
        <v>0</v>
      </c>
      <c r="S977" s="275">
        <f t="shared" si="126"/>
        <v>0</v>
      </c>
      <c r="T977" s="575"/>
      <c r="U977" s="487"/>
      <c r="V977" s="576"/>
      <c r="W977" s="573"/>
      <c r="X977" s="574">
        <f t="shared" si="122"/>
        <v>0</v>
      </c>
      <c r="Y977" s="487"/>
      <c r="Z977" s="487"/>
      <c r="AA977" s="276">
        <f t="shared" si="123"/>
        <v>0</v>
      </c>
      <c r="AB977" s="573"/>
      <c r="AC977" s="487"/>
      <c r="AD977" s="573"/>
      <c r="AE977" s="487"/>
      <c r="AF977" s="577">
        <f t="shared" si="127"/>
        <v>0</v>
      </c>
      <c r="AG977" s="275">
        <f t="shared" si="128"/>
        <v>0</v>
      </c>
    </row>
    <row r="978" spans="1:33" ht="12" customHeight="1">
      <c r="A978" s="641" t="s">
        <v>1277</v>
      </c>
      <c r="B978" s="642" t="s">
        <v>1776</v>
      </c>
      <c r="C978" s="643" t="s">
        <v>1212</v>
      </c>
      <c r="D978" s="644" t="s">
        <v>1213</v>
      </c>
      <c r="E978" s="645">
        <v>14</v>
      </c>
      <c r="F978" s="573"/>
      <c r="G978" s="487"/>
      <c r="H978" s="573"/>
      <c r="I978" s="487"/>
      <c r="J978" s="573"/>
      <c r="K978" s="487"/>
      <c r="L978" s="573"/>
      <c r="M978" s="573"/>
      <c r="N978" s="456">
        <f t="shared" si="121"/>
        <v>0</v>
      </c>
      <c r="O978" s="487"/>
      <c r="P978" s="487"/>
      <c r="Q978" s="274">
        <f t="shared" si="124"/>
        <v>0</v>
      </c>
      <c r="R978" s="574">
        <f t="shared" si="125"/>
        <v>0</v>
      </c>
      <c r="S978" s="275">
        <f t="shared" si="126"/>
        <v>0</v>
      </c>
      <c r="T978" s="575"/>
      <c r="U978" s="487"/>
      <c r="V978" s="576"/>
      <c r="W978" s="573"/>
      <c r="X978" s="574">
        <f t="shared" si="122"/>
        <v>0</v>
      </c>
      <c r="Y978" s="487"/>
      <c r="Z978" s="487"/>
      <c r="AA978" s="276">
        <f t="shared" si="123"/>
        <v>0</v>
      </c>
      <c r="AB978" s="573"/>
      <c r="AC978" s="487"/>
      <c r="AD978" s="573"/>
      <c r="AE978" s="487"/>
      <c r="AF978" s="577">
        <f t="shared" si="127"/>
        <v>0</v>
      </c>
      <c r="AG978" s="275">
        <f t="shared" si="128"/>
        <v>0</v>
      </c>
    </row>
    <row r="979" spans="1:33" ht="12" customHeight="1">
      <c r="A979" s="641" t="s">
        <v>1277</v>
      </c>
      <c r="B979" s="642" t="s">
        <v>1776</v>
      </c>
      <c r="C979" s="643" t="s">
        <v>1214</v>
      </c>
      <c r="D979" s="644">
        <v>138488</v>
      </c>
      <c r="E979" s="645">
        <v>14</v>
      </c>
      <c r="F979" s="573"/>
      <c r="G979" s="487"/>
      <c r="H979" s="573"/>
      <c r="I979" s="487"/>
      <c r="J979" s="573"/>
      <c r="K979" s="487"/>
      <c r="L979" s="573"/>
      <c r="M979" s="573"/>
      <c r="N979" s="456">
        <f t="shared" ref="N979:N1042" si="129">SUM(L979:M979)</f>
        <v>0</v>
      </c>
      <c r="O979" s="487"/>
      <c r="P979" s="487"/>
      <c r="Q979" s="274">
        <f t="shared" si="124"/>
        <v>0</v>
      </c>
      <c r="R979" s="574">
        <f t="shared" si="125"/>
        <v>0</v>
      </c>
      <c r="S979" s="275">
        <f t="shared" si="126"/>
        <v>0</v>
      </c>
      <c r="T979" s="575"/>
      <c r="U979" s="487"/>
      <c r="V979" s="576"/>
      <c r="W979" s="573"/>
      <c r="X979" s="574">
        <f t="shared" ref="X979:X1042" si="130">SUM(V979:W979)</f>
        <v>0</v>
      </c>
      <c r="Y979" s="487"/>
      <c r="Z979" s="487"/>
      <c r="AA979" s="276">
        <f t="shared" ref="AA979:AA1042" si="131">SUM(Y979:Z979)</f>
        <v>0</v>
      </c>
      <c r="AB979" s="573"/>
      <c r="AC979" s="487"/>
      <c r="AD979" s="573"/>
      <c r="AE979" s="487"/>
      <c r="AF979" s="577">
        <f t="shared" si="127"/>
        <v>0</v>
      </c>
      <c r="AG979" s="275">
        <f t="shared" si="128"/>
        <v>0</v>
      </c>
    </row>
    <row r="980" spans="1:33" ht="12" customHeight="1">
      <c r="A980" s="641" t="s">
        <v>1277</v>
      </c>
      <c r="B980" s="642" t="s">
        <v>1776</v>
      </c>
      <c r="C980" s="643" t="s">
        <v>1215</v>
      </c>
      <c r="D980" s="644" t="s">
        <v>1216</v>
      </c>
      <c r="E980" s="645">
        <v>14</v>
      </c>
      <c r="F980" s="573"/>
      <c r="G980" s="487"/>
      <c r="H980" s="573"/>
      <c r="I980" s="487"/>
      <c r="J980" s="573"/>
      <c r="K980" s="487"/>
      <c r="L980" s="573"/>
      <c r="M980" s="573"/>
      <c r="N980" s="456">
        <f t="shared" si="129"/>
        <v>0</v>
      </c>
      <c r="O980" s="487"/>
      <c r="P980" s="487"/>
      <c r="Q980" s="274">
        <f t="shared" si="124"/>
        <v>0</v>
      </c>
      <c r="R980" s="574">
        <f t="shared" si="125"/>
        <v>0</v>
      </c>
      <c r="S980" s="275">
        <f t="shared" si="126"/>
        <v>0</v>
      </c>
      <c r="T980" s="575"/>
      <c r="U980" s="487"/>
      <c r="V980" s="576"/>
      <c r="W980" s="573"/>
      <c r="X980" s="574">
        <f t="shared" si="130"/>
        <v>0</v>
      </c>
      <c r="Y980" s="487"/>
      <c r="Z980" s="487"/>
      <c r="AA980" s="276">
        <f t="shared" si="131"/>
        <v>0</v>
      </c>
      <c r="AB980" s="573"/>
      <c r="AC980" s="487"/>
      <c r="AD980" s="573"/>
      <c r="AE980" s="487"/>
      <c r="AF980" s="577">
        <f t="shared" si="127"/>
        <v>0</v>
      </c>
      <c r="AG980" s="275">
        <f t="shared" si="128"/>
        <v>0</v>
      </c>
    </row>
    <row r="981" spans="1:33" ht="12" customHeight="1">
      <c r="A981" s="641" t="s">
        <v>1277</v>
      </c>
      <c r="B981" s="642" t="s">
        <v>1796</v>
      </c>
      <c r="C981" s="472" t="s">
        <v>1217</v>
      </c>
      <c r="D981" s="644"/>
      <c r="E981" s="645"/>
      <c r="F981" s="573"/>
      <c r="G981" s="487"/>
      <c r="H981" s="573"/>
      <c r="I981" s="487"/>
      <c r="J981" s="573"/>
      <c r="K981" s="487"/>
      <c r="L981" s="573"/>
      <c r="M981" s="573"/>
      <c r="N981" s="456">
        <f t="shared" si="129"/>
        <v>0</v>
      </c>
      <c r="O981" s="487"/>
      <c r="P981" s="487"/>
      <c r="Q981" s="274">
        <f t="shared" si="124"/>
        <v>0</v>
      </c>
      <c r="R981" s="574">
        <f t="shared" si="125"/>
        <v>0</v>
      </c>
      <c r="S981" s="275">
        <f t="shared" si="126"/>
        <v>0</v>
      </c>
      <c r="T981" s="575"/>
      <c r="U981" s="487"/>
      <c r="V981" s="576"/>
      <c r="W981" s="573"/>
      <c r="X981" s="574">
        <f t="shared" si="130"/>
        <v>0</v>
      </c>
      <c r="Y981" s="487"/>
      <c r="Z981" s="487"/>
      <c r="AA981" s="276">
        <f t="shared" si="131"/>
        <v>0</v>
      </c>
      <c r="AB981" s="573"/>
      <c r="AC981" s="487"/>
      <c r="AD981" s="573"/>
      <c r="AE981" s="487"/>
      <c r="AF981" s="577">
        <f t="shared" si="127"/>
        <v>0</v>
      </c>
      <c r="AG981" s="275">
        <f t="shared" si="128"/>
        <v>0</v>
      </c>
    </row>
    <row r="982" spans="1:33" s="578" customFormat="1" ht="12" customHeight="1">
      <c r="A982" s="646" t="s">
        <v>1272</v>
      </c>
      <c r="B982" s="646" t="s">
        <v>1776</v>
      </c>
      <c r="C982" s="647" t="s">
        <v>279</v>
      </c>
      <c r="D982" s="648">
        <v>139940</v>
      </c>
      <c r="E982" s="649">
        <v>1</v>
      </c>
      <c r="F982" s="573">
        <v>225051406</v>
      </c>
      <c r="G982" s="487">
        <v>218333745</v>
      </c>
      <c r="H982" s="573"/>
      <c r="I982" s="487"/>
      <c r="J982" s="573"/>
      <c r="K982" s="487"/>
      <c r="L982" s="573">
        <v>121912288</v>
      </c>
      <c r="M982" s="573"/>
      <c r="N982" s="456">
        <f t="shared" si="129"/>
        <v>121912288</v>
      </c>
      <c r="O982" s="487">
        <v>127882265</v>
      </c>
      <c r="P982" s="487"/>
      <c r="Q982" s="274">
        <f t="shared" si="124"/>
        <v>127882265</v>
      </c>
      <c r="R982" s="574">
        <f t="shared" si="125"/>
        <v>346963694</v>
      </c>
      <c r="S982" s="275">
        <f t="shared" si="126"/>
        <v>346216010</v>
      </c>
      <c r="T982" s="575"/>
      <c r="U982" s="487"/>
      <c r="V982" s="576"/>
      <c r="W982" s="573"/>
      <c r="X982" s="574">
        <f t="shared" si="130"/>
        <v>0</v>
      </c>
      <c r="Y982" s="487"/>
      <c r="Z982" s="487"/>
      <c r="AA982" s="276">
        <f t="shared" si="131"/>
        <v>0</v>
      </c>
      <c r="AB982" s="573"/>
      <c r="AC982" s="487"/>
      <c r="AD982" s="573"/>
      <c r="AE982" s="487"/>
      <c r="AF982" s="577">
        <f t="shared" si="127"/>
        <v>346963694</v>
      </c>
      <c r="AG982" s="275">
        <f t="shared" si="128"/>
        <v>346216010</v>
      </c>
    </row>
    <row r="983" spans="1:33" s="578" customFormat="1" ht="12" customHeight="1">
      <c r="A983" s="646" t="s">
        <v>1272</v>
      </c>
      <c r="B983" s="646" t="s">
        <v>1776</v>
      </c>
      <c r="C983" s="650" t="s">
        <v>280</v>
      </c>
      <c r="D983" s="648">
        <v>139959</v>
      </c>
      <c r="E983" s="649">
        <v>1</v>
      </c>
      <c r="F983" s="573">
        <f>381785029-AB985-H988</f>
        <v>368627280</v>
      </c>
      <c r="G983" s="487">
        <f>367911756-AC985-I988</f>
        <v>353659473</v>
      </c>
      <c r="H983" s="573"/>
      <c r="I983" s="487"/>
      <c r="J983" s="573"/>
      <c r="K983" s="487"/>
      <c r="L983" s="573">
        <v>187859342</v>
      </c>
      <c r="M983" s="573"/>
      <c r="N983" s="456">
        <f t="shared" si="129"/>
        <v>187859342</v>
      </c>
      <c r="O983" s="487">
        <v>212692097</v>
      </c>
      <c r="P983" s="487"/>
      <c r="Q983" s="274">
        <f t="shared" si="124"/>
        <v>212692097</v>
      </c>
      <c r="R983" s="574">
        <f t="shared" si="125"/>
        <v>556486622</v>
      </c>
      <c r="S983" s="275">
        <f t="shared" si="126"/>
        <v>566351570</v>
      </c>
      <c r="T983" s="575"/>
      <c r="U983" s="487"/>
      <c r="V983" s="576"/>
      <c r="W983" s="573"/>
      <c r="X983" s="574">
        <f t="shared" si="130"/>
        <v>0</v>
      </c>
      <c r="Y983" s="487"/>
      <c r="Z983" s="487"/>
      <c r="AA983" s="276">
        <f t="shared" si="131"/>
        <v>0</v>
      </c>
      <c r="AB983" s="573"/>
      <c r="AC983" s="487"/>
      <c r="AD983" s="573"/>
      <c r="AE983" s="487"/>
      <c r="AF983" s="577">
        <f t="shared" si="127"/>
        <v>556486622</v>
      </c>
      <c r="AG983" s="275">
        <f t="shared" si="128"/>
        <v>566351570</v>
      </c>
    </row>
    <row r="984" spans="1:33" s="578" customFormat="1" ht="12" customHeight="1">
      <c r="A984" s="646" t="s">
        <v>1272</v>
      </c>
      <c r="B984" s="646" t="s">
        <v>1793</v>
      </c>
      <c r="C984" s="306" t="s">
        <v>2042</v>
      </c>
      <c r="D984" s="648">
        <v>139959</v>
      </c>
      <c r="E984" s="649">
        <v>1</v>
      </c>
      <c r="F984" s="573"/>
      <c r="G984" s="487"/>
      <c r="H984" s="573"/>
      <c r="I984" s="487"/>
      <c r="J984" s="573"/>
      <c r="K984" s="487"/>
      <c r="L984" s="573"/>
      <c r="M984" s="573"/>
      <c r="N984" s="456">
        <f t="shared" si="129"/>
        <v>0</v>
      </c>
      <c r="O984" s="487"/>
      <c r="P984" s="487"/>
      <c r="Q984" s="274">
        <f t="shared" si="124"/>
        <v>0</v>
      </c>
      <c r="R984" s="574">
        <f t="shared" si="125"/>
        <v>0</v>
      </c>
      <c r="S984" s="275">
        <f t="shared" si="126"/>
        <v>0</v>
      </c>
      <c r="T984" s="575"/>
      <c r="U984" s="487"/>
      <c r="V984" s="576"/>
      <c r="W984" s="573"/>
      <c r="X984" s="574">
        <f t="shared" si="130"/>
        <v>0</v>
      </c>
      <c r="Y984" s="487"/>
      <c r="Z984" s="487"/>
      <c r="AA984" s="276">
        <f t="shared" si="131"/>
        <v>0</v>
      </c>
      <c r="AB984" s="573"/>
      <c r="AC984" s="487"/>
      <c r="AD984" s="573"/>
      <c r="AE984" s="487"/>
      <c r="AF984" s="577">
        <f t="shared" si="127"/>
        <v>0</v>
      </c>
      <c r="AG984" s="275">
        <f t="shared" si="128"/>
        <v>0</v>
      </c>
    </row>
    <row r="985" spans="1:33" s="578" customFormat="1" ht="12" customHeight="1">
      <c r="A985" s="646" t="s">
        <v>1272</v>
      </c>
      <c r="B985" s="646" t="s">
        <v>1793</v>
      </c>
      <c r="C985" s="651" t="s">
        <v>281</v>
      </c>
      <c r="D985" s="648">
        <v>139959</v>
      </c>
      <c r="E985" s="649">
        <v>1</v>
      </c>
      <c r="F985" s="573"/>
      <c r="G985" s="487"/>
      <c r="H985" s="573"/>
      <c r="I985" s="487"/>
      <c r="J985" s="573"/>
      <c r="K985" s="487"/>
      <c r="L985" s="573"/>
      <c r="M985" s="573"/>
      <c r="N985" s="456">
        <f t="shared" si="129"/>
        <v>0</v>
      </c>
      <c r="O985" s="487"/>
      <c r="P985" s="487"/>
      <c r="Q985" s="274">
        <f t="shared" si="124"/>
        <v>0</v>
      </c>
      <c r="R985" s="574">
        <f t="shared" si="125"/>
        <v>0</v>
      </c>
      <c r="S985" s="275">
        <f t="shared" si="126"/>
        <v>0</v>
      </c>
      <c r="T985" s="575"/>
      <c r="U985" s="487"/>
      <c r="V985" s="576"/>
      <c r="W985" s="573"/>
      <c r="X985" s="574">
        <f t="shared" si="130"/>
        <v>0</v>
      </c>
      <c r="Y985" s="487"/>
      <c r="Z985" s="487"/>
      <c r="AA985" s="276">
        <f t="shared" si="131"/>
        <v>0</v>
      </c>
      <c r="AB985" s="573">
        <v>12677580</v>
      </c>
      <c r="AC985" s="487">
        <v>13799729</v>
      </c>
      <c r="AD985" s="573">
        <v>5351424</v>
      </c>
      <c r="AE985" s="487">
        <v>5711904</v>
      </c>
      <c r="AF985" s="577">
        <f t="shared" si="127"/>
        <v>18029004</v>
      </c>
      <c r="AG985" s="275">
        <f t="shared" si="128"/>
        <v>19511633</v>
      </c>
    </row>
    <row r="986" spans="1:33" s="578" customFormat="1" ht="12" customHeight="1">
      <c r="A986" s="646" t="s">
        <v>1272</v>
      </c>
      <c r="B986" s="646" t="s">
        <v>1793</v>
      </c>
      <c r="C986" s="652" t="s">
        <v>282</v>
      </c>
      <c r="D986" s="648">
        <v>139959</v>
      </c>
      <c r="E986" s="649">
        <v>1</v>
      </c>
      <c r="F986" s="573"/>
      <c r="G986" s="487"/>
      <c r="H986" s="573"/>
      <c r="I986" s="487"/>
      <c r="J986" s="573"/>
      <c r="K986" s="487"/>
      <c r="L986" s="573"/>
      <c r="M986" s="573"/>
      <c r="N986" s="456">
        <f t="shared" si="129"/>
        <v>0</v>
      </c>
      <c r="O986" s="487"/>
      <c r="P986" s="487"/>
      <c r="Q986" s="274">
        <f t="shared" si="124"/>
        <v>0</v>
      </c>
      <c r="R986" s="574">
        <f t="shared" si="125"/>
        <v>0</v>
      </c>
      <c r="S986" s="275">
        <f t="shared" si="126"/>
        <v>0</v>
      </c>
      <c r="T986" s="575"/>
      <c r="U986" s="487"/>
      <c r="V986" s="576"/>
      <c r="W986" s="573"/>
      <c r="X986" s="574">
        <f t="shared" si="130"/>
        <v>0</v>
      </c>
      <c r="Y986" s="487"/>
      <c r="Z986" s="487"/>
      <c r="AA986" s="276">
        <f t="shared" si="131"/>
        <v>0</v>
      </c>
      <c r="AB986" s="573">
        <v>502585</v>
      </c>
      <c r="AC986" s="487">
        <v>486614</v>
      </c>
      <c r="AD986" s="573"/>
      <c r="AE986" s="487"/>
      <c r="AF986" s="577">
        <f t="shared" si="127"/>
        <v>502585</v>
      </c>
      <c r="AG986" s="275">
        <f t="shared" si="128"/>
        <v>486614</v>
      </c>
    </row>
    <row r="987" spans="1:33" s="578" customFormat="1" ht="12" customHeight="1">
      <c r="A987" s="646" t="s">
        <v>1272</v>
      </c>
      <c r="B987" s="646" t="s">
        <v>1778</v>
      </c>
      <c r="C987" s="305" t="s">
        <v>959</v>
      </c>
      <c r="D987" s="648">
        <v>139959</v>
      </c>
      <c r="E987" s="649">
        <v>1</v>
      </c>
      <c r="F987" s="573"/>
      <c r="G987" s="487"/>
      <c r="H987" s="573"/>
      <c r="I987" s="487"/>
      <c r="J987" s="573"/>
      <c r="K987" s="487"/>
      <c r="L987" s="573"/>
      <c r="M987" s="573"/>
      <c r="N987" s="456">
        <f t="shared" si="129"/>
        <v>0</v>
      </c>
      <c r="O987" s="487"/>
      <c r="P987" s="487"/>
      <c r="Q987" s="274">
        <f t="shared" si="124"/>
        <v>0</v>
      </c>
      <c r="R987" s="574">
        <f t="shared" si="125"/>
        <v>0</v>
      </c>
      <c r="S987" s="275">
        <f t="shared" si="126"/>
        <v>0</v>
      </c>
      <c r="T987" s="575"/>
      <c r="U987" s="487"/>
      <c r="V987" s="576"/>
      <c r="W987" s="573"/>
      <c r="X987" s="574">
        <f t="shared" si="130"/>
        <v>0</v>
      </c>
      <c r="Y987" s="487"/>
      <c r="Z987" s="487"/>
      <c r="AA987" s="276">
        <f t="shared" si="131"/>
        <v>0</v>
      </c>
      <c r="AB987" s="573"/>
      <c r="AC987" s="487"/>
      <c r="AD987" s="573"/>
      <c r="AE987" s="487"/>
      <c r="AF987" s="577">
        <f t="shared" si="127"/>
        <v>0</v>
      </c>
      <c r="AG987" s="275">
        <f t="shared" si="128"/>
        <v>0</v>
      </c>
    </row>
    <row r="988" spans="1:33" s="578" customFormat="1" ht="12" customHeight="1">
      <c r="A988" s="646" t="s">
        <v>1272</v>
      </c>
      <c r="B988" s="646" t="s">
        <v>1778</v>
      </c>
      <c r="C988" s="651" t="s">
        <v>283</v>
      </c>
      <c r="D988" s="648">
        <v>139959</v>
      </c>
      <c r="E988" s="649">
        <v>1</v>
      </c>
      <c r="F988" s="573"/>
      <c r="G988" s="487"/>
      <c r="H988" s="573">
        <v>480169</v>
      </c>
      <c r="I988" s="487">
        <v>452554</v>
      </c>
      <c r="J988" s="573"/>
      <c r="K988" s="487"/>
      <c r="L988" s="573"/>
      <c r="M988" s="573"/>
      <c r="N988" s="456">
        <f t="shared" si="129"/>
        <v>0</v>
      </c>
      <c r="O988" s="487"/>
      <c r="P988" s="487"/>
      <c r="Q988" s="274">
        <f t="shared" si="124"/>
        <v>0</v>
      </c>
      <c r="R988" s="574">
        <f t="shared" si="125"/>
        <v>480169</v>
      </c>
      <c r="S988" s="275">
        <f t="shared" si="126"/>
        <v>452554</v>
      </c>
      <c r="T988" s="575"/>
      <c r="U988" s="487"/>
      <c r="V988" s="576"/>
      <c r="W988" s="573"/>
      <c r="X988" s="574">
        <f t="shared" si="130"/>
        <v>0</v>
      </c>
      <c r="Y988" s="487"/>
      <c r="Z988" s="487"/>
      <c r="AA988" s="276">
        <f t="shared" si="131"/>
        <v>0</v>
      </c>
      <c r="AB988" s="573"/>
      <c r="AC988" s="487"/>
      <c r="AD988" s="573"/>
      <c r="AE988" s="487"/>
      <c r="AF988" s="577">
        <f t="shared" si="127"/>
        <v>480169</v>
      </c>
      <c r="AG988" s="275">
        <f t="shared" si="128"/>
        <v>452554</v>
      </c>
    </row>
    <row r="989" spans="1:33" s="578" customFormat="1" ht="12" customHeight="1">
      <c r="A989" s="646" t="s">
        <v>1272</v>
      </c>
      <c r="B989" s="646" t="s">
        <v>1778</v>
      </c>
      <c r="C989" s="652" t="s">
        <v>284</v>
      </c>
      <c r="D989" s="648">
        <v>139959</v>
      </c>
      <c r="E989" s="649">
        <v>1</v>
      </c>
      <c r="F989" s="573"/>
      <c r="G989" s="487"/>
      <c r="H989" s="573">
        <v>62192</v>
      </c>
      <c r="I989" s="487">
        <v>32323</v>
      </c>
      <c r="J989" s="573"/>
      <c r="K989" s="487"/>
      <c r="L989" s="573"/>
      <c r="M989" s="573"/>
      <c r="N989" s="456">
        <f t="shared" si="129"/>
        <v>0</v>
      </c>
      <c r="O989" s="487"/>
      <c r="P989" s="487"/>
      <c r="Q989" s="274">
        <f t="shared" si="124"/>
        <v>0</v>
      </c>
      <c r="R989" s="574">
        <f t="shared" si="125"/>
        <v>62192</v>
      </c>
      <c r="S989" s="275">
        <f t="shared" si="126"/>
        <v>32323</v>
      </c>
      <c r="T989" s="575"/>
      <c r="U989" s="487"/>
      <c r="V989" s="576"/>
      <c r="W989" s="573"/>
      <c r="X989" s="574">
        <f t="shared" si="130"/>
        <v>0</v>
      </c>
      <c r="Y989" s="487"/>
      <c r="Z989" s="487"/>
      <c r="AA989" s="276">
        <f t="shared" si="131"/>
        <v>0</v>
      </c>
      <c r="AB989" s="573"/>
      <c r="AC989" s="487"/>
      <c r="AD989" s="573"/>
      <c r="AE989" s="487"/>
      <c r="AF989" s="577">
        <f t="shared" si="127"/>
        <v>62192</v>
      </c>
      <c r="AG989" s="275">
        <f t="shared" si="128"/>
        <v>32323</v>
      </c>
    </row>
    <row r="990" spans="1:33" s="578" customFormat="1" ht="12" customHeight="1">
      <c r="A990" s="646" t="s">
        <v>1272</v>
      </c>
      <c r="B990" s="646" t="s">
        <v>1780</v>
      </c>
      <c r="C990" s="305" t="s">
        <v>1682</v>
      </c>
      <c r="D990" s="648">
        <v>139959</v>
      </c>
      <c r="E990" s="649">
        <v>1</v>
      </c>
      <c r="F990" s="573"/>
      <c r="G990" s="487"/>
      <c r="H990" s="573">
        <v>35391924</v>
      </c>
      <c r="I990" s="487">
        <v>34564750</v>
      </c>
      <c r="J990" s="573"/>
      <c r="K990" s="487"/>
      <c r="L990" s="573"/>
      <c r="M990" s="573"/>
      <c r="N990" s="456">
        <f t="shared" si="129"/>
        <v>0</v>
      </c>
      <c r="O990" s="487"/>
      <c r="P990" s="487"/>
      <c r="Q990" s="274">
        <f t="shared" si="124"/>
        <v>0</v>
      </c>
      <c r="R990" s="574">
        <f t="shared" si="125"/>
        <v>35391924</v>
      </c>
      <c r="S990" s="275">
        <f t="shared" si="126"/>
        <v>34564750</v>
      </c>
      <c r="T990" s="575"/>
      <c r="U990" s="487"/>
      <c r="V990" s="576"/>
      <c r="W990" s="573"/>
      <c r="X990" s="574">
        <f t="shared" si="130"/>
        <v>0</v>
      </c>
      <c r="Y990" s="487"/>
      <c r="Z990" s="487"/>
      <c r="AA990" s="276">
        <f t="shared" si="131"/>
        <v>0</v>
      </c>
      <c r="AB990" s="573"/>
      <c r="AC990" s="487"/>
      <c r="AD990" s="573"/>
      <c r="AE990" s="487"/>
      <c r="AF990" s="577">
        <f t="shared" si="127"/>
        <v>35391924</v>
      </c>
      <c r="AG990" s="275">
        <f t="shared" si="128"/>
        <v>34564750</v>
      </c>
    </row>
    <row r="991" spans="1:33" s="578" customFormat="1" ht="12" customHeight="1">
      <c r="A991" s="646" t="s">
        <v>1272</v>
      </c>
      <c r="B991" s="646" t="s">
        <v>1781</v>
      </c>
      <c r="C991" s="305" t="s">
        <v>285</v>
      </c>
      <c r="D991" s="648">
        <v>139959</v>
      </c>
      <c r="E991" s="649">
        <v>1</v>
      </c>
      <c r="F991" s="573"/>
      <c r="G991" s="487"/>
      <c r="H991" s="573">
        <v>42936221</v>
      </c>
      <c r="I991" s="487">
        <v>41002005</v>
      </c>
      <c r="J991" s="573"/>
      <c r="K991" s="487"/>
      <c r="L991" s="573"/>
      <c r="M991" s="573"/>
      <c r="N991" s="456">
        <f t="shared" si="129"/>
        <v>0</v>
      </c>
      <c r="O991" s="487"/>
      <c r="P991" s="487"/>
      <c r="Q991" s="274">
        <f t="shared" si="124"/>
        <v>0</v>
      </c>
      <c r="R991" s="574">
        <f t="shared" si="125"/>
        <v>42936221</v>
      </c>
      <c r="S991" s="275">
        <f t="shared" si="126"/>
        <v>41002005</v>
      </c>
      <c r="T991" s="575"/>
      <c r="U991" s="487"/>
      <c r="V991" s="576"/>
      <c r="W991" s="573"/>
      <c r="X991" s="574">
        <f t="shared" si="130"/>
        <v>0</v>
      </c>
      <c r="Y991" s="487"/>
      <c r="Z991" s="487"/>
      <c r="AA991" s="276">
        <f t="shared" si="131"/>
        <v>0</v>
      </c>
      <c r="AB991" s="573"/>
      <c r="AC991" s="487"/>
      <c r="AD991" s="573"/>
      <c r="AE991" s="487"/>
      <c r="AF991" s="577">
        <f t="shared" si="127"/>
        <v>42936221</v>
      </c>
      <c r="AG991" s="275">
        <f t="shared" si="128"/>
        <v>41002005</v>
      </c>
    </row>
    <row r="992" spans="1:33" s="578" customFormat="1" ht="12" customHeight="1">
      <c r="A992" s="646" t="s">
        <v>1272</v>
      </c>
      <c r="B992" s="646" t="s">
        <v>1783</v>
      </c>
      <c r="C992" s="306" t="s">
        <v>286</v>
      </c>
      <c r="D992" s="648">
        <v>139959</v>
      </c>
      <c r="E992" s="649">
        <v>1</v>
      </c>
      <c r="F992" s="573"/>
      <c r="G992" s="487"/>
      <c r="H992" s="573"/>
      <c r="I992" s="487"/>
      <c r="J992" s="573"/>
      <c r="K992" s="487"/>
      <c r="L992" s="573"/>
      <c r="M992" s="573"/>
      <c r="N992" s="456">
        <f t="shared" si="129"/>
        <v>0</v>
      </c>
      <c r="O992" s="487"/>
      <c r="P992" s="487"/>
      <c r="Q992" s="274">
        <f t="shared" si="124"/>
        <v>0</v>
      </c>
      <c r="R992" s="574">
        <f t="shared" si="125"/>
        <v>0</v>
      </c>
      <c r="S992" s="275">
        <f t="shared" si="126"/>
        <v>0</v>
      </c>
      <c r="T992" s="575"/>
      <c r="U992" s="487"/>
      <c r="V992" s="576"/>
      <c r="W992" s="573"/>
      <c r="X992" s="574">
        <f t="shared" si="130"/>
        <v>0</v>
      </c>
      <c r="Y992" s="487"/>
      <c r="Z992" s="487"/>
      <c r="AA992" s="276">
        <f t="shared" si="131"/>
        <v>0</v>
      </c>
      <c r="AB992" s="573"/>
      <c r="AC992" s="487"/>
      <c r="AD992" s="573"/>
      <c r="AE992" s="487"/>
      <c r="AF992" s="577">
        <f t="shared" si="127"/>
        <v>0</v>
      </c>
      <c r="AG992" s="275">
        <f t="shared" si="128"/>
        <v>0</v>
      </c>
    </row>
    <row r="993" spans="1:33" s="578" customFormat="1" ht="12" customHeight="1">
      <c r="A993" s="646" t="s">
        <v>1272</v>
      </c>
      <c r="B993" s="646" t="s">
        <v>1783</v>
      </c>
      <c r="C993" s="651" t="s">
        <v>287</v>
      </c>
      <c r="D993" s="648">
        <v>139959</v>
      </c>
      <c r="E993" s="649">
        <v>1</v>
      </c>
      <c r="F993" s="573"/>
      <c r="G993" s="487"/>
      <c r="H993" s="573">
        <v>1576721</v>
      </c>
      <c r="I993" s="487">
        <v>1460454</v>
      </c>
      <c r="J993" s="573"/>
      <c r="K993" s="487"/>
      <c r="L993" s="573"/>
      <c r="M993" s="573"/>
      <c r="N993" s="456">
        <f t="shared" si="129"/>
        <v>0</v>
      </c>
      <c r="O993" s="487"/>
      <c r="P993" s="487"/>
      <c r="Q993" s="274">
        <f t="shared" si="124"/>
        <v>0</v>
      </c>
      <c r="R993" s="574">
        <f t="shared" si="125"/>
        <v>1576721</v>
      </c>
      <c r="S993" s="275">
        <f t="shared" si="126"/>
        <v>1460454</v>
      </c>
      <c r="T993" s="575"/>
      <c r="U993" s="487"/>
      <c r="V993" s="576"/>
      <c r="W993" s="573"/>
      <c r="X993" s="574">
        <f t="shared" si="130"/>
        <v>0</v>
      </c>
      <c r="Y993" s="487"/>
      <c r="Z993" s="487"/>
      <c r="AA993" s="276">
        <f t="shared" si="131"/>
        <v>0</v>
      </c>
      <c r="AB993" s="573"/>
      <c r="AC993" s="487"/>
      <c r="AD993" s="573"/>
      <c r="AE993" s="487"/>
      <c r="AF993" s="577">
        <f t="shared" si="127"/>
        <v>1576721</v>
      </c>
      <c r="AG993" s="275">
        <f t="shared" si="128"/>
        <v>1460454</v>
      </c>
    </row>
    <row r="994" spans="1:33" s="578" customFormat="1" ht="12" customHeight="1">
      <c r="A994" s="646" t="s">
        <v>1272</v>
      </c>
      <c r="B994" s="646" t="s">
        <v>1783</v>
      </c>
      <c r="C994" s="652" t="s">
        <v>288</v>
      </c>
      <c r="D994" s="648">
        <v>139959</v>
      </c>
      <c r="E994" s="649">
        <v>1</v>
      </c>
      <c r="F994" s="573"/>
      <c r="G994" s="487"/>
      <c r="H994" s="573">
        <v>3384254</v>
      </c>
      <c r="I994" s="487">
        <v>3128143</v>
      </c>
      <c r="J994" s="573"/>
      <c r="K994" s="487"/>
      <c r="L994" s="573"/>
      <c r="M994" s="573"/>
      <c r="N994" s="456">
        <f t="shared" si="129"/>
        <v>0</v>
      </c>
      <c r="O994" s="487"/>
      <c r="P994" s="487"/>
      <c r="Q994" s="274">
        <f t="shared" si="124"/>
        <v>0</v>
      </c>
      <c r="R994" s="574">
        <f t="shared" si="125"/>
        <v>3384254</v>
      </c>
      <c r="S994" s="275">
        <f t="shared" si="126"/>
        <v>3128143</v>
      </c>
      <c r="T994" s="575"/>
      <c r="U994" s="487"/>
      <c r="V994" s="576"/>
      <c r="W994" s="573"/>
      <c r="X994" s="574">
        <f t="shared" si="130"/>
        <v>0</v>
      </c>
      <c r="Y994" s="487"/>
      <c r="Z994" s="487"/>
      <c r="AA994" s="276">
        <f t="shared" si="131"/>
        <v>0</v>
      </c>
      <c r="AB994" s="573"/>
      <c r="AC994" s="487"/>
      <c r="AD994" s="573"/>
      <c r="AE994" s="487"/>
      <c r="AF994" s="577">
        <f t="shared" si="127"/>
        <v>3384254</v>
      </c>
      <c r="AG994" s="275">
        <f t="shared" si="128"/>
        <v>3128143</v>
      </c>
    </row>
    <row r="995" spans="1:33" s="578" customFormat="1" ht="12" customHeight="1">
      <c r="A995" s="646" t="s">
        <v>1272</v>
      </c>
      <c r="B995" s="646" t="s">
        <v>1783</v>
      </c>
      <c r="C995" s="652" t="s">
        <v>289</v>
      </c>
      <c r="D995" s="648">
        <v>139959</v>
      </c>
      <c r="E995" s="649">
        <v>1</v>
      </c>
      <c r="F995" s="573"/>
      <c r="G995" s="487"/>
      <c r="H995" s="573">
        <v>964361</v>
      </c>
      <c r="I995" s="487">
        <v>901830</v>
      </c>
      <c r="J995" s="573"/>
      <c r="K995" s="487"/>
      <c r="L995" s="573"/>
      <c r="M995" s="573"/>
      <c r="N995" s="456">
        <f t="shared" si="129"/>
        <v>0</v>
      </c>
      <c r="O995" s="487"/>
      <c r="P995" s="487"/>
      <c r="Q995" s="274">
        <f t="shared" si="124"/>
        <v>0</v>
      </c>
      <c r="R995" s="574">
        <f t="shared" si="125"/>
        <v>964361</v>
      </c>
      <c r="S995" s="275">
        <f t="shared" si="126"/>
        <v>901830</v>
      </c>
      <c r="T995" s="575"/>
      <c r="U995" s="487"/>
      <c r="V995" s="576"/>
      <c r="W995" s="573"/>
      <c r="X995" s="574">
        <f t="shared" si="130"/>
        <v>0</v>
      </c>
      <c r="Y995" s="487"/>
      <c r="Z995" s="487"/>
      <c r="AA995" s="276">
        <f t="shared" si="131"/>
        <v>0</v>
      </c>
      <c r="AB995" s="573"/>
      <c r="AC995" s="487"/>
      <c r="AD995" s="573"/>
      <c r="AE995" s="487"/>
      <c r="AF995" s="577">
        <f t="shared" si="127"/>
        <v>964361</v>
      </c>
      <c r="AG995" s="275">
        <f t="shared" si="128"/>
        <v>901830</v>
      </c>
    </row>
    <row r="996" spans="1:33" s="578" customFormat="1" ht="12" customHeight="1">
      <c r="A996" s="646" t="s">
        <v>1272</v>
      </c>
      <c r="B996" s="646" t="s">
        <v>1783</v>
      </c>
      <c r="C996" s="652" t="s">
        <v>290</v>
      </c>
      <c r="D996" s="648">
        <v>139959</v>
      </c>
      <c r="E996" s="649">
        <v>1</v>
      </c>
      <c r="F996" s="573"/>
      <c r="G996" s="487"/>
      <c r="H996" s="573">
        <v>3963719</v>
      </c>
      <c r="I996" s="487">
        <v>3712174</v>
      </c>
      <c r="J996" s="573"/>
      <c r="K996" s="487"/>
      <c r="L996" s="573"/>
      <c r="M996" s="573"/>
      <c r="N996" s="456">
        <f t="shared" si="129"/>
        <v>0</v>
      </c>
      <c r="O996" s="487"/>
      <c r="P996" s="487"/>
      <c r="Q996" s="274">
        <f t="shared" si="124"/>
        <v>0</v>
      </c>
      <c r="R996" s="574">
        <f t="shared" si="125"/>
        <v>3963719</v>
      </c>
      <c r="S996" s="275">
        <f t="shared" si="126"/>
        <v>3712174</v>
      </c>
      <c r="T996" s="575"/>
      <c r="U996" s="487"/>
      <c r="V996" s="576"/>
      <c r="W996" s="573"/>
      <c r="X996" s="574">
        <f t="shared" si="130"/>
        <v>0</v>
      </c>
      <c r="Y996" s="487"/>
      <c r="Z996" s="487"/>
      <c r="AA996" s="276">
        <f t="shared" si="131"/>
        <v>0</v>
      </c>
      <c r="AB996" s="573"/>
      <c r="AC996" s="487"/>
      <c r="AD996" s="573"/>
      <c r="AE996" s="487"/>
      <c r="AF996" s="577">
        <f t="shared" si="127"/>
        <v>3963719</v>
      </c>
      <c r="AG996" s="275">
        <f t="shared" si="128"/>
        <v>3712174</v>
      </c>
    </row>
    <row r="997" spans="1:33" s="578" customFormat="1" ht="12" customHeight="1">
      <c r="A997" s="646" t="s">
        <v>1272</v>
      </c>
      <c r="B997" s="646" t="s">
        <v>1776</v>
      </c>
      <c r="C997" s="647" t="s">
        <v>291</v>
      </c>
      <c r="D997" s="648">
        <v>139755</v>
      </c>
      <c r="E997" s="649">
        <v>2</v>
      </c>
      <c r="F997" s="573">
        <v>243569467</v>
      </c>
      <c r="G997" s="487">
        <v>240221884</v>
      </c>
      <c r="H997" s="573"/>
      <c r="I997" s="487"/>
      <c r="J997" s="573"/>
      <c r="K997" s="487"/>
      <c r="L997" s="573">
        <v>155714494</v>
      </c>
      <c r="M997" s="573"/>
      <c r="N997" s="456">
        <f t="shared" si="129"/>
        <v>155714494</v>
      </c>
      <c r="O997" s="487">
        <v>172742220</v>
      </c>
      <c r="P997" s="487"/>
      <c r="Q997" s="274">
        <f t="shared" si="124"/>
        <v>172742220</v>
      </c>
      <c r="R997" s="574">
        <f t="shared" si="125"/>
        <v>399283961</v>
      </c>
      <c r="S997" s="275">
        <f t="shared" si="126"/>
        <v>412964104</v>
      </c>
      <c r="T997" s="575"/>
      <c r="U997" s="487"/>
      <c r="V997" s="576"/>
      <c r="W997" s="573"/>
      <c r="X997" s="574">
        <f t="shared" si="130"/>
        <v>0</v>
      </c>
      <c r="Y997" s="487"/>
      <c r="Z997" s="487"/>
      <c r="AA997" s="276">
        <f t="shared" si="131"/>
        <v>0</v>
      </c>
      <c r="AB997" s="573"/>
      <c r="AC997" s="487"/>
      <c r="AD997" s="573"/>
      <c r="AE997" s="487"/>
      <c r="AF997" s="577">
        <f t="shared" si="127"/>
        <v>399283961</v>
      </c>
      <c r="AG997" s="275">
        <f t="shared" si="128"/>
        <v>412964104</v>
      </c>
    </row>
    <row r="998" spans="1:33" s="578" customFormat="1" ht="12" customHeight="1">
      <c r="A998" s="646" t="s">
        <v>1272</v>
      </c>
      <c r="B998" s="646" t="s">
        <v>1778</v>
      </c>
      <c r="C998" s="305" t="s">
        <v>959</v>
      </c>
      <c r="D998" s="648">
        <v>139755</v>
      </c>
      <c r="E998" s="649">
        <v>2</v>
      </c>
      <c r="F998" s="573"/>
      <c r="G998" s="487"/>
      <c r="H998" s="573"/>
      <c r="I998" s="487"/>
      <c r="J998" s="573"/>
      <c r="K998" s="487"/>
      <c r="L998" s="573"/>
      <c r="M998" s="573"/>
      <c r="N998" s="456">
        <f t="shared" si="129"/>
        <v>0</v>
      </c>
      <c r="O998" s="487"/>
      <c r="P998" s="487"/>
      <c r="Q998" s="274">
        <f t="shared" si="124"/>
        <v>0</v>
      </c>
      <c r="R998" s="574">
        <f t="shared" si="125"/>
        <v>0</v>
      </c>
      <c r="S998" s="275">
        <f t="shared" si="126"/>
        <v>0</v>
      </c>
      <c r="T998" s="575"/>
      <c r="U998" s="487"/>
      <c r="V998" s="576"/>
      <c r="W998" s="573"/>
      <c r="X998" s="574">
        <f t="shared" si="130"/>
        <v>0</v>
      </c>
      <c r="Y998" s="487"/>
      <c r="Z998" s="487"/>
      <c r="AA998" s="276">
        <f t="shared" si="131"/>
        <v>0</v>
      </c>
      <c r="AB998" s="573"/>
      <c r="AC998" s="487"/>
      <c r="AD998" s="573"/>
      <c r="AE998" s="487"/>
      <c r="AF998" s="577">
        <f t="shared" si="127"/>
        <v>0</v>
      </c>
      <c r="AG998" s="275">
        <f t="shared" si="128"/>
        <v>0</v>
      </c>
    </row>
    <row r="999" spans="1:33" s="578" customFormat="1" ht="12" customHeight="1">
      <c r="A999" s="646" t="s">
        <v>1272</v>
      </c>
      <c r="B999" s="646" t="s">
        <v>1778</v>
      </c>
      <c r="C999" s="652" t="s">
        <v>292</v>
      </c>
      <c r="D999" s="648">
        <v>139755</v>
      </c>
      <c r="E999" s="649">
        <v>2</v>
      </c>
      <c r="F999" s="573"/>
      <c r="G999" s="487"/>
      <c r="H999" s="573">
        <v>15099712</v>
      </c>
      <c r="I999" s="487">
        <v>11649536</v>
      </c>
      <c r="J999" s="573"/>
      <c r="K999" s="487"/>
      <c r="L999" s="573"/>
      <c r="M999" s="573"/>
      <c r="N999" s="456">
        <f t="shared" si="129"/>
        <v>0</v>
      </c>
      <c r="O999" s="487"/>
      <c r="P999" s="487"/>
      <c r="Q999" s="274">
        <f t="shared" si="124"/>
        <v>0</v>
      </c>
      <c r="R999" s="574">
        <f t="shared" si="125"/>
        <v>15099712</v>
      </c>
      <c r="S999" s="275">
        <f t="shared" si="126"/>
        <v>11649536</v>
      </c>
      <c r="T999" s="575"/>
      <c r="U999" s="487"/>
      <c r="V999" s="576"/>
      <c r="W999" s="573"/>
      <c r="X999" s="574">
        <f t="shared" si="130"/>
        <v>0</v>
      </c>
      <c r="Y999" s="487"/>
      <c r="Z999" s="487"/>
      <c r="AA999" s="276">
        <f t="shared" si="131"/>
        <v>0</v>
      </c>
      <c r="AB999" s="573"/>
      <c r="AC999" s="487"/>
      <c r="AD999" s="573"/>
      <c r="AE999" s="487"/>
      <c r="AF999" s="577">
        <f t="shared" si="127"/>
        <v>15099712</v>
      </c>
      <c r="AG999" s="275">
        <f t="shared" si="128"/>
        <v>11649536</v>
      </c>
    </row>
    <row r="1000" spans="1:33" s="578" customFormat="1" ht="12" customHeight="1">
      <c r="A1000" s="646" t="s">
        <v>1272</v>
      </c>
      <c r="B1000" s="646" t="s">
        <v>1778</v>
      </c>
      <c r="C1000" s="652" t="s">
        <v>293</v>
      </c>
      <c r="D1000" s="648">
        <v>139755</v>
      </c>
      <c r="E1000" s="649">
        <v>2</v>
      </c>
      <c r="F1000" s="573"/>
      <c r="G1000" s="487"/>
      <c r="H1000" s="573"/>
      <c r="I1000" s="487"/>
      <c r="J1000" s="573"/>
      <c r="K1000" s="487"/>
      <c r="L1000" s="573"/>
      <c r="M1000" s="573"/>
      <c r="N1000" s="456">
        <f t="shared" si="129"/>
        <v>0</v>
      </c>
      <c r="O1000" s="487"/>
      <c r="P1000" s="487"/>
      <c r="Q1000" s="274">
        <f t="shared" si="124"/>
        <v>0</v>
      </c>
      <c r="R1000" s="574">
        <f t="shared" si="125"/>
        <v>0</v>
      </c>
      <c r="S1000" s="275">
        <f t="shared" si="126"/>
        <v>0</v>
      </c>
      <c r="T1000" s="575"/>
      <c r="U1000" s="487"/>
      <c r="V1000" s="576"/>
      <c r="W1000" s="573"/>
      <c r="X1000" s="574">
        <f t="shared" si="130"/>
        <v>0</v>
      </c>
      <c r="Y1000" s="487"/>
      <c r="Z1000" s="487"/>
      <c r="AA1000" s="276">
        <f t="shared" si="131"/>
        <v>0</v>
      </c>
      <c r="AB1000" s="573"/>
      <c r="AC1000" s="487"/>
      <c r="AD1000" s="573"/>
      <c r="AE1000" s="487"/>
      <c r="AF1000" s="577">
        <f t="shared" si="127"/>
        <v>0</v>
      </c>
      <c r="AG1000" s="275">
        <f t="shared" si="128"/>
        <v>0</v>
      </c>
    </row>
    <row r="1001" spans="1:33" s="578" customFormat="1" ht="12" customHeight="1">
      <c r="A1001" s="646" t="s">
        <v>1272</v>
      </c>
      <c r="B1001" s="646" t="s">
        <v>1783</v>
      </c>
      <c r="C1001" s="306" t="s">
        <v>286</v>
      </c>
      <c r="D1001" s="648">
        <v>139755</v>
      </c>
      <c r="E1001" s="649">
        <v>2</v>
      </c>
      <c r="F1001" s="573"/>
      <c r="G1001" s="487"/>
      <c r="H1001" s="573"/>
      <c r="I1001" s="487"/>
      <c r="J1001" s="573"/>
      <c r="K1001" s="487"/>
      <c r="L1001" s="573"/>
      <c r="M1001" s="573"/>
      <c r="N1001" s="456">
        <f t="shared" si="129"/>
        <v>0</v>
      </c>
      <c r="O1001" s="487"/>
      <c r="P1001" s="487"/>
      <c r="Q1001" s="274">
        <f t="shared" si="124"/>
        <v>0</v>
      </c>
      <c r="R1001" s="574">
        <f t="shared" si="125"/>
        <v>0</v>
      </c>
      <c r="S1001" s="275">
        <f t="shared" si="126"/>
        <v>0</v>
      </c>
      <c r="T1001" s="575"/>
      <c r="U1001" s="487"/>
      <c r="V1001" s="576"/>
      <c r="W1001" s="573"/>
      <c r="X1001" s="574">
        <f t="shared" si="130"/>
        <v>0</v>
      </c>
      <c r="Y1001" s="487"/>
      <c r="Z1001" s="487"/>
      <c r="AA1001" s="276">
        <f t="shared" si="131"/>
        <v>0</v>
      </c>
      <c r="AB1001" s="573"/>
      <c r="AC1001" s="487"/>
      <c r="AD1001" s="573"/>
      <c r="AE1001" s="487"/>
      <c r="AF1001" s="577">
        <f t="shared" si="127"/>
        <v>0</v>
      </c>
      <c r="AG1001" s="275">
        <f t="shared" si="128"/>
        <v>0</v>
      </c>
    </row>
    <row r="1002" spans="1:33" s="578" customFormat="1" ht="12" customHeight="1">
      <c r="A1002" s="646" t="s">
        <v>1272</v>
      </c>
      <c r="B1002" s="646" t="s">
        <v>1783</v>
      </c>
      <c r="C1002" s="652" t="s">
        <v>294</v>
      </c>
      <c r="D1002" s="648">
        <v>139755</v>
      </c>
      <c r="E1002" s="649">
        <v>2</v>
      </c>
      <c r="F1002" s="573"/>
      <c r="G1002" s="487"/>
      <c r="H1002" s="573">
        <v>1879807</v>
      </c>
      <c r="I1002" s="487">
        <v>1837103</v>
      </c>
      <c r="J1002" s="573"/>
      <c r="K1002" s="487"/>
      <c r="L1002" s="573"/>
      <c r="M1002" s="573"/>
      <c r="N1002" s="456">
        <f t="shared" si="129"/>
        <v>0</v>
      </c>
      <c r="O1002" s="487"/>
      <c r="P1002" s="487"/>
      <c r="Q1002" s="274">
        <f t="shared" si="124"/>
        <v>0</v>
      </c>
      <c r="R1002" s="574">
        <f t="shared" si="125"/>
        <v>1879807</v>
      </c>
      <c r="S1002" s="275">
        <f t="shared" si="126"/>
        <v>1837103</v>
      </c>
      <c r="T1002" s="575"/>
      <c r="U1002" s="487"/>
      <c r="V1002" s="576"/>
      <c r="W1002" s="573"/>
      <c r="X1002" s="574">
        <f t="shared" si="130"/>
        <v>0</v>
      </c>
      <c r="Y1002" s="487"/>
      <c r="Z1002" s="487"/>
      <c r="AA1002" s="276">
        <f t="shared" si="131"/>
        <v>0</v>
      </c>
      <c r="AB1002" s="573"/>
      <c r="AC1002" s="487"/>
      <c r="AD1002" s="573"/>
      <c r="AE1002" s="487"/>
      <c r="AF1002" s="577">
        <f t="shared" si="127"/>
        <v>1879807</v>
      </c>
      <c r="AG1002" s="275">
        <f t="shared" si="128"/>
        <v>1837103</v>
      </c>
    </row>
    <row r="1003" spans="1:33" s="578" customFormat="1" ht="12" customHeight="1">
      <c r="A1003" s="646" t="s">
        <v>1272</v>
      </c>
      <c r="B1003" s="646" t="s">
        <v>1782</v>
      </c>
      <c r="C1003" s="306" t="s">
        <v>295</v>
      </c>
      <c r="D1003" s="648">
        <v>139755</v>
      </c>
      <c r="E1003" s="649">
        <v>2</v>
      </c>
      <c r="F1003" s="573"/>
      <c r="G1003" s="487"/>
      <c r="H1003" s="573">
        <v>5988620</v>
      </c>
      <c r="I1003" s="487">
        <v>5441105</v>
      </c>
      <c r="J1003" s="573"/>
      <c r="K1003" s="487"/>
      <c r="L1003" s="573"/>
      <c r="M1003" s="573"/>
      <c r="N1003" s="456">
        <f t="shared" si="129"/>
        <v>0</v>
      </c>
      <c r="O1003" s="487"/>
      <c r="P1003" s="487"/>
      <c r="Q1003" s="274">
        <f t="shared" si="124"/>
        <v>0</v>
      </c>
      <c r="R1003" s="574">
        <f t="shared" si="125"/>
        <v>5988620</v>
      </c>
      <c r="S1003" s="275">
        <f t="shared" si="126"/>
        <v>5441105</v>
      </c>
      <c r="T1003" s="575"/>
      <c r="U1003" s="487"/>
      <c r="V1003" s="576"/>
      <c r="W1003" s="573"/>
      <c r="X1003" s="574">
        <f t="shared" si="130"/>
        <v>0</v>
      </c>
      <c r="Y1003" s="487"/>
      <c r="Z1003" s="487"/>
      <c r="AA1003" s="276">
        <f t="shared" si="131"/>
        <v>0</v>
      </c>
      <c r="AB1003" s="573"/>
      <c r="AC1003" s="487"/>
      <c r="AD1003" s="573"/>
      <c r="AE1003" s="487"/>
      <c r="AF1003" s="577">
        <f t="shared" si="127"/>
        <v>5988620</v>
      </c>
      <c r="AG1003" s="275">
        <f t="shared" si="128"/>
        <v>5441105</v>
      </c>
    </row>
    <row r="1004" spans="1:33" s="578" customFormat="1" ht="12" customHeight="1">
      <c r="A1004" s="646" t="s">
        <v>1272</v>
      </c>
      <c r="B1004" s="646" t="s">
        <v>1776</v>
      </c>
      <c r="C1004" s="647" t="s">
        <v>296</v>
      </c>
      <c r="D1004" s="648">
        <v>139931</v>
      </c>
      <c r="E1004" s="649">
        <v>3</v>
      </c>
      <c r="F1004" s="573">
        <v>92467660</v>
      </c>
      <c r="G1004" s="487">
        <v>89438502</v>
      </c>
      <c r="H1004" s="573"/>
      <c r="I1004" s="487"/>
      <c r="J1004" s="573"/>
      <c r="K1004" s="487"/>
      <c r="L1004" s="573">
        <v>52271181</v>
      </c>
      <c r="M1004" s="573"/>
      <c r="N1004" s="456">
        <f t="shared" si="129"/>
        <v>52271181</v>
      </c>
      <c r="O1004" s="487">
        <v>59701628</v>
      </c>
      <c r="P1004" s="487"/>
      <c r="Q1004" s="274">
        <f t="shared" si="124"/>
        <v>59701628</v>
      </c>
      <c r="R1004" s="574">
        <f t="shared" si="125"/>
        <v>144738841</v>
      </c>
      <c r="S1004" s="275">
        <f t="shared" si="126"/>
        <v>149140130</v>
      </c>
      <c r="T1004" s="575"/>
      <c r="U1004" s="487"/>
      <c r="V1004" s="576"/>
      <c r="W1004" s="573"/>
      <c r="X1004" s="574">
        <f t="shared" si="130"/>
        <v>0</v>
      </c>
      <c r="Y1004" s="487"/>
      <c r="Z1004" s="487"/>
      <c r="AA1004" s="276">
        <f t="shared" si="131"/>
        <v>0</v>
      </c>
      <c r="AB1004" s="573"/>
      <c r="AC1004" s="487"/>
      <c r="AD1004" s="573"/>
      <c r="AE1004" s="487"/>
      <c r="AF1004" s="577">
        <f t="shared" si="127"/>
        <v>144738841</v>
      </c>
      <c r="AG1004" s="275">
        <f t="shared" si="128"/>
        <v>149140130</v>
      </c>
    </row>
    <row r="1005" spans="1:33" s="578" customFormat="1" ht="12" customHeight="1">
      <c r="A1005" s="646" t="s">
        <v>1272</v>
      </c>
      <c r="B1005" s="646" t="s">
        <v>1776</v>
      </c>
      <c r="C1005" s="647" t="s">
        <v>297</v>
      </c>
      <c r="D1005" s="648">
        <v>141334</v>
      </c>
      <c r="E1005" s="649">
        <v>3</v>
      </c>
      <c r="F1005" s="573">
        <v>48519739</v>
      </c>
      <c r="G1005" s="487">
        <v>47456275</v>
      </c>
      <c r="H1005" s="573"/>
      <c r="I1005" s="487"/>
      <c r="J1005" s="573"/>
      <c r="K1005" s="487"/>
      <c r="L1005" s="573">
        <v>30454970</v>
      </c>
      <c r="M1005" s="573"/>
      <c r="N1005" s="456">
        <f t="shared" si="129"/>
        <v>30454970</v>
      </c>
      <c r="O1005" s="487">
        <v>36446875</v>
      </c>
      <c r="P1005" s="487"/>
      <c r="Q1005" s="274">
        <f t="shared" si="124"/>
        <v>36446875</v>
      </c>
      <c r="R1005" s="574">
        <f t="shared" si="125"/>
        <v>78974709</v>
      </c>
      <c r="S1005" s="275">
        <f t="shared" si="126"/>
        <v>83903150</v>
      </c>
      <c r="T1005" s="575"/>
      <c r="U1005" s="487"/>
      <c r="V1005" s="576"/>
      <c r="W1005" s="573"/>
      <c r="X1005" s="574">
        <f t="shared" si="130"/>
        <v>0</v>
      </c>
      <c r="Y1005" s="487"/>
      <c r="Z1005" s="487"/>
      <c r="AA1005" s="276">
        <f t="shared" si="131"/>
        <v>0</v>
      </c>
      <c r="AB1005" s="573"/>
      <c r="AC1005" s="487"/>
      <c r="AD1005" s="573"/>
      <c r="AE1005" s="487"/>
      <c r="AF1005" s="577">
        <f t="shared" si="127"/>
        <v>78974709</v>
      </c>
      <c r="AG1005" s="275">
        <f t="shared" si="128"/>
        <v>83903150</v>
      </c>
    </row>
    <row r="1006" spans="1:33" s="578" customFormat="1" ht="12" customHeight="1">
      <c r="A1006" s="646" t="s">
        <v>1272</v>
      </c>
      <c r="B1006" s="646" t="s">
        <v>1776</v>
      </c>
      <c r="C1006" s="647" t="s">
        <v>298</v>
      </c>
      <c r="D1006" s="648">
        <v>141264</v>
      </c>
      <c r="E1006" s="649">
        <v>3</v>
      </c>
      <c r="F1006" s="573">
        <v>53256111</v>
      </c>
      <c r="G1006" s="487">
        <v>51546902</v>
      </c>
      <c r="H1006" s="573"/>
      <c r="I1006" s="487"/>
      <c r="J1006" s="573"/>
      <c r="K1006" s="487"/>
      <c r="L1006" s="573">
        <v>32216809</v>
      </c>
      <c r="M1006" s="573"/>
      <c r="N1006" s="456">
        <f t="shared" si="129"/>
        <v>32216809</v>
      </c>
      <c r="O1006" s="487">
        <v>36093130</v>
      </c>
      <c r="P1006" s="487"/>
      <c r="Q1006" s="274">
        <f t="shared" si="124"/>
        <v>36093130</v>
      </c>
      <c r="R1006" s="574">
        <f t="shared" si="125"/>
        <v>85472920</v>
      </c>
      <c r="S1006" s="275">
        <f t="shared" si="126"/>
        <v>87640032</v>
      </c>
      <c r="T1006" s="575"/>
      <c r="U1006" s="487"/>
      <c r="V1006" s="576"/>
      <c r="W1006" s="573"/>
      <c r="X1006" s="574">
        <f t="shared" si="130"/>
        <v>0</v>
      </c>
      <c r="Y1006" s="487"/>
      <c r="Z1006" s="487"/>
      <c r="AA1006" s="276">
        <f t="shared" si="131"/>
        <v>0</v>
      </c>
      <c r="AB1006" s="573"/>
      <c r="AC1006" s="487"/>
      <c r="AD1006" s="573"/>
      <c r="AE1006" s="487"/>
      <c r="AF1006" s="577">
        <f t="shared" si="127"/>
        <v>85472920</v>
      </c>
      <c r="AG1006" s="275">
        <f t="shared" si="128"/>
        <v>87640032</v>
      </c>
    </row>
    <row r="1007" spans="1:33" s="578" customFormat="1" ht="12" customHeight="1">
      <c r="A1007" s="646" t="s">
        <v>1272</v>
      </c>
      <c r="B1007" s="646" t="s">
        <v>1776</v>
      </c>
      <c r="C1007" s="647" t="s">
        <v>299</v>
      </c>
      <c r="D1007" s="648">
        <v>138716</v>
      </c>
      <c r="E1007" s="649">
        <v>4</v>
      </c>
      <c r="F1007" s="573">
        <v>23283463</v>
      </c>
      <c r="G1007" s="487">
        <f>22220464-I1009</f>
        <v>22136730</v>
      </c>
      <c r="H1007" s="573"/>
      <c r="I1007" s="487"/>
      <c r="J1007" s="573"/>
      <c r="K1007" s="487"/>
      <c r="L1007" s="573">
        <v>12903331</v>
      </c>
      <c r="M1007" s="573"/>
      <c r="N1007" s="456">
        <f t="shared" si="129"/>
        <v>12903331</v>
      </c>
      <c r="O1007" s="487">
        <v>14195623</v>
      </c>
      <c r="P1007" s="487"/>
      <c r="Q1007" s="274">
        <f t="shared" si="124"/>
        <v>14195623</v>
      </c>
      <c r="R1007" s="574">
        <f t="shared" si="125"/>
        <v>36186794</v>
      </c>
      <c r="S1007" s="275">
        <f t="shared" si="126"/>
        <v>36332353</v>
      </c>
      <c r="T1007" s="575"/>
      <c r="U1007" s="487"/>
      <c r="V1007" s="576"/>
      <c r="W1007" s="573"/>
      <c r="X1007" s="574">
        <f t="shared" si="130"/>
        <v>0</v>
      </c>
      <c r="Y1007" s="487"/>
      <c r="Z1007" s="487"/>
      <c r="AA1007" s="276">
        <f t="shared" si="131"/>
        <v>0</v>
      </c>
      <c r="AB1007" s="573"/>
      <c r="AC1007" s="487"/>
      <c r="AD1007" s="573"/>
      <c r="AE1007" s="487"/>
      <c r="AF1007" s="577">
        <f t="shared" si="127"/>
        <v>36186794</v>
      </c>
      <c r="AG1007" s="275">
        <f t="shared" si="128"/>
        <v>36332353</v>
      </c>
    </row>
    <row r="1008" spans="1:33" s="578" customFormat="1" ht="12" customHeight="1">
      <c r="A1008" s="646" t="s">
        <v>1272</v>
      </c>
      <c r="B1008" s="646" t="s">
        <v>1778</v>
      </c>
      <c r="C1008" s="305" t="s">
        <v>959</v>
      </c>
      <c r="D1008" s="648">
        <v>138716</v>
      </c>
      <c r="E1008" s="649">
        <v>4</v>
      </c>
      <c r="F1008" s="573"/>
      <c r="G1008" s="487"/>
      <c r="H1008" s="573"/>
      <c r="I1008" s="487"/>
      <c r="J1008" s="573"/>
      <c r="K1008" s="487"/>
      <c r="L1008" s="573">
        <v>0</v>
      </c>
      <c r="M1008" s="573"/>
      <c r="N1008" s="456">
        <f t="shared" si="129"/>
        <v>0</v>
      </c>
      <c r="O1008" s="487"/>
      <c r="P1008" s="487"/>
      <c r="Q1008" s="274">
        <f t="shared" si="124"/>
        <v>0</v>
      </c>
      <c r="R1008" s="574">
        <f t="shared" si="125"/>
        <v>0</v>
      </c>
      <c r="S1008" s="275">
        <f t="shared" si="126"/>
        <v>0</v>
      </c>
      <c r="T1008" s="575"/>
      <c r="U1008" s="487"/>
      <c r="V1008" s="576"/>
      <c r="W1008" s="573"/>
      <c r="X1008" s="574">
        <f t="shared" si="130"/>
        <v>0</v>
      </c>
      <c r="Y1008" s="487"/>
      <c r="Z1008" s="487"/>
      <c r="AA1008" s="276">
        <f t="shared" si="131"/>
        <v>0</v>
      </c>
      <c r="AB1008" s="573"/>
      <c r="AC1008" s="487"/>
      <c r="AD1008" s="573"/>
      <c r="AE1008" s="487"/>
      <c r="AF1008" s="577">
        <f t="shared" si="127"/>
        <v>0</v>
      </c>
      <c r="AG1008" s="275">
        <f t="shared" si="128"/>
        <v>0</v>
      </c>
    </row>
    <row r="1009" spans="1:33" s="578" customFormat="1" ht="12" customHeight="1">
      <c r="A1009" s="646" t="s">
        <v>1272</v>
      </c>
      <c r="B1009" s="646" t="s">
        <v>1778</v>
      </c>
      <c r="C1009" s="651" t="s">
        <v>283</v>
      </c>
      <c r="D1009" s="648">
        <v>138716</v>
      </c>
      <c r="E1009" s="649">
        <v>4</v>
      </c>
      <c r="F1009" s="573"/>
      <c r="G1009" s="487"/>
      <c r="H1009" s="573">
        <v>91931</v>
      </c>
      <c r="I1009" s="487">
        <v>83734</v>
      </c>
      <c r="J1009" s="573"/>
      <c r="K1009" s="487"/>
      <c r="L1009" s="573">
        <v>0</v>
      </c>
      <c r="M1009" s="573"/>
      <c r="N1009" s="456">
        <f t="shared" si="129"/>
        <v>0</v>
      </c>
      <c r="O1009" s="487"/>
      <c r="P1009" s="487"/>
      <c r="Q1009" s="274">
        <f t="shared" si="124"/>
        <v>0</v>
      </c>
      <c r="R1009" s="574">
        <f t="shared" si="125"/>
        <v>91931</v>
      </c>
      <c r="S1009" s="275">
        <f t="shared" si="126"/>
        <v>83734</v>
      </c>
      <c r="T1009" s="575"/>
      <c r="U1009" s="487"/>
      <c r="V1009" s="576"/>
      <c r="W1009" s="573"/>
      <c r="X1009" s="574">
        <f t="shared" si="130"/>
        <v>0</v>
      </c>
      <c r="Y1009" s="487"/>
      <c r="Z1009" s="487"/>
      <c r="AA1009" s="276">
        <f t="shared" si="131"/>
        <v>0</v>
      </c>
      <c r="AB1009" s="573"/>
      <c r="AC1009" s="487"/>
      <c r="AD1009" s="573"/>
      <c r="AE1009" s="487"/>
      <c r="AF1009" s="577">
        <f t="shared" si="127"/>
        <v>91931</v>
      </c>
      <c r="AG1009" s="275">
        <f t="shared" si="128"/>
        <v>83734</v>
      </c>
    </row>
    <row r="1010" spans="1:33" s="578" customFormat="1" ht="12" customHeight="1">
      <c r="A1010" s="646" t="s">
        <v>1272</v>
      </c>
      <c r="B1010" s="646" t="s">
        <v>1776</v>
      </c>
      <c r="C1010" s="650" t="s">
        <v>300</v>
      </c>
      <c r="D1010" s="648">
        <v>138789</v>
      </c>
      <c r="E1010" s="649">
        <v>4</v>
      </c>
      <c r="F1010" s="573">
        <v>34208507</v>
      </c>
      <c r="G1010" s="487">
        <v>32082607</v>
      </c>
      <c r="H1010" s="573"/>
      <c r="I1010" s="487"/>
      <c r="J1010" s="573"/>
      <c r="K1010" s="487"/>
      <c r="L1010" s="573">
        <v>18746600</v>
      </c>
      <c r="M1010" s="573"/>
      <c r="N1010" s="456">
        <f t="shared" si="129"/>
        <v>18746600</v>
      </c>
      <c r="O1010" s="487">
        <v>21342410</v>
      </c>
      <c r="P1010" s="487"/>
      <c r="Q1010" s="274">
        <f t="shared" si="124"/>
        <v>21342410</v>
      </c>
      <c r="R1010" s="574">
        <f t="shared" si="125"/>
        <v>52955107</v>
      </c>
      <c r="S1010" s="275">
        <f t="shared" si="126"/>
        <v>53425017</v>
      </c>
      <c r="T1010" s="575"/>
      <c r="U1010" s="487"/>
      <c r="V1010" s="576"/>
      <c r="W1010" s="573"/>
      <c r="X1010" s="574">
        <f t="shared" si="130"/>
        <v>0</v>
      </c>
      <c r="Y1010" s="487"/>
      <c r="Z1010" s="487"/>
      <c r="AA1010" s="276">
        <f t="shared" si="131"/>
        <v>0</v>
      </c>
      <c r="AB1010" s="573"/>
      <c r="AC1010" s="487"/>
      <c r="AD1010" s="573"/>
      <c r="AE1010" s="487"/>
      <c r="AF1010" s="577">
        <f t="shared" si="127"/>
        <v>52955107</v>
      </c>
      <c r="AG1010" s="275">
        <f t="shared" si="128"/>
        <v>53425017</v>
      </c>
    </row>
    <row r="1011" spans="1:33" s="578" customFormat="1" ht="12" customHeight="1">
      <c r="A1011" s="646" t="s">
        <v>1272</v>
      </c>
      <c r="B1011" s="646" t="s">
        <v>1776</v>
      </c>
      <c r="C1011" s="647" t="s">
        <v>301</v>
      </c>
      <c r="D1011" s="648">
        <v>139366</v>
      </c>
      <c r="E1011" s="649">
        <v>4</v>
      </c>
      <c r="F1011" s="573">
        <v>38257310</v>
      </c>
      <c r="G1011" s="487">
        <v>36191868</v>
      </c>
      <c r="H1011" s="573"/>
      <c r="I1011" s="487"/>
      <c r="J1011" s="573"/>
      <c r="K1011" s="487"/>
      <c r="L1011" s="573">
        <v>20665744</v>
      </c>
      <c r="M1011" s="573"/>
      <c r="N1011" s="456">
        <f t="shared" si="129"/>
        <v>20665744</v>
      </c>
      <c r="O1011" s="487">
        <v>23080279</v>
      </c>
      <c r="P1011" s="487"/>
      <c r="Q1011" s="274">
        <f t="shared" si="124"/>
        <v>23080279</v>
      </c>
      <c r="R1011" s="574">
        <f t="shared" si="125"/>
        <v>58923054</v>
      </c>
      <c r="S1011" s="275">
        <f t="shared" si="126"/>
        <v>59272147</v>
      </c>
      <c r="T1011" s="575"/>
      <c r="U1011" s="487"/>
      <c r="V1011" s="576"/>
      <c r="W1011" s="573"/>
      <c r="X1011" s="574">
        <f t="shared" si="130"/>
        <v>0</v>
      </c>
      <c r="Y1011" s="487"/>
      <c r="Z1011" s="487"/>
      <c r="AA1011" s="276">
        <f t="shared" si="131"/>
        <v>0</v>
      </c>
      <c r="AB1011" s="573"/>
      <c r="AC1011" s="487"/>
      <c r="AD1011" s="573"/>
      <c r="AE1011" s="487"/>
      <c r="AF1011" s="577">
        <f t="shared" si="127"/>
        <v>58923054</v>
      </c>
      <c r="AG1011" s="275">
        <f t="shared" si="128"/>
        <v>59272147</v>
      </c>
    </row>
    <row r="1012" spans="1:33" s="578" customFormat="1" ht="12" customHeight="1">
      <c r="A1012" s="646" t="s">
        <v>1272</v>
      </c>
      <c r="B1012" s="646" t="s">
        <v>1776</v>
      </c>
      <c r="C1012" s="650" t="s">
        <v>302</v>
      </c>
      <c r="D1012" s="648">
        <v>139861</v>
      </c>
      <c r="E1012" s="649">
        <v>4</v>
      </c>
      <c r="F1012" s="573">
        <v>33090194</v>
      </c>
      <c r="G1012" s="487">
        <v>32746262</v>
      </c>
      <c r="H1012" s="573"/>
      <c r="I1012" s="487"/>
      <c r="J1012" s="573"/>
      <c r="K1012" s="487"/>
      <c r="L1012" s="573">
        <v>25441023</v>
      </c>
      <c r="M1012" s="573"/>
      <c r="N1012" s="456">
        <f t="shared" si="129"/>
        <v>25441023</v>
      </c>
      <c r="O1012" s="487">
        <v>27995250</v>
      </c>
      <c r="P1012" s="487"/>
      <c r="Q1012" s="274">
        <f t="shared" si="124"/>
        <v>27995250</v>
      </c>
      <c r="R1012" s="574">
        <f t="shared" si="125"/>
        <v>58531217</v>
      </c>
      <c r="S1012" s="275">
        <f t="shared" si="126"/>
        <v>60741512</v>
      </c>
      <c r="T1012" s="575"/>
      <c r="U1012" s="487"/>
      <c r="V1012" s="576"/>
      <c r="W1012" s="573"/>
      <c r="X1012" s="574">
        <f t="shared" si="130"/>
        <v>0</v>
      </c>
      <c r="Y1012" s="487"/>
      <c r="Z1012" s="487"/>
      <c r="AA1012" s="276">
        <f t="shared" si="131"/>
        <v>0</v>
      </c>
      <c r="AB1012" s="573"/>
      <c r="AC1012" s="487"/>
      <c r="AD1012" s="573"/>
      <c r="AE1012" s="487"/>
      <c r="AF1012" s="577">
        <f t="shared" si="127"/>
        <v>58531217</v>
      </c>
      <c r="AG1012" s="275">
        <f t="shared" si="128"/>
        <v>60741512</v>
      </c>
    </row>
    <row r="1013" spans="1:33" s="578" customFormat="1" ht="12" customHeight="1">
      <c r="A1013" s="646" t="s">
        <v>1272</v>
      </c>
      <c r="B1013" s="646" t="s">
        <v>1776</v>
      </c>
      <c r="C1013" s="650" t="s">
        <v>303</v>
      </c>
      <c r="D1013" s="648">
        <v>140164</v>
      </c>
      <c r="E1013" s="649">
        <v>4</v>
      </c>
      <c r="F1013" s="573">
        <v>82030291</v>
      </c>
      <c r="G1013" s="487">
        <v>82331260</v>
      </c>
      <c r="H1013" s="573"/>
      <c r="I1013" s="487"/>
      <c r="J1013" s="573"/>
      <c r="K1013" s="487"/>
      <c r="L1013" s="573">
        <v>63784272</v>
      </c>
      <c r="M1013" s="573"/>
      <c r="N1013" s="456">
        <f t="shared" si="129"/>
        <v>63784272</v>
      </c>
      <c r="O1013" s="487">
        <v>75107249</v>
      </c>
      <c r="P1013" s="487"/>
      <c r="Q1013" s="274">
        <f t="shared" si="124"/>
        <v>75107249</v>
      </c>
      <c r="R1013" s="574">
        <f t="shared" si="125"/>
        <v>145814563</v>
      </c>
      <c r="S1013" s="275">
        <f t="shared" si="126"/>
        <v>157438509</v>
      </c>
      <c r="T1013" s="575"/>
      <c r="U1013" s="487"/>
      <c r="V1013" s="576"/>
      <c r="W1013" s="573"/>
      <c r="X1013" s="574">
        <f t="shared" si="130"/>
        <v>0</v>
      </c>
      <c r="Y1013" s="487"/>
      <c r="Z1013" s="487"/>
      <c r="AA1013" s="276">
        <f t="shared" si="131"/>
        <v>0</v>
      </c>
      <c r="AB1013" s="573"/>
      <c r="AC1013" s="487"/>
      <c r="AD1013" s="573"/>
      <c r="AE1013" s="487"/>
      <c r="AF1013" s="577">
        <f t="shared" si="127"/>
        <v>145814563</v>
      </c>
      <c r="AG1013" s="275">
        <f t="shared" si="128"/>
        <v>157438509</v>
      </c>
    </row>
    <row r="1014" spans="1:33" s="578" customFormat="1" ht="12" customHeight="1">
      <c r="A1014" s="646" t="s">
        <v>1272</v>
      </c>
      <c r="B1014" s="646" t="s">
        <v>1776</v>
      </c>
      <c r="C1014" s="647" t="s">
        <v>304</v>
      </c>
      <c r="D1014" s="648">
        <v>138983</v>
      </c>
      <c r="E1014" s="649">
        <v>5</v>
      </c>
      <c r="F1014" s="573">
        <v>28795064</v>
      </c>
      <c r="G1014" s="487">
        <f>28066980-I1016</f>
        <v>27927423</v>
      </c>
      <c r="H1014" s="573"/>
      <c r="I1014" s="487"/>
      <c r="J1014" s="573"/>
      <c r="K1014" s="487"/>
      <c r="L1014" s="573">
        <v>17734790</v>
      </c>
      <c r="M1014" s="573"/>
      <c r="N1014" s="456">
        <f t="shared" si="129"/>
        <v>17734790</v>
      </c>
      <c r="O1014" s="487">
        <v>19294988</v>
      </c>
      <c r="P1014" s="487"/>
      <c r="Q1014" s="274">
        <f t="shared" si="124"/>
        <v>19294988</v>
      </c>
      <c r="R1014" s="574">
        <f t="shared" si="125"/>
        <v>46529854</v>
      </c>
      <c r="S1014" s="275">
        <f t="shared" si="126"/>
        <v>47222411</v>
      </c>
      <c r="T1014" s="575"/>
      <c r="U1014" s="487"/>
      <c r="V1014" s="576"/>
      <c r="W1014" s="573"/>
      <c r="X1014" s="574">
        <f t="shared" si="130"/>
        <v>0</v>
      </c>
      <c r="Y1014" s="487"/>
      <c r="Z1014" s="487"/>
      <c r="AA1014" s="276">
        <f t="shared" si="131"/>
        <v>0</v>
      </c>
      <c r="AB1014" s="573"/>
      <c r="AC1014" s="487"/>
      <c r="AD1014" s="573"/>
      <c r="AE1014" s="487"/>
      <c r="AF1014" s="577">
        <f t="shared" si="127"/>
        <v>46529854</v>
      </c>
      <c r="AG1014" s="275">
        <f t="shared" si="128"/>
        <v>47222411</v>
      </c>
    </row>
    <row r="1015" spans="1:33" s="578" customFormat="1" ht="12" customHeight="1">
      <c r="A1015" s="646" t="s">
        <v>1272</v>
      </c>
      <c r="B1015" s="646" t="s">
        <v>1778</v>
      </c>
      <c r="C1015" s="305" t="s">
        <v>959</v>
      </c>
      <c r="D1015" s="648">
        <v>138983</v>
      </c>
      <c r="E1015" s="649">
        <v>5</v>
      </c>
      <c r="F1015" s="573"/>
      <c r="G1015" s="487"/>
      <c r="H1015" s="573"/>
      <c r="I1015" s="487"/>
      <c r="J1015" s="573"/>
      <c r="K1015" s="487"/>
      <c r="L1015" s="573"/>
      <c r="M1015" s="573"/>
      <c r="N1015" s="456">
        <f t="shared" si="129"/>
        <v>0</v>
      </c>
      <c r="O1015" s="487"/>
      <c r="P1015" s="487"/>
      <c r="Q1015" s="274">
        <f t="shared" si="124"/>
        <v>0</v>
      </c>
      <c r="R1015" s="574">
        <f t="shared" si="125"/>
        <v>0</v>
      </c>
      <c r="S1015" s="275">
        <f t="shared" si="126"/>
        <v>0</v>
      </c>
      <c r="T1015" s="575"/>
      <c r="U1015" s="487"/>
      <c r="V1015" s="576"/>
      <c r="W1015" s="573"/>
      <c r="X1015" s="574">
        <f t="shared" si="130"/>
        <v>0</v>
      </c>
      <c r="Y1015" s="487"/>
      <c r="Z1015" s="487"/>
      <c r="AA1015" s="276">
        <f t="shared" si="131"/>
        <v>0</v>
      </c>
      <c r="AB1015" s="573"/>
      <c r="AC1015" s="487"/>
      <c r="AD1015" s="573"/>
      <c r="AE1015" s="487"/>
      <c r="AF1015" s="577">
        <f t="shared" si="127"/>
        <v>0</v>
      </c>
      <c r="AG1015" s="275">
        <f t="shared" si="128"/>
        <v>0</v>
      </c>
    </row>
    <row r="1016" spans="1:33" s="578" customFormat="1" ht="12" customHeight="1">
      <c r="A1016" s="646" t="s">
        <v>1272</v>
      </c>
      <c r="B1016" s="646" t="s">
        <v>1778</v>
      </c>
      <c r="C1016" s="651" t="s">
        <v>283</v>
      </c>
      <c r="D1016" s="648">
        <v>138983</v>
      </c>
      <c r="E1016" s="649">
        <v>5</v>
      </c>
      <c r="F1016" s="573"/>
      <c r="G1016" s="487"/>
      <c r="H1016" s="573">
        <v>153218</v>
      </c>
      <c r="I1016" s="487">
        <v>139557</v>
      </c>
      <c r="J1016" s="573"/>
      <c r="K1016" s="487"/>
      <c r="L1016" s="573"/>
      <c r="M1016" s="573"/>
      <c r="N1016" s="456">
        <f t="shared" si="129"/>
        <v>0</v>
      </c>
      <c r="O1016" s="487"/>
      <c r="P1016" s="487"/>
      <c r="Q1016" s="274">
        <f t="shared" si="124"/>
        <v>0</v>
      </c>
      <c r="R1016" s="574">
        <f t="shared" si="125"/>
        <v>153218</v>
      </c>
      <c r="S1016" s="275">
        <f t="shared" si="126"/>
        <v>139557</v>
      </c>
      <c r="T1016" s="575"/>
      <c r="U1016" s="487"/>
      <c r="V1016" s="576"/>
      <c r="W1016" s="573"/>
      <c r="X1016" s="574">
        <f t="shared" si="130"/>
        <v>0</v>
      </c>
      <c r="Y1016" s="487"/>
      <c r="Z1016" s="487"/>
      <c r="AA1016" s="276">
        <f t="shared" si="131"/>
        <v>0</v>
      </c>
      <c r="AB1016" s="573"/>
      <c r="AC1016" s="487"/>
      <c r="AD1016" s="573"/>
      <c r="AE1016" s="487"/>
      <c r="AF1016" s="577">
        <f t="shared" si="127"/>
        <v>153218</v>
      </c>
      <c r="AG1016" s="275">
        <f t="shared" si="128"/>
        <v>139557</v>
      </c>
    </row>
    <row r="1017" spans="1:33" s="578" customFormat="1" ht="12" customHeight="1">
      <c r="A1017" s="646" t="s">
        <v>1272</v>
      </c>
      <c r="B1017" s="646" t="s">
        <v>1776</v>
      </c>
      <c r="C1017" s="647" t="s">
        <v>305</v>
      </c>
      <c r="D1017" s="648">
        <v>139719</v>
      </c>
      <c r="E1017" s="649">
        <v>5</v>
      </c>
      <c r="F1017" s="573">
        <v>22787393</v>
      </c>
      <c r="G1017" s="487">
        <v>21917414</v>
      </c>
      <c r="H1017" s="573"/>
      <c r="I1017" s="487"/>
      <c r="J1017" s="573"/>
      <c r="K1017" s="487"/>
      <c r="L1017" s="573">
        <v>8521473</v>
      </c>
      <c r="M1017" s="573"/>
      <c r="N1017" s="456">
        <f t="shared" si="129"/>
        <v>8521473</v>
      </c>
      <c r="O1017" s="487">
        <v>9984310</v>
      </c>
      <c r="P1017" s="487"/>
      <c r="Q1017" s="274">
        <f t="shared" si="124"/>
        <v>9984310</v>
      </c>
      <c r="R1017" s="574">
        <f t="shared" si="125"/>
        <v>31308866</v>
      </c>
      <c r="S1017" s="275">
        <f t="shared" si="126"/>
        <v>31901724</v>
      </c>
      <c r="T1017" s="575"/>
      <c r="U1017" s="487"/>
      <c r="V1017" s="576"/>
      <c r="W1017" s="573"/>
      <c r="X1017" s="574">
        <f t="shared" si="130"/>
        <v>0</v>
      </c>
      <c r="Y1017" s="487"/>
      <c r="Z1017" s="487"/>
      <c r="AA1017" s="276">
        <f t="shared" si="131"/>
        <v>0</v>
      </c>
      <c r="AB1017" s="573"/>
      <c r="AC1017" s="487"/>
      <c r="AD1017" s="573"/>
      <c r="AE1017" s="487"/>
      <c r="AF1017" s="577">
        <f t="shared" si="127"/>
        <v>31308866</v>
      </c>
      <c r="AG1017" s="275">
        <f t="shared" si="128"/>
        <v>31901724</v>
      </c>
    </row>
    <row r="1018" spans="1:33" s="578" customFormat="1" ht="12" customHeight="1">
      <c r="A1018" s="646" t="s">
        <v>1272</v>
      </c>
      <c r="B1018" s="646" t="s">
        <v>1776</v>
      </c>
      <c r="C1018" s="647" t="s">
        <v>306</v>
      </c>
      <c r="D1018" s="648">
        <v>139764</v>
      </c>
      <c r="E1018" s="649">
        <v>5</v>
      </c>
      <c r="F1018" s="573">
        <v>14336828</v>
      </c>
      <c r="G1018" s="487">
        <v>12593886</v>
      </c>
      <c r="H1018" s="573"/>
      <c r="I1018" s="487"/>
      <c r="J1018" s="573"/>
      <c r="K1018" s="487"/>
      <c r="L1018" s="573">
        <v>7063917</v>
      </c>
      <c r="M1018" s="573"/>
      <c r="N1018" s="456">
        <f t="shared" si="129"/>
        <v>7063917</v>
      </c>
      <c r="O1018" s="487">
        <v>8426653</v>
      </c>
      <c r="P1018" s="487"/>
      <c r="Q1018" s="274">
        <f t="shared" si="124"/>
        <v>8426653</v>
      </c>
      <c r="R1018" s="574">
        <f t="shared" si="125"/>
        <v>21400745</v>
      </c>
      <c r="S1018" s="275">
        <f t="shared" si="126"/>
        <v>21020539</v>
      </c>
      <c r="T1018" s="575"/>
      <c r="U1018" s="487"/>
      <c r="V1018" s="576"/>
      <c r="W1018" s="573"/>
      <c r="X1018" s="574">
        <f t="shared" si="130"/>
        <v>0</v>
      </c>
      <c r="Y1018" s="487"/>
      <c r="Z1018" s="487"/>
      <c r="AA1018" s="276">
        <f t="shared" si="131"/>
        <v>0</v>
      </c>
      <c r="AB1018" s="573"/>
      <c r="AC1018" s="487"/>
      <c r="AD1018" s="573"/>
      <c r="AE1018" s="487"/>
      <c r="AF1018" s="577">
        <f t="shared" si="127"/>
        <v>21400745</v>
      </c>
      <c r="AG1018" s="275">
        <f t="shared" si="128"/>
        <v>21020539</v>
      </c>
    </row>
    <row r="1019" spans="1:33" s="578" customFormat="1" ht="12" customHeight="1">
      <c r="A1019" s="646" t="s">
        <v>1272</v>
      </c>
      <c r="B1019" s="646" t="s">
        <v>1776</v>
      </c>
      <c r="C1019" s="647" t="s">
        <v>307</v>
      </c>
      <c r="D1019" s="648">
        <v>140669</v>
      </c>
      <c r="E1019" s="649">
        <v>5</v>
      </c>
      <c r="F1019" s="573">
        <v>26805645</v>
      </c>
      <c r="G1019" s="487">
        <v>25405960</v>
      </c>
      <c r="H1019" s="573"/>
      <c r="I1019" s="487"/>
      <c r="J1019" s="573"/>
      <c r="K1019" s="487"/>
      <c r="L1019" s="573">
        <v>14856700</v>
      </c>
      <c r="M1019" s="573"/>
      <c r="N1019" s="456">
        <f t="shared" si="129"/>
        <v>14856700</v>
      </c>
      <c r="O1019" s="487">
        <v>15925599</v>
      </c>
      <c r="P1019" s="487"/>
      <c r="Q1019" s="274">
        <f t="shared" si="124"/>
        <v>15925599</v>
      </c>
      <c r="R1019" s="574">
        <f t="shared" si="125"/>
        <v>41662345</v>
      </c>
      <c r="S1019" s="275">
        <f t="shared" si="126"/>
        <v>41331559</v>
      </c>
      <c r="T1019" s="575"/>
      <c r="U1019" s="487"/>
      <c r="V1019" s="576"/>
      <c r="W1019" s="573"/>
      <c r="X1019" s="574">
        <f t="shared" si="130"/>
        <v>0</v>
      </c>
      <c r="Y1019" s="487"/>
      <c r="Z1019" s="487"/>
      <c r="AA1019" s="276">
        <f t="shared" si="131"/>
        <v>0</v>
      </c>
      <c r="AB1019" s="573"/>
      <c r="AC1019" s="487"/>
      <c r="AD1019" s="573"/>
      <c r="AE1019" s="487"/>
      <c r="AF1019" s="577">
        <f t="shared" si="127"/>
        <v>41662345</v>
      </c>
      <c r="AG1019" s="275">
        <f t="shared" si="128"/>
        <v>41331559</v>
      </c>
    </row>
    <row r="1020" spans="1:33" s="578" customFormat="1" ht="12" customHeight="1">
      <c r="A1020" s="646" t="s">
        <v>1272</v>
      </c>
      <c r="B1020" s="646" t="s">
        <v>1776</v>
      </c>
      <c r="C1020" s="647" t="s">
        <v>308</v>
      </c>
      <c r="D1020" s="648">
        <v>140960</v>
      </c>
      <c r="E1020" s="649">
        <v>5</v>
      </c>
      <c r="F1020" s="573">
        <v>19262450</v>
      </c>
      <c r="G1020" s="487">
        <v>19377450</v>
      </c>
      <c r="H1020" s="573"/>
      <c r="I1020" s="487"/>
      <c r="J1020" s="573"/>
      <c r="K1020" s="487"/>
      <c r="L1020" s="573">
        <v>9949779</v>
      </c>
      <c r="M1020" s="573"/>
      <c r="N1020" s="456">
        <f t="shared" si="129"/>
        <v>9949779</v>
      </c>
      <c r="O1020" s="487">
        <v>11706898</v>
      </c>
      <c r="P1020" s="487"/>
      <c r="Q1020" s="274">
        <f t="shared" si="124"/>
        <v>11706898</v>
      </c>
      <c r="R1020" s="574">
        <f t="shared" si="125"/>
        <v>29212229</v>
      </c>
      <c r="S1020" s="275">
        <f t="shared" si="126"/>
        <v>31084348</v>
      </c>
      <c r="T1020" s="575"/>
      <c r="U1020" s="487"/>
      <c r="V1020" s="576"/>
      <c r="W1020" s="573"/>
      <c r="X1020" s="574">
        <f t="shared" si="130"/>
        <v>0</v>
      </c>
      <c r="Y1020" s="487"/>
      <c r="Z1020" s="487"/>
      <c r="AA1020" s="276">
        <f t="shared" si="131"/>
        <v>0</v>
      </c>
      <c r="AB1020" s="573"/>
      <c r="AC1020" s="487"/>
      <c r="AD1020" s="573"/>
      <c r="AE1020" s="487"/>
      <c r="AF1020" s="577">
        <f t="shared" si="127"/>
        <v>29212229</v>
      </c>
      <c r="AG1020" s="275">
        <f t="shared" si="128"/>
        <v>31084348</v>
      </c>
    </row>
    <row r="1021" spans="1:33" s="578" customFormat="1" ht="12" customHeight="1">
      <c r="A1021" s="646" t="s">
        <v>1272</v>
      </c>
      <c r="B1021" s="646" t="s">
        <v>1776</v>
      </c>
      <c r="C1021" s="647" t="s">
        <v>309</v>
      </c>
      <c r="D1021" s="648">
        <v>139311</v>
      </c>
      <c r="E1021" s="649">
        <v>6</v>
      </c>
      <c r="F1021" s="573">
        <v>25929266</v>
      </c>
      <c r="G1021" s="487">
        <v>25274609</v>
      </c>
      <c r="H1021" s="573"/>
      <c r="I1021" s="487"/>
      <c r="J1021" s="573"/>
      <c r="K1021" s="487"/>
      <c r="L1021" s="573">
        <v>17354090</v>
      </c>
      <c r="M1021" s="573"/>
      <c r="N1021" s="456">
        <f t="shared" si="129"/>
        <v>17354090</v>
      </c>
      <c r="O1021" s="487">
        <v>18388138</v>
      </c>
      <c r="P1021" s="487"/>
      <c r="Q1021" s="274">
        <f t="shared" si="124"/>
        <v>18388138</v>
      </c>
      <c r="R1021" s="574">
        <f t="shared" si="125"/>
        <v>43283356</v>
      </c>
      <c r="S1021" s="275">
        <f t="shared" si="126"/>
        <v>43662747</v>
      </c>
      <c r="T1021" s="575"/>
      <c r="U1021" s="487"/>
      <c r="V1021" s="576"/>
      <c r="W1021" s="573"/>
      <c r="X1021" s="574">
        <f t="shared" si="130"/>
        <v>0</v>
      </c>
      <c r="Y1021" s="487"/>
      <c r="Z1021" s="487"/>
      <c r="AA1021" s="276">
        <f t="shared" si="131"/>
        <v>0</v>
      </c>
      <c r="AB1021" s="573"/>
      <c r="AC1021" s="487"/>
      <c r="AD1021" s="573"/>
      <c r="AE1021" s="487"/>
      <c r="AF1021" s="577">
        <f t="shared" si="127"/>
        <v>43283356</v>
      </c>
      <c r="AG1021" s="275">
        <f t="shared" si="128"/>
        <v>43662747</v>
      </c>
    </row>
    <row r="1022" spans="1:33" s="578" customFormat="1" ht="12" customHeight="1">
      <c r="A1022" s="646" t="s">
        <v>1272</v>
      </c>
      <c r="B1022" s="646" t="s">
        <v>1776</v>
      </c>
      <c r="C1022" s="647" t="s">
        <v>311</v>
      </c>
      <c r="D1022" s="648">
        <v>140322</v>
      </c>
      <c r="E1022" s="649">
        <v>6</v>
      </c>
      <c r="F1022" s="573">
        <v>22807451</v>
      </c>
      <c r="G1022" s="487">
        <v>28254932</v>
      </c>
      <c r="H1022" s="573"/>
      <c r="I1022" s="487"/>
      <c r="J1022" s="573"/>
      <c r="K1022" s="487"/>
      <c r="L1022" s="573">
        <v>10492822</v>
      </c>
      <c r="M1022" s="573"/>
      <c r="N1022" s="456">
        <f t="shared" si="129"/>
        <v>10492822</v>
      </c>
      <c r="O1022" s="487">
        <v>12134178</v>
      </c>
      <c r="P1022" s="487"/>
      <c r="Q1022" s="274">
        <f t="shared" si="124"/>
        <v>12134178</v>
      </c>
      <c r="R1022" s="574">
        <f t="shared" si="125"/>
        <v>33300273</v>
      </c>
      <c r="S1022" s="275">
        <f t="shared" si="126"/>
        <v>40389110</v>
      </c>
      <c r="T1022" s="575"/>
      <c r="U1022" s="487"/>
      <c r="V1022" s="576"/>
      <c r="W1022" s="573"/>
      <c r="X1022" s="574">
        <f t="shared" si="130"/>
        <v>0</v>
      </c>
      <c r="Y1022" s="487"/>
      <c r="Z1022" s="487"/>
      <c r="AA1022" s="276">
        <f t="shared" si="131"/>
        <v>0</v>
      </c>
      <c r="AB1022" s="573"/>
      <c r="AC1022" s="487"/>
      <c r="AD1022" s="573"/>
      <c r="AE1022" s="487"/>
      <c r="AF1022" s="577">
        <f t="shared" si="127"/>
        <v>33300273</v>
      </c>
      <c r="AG1022" s="275">
        <f t="shared" si="128"/>
        <v>40389110</v>
      </c>
    </row>
    <row r="1023" spans="1:33" s="578" customFormat="1" ht="12" customHeight="1">
      <c r="A1023" s="646" t="s">
        <v>1272</v>
      </c>
      <c r="B1023" s="646" t="s">
        <v>1776</v>
      </c>
      <c r="C1023" s="647" t="s">
        <v>312</v>
      </c>
      <c r="D1023" s="648">
        <v>139463</v>
      </c>
      <c r="E1023" s="649">
        <v>7</v>
      </c>
      <c r="F1023" s="573">
        <v>14438736</v>
      </c>
      <c r="G1023" s="487">
        <v>14076889</v>
      </c>
      <c r="H1023" s="573"/>
      <c r="I1023" s="487"/>
      <c r="J1023" s="573"/>
      <c r="K1023" s="487"/>
      <c r="L1023" s="573">
        <v>7134758</v>
      </c>
      <c r="M1023" s="573"/>
      <c r="N1023" s="456">
        <f t="shared" si="129"/>
        <v>7134758</v>
      </c>
      <c r="O1023" s="487">
        <v>8609130</v>
      </c>
      <c r="P1023" s="487"/>
      <c r="Q1023" s="274">
        <f t="shared" si="124"/>
        <v>8609130</v>
      </c>
      <c r="R1023" s="574">
        <f t="shared" si="125"/>
        <v>21573494</v>
      </c>
      <c r="S1023" s="275">
        <f t="shared" si="126"/>
        <v>22686019</v>
      </c>
      <c r="T1023" s="575"/>
      <c r="U1023" s="487"/>
      <c r="V1023" s="576"/>
      <c r="W1023" s="573"/>
      <c r="X1023" s="574">
        <f t="shared" si="130"/>
        <v>0</v>
      </c>
      <c r="Y1023" s="487"/>
      <c r="Z1023" s="487"/>
      <c r="AA1023" s="276">
        <f t="shared" si="131"/>
        <v>0</v>
      </c>
      <c r="AB1023" s="573"/>
      <c r="AC1023" s="487"/>
      <c r="AD1023" s="573"/>
      <c r="AE1023" s="487"/>
      <c r="AF1023" s="577">
        <f t="shared" si="127"/>
        <v>21573494</v>
      </c>
      <c r="AG1023" s="275">
        <f t="shared" si="128"/>
        <v>22686019</v>
      </c>
    </row>
    <row r="1024" spans="1:33" s="578" customFormat="1" ht="12" customHeight="1">
      <c r="A1024" s="646" t="s">
        <v>1272</v>
      </c>
      <c r="B1024" s="646" t="s">
        <v>1776</v>
      </c>
      <c r="C1024" s="647" t="s">
        <v>313</v>
      </c>
      <c r="D1024" s="648">
        <v>244437</v>
      </c>
      <c r="E1024" s="649">
        <v>8</v>
      </c>
      <c r="F1024" s="573">
        <v>63949069</v>
      </c>
      <c r="G1024" s="487">
        <v>60228625</v>
      </c>
      <c r="H1024" s="573"/>
      <c r="I1024" s="487"/>
      <c r="J1024" s="573"/>
      <c r="K1024" s="487"/>
      <c r="L1024" s="573">
        <v>41707341</v>
      </c>
      <c r="M1024" s="573"/>
      <c r="N1024" s="456">
        <f t="shared" si="129"/>
        <v>41707341</v>
      </c>
      <c r="O1024" s="487">
        <v>43897341</v>
      </c>
      <c r="P1024" s="487"/>
      <c r="Q1024" s="274">
        <f t="shared" si="124"/>
        <v>43897341</v>
      </c>
      <c r="R1024" s="574">
        <f t="shared" si="125"/>
        <v>105656410</v>
      </c>
      <c r="S1024" s="275">
        <f t="shared" si="126"/>
        <v>104125966</v>
      </c>
      <c r="T1024" s="575"/>
      <c r="U1024" s="487"/>
      <c r="V1024" s="576"/>
      <c r="W1024" s="573"/>
      <c r="X1024" s="574">
        <f t="shared" si="130"/>
        <v>0</v>
      </c>
      <c r="Y1024" s="487"/>
      <c r="Z1024" s="487"/>
      <c r="AA1024" s="276">
        <f t="shared" si="131"/>
        <v>0</v>
      </c>
      <c r="AB1024" s="573"/>
      <c r="AC1024" s="487"/>
      <c r="AD1024" s="573"/>
      <c r="AE1024" s="487"/>
      <c r="AF1024" s="577">
        <f t="shared" si="127"/>
        <v>105656410</v>
      </c>
      <c r="AG1024" s="275">
        <f t="shared" si="128"/>
        <v>104125966</v>
      </c>
    </row>
    <row r="1025" spans="1:33" s="578" customFormat="1" ht="12" customHeight="1">
      <c r="A1025" s="646" t="s">
        <v>1272</v>
      </c>
      <c r="B1025" s="646" t="s">
        <v>1776</v>
      </c>
      <c r="C1025" s="647" t="s">
        <v>314</v>
      </c>
      <c r="D1025" s="648">
        <v>138558</v>
      </c>
      <c r="E1025" s="649">
        <v>9</v>
      </c>
      <c r="F1025" s="573">
        <v>15815424</v>
      </c>
      <c r="G1025" s="487">
        <v>14126130</v>
      </c>
      <c r="H1025" s="573"/>
      <c r="I1025" s="487"/>
      <c r="J1025" s="573"/>
      <c r="K1025" s="487"/>
      <c r="L1025" s="573">
        <v>6110619</v>
      </c>
      <c r="M1025" s="573"/>
      <c r="N1025" s="456">
        <f t="shared" si="129"/>
        <v>6110619</v>
      </c>
      <c r="O1025" s="487">
        <v>6664200</v>
      </c>
      <c r="P1025" s="487"/>
      <c r="Q1025" s="274">
        <f t="shared" si="124"/>
        <v>6664200</v>
      </c>
      <c r="R1025" s="574">
        <f t="shared" si="125"/>
        <v>21926043</v>
      </c>
      <c r="S1025" s="275">
        <f t="shared" si="126"/>
        <v>20790330</v>
      </c>
      <c r="T1025" s="575"/>
      <c r="U1025" s="487"/>
      <c r="V1025" s="576"/>
      <c r="W1025" s="573"/>
      <c r="X1025" s="574">
        <f t="shared" si="130"/>
        <v>0</v>
      </c>
      <c r="Y1025" s="487"/>
      <c r="Z1025" s="487"/>
      <c r="AA1025" s="276">
        <f t="shared" si="131"/>
        <v>0</v>
      </c>
      <c r="AB1025" s="573"/>
      <c r="AC1025" s="487"/>
      <c r="AD1025" s="573"/>
      <c r="AE1025" s="487"/>
      <c r="AF1025" s="577">
        <f t="shared" si="127"/>
        <v>21926043</v>
      </c>
      <c r="AG1025" s="275">
        <f t="shared" si="128"/>
        <v>20790330</v>
      </c>
    </row>
    <row r="1026" spans="1:33" s="578" customFormat="1" ht="12" customHeight="1">
      <c r="A1026" s="646" t="s">
        <v>1272</v>
      </c>
      <c r="B1026" s="646" t="s">
        <v>1776</v>
      </c>
      <c r="C1026" s="647" t="s">
        <v>321</v>
      </c>
      <c r="D1026" s="648">
        <v>139010</v>
      </c>
      <c r="E1026" s="1026">
        <v>9</v>
      </c>
      <c r="F1026" s="573">
        <v>9477014</v>
      </c>
      <c r="G1026" s="487">
        <v>9368652</v>
      </c>
      <c r="H1026" s="573"/>
      <c r="I1026" s="487"/>
      <c r="J1026" s="573"/>
      <c r="K1026" s="487"/>
      <c r="L1026" s="573">
        <v>3961399</v>
      </c>
      <c r="M1026" s="573"/>
      <c r="N1026" s="456">
        <f t="shared" si="129"/>
        <v>3961399</v>
      </c>
      <c r="O1026" s="487">
        <v>3360253</v>
      </c>
      <c r="P1026" s="487"/>
      <c r="Q1026" s="274">
        <f t="shared" si="124"/>
        <v>3360253</v>
      </c>
      <c r="R1026" s="574">
        <f t="shared" si="125"/>
        <v>13438413</v>
      </c>
      <c r="S1026" s="275">
        <f t="shared" si="126"/>
        <v>12728905</v>
      </c>
      <c r="T1026" s="575"/>
      <c r="U1026" s="487"/>
      <c r="V1026" s="576"/>
      <c r="W1026" s="573"/>
      <c r="X1026" s="574">
        <f t="shared" si="130"/>
        <v>0</v>
      </c>
      <c r="Y1026" s="487"/>
      <c r="Z1026" s="487"/>
      <c r="AA1026" s="276">
        <f t="shared" si="131"/>
        <v>0</v>
      </c>
      <c r="AB1026" s="573"/>
      <c r="AC1026" s="487"/>
      <c r="AD1026" s="573"/>
      <c r="AE1026" s="487"/>
      <c r="AF1026" s="577">
        <f t="shared" si="127"/>
        <v>13438413</v>
      </c>
      <c r="AG1026" s="275">
        <f t="shared" si="128"/>
        <v>12728905</v>
      </c>
    </row>
    <row r="1027" spans="1:33" s="578" customFormat="1" ht="12" customHeight="1">
      <c r="A1027" s="646" t="s">
        <v>1272</v>
      </c>
      <c r="B1027" s="646" t="s">
        <v>1776</v>
      </c>
      <c r="C1027" s="647" t="s">
        <v>1912</v>
      </c>
      <c r="D1027" s="648">
        <v>139250</v>
      </c>
      <c r="E1027" s="649">
        <v>9</v>
      </c>
      <c r="F1027" s="573">
        <v>11441441</v>
      </c>
      <c r="G1027" s="487">
        <v>11419413</v>
      </c>
      <c r="H1027" s="573"/>
      <c r="I1027" s="487"/>
      <c r="J1027" s="573"/>
      <c r="K1027" s="487"/>
      <c r="L1027" s="573">
        <v>4285000</v>
      </c>
      <c r="M1027" s="573"/>
      <c r="N1027" s="456">
        <f t="shared" si="129"/>
        <v>4285000</v>
      </c>
      <c r="O1027" s="487">
        <v>4525000</v>
      </c>
      <c r="P1027" s="487"/>
      <c r="Q1027" s="274">
        <f t="shared" si="124"/>
        <v>4525000</v>
      </c>
      <c r="R1027" s="574">
        <f t="shared" si="125"/>
        <v>15726441</v>
      </c>
      <c r="S1027" s="275">
        <f t="shared" si="126"/>
        <v>15944413</v>
      </c>
      <c r="T1027" s="575"/>
      <c r="U1027" s="487"/>
      <c r="V1027" s="576"/>
      <c r="W1027" s="573"/>
      <c r="X1027" s="574">
        <f t="shared" si="130"/>
        <v>0</v>
      </c>
      <c r="Y1027" s="487"/>
      <c r="Z1027" s="487"/>
      <c r="AA1027" s="276">
        <f t="shared" si="131"/>
        <v>0</v>
      </c>
      <c r="AB1027" s="573"/>
      <c r="AC1027" s="487"/>
      <c r="AD1027" s="573"/>
      <c r="AE1027" s="487"/>
      <c r="AF1027" s="577">
        <f t="shared" si="127"/>
        <v>15726441</v>
      </c>
      <c r="AG1027" s="275">
        <f t="shared" si="128"/>
        <v>15944413</v>
      </c>
    </row>
    <row r="1028" spans="1:33" s="578" customFormat="1" ht="12" customHeight="1">
      <c r="A1028" s="646" t="s">
        <v>1272</v>
      </c>
      <c r="B1028" s="646" t="s">
        <v>1776</v>
      </c>
      <c r="C1028" s="647" t="s">
        <v>315</v>
      </c>
      <c r="D1028" s="648">
        <v>138691</v>
      </c>
      <c r="E1028" s="649">
        <v>9</v>
      </c>
      <c r="F1028" s="573">
        <v>16896008</v>
      </c>
      <c r="G1028" s="487">
        <v>15570733</v>
      </c>
      <c r="H1028" s="573"/>
      <c r="I1028" s="487"/>
      <c r="J1028" s="573"/>
      <c r="K1028" s="487"/>
      <c r="L1028" s="573">
        <v>7628567</v>
      </c>
      <c r="M1028" s="573"/>
      <c r="N1028" s="456">
        <f t="shared" si="129"/>
        <v>7628567</v>
      </c>
      <c r="O1028" s="487">
        <v>8044125</v>
      </c>
      <c r="P1028" s="487"/>
      <c r="Q1028" s="274">
        <f t="shared" si="124"/>
        <v>8044125</v>
      </c>
      <c r="R1028" s="574">
        <f t="shared" si="125"/>
        <v>24524575</v>
      </c>
      <c r="S1028" s="275">
        <f t="shared" si="126"/>
        <v>23614858</v>
      </c>
      <c r="T1028" s="575"/>
      <c r="U1028" s="487"/>
      <c r="V1028" s="576"/>
      <c r="W1028" s="573"/>
      <c r="X1028" s="574">
        <f t="shared" si="130"/>
        <v>0</v>
      </c>
      <c r="Y1028" s="487"/>
      <c r="Z1028" s="487"/>
      <c r="AA1028" s="276">
        <f t="shared" si="131"/>
        <v>0</v>
      </c>
      <c r="AB1028" s="573"/>
      <c r="AC1028" s="487"/>
      <c r="AD1028" s="573"/>
      <c r="AE1028" s="487"/>
      <c r="AF1028" s="577">
        <f t="shared" si="127"/>
        <v>24524575</v>
      </c>
      <c r="AG1028" s="275">
        <f t="shared" si="128"/>
        <v>23614858</v>
      </c>
    </row>
    <row r="1029" spans="1:33" s="578" customFormat="1" ht="12" customHeight="1">
      <c r="A1029" s="646" t="s">
        <v>1272</v>
      </c>
      <c r="B1029" s="646" t="s">
        <v>1776</v>
      </c>
      <c r="C1029" s="647" t="s">
        <v>316</v>
      </c>
      <c r="D1029" s="648">
        <v>139773</v>
      </c>
      <c r="E1029" s="649">
        <v>9</v>
      </c>
      <c r="F1029" s="573">
        <v>19368723</v>
      </c>
      <c r="G1029" s="487">
        <v>19627955</v>
      </c>
      <c r="H1029" s="573"/>
      <c r="I1029" s="487"/>
      <c r="J1029" s="573"/>
      <c r="K1029" s="487"/>
      <c r="L1029" s="573">
        <v>13065040</v>
      </c>
      <c r="M1029" s="573"/>
      <c r="N1029" s="456">
        <f t="shared" si="129"/>
        <v>13065040</v>
      </c>
      <c r="O1029" s="487">
        <v>16553227</v>
      </c>
      <c r="P1029" s="487"/>
      <c r="Q1029" s="274">
        <f t="shared" si="124"/>
        <v>16553227</v>
      </c>
      <c r="R1029" s="574">
        <f t="shared" si="125"/>
        <v>32433763</v>
      </c>
      <c r="S1029" s="275">
        <f t="shared" si="126"/>
        <v>36181182</v>
      </c>
      <c r="T1029" s="575"/>
      <c r="U1029" s="487"/>
      <c r="V1029" s="576"/>
      <c r="W1029" s="573"/>
      <c r="X1029" s="574">
        <f t="shared" si="130"/>
        <v>0</v>
      </c>
      <c r="Y1029" s="487"/>
      <c r="Z1029" s="487"/>
      <c r="AA1029" s="276">
        <f t="shared" si="131"/>
        <v>0</v>
      </c>
      <c r="AB1029" s="573"/>
      <c r="AC1029" s="487"/>
      <c r="AD1029" s="573"/>
      <c r="AE1029" s="487"/>
      <c r="AF1029" s="577">
        <f t="shared" si="127"/>
        <v>32433763</v>
      </c>
      <c r="AG1029" s="275">
        <f t="shared" si="128"/>
        <v>36181182</v>
      </c>
    </row>
    <row r="1030" spans="1:33" s="578" customFormat="1" ht="12" customHeight="1">
      <c r="A1030" s="646" t="s">
        <v>1272</v>
      </c>
      <c r="B1030" s="646" t="s">
        <v>1776</v>
      </c>
      <c r="C1030" s="647" t="s">
        <v>317</v>
      </c>
      <c r="D1030" s="648">
        <v>139700</v>
      </c>
      <c r="E1030" s="649">
        <v>9</v>
      </c>
      <c r="F1030" s="573">
        <v>15720570</v>
      </c>
      <c r="G1030" s="487">
        <v>14434877</v>
      </c>
      <c r="H1030" s="573"/>
      <c r="I1030" s="487"/>
      <c r="J1030" s="573"/>
      <c r="K1030" s="487"/>
      <c r="L1030" s="573">
        <v>7323441</v>
      </c>
      <c r="M1030" s="573"/>
      <c r="N1030" s="456">
        <f t="shared" si="129"/>
        <v>7323441</v>
      </c>
      <c r="O1030" s="487">
        <v>8188716</v>
      </c>
      <c r="P1030" s="487"/>
      <c r="Q1030" s="274">
        <f t="shared" si="124"/>
        <v>8188716</v>
      </c>
      <c r="R1030" s="574">
        <f t="shared" si="125"/>
        <v>23044011</v>
      </c>
      <c r="S1030" s="275">
        <f t="shared" si="126"/>
        <v>22623593</v>
      </c>
      <c r="T1030" s="575"/>
      <c r="U1030" s="487"/>
      <c r="V1030" s="576"/>
      <c r="W1030" s="573"/>
      <c r="X1030" s="574">
        <f t="shared" si="130"/>
        <v>0</v>
      </c>
      <c r="Y1030" s="487"/>
      <c r="Z1030" s="487"/>
      <c r="AA1030" s="276">
        <f t="shared" si="131"/>
        <v>0</v>
      </c>
      <c r="AB1030" s="573"/>
      <c r="AC1030" s="487"/>
      <c r="AD1030" s="573"/>
      <c r="AE1030" s="487"/>
      <c r="AF1030" s="577">
        <f t="shared" si="127"/>
        <v>23044011</v>
      </c>
      <c r="AG1030" s="275">
        <f t="shared" si="128"/>
        <v>22623593</v>
      </c>
    </row>
    <row r="1031" spans="1:33" s="578" customFormat="1" ht="12" customHeight="1">
      <c r="A1031" s="646" t="s">
        <v>1272</v>
      </c>
      <c r="B1031" s="646" t="s">
        <v>1776</v>
      </c>
      <c r="C1031" s="647" t="s">
        <v>318</v>
      </c>
      <c r="D1031" s="648">
        <v>139968</v>
      </c>
      <c r="E1031" s="649">
        <v>9</v>
      </c>
      <c r="F1031" s="573">
        <v>12997350</v>
      </c>
      <c r="G1031" s="487">
        <v>12116624</v>
      </c>
      <c r="H1031" s="573"/>
      <c r="I1031" s="487"/>
      <c r="J1031" s="573"/>
      <c r="K1031" s="487"/>
      <c r="L1031" s="573">
        <v>6074397</v>
      </c>
      <c r="M1031" s="573"/>
      <c r="N1031" s="456">
        <f t="shared" si="129"/>
        <v>6074397</v>
      </c>
      <c r="O1031" s="487">
        <v>7415986</v>
      </c>
      <c r="P1031" s="487"/>
      <c r="Q1031" s="274">
        <f t="shared" si="124"/>
        <v>7415986</v>
      </c>
      <c r="R1031" s="574">
        <f t="shared" si="125"/>
        <v>19071747</v>
      </c>
      <c r="S1031" s="275">
        <f t="shared" si="126"/>
        <v>19532610</v>
      </c>
      <c r="T1031" s="575"/>
      <c r="U1031" s="487"/>
      <c r="V1031" s="576"/>
      <c r="W1031" s="573"/>
      <c r="X1031" s="574">
        <f t="shared" si="130"/>
        <v>0</v>
      </c>
      <c r="Y1031" s="487"/>
      <c r="Z1031" s="487"/>
      <c r="AA1031" s="276">
        <f t="shared" si="131"/>
        <v>0</v>
      </c>
      <c r="AB1031" s="573"/>
      <c r="AC1031" s="487"/>
      <c r="AD1031" s="573"/>
      <c r="AE1031" s="487"/>
      <c r="AF1031" s="577">
        <f t="shared" si="127"/>
        <v>19071747</v>
      </c>
      <c r="AG1031" s="275">
        <f t="shared" si="128"/>
        <v>19532610</v>
      </c>
    </row>
    <row r="1032" spans="1:33" s="578" customFormat="1" ht="12" customHeight="1">
      <c r="A1032" s="646" t="s">
        <v>1272</v>
      </c>
      <c r="B1032" s="646" t="s">
        <v>1776</v>
      </c>
      <c r="C1032" s="647" t="s">
        <v>319</v>
      </c>
      <c r="D1032" s="648">
        <v>140483</v>
      </c>
      <c r="E1032" s="649">
        <v>9</v>
      </c>
      <c r="F1032" s="573">
        <v>18624790</v>
      </c>
      <c r="G1032" s="487">
        <v>17355223</v>
      </c>
      <c r="H1032" s="573"/>
      <c r="I1032" s="487"/>
      <c r="J1032" s="573"/>
      <c r="K1032" s="487"/>
      <c r="L1032" s="573">
        <v>6144618</v>
      </c>
      <c r="M1032" s="573"/>
      <c r="N1032" s="456">
        <f t="shared" si="129"/>
        <v>6144618</v>
      </c>
      <c r="O1032" s="487">
        <v>6994754</v>
      </c>
      <c r="P1032" s="487"/>
      <c r="Q1032" s="274">
        <f t="shared" si="124"/>
        <v>6994754</v>
      </c>
      <c r="R1032" s="574">
        <f t="shared" si="125"/>
        <v>24769408</v>
      </c>
      <c r="S1032" s="275">
        <f t="shared" si="126"/>
        <v>24349977</v>
      </c>
      <c r="T1032" s="575"/>
      <c r="U1032" s="487"/>
      <c r="V1032" s="576"/>
      <c r="W1032" s="573"/>
      <c r="X1032" s="574">
        <f t="shared" si="130"/>
        <v>0</v>
      </c>
      <c r="Y1032" s="487"/>
      <c r="Z1032" s="487"/>
      <c r="AA1032" s="276">
        <f t="shared" si="131"/>
        <v>0</v>
      </c>
      <c r="AB1032" s="573"/>
      <c r="AC1032" s="487"/>
      <c r="AD1032" s="573"/>
      <c r="AE1032" s="487"/>
      <c r="AF1032" s="577">
        <f t="shared" si="127"/>
        <v>24769408</v>
      </c>
      <c r="AG1032" s="275">
        <f t="shared" si="128"/>
        <v>24349977</v>
      </c>
    </row>
    <row r="1033" spans="1:33" s="578" customFormat="1" ht="12" customHeight="1">
      <c r="A1033" s="646" t="s">
        <v>1272</v>
      </c>
      <c r="B1033" s="646" t="s">
        <v>1776</v>
      </c>
      <c r="C1033" s="647" t="s">
        <v>320</v>
      </c>
      <c r="D1033" s="648">
        <v>138901</v>
      </c>
      <c r="E1033" s="649">
        <v>10</v>
      </c>
      <c r="F1033" s="573">
        <v>8759949</v>
      </c>
      <c r="G1033" s="487">
        <f>8275922-I1034</f>
        <v>8129480</v>
      </c>
      <c r="H1033" s="573"/>
      <c r="I1033" s="487"/>
      <c r="J1033" s="573"/>
      <c r="K1033" s="487"/>
      <c r="L1033" s="573">
        <v>3917379</v>
      </c>
      <c r="M1033" s="573"/>
      <c r="N1033" s="456">
        <f t="shared" si="129"/>
        <v>3917379</v>
      </c>
      <c r="O1033" s="487">
        <v>4645243</v>
      </c>
      <c r="P1033" s="487"/>
      <c r="Q1033" s="274">
        <f t="shared" si="124"/>
        <v>4645243</v>
      </c>
      <c r="R1033" s="574">
        <f t="shared" si="125"/>
        <v>12677328</v>
      </c>
      <c r="S1033" s="275">
        <f t="shared" si="126"/>
        <v>12774723</v>
      </c>
      <c r="T1033" s="575"/>
      <c r="U1033" s="487"/>
      <c r="V1033" s="576"/>
      <c r="W1033" s="573"/>
      <c r="X1033" s="574">
        <f t="shared" si="130"/>
        <v>0</v>
      </c>
      <c r="Y1033" s="487"/>
      <c r="Z1033" s="487"/>
      <c r="AA1033" s="276">
        <f t="shared" si="131"/>
        <v>0</v>
      </c>
      <c r="AB1033" s="573"/>
      <c r="AC1033" s="487"/>
      <c r="AD1033" s="573"/>
      <c r="AE1033" s="487"/>
      <c r="AF1033" s="577">
        <f t="shared" si="127"/>
        <v>12677328</v>
      </c>
      <c r="AG1033" s="275">
        <f t="shared" si="128"/>
        <v>12774723</v>
      </c>
    </row>
    <row r="1034" spans="1:33" s="578" customFormat="1" ht="12" customHeight="1">
      <c r="A1034" s="646" t="s">
        <v>1272</v>
      </c>
      <c r="B1034" s="646" t="s">
        <v>1778</v>
      </c>
      <c r="C1034" s="651" t="s">
        <v>283</v>
      </c>
      <c r="D1034" s="648">
        <v>138901</v>
      </c>
      <c r="E1034" s="649">
        <v>10</v>
      </c>
      <c r="F1034" s="573"/>
      <c r="G1034" s="487"/>
      <c r="H1034" s="573">
        <v>158955</v>
      </c>
      <c r="I1034" s="487">
        <v>146442</v>
      </c>
      <c r="J1034" s="573"/>
      <c r="K1034" s="487"/>
      <c r="L1034" s="573"/>
      <c r="M1034" s="573"/>
      <c r="N1034" s="456">
        <f t="shared" si="129"/>
        <v>0</v>
      </c>
      <c r="O1034" s="487"/>
      <c r="P1034" s="487"/>
      <c r="Q1034" s="274">
        <f t="shared" ref="Q1034:Q1097" si="132">SUM(O1034:P1034)</f>
        <v>0</v>
      </c>
      <c r="R1034" s="574">
        <f t="shared" ref="R1034:R1097" si="133">SUM(F1034,H1034,J1034,L1034)</f>
        <v>158955</v>
      </c>
      <c r="S1034" s="275">
        <f t="shared" ref="S1034:S1097" si="134">SUM(G1034,I1034,K1034,O1034)</f>
        <v>146442</v>
      </c>
      <c r="T1034" s="575"/>
      <c r="U1034" s="487"/>
      <c r="V1034" s="576"/>
      <c r="W1034" s="573"/>
      <c r="X1034" s="574">
        <f t="shared" si="130"/>
        <v>0</v>
      </c>
      <c r="Y1034" s="487"/>
      <c r="Z1034" s="487"/>
      <c r="AA1034" s="276">
        <f t="shared" si="131"/>
        <v>0</v>
      </c>
      <c r="AB1034" s="573"/>
      <c r="AC1034" s="487"/>
      <c r="AD1034" s="573"/>
      <c r="AE1034" s="487"/>
      <c r="AF1034" s="577">
        <f t="shared" ref="AF1034:AF1097" si="135">SUM(R1034,T1034,V1034,AB1034,AD1034)</f>
        <v>158955</v>
      </c>
      <c r="AG1034" s="275">
        <f t="shared" ref="AG1034:AG1097" si="136">SUM(S1034,U1034,Y1034,AC1034,AE1034)</f>
        <v>146442</v>
      </c>
    </row>
    <row r="1035" spans="1:33" s="578" customFormat="1" ht="12" customHeight="1">
      <c r="A1035" s="646" t="s">
        <v>1272</v>
      </c>
      <c r="B1035" s="646" t="s">
        <v>1776</v>
      </c>
      <c r="C1035" s="647" t="s">
        <v>322</v>
      </c>
      <c r="D1035" s="648">
        <v>139621</v>
      </c>
      <c r="E1035" s="649">
        <v>10</v>
      </c>
      <c r="F1035" s="573">
        <v>6606620</v>
      </c>
      <c r="G1035" s="487">
        <v>6574113</v>
      </c>
      <c r="H1035" s="573"/>
      <c r="I1035" s="487"/>
      <c r="J1035" s="573"/>
      <c r="K1035" s="487"/>
      <c r="L1035" s="573">
        <v>3425520</v>
      </c>
      <c r="M1035" s="573"/>
      <c r="N1035" s="456">
        <f t="shared" si="129"/>
        <v>3425520</v>
      </c>
      <c r="O1035" s="487">
        <v>4610900</v>
      </c>
      <c r="P1035" s="487"/>
      <c r="Q1035" s="274">
        <f t="shared" si="132"/>
        <v>4610900</v>
      </c>
      <c r="R1035" s="574">
        <f t="shared" si="133"/>
        <v>10032140</v>
      </c>
      <c r="S1035" s="275">
        <f t="shared" si="134"/>
        <v>11185013</v>
      </c>
      <c r="T1035" s="575"/>
      <c r="U1035" s="487"/>
      <c r="V1035" s="576"/>
      <c r="W1035" s="573"/>
      <c r="X1035" s="574">
        <f t="shared" si="130"/>
        <v>0</v>
      </c>
      <c r="Y1035" s="487"/>
      <c r="Z1035" s="487"/>
      <c r="AA1035" s="276">
        <f t="shared" si="131"/>
        <v>0</v>
      </c>
      <c r="AB1035" s="573"/>
      <c r="AC1035" s="487"/>
      <c r="AD1035" s="573"/>
      <c r="AE1035" s="487"/>
      <c r="AF1035" s="577">
        <f t="shared" si="135"/>
        <v>10032140</v>
      </c>
      <c r="AG1035" s="275">
        <f t="shared" si="136"/>
        <v>11185013</v>
      </c>
    </row>
    <row r="1036" spans="1:33" s="578" customFormat="1" ht="12" customHeight="1">
      <c r="A1036" s="646" t="s">
        <v>1272</v>
      </c>
      <c r="B1036" s="646" t="s">
        <v>1776</v>
      </c>
      <c r="C1036" s="647" t="s">
        <v>323</v>
      </c>
      <c r="D1036" s="648">
        <v>140997</v>
      </c>
      <c r="E1036" s="649">
        <v>10</v>
      </c>
      <c r="F1036" s="573">
        <v>7649459</v>
      </c>
      <c r="G1036" s="487">
        <v>7582290</v>
      </c>
      <c r="H1036" s="573"/>
      <c r="I1036" s="487"/>
      <c r="J1036" s="573"/>
      <c r="K1036" s="487"/>
      <c r="L1036" s="573">
        <v>3097236</v>
      </c>
      <c r="M1036" s="573"/>
      <c r="N1036" s="456">
        <f t="shared" si="129"/>
        <v>3097236</v>
      </c>
      <c r="O1036" s="487">
        <v>3488062</v>
      </c>
      <c r="P1036" s="487"/>
      <c r="Q1036" s="274">
        <f t="shared" si="132"/>
        <v>3488062</v>
      </c>
      <c r="R1036" s="574">
        <f t="shared" si="133"/>
        <v>10746695</v>
      </c>
      <c r="S1036" s="275">
        <f t="shared" si="134"/>
        <v>11070352</v>
      </c>
      <c r="T1036" s="575"/>
      <c r="U1036" s="487"/>
      <c r="V1036" s="576"/>
      <c r="W1036" s="573"/>
      <c r="X1036" s="574">
        <f t="shared" si="130"/>
        <v>0</v>
      </c>
      <c r="Y1036" s="487"/>
      <c r="Z1036" s="487"/>
      <c r="AA1036" s="276">
        <f t="shared" si="131"/>
        <v>0</v>
      </c>
      <c r="AB1036" s="573"/>
      <c r="AC1036" s="487"/>
      <c r="AD1036" s="573"/>
      <c r="AE1036" s="487"/>
      <c r="AF1036" s="577">
        <f t="shared" si="135"/>
        <v>10746695</v>
      </c>
      <c r="AG1036" s="275">
        <f t="shared" si="136"/>
        <v>11070352</v>
      </c>
    </row>
    <row r="1037" spans="1:33" s="578" customFormat="1" ht="12" customHeight="1">
      <c r="A1037" s="646" t="s">
        <v>1272</v>
      </c>
      <c r="B1037" s="646" t="s">
        <v>1776</v>
      </c>
      <c r="C1037" s="647" t="s">
        <v>324</v>
      </c>
      <c r="D1037" s="648">
        <v>141307</v>
      </c>
      <c r="E1037" s="649">
        <v>10</v>
      </c>
      <c r="F1037" s="573">
        <v>4081611</v>
      </c>
      <c r="G1037" s="487">
        <v>4148242</v>
      </c>
      <c r="H1037" s="573"/>
      <c r="I1037" s="487"/>
      <c r="J1037" s="573"/>
      <c r="K1037" s="487"/>
      <c r="L1037" s="573">
        <v>1455432</v>
      </c>
      <c r="M1037" s="573"/>
      <c r="N1037" s="456">
        <f t="shared" si="129"/>
        <v>1455432</v>
      </c>
      <c r="O1037" s="487">
        <v>1582084</v>
      </c>
      <c r="P1037" s="487"/>
      <c r="Q1037" s="274">
        <f t="shared" si="132"/>
        <v>1582084</v>
      </c>
      <c r="R1037" s="574">
        <f t="shared" si="133"/>
        <v>5537043</v>
      </c>
      <c r="S1037" s="275">
        <f t="shared" si="134"/>
        <v>5730326</v>
      </c>
      <c r="T1037" s="575"/>
      <c r="U1037" s="487"/>
      <c r="V1037" s="576"/>
      <c r="W1037" s="573"/>
      <c r="X1037" s="574">
        <f t="shared" si="130"/>
        <v>0</v>
      </c>
      <c r="Y1037" s="487"/>
      <c r="Z1037" s="487"/>
      <c r="AA1037" s="276">
        <f t="shared" si="131"/>
        <v>0</v>
      </c>
      <c r="AB1037" s="573"/>
      <c r="AC1037" s="487"/>
      <c r="AD1037" s="573"/>
      <c r="AE1037" s="487"/>
      <c r="AF1037" s="577">
        <f t="shared" si="135"/>
        <v>5537043</v>
      </c>
      <c r="AG1037" s="275">
        <f t="shared" si="136"/>
        <v>5730326</v>
      </c>
    </row>
    <row r="1038" spans="1:33" s="578" customFormat="1" ht="12" customHeight="1">
      <c r="A1038" s="646" t="s">
        <v>1272</v>
      </c>
      <c r="B1038" s="646" t="s">
        <v>1820</v>
      </c>
      <c r="C1038" s="647" t="s">
        <v>310</v>
      </c>
      <c r="D1038" s="653">
        <v>447689</v>
      </c>
      <c r="E1038" s="649">
        <v>15</v>
      </c>
      <c r="F1038" s="573">
        <v>22769315</v>
      </c>
      <c r="G1038" s="487">
        <v>26948890</v>
      </c>
      <c r="H1038" s="573"/>
      <c r="I1038" s="487"/>
      <c r="J1038" s="573"/>
      <c r="K1038" s="487"/>
      <c r="L1038" s="573">
        <v>1715737</v>
      </c>
      <c r="M1038" s="573"/>
      <c r="N1038" s="456">
        <f t="shared" si="129"/>
        <v>1715737</v>
      </c>
      <c r="O1038" s="487">
        <v>3787798</v>
      </c>
      <c r="P1038" s="487"/>
      <c r="Q1038" s="274">
        <f t="shared" si="132"/>
        <v>3787798</v>
      </c>
      <c r="R1038" s="574">
        <f t="shared" si="133"/>
        <v>24485052</v>
      </c>
      <c r="S1038" s="275">
        <f t="shared" si="134"/>
        <v>30736688</v>
      </c>
      <c r="T1038" s="575"/>
      <c r="U1038" s="487"/>
      <c r="V1038" s="576"/>
      <c r="W1038" s="573"/>
      <c r="X1038" s="574">
        <f t="shared" si="130"/>
        <v>0</v>
      </c>
      <c r="Y1038" s="487"/>
      <c r="Z1038" s="487"/>
      <c r="AA1038" s="276">
        <f t="shared" si="131"/>
        <v>0</v>
      </c>
      <c r="AB1038" s="573"/>
      <c r="AC1038" s="487"/>
      <c r="AD1038" s="573"/>
      <c r="AE1038" s="487"/>
      <c r="AF1038" s="577">
        <f t="shared" si="135"/>
        <v>24485052</v>
      </c>
      <c r="AG1038" s="275">
        <f t="shared" si="136"/>
        <v>30736688</v>
      </c>
    </row>
    <row r="1039" spans="1:33" s="578" customFormat="1" ht="12" customHeight="1">
      <c r="A1039" s="646" t="s">
        <v>1272</v>
      </c>
      <c r="B1039" s="646" t="s">
        <v>1819</v>
      </c>
      <c r="C1039" s="647" t="s">
        <v>325</v>
      </c>
      <c r="D1039" s="648">
        <v>140401</v>
      </c>
      <c r="E1039" s="649">
        <v>15</v>
      </c>
      <c r="F1039" s="573"/>
      <c r="G1039" s="487"/>
      <c r="H1039" s="573"/>
      <c r="I1039" s="487"/>
      <c r="J1039" s="573"/>
      <c r="K1039" s="487"/>
      <c r="L1039" s="573"/>
      <c r="M1039" s="573"/>
      <c r="N1039" s="456">
        <f t="shared" si="129"/>
        <v>0</v>
      </c>
      <c r="O1039" s="487"/>
      <c r="P1039" s="487"/>
      <c r="Q1039" s="274">
        <f t="shared" si="132"/>
        <v>0</v>
      </c>
      <c r="R1039" s="574">
        <f t="shared" si="133"/>
        <v>0</v>
      </c>
      <c r="S1039" s="275">
        <f t="shared" si="134"/>
        <v>0</v>
      </c>
      <c r="T1039" s="575"/>
      <c r="U1039" s="487"/>
      <c r="V1039" s="576"/>
      <c r="W1039" s="573"/>
      <c r="X1039" s="574">
        <f t="shared" si="130"/>
        <v>0</v>
      </c>
      <c r="Y1039" s="487"/>
      <c r="Z1039" s="487"/>
      <c r="AA1039" s="276">
        <f t="shared" si="131"/>
        <v>0</v>
      </c>
      <c r="AB1039" s="573">
        <v>161323365</v>
      </c>
      <c r="AC1039" s="487">
        <v>150202065</v>
      </c>
      <c r="AD1039" s="573">
        <v>23055556</v>
      </c>
      <c r="AE1039" s="487">
        <v>27849820</v>
      </c>
      <c r="AF1039" s="577">
        <f t="shared" si="135"/>
        <v>184378921</v>
      </c>
      <c r="AG1039" s="275">
        <f t="shared" si="136"/>
        <v>178051885</v>
      </c>
    </row>
    <row r="1040" spans="1:33" s="578" customFormat="1" ht="12" customHeight="1">
      <c r="A1040" s="646" t="s">
        <v>1272</v>
      </c>
      <c r="B1040" s="646" t="s">
        <v>1819</v>
      </c>
      <c r="C1040" s="651" t="s">
        <v>326</v>
      </c>
      <c r="D1040" s="648">
        <v>140401</v>
      </c>
      <c r="E1040" s="649">
        <v>15</v>
      </c>
      <c r="F1040" s="573"/>
      <c r="G1040" s="487"/>
      <c r="H1040" s="573"/>
      <c r="I1040" s="487"/>
      <c r="J1040" s="573"/>
      <c r="K1040" s="487"/>
      <c r="L1040" s="573"/>
      <c r="M1040" s="573"/>
      <c r="N1040" s="456">
        <f t="shared" si="129"/>
        <v>0</v>
      </c>
      <c r="O1040" s="487"/>
      <c r="P1040" s="487"/>
      <c r="Q1040" s="274">
        <f t="shared" si="132"/>
        <v>0</v>
      </c>
      <c r="R1040" s="574">
        <f t="shared" si="133"/>
        <v>0</v>
      </c>
      <c r="S1040" s="275">
        <f t="shared" si="134"/>
        <v>0</v>
      </c>
      <c r="T1040" s="575"/>
      <c r="U1040" s="487"/>
      <c r="V1040" s="576"/>
      <c r="W1040" s="573"/>
      <c r="X1040" s="574">
        <f t="shared" si="130"/>
        <v>0</v>
      </c>
      <c r="Y1040" s="487"/>
      <c r="Z1040" s="487"/>
      <c r="AA1040" s="276">
        <f t="shared" si="131"/>
        <v>0</v>
      </c>
      <c r="AB1040" s="573">
        <v>314737</v>
      </c>
      <c r="AC1040" s="487">
        <v>0</v>
      </c>
      <c r="AD1040" s="573"/>
      <c r="AE1040" s="487"/>
      <c r="AF1040" s="577">
        <f t="shared" si="135"/>
        <v>314737</v>
      </c>
      <c r="AG1040" s="275">
        <f t="shared" si="136"/>
        <v>0</v>
      </c>
    </row>
    <row r="1041" spans="1:33" s="578" customFormat="1" ht="12" customHeight="1">
      <c r="A1041" s="646" t="s">
        <v>1272</v>
      </c>
      <c r="B1041" s="646" t="s">
        <v>1819</v>
      </c>
      <c r="C1041" s="651" t="s">
        <v>327</v>
      </c>
      <c r="D1041" s="648">
        <v>140401</v>
      </c>
      <c r="E1041" s="649">
        <v>15</v>
      </c>
      <c r="F1041" s="573"/>
      <c r="G1041" s="487"/>
      <c r="H1041" s="573"/>
      <c r="I1041" s="487"/>
      <c r="J1041" s="573"/>
      <c r="K1041" s="487"/>
      <c r="L1041" s="573"/>
      <c r="M1041" s="573"/>
      <c r="N1041" s="456">
        <f t="shared" si="129"/>
        <v>0</v>
      </c>
      <c r="O1041" s="487"/>
      <c r="P1041" s="487"/>
      <c r="Q1041" s="274">
        <f t="shared" si="132"/>
        <v>0</v>
      </c>
      <c r="R1041" s="574">
        <f t="shared" si="133"/>
        <v>0</v>
      </c>
      <c r="S1041" s="275">
        <f t="shared" si="134"/>
        <v>0</v>
      </c>
      <c r="T1041" s="575"/>
      <c r="U1041" s="487"/>
      <c r="V1041" s="576"/>
      <c r="W1041" s="573"/>
      <c r="X1041" s="574">
        <f t="shared" si="130"/>
        <v>0</v>
      </c>
      <c r="Y1041" s="487"/>
      <c r="Z1041" s="487"/>
      <c r="AA1041" s="276">
        <f t="shared" si="131"/>
        <v>0</v>
      </c>
      <c r="AB1041" s="573">
        <v>33181112</v>
      </c>
      <c r="AC1041" s="487">
        <v>33921721</v>
      </c>
      <c r="AD1041" s="573"/>
      <c r="AE1041" s="487"/>
      <c r="AF1041" s="577">
        <f t="shared" si="135"/>
        <v>33181112</v>
      </c>
      <c r="AG1041" s="275">
        <f t="shared" si="136"/>
        <v>33921721</v>
      </c>
    </row>
    <row r="1042" spans="1:33" s="578" customFormat="1" ht="12" customHeight="1">
      <c r="A1042" s="646" t="s">
        <v>1272</v>
      </c>
      <c r="B1042" s="646" t="s">
        <v>1819</v>
      </c>
      <c r="C1042" s="651" t="s">
        <v>328</v>
      </c>
      <c r="D1042" s="648">
        <v>140401</v>
      </c>
      <c r="E1042" s="649">
        <v>15</v>
      </c>
      <c r="F1042" s="573"/>
      <c r="G1042" s="487"/>
      <c r="H1042" s="573"/>
      <c r="I1042" s="487"/>
      <c r="J1042" s="573"/>
      <c r="K1042" s="487"/>
      <c r="L1042" s="573"/>
      <c r="M1042" s="573"/>
      <c r="N1042" s="456">
        <f t="shared" si="129"/>
        <v>0</v>
      </c>
      <c r="O1042" s="487"/>
      <c r="P1042" s="487"/>
      <c r="Q1042" s="274">
        <f t="shared" si="132"/>
        <v>0</v>
      </c>
      <c r="R1042" s="574">
        <f t="shared" si="133"/>
        <v>0</v>
      </c>
      <c r="S1042" s="275">
        <f t="shared" si="134"/>
        <v>0</v>
      </c>
      <c r="T1042" s="575"/>
      <c r="U1042" s="487"/>
      <c r="V1042" s="576"/>
      <c r="W1042" s="573"/>
      <c r="X1042" s="574">
        <f t="shared" si="130"/>
        <v>0</v>
      </c>
      <c r="Y1042" s="487"/>
      <c r="Z1042" s="487"/>
      <c r="AA1042" s="276">
        <f t="shared" si="131"/>
        <v>0</v>
      </c>
      <c r="AB1042" s="573"/>
      <c r="AC1042" s="487"/>
      <c r="AD1042" s="573"/>
      <c r="AE1042" s="487"/>
      <c r="AF1042" s="577">
        <f t="shared" si="135"/>
        <v>0</v>
      </c>
      <c r="AG1042" s="275">
        <f t="shared" si="136"/>
        <v>0</v>
      </c>
    </row>
    <row r="1043" spans="1:33" s="578" customFormat="1" ht="12" customHeight="1">
      <c r="A1043" s="646" t="s">
        <v>1272</v>
      </c>
      <c r="B1043" s="646" t="s">
        <v>1819</v>
      </c>
      <c r="C1043" s="651" t="s">
        <v>329</v>
      </c>
      <c r="D1043" s="648">
        <v>140401</v>
      </c>
      <c r="E1043" s="649">
        <v>15</v>
      </c>
      <c r="F1043" s="573"/>
      <c r="G1043" s="487"/>
      <c r="H1043" s="573"/>
      <c r="I1043" s="487"/>
      <c r="J1043" s="573"/>
      <c r="K1043" s="487"/>
      <c r="L1043" s="573"/>
      <c r="M1043" s="573"/>
      <c r="N1043" s="456">
        <f t="shared" ref="N1043:N1106" si="137">SUM(L1043:M1043)</f>
        <v>0</v>
      </c>
      <c r="O1043" s="487"/>
      <c r="P1043" s="487"/>
      <c r="Q1043" s="274">
        <f t="shared" si="132"/>
        <v>0</v>
      </c>
      <c r="R1043" s="574">
        <f t="shared" si="133"/>
        <v>0</v>
      </c>
      <c r="S1043" s="275">
        <f t="shared" si="134"/>
        <v>0</v>
      </c>
      <c r="T1043" s="575"/>
      <c r="U1043" s="487"/>
      <c r="V1043" s="576"/>
      <c r="W1043" s="573"/>
      <c r="X1043" s="574">
        <f t="shared" ref="X1043:X1106" si="138">SUM(V1043:W1043)</f>
        <v>0</v>
      </c>
      <c r="Y1043" s="487"/>
      <c r="Z1043" s="487"/>
      <c r="AA1043" s="276">
        <f t="shared" ref="AA1043:AA1106" si="139">SUM(Y1043:Z1043)</f>
        <v>0</v>
      </c>
      <c r="AB1043" s="573"/>
      <c r="AC1043" s="487"/>
      <c r="AD1043" s="573"/>
      <c r="AE1043" s="487"/>
      <c r="AF1043" s="577">
        <f t="shared" si="135"/>
        <v>0</v>
      </c>
      <c r="AG1043" s="275">
        <f t="shared" si="136"/>
        <v>0</v>
      </c>
    </row>
    <row r="1044" spans="1:33" s="578" customFormat="1" ht="12" customHeight="1">
      <c r="A1044" s="646" t="s">
        <v>1272</v>
      </c>
      <c r="B1044" s="646" t="s">
        <v>1820</v>
      </c>
      <c r="C1044" s="650" t="s">
        <v>330</v>
      </c>
      <c r="D1044" s="648">
        <v>141097</v>
      </c>
      <c r="E1044" s="649">
        <v>15</v>
      </c>
      <c r="F1044" s="573"/>
      <c r="G1044" s="487"/>
      <c r="H1044" s="573"/>
      <c r="I1044" s="487"/>
      <c r="J1044" s="573"/>
      <c r="K1044" s="487"/>
      <c r="L1044" s="573"/>
      <c r="M1044" s="573"/>
      <c r="N1044" s="456">
        <f t="shared" si="137"/>
        <v>0</v>
      </c>
      <c r="O1044" s="487"/>
      <c r="P1044" s="487"/>
      <c r="Q1044" s="274">
        <f t="shared" si="132"/>
        <v>0</v>
      </c>
      <c r="R1044" s="574">
        <f t="shared" si="133"/>
        <v>0</v>
      </c>
      <c r="S1044" s="275">
        <f t="shared" si="134"/>
        <v>0</v>
      </c>
      <c r="T1044" s="575">
        <v>22658134</v>
      </c>
      <c r="U1044" s="487">
        <v>22051710</v>
      </c>
      <c r="V1044" s="576">
        <v>13824991</v>
      </c>
      <c r="W1044" s="573"/>
      <c r="X1044" s="574">
        <f t="shared" si="138"/>
        <v>13824991</v>
      </c>
      <c r="Y1044" s="487">
        <f>16772306+825000</f>
        <v>17597306</v>
      </c>
      <c r="Z1044" s="487"/>
      <c r="AA1044" s="276">
        <f t="shared" si="139"/>
        <v>17597306</v>
      </c>
      <c r="AB1044" s="573"/>
      <c r="AC1044" s="487"/>
      <c r="AD1044" s="573"/>
      <c r="AE1044" s="487"/>
      <c r="AF1044" s="577">
        <f t="shared" si="135"/>
        <v>36483125</v>
      </c>
      <c r="AG1044" s="275">
        <f t="shared" si="136"/>
        <v>39649016</v>
      </c>
    </row>
    <row r="1045" spans="1:33" s="578" customFormat="1" ht="12" customHeight="1">
      <c r="A1045" s="646" t="s">
        <v>1272</v>
      </c>
      <c r="B1045" s="646" t="s">
        <v>1785</v>
      </c>
      <c r="C1045" s="500" t="s">
        <v>1753</v>
      </c>
      <c r="D1045" s="648"/>
      <c r="E1045" s="649"/>
      <c r="F1045" s="573"/>
      <c r="G1045" s="487"/>
      <c r="H1045" s="573"/>
      <c r="I1045" s="487"/>
      <c r="J1045" s="573"/>
      <c r="K1045" s="487"/>
      <c r="L1045" s="573"/>
      <c r="M1045" s="573"/>
      <c r="N1045" s="456">
        <f t="shared" si="137"/>
        <v>0</v>
      </c>
      <c r="O1045" s="487"/>
      <c r="P1045" s="487"/>
      <c r="Q1045" s="274">
        <f t="shared" si="132"/>
        <v>0</v>
      </c>
      <c r="R1045" s="574">
        <f t="shared" si="133"/>
        <v>0</v>
      </c>
      <c r="S1045" s="275">
        <f t="shared" si="134"/>
        <v>0</v>
      </c>
      <c r="T1045" s="575"/>
      <c r="U1045" s="487"/>
      <c r="V1045" s="576"/>
      <c r="W1045" s="573"/>
      <c r="X1045" s="574">
        <f t="shared" si="138"/>
        <v>0</v>
      </c>
      <c r="Y1045" s="487"/>
      <c r="Z1045" s="487"/>
      <c r="AA1045" s="276">
        <f t="shared" si="139"/>
        <v>0</v>
      </c>
      <c r="AB1045" s="573"/>
      <c r="AC1045" s="487"/>
      <c r="AD1045" s="573"/>
      <c r="AE1045" s="487"/>
      <c r="AF1045" s="577">
        <f t="shared" si="135"/>
        <v>0</v>
      </c>
      <c r="AG1045" s="275">
        <f t="shared" si="136"/>
        <v>0</v>
      </c>
    </row>
    <row r="1046" spans="1:33" s="578" customFormat="1" ht="12" customHeight="1" thickBot="1">
      <c r="A1046" s="646" t="s">
        <v>1272</v>
      </c>
      <c r="B1046" s="646" t="s">
        <v>1791</v>
      </c>
      <c r="C1046" s="305" t="s">
        <v>1881</v>
      </c>
      <c r="D1046" s="648"/>
      <c r="E1046" s="649"/>
      <c r="F1046" s="573"/>
      <c r="G1046" s="487"/>
      <c r="H1046" s="573"/>
      <c r="I1046" s="487"/>
      <c r="J1046" s="573"/>
      <c r="K1046" s="487"/>
      <c r="L1046" s="573"/>
      <c r="M1046" s="573"/>
      <c r="N1046" s="456">
        <f t="shared" si="137"/>
        <v>0</v>
      </c>
      <c r="O1046" s="487"/>
      <c r="P1046" s="487"/>
      <c r="Q1046" s="274">
        <f t="shared" si="132"/>
        <v>0</v>
      </c>
      <c r="R1046" s="574">
        <f t="shared" si="133"/>
        <v>0</v>
      </c>
      <c r="S1046" s="275">
        <f t="shared" si="134"/>
        <v>0</v>
      </c>
      <c r="T1046" s="575"/>
      <c r="U1046" s="487"/>
      <c r="V1046" s="576"/>
      <c r="W1046" s="573"/>
      <c r="X1046" s="574">
        <f t="shared" si="138"/>
        <v>0</v>
      </c>
      <c r="Y1046" s="487"/>
      <c r="Z1046" s="487"/>
      <c r="AA1046" s="276">
        <f t="shared" si="139"/>
        <v>0</v>
      </c>
      <c r="AB1046" s="573"/>
      <c r="AC1046" s="487"/>
      <c r="AD1046" s="573"/>
      <c r="AE1046" s="487"/>
      <c r="AF1046" s="577">
        <f t="shared" si="135"/>
        <v>0</v>
      </c>
      <c r="AG1046" s="275">
        <f t="shared" si="136"/>
        <v>0</v>
      </c>
    </row>
    <row r="1047" spans="1:33" s="578" customFormat="1" ht="12" customHeight="1">
      <c r="A1047" s="646" t="s">
        <v>1272</v>
      </c>
      <c r="B1047" s="646" t="s">
        <v>1791</v>
      </c>
      <c r="C1047" s="652" t="s">
        <v>331</v>
      </c>
      <c r="D1047" s="648"/>
      <c r="E1047" s="649"/>
      <c r="F1047" s="573"/>
      <c r="G1047" s="487"/>
      <c r="H1047" s="587">
        <v>2530780</v>
      </c>
      <c r="I1047" s="499">
        <v>1530424</v>
      </c>
      <c r="J1047" s="573"/>
      <c r="K1047" s="487"/>
      <c r="L1047" s="573"/>
      <c r="M1047" s="573"/>
      <c r="N1047" s="456">
        <f t="shared" si="137"/>
        <v>0</v>
      </c>
      <c r="O1047" s="487"/>
      <c r="P1047" s="487"/>
      <c r="Q1047" s="274">
        <f t="shared" si="132"/>
        <v>0</v>
      </c>
      <c r="R1047" s="574">
        <f t="shared" si="133"/>
        <v>2530780</v>
      </c>
      <c r="S1047" s="275">
        <f t="shared" si="134"/>
        <v>1530424</v>
      </c>
      <c r="T1047" s="575"/>
      <c r="U1047" s="487"/>
      <c r="V1047" s="576"/>
      <c r="W1047" s="573"/>
      <c r="X1047" s="574">
        <f t="shared" si="138"/>
        <v>0</v>
      </c>
      <c r="Y1047" s="487"/>
      <c r="Z1047" s="487"/>
      <c r="AA1047" s="276">
        <f t="shared" si="139"/>
        <v>0</v>
      </c>
      <c r="AB1047" s="573"/>
      <c r="AC1047" s="487"/>
      <c r="AD1047" s="573"/>
      <c r="AE1047" s="487"/>
      <c r="AF1047" s="577">
        <f t="shared" si="135"/>
        <v>2530780</v>
      </c>
      <c r="AG1047" s="275">
        <f t="shared" si="136"/>
        <v>1530424</v>
      </c>
    </row>
    <row r="1048" spans="1:33" s="578" customFormat="1" ht="12" customHeight="1">
      <c r="A1048" s="646" t="s">
        <v>1272</v>
      </c>
      <c r="B1048" s="646" t="s">
        <v>1821</v>
      </c>
      <c r="C1048" s="500" t="s">
        <v>1433</v>
      </c>
      <c r="D1048" s="654"/>
      <c r="E1048" s="655"/>
      <c r="F1048" s="573"/>
      <c r="G1048" s="487"/>
      <c r="H1048" s="576"/>
      <c r="I1048" s="487"/>
      <c r="J1048" s="573"/>
      <c r="K1048" s="487"/>
      <c r="L1048" s="573"/>
      <c r="M1048" s="573"/>
      <c r="N1048" s="456">
        <f t="shared" si="137"/>
        <v>0</v>
      </c>
      <c r="O1048" s="487"/>
      <c r="P1048" s="487"/>
      <c r="Q1048" s="274">
        <f t="shared" si="132"/>
        <v>0</v>
      </c>
      <c r="R1048" s="574">
        <f t="shared" si="133"/>
        <v>0</v>
      </c>
      <c r="S1048" s="275">
        <f t="shared" si="134"/>
        <v>0</v>
      </c>
      <c r="T1048" s="575"/>
      <c r="U1048" s="487"/>
      <c r="V1048" s="576"/>
      <c r="W1048" s="573"/>
      <c r="X1048" s="574">
        <f t="shared" si="138"/>
        <v>0</v>
      </c>
      <c r="Y1048" s="487"/>
      <c r="Z1048" s="487"/>
      <c r="AA1048" s="276">
        <f t="shared" si="139"/>
        <v>0</v>
      </c>
      <c r="AB1048" s="573"/>
      <c r="AC1048" s="487"/>
      <c r="AD1048" s="573"/>
      <c r="AE1048" s="487"/>
      <c r="AF1048" s="577">
        <f t="shared" si="135"/>
        <v>0</v>
      </c>
      <c r="AG1048" s="275">
        <f t="shared" si="136"/>
        <v>0</v>
      </c>
    </row>
    <row r="1049" spans="1:33" s="578" customFormat="1" ht="12" customHeight="1">
      <c r="A1049" s="646" t="s">
        <v>1272</v>
      </c>
      <c r="B1049" s="646" t="s">
        <v>1821</v>
      </c>
      <c r="C1049" s="651" t="s">
        <v>332</v>
      </c>
      <c r="D1049" s="654"/>
      <c r="E1049" s="655"/>
      <c r="F1049" s="573"/>
      <c r="G1049" s="487"/>
      <c r="H1049" s="576">
        <v>3504198</v>
      </c>
      <c r="I1049" s="487">
        <v>3103443</v>
      </c>
      <c r="J1049" s="573"/>
      <c r="K1049" s="487"/>
      <c r="L1049" s="573"/>
      <c r="M1049" s="573"/>
      <c r="N1049" s="456">
        <f t="shared" si="137"/>
        <v>0</v>
      </c>
      <c r="O1049" s="487"/>
      <c r="P1049" s="487"/>
      <c r="Q1049" s="274">
        <f t="shared" si="132"/>
        <v>0</v>
      </c>
      <c r="R1049" s="574">
        <f t="shared" si="133"/>
        <v>3504198</v>
      </c>
      <c r="S1049" s="275">
        <f t="shared" si="134"/>
        <v>3103443</v>
      </c>
      <c r="T1049" s="575"/>
      <c r="U1049" s="487"/>
      <c r="V1049" s="576"/>
      <c r="W1049" s="573"/>
      <c r="X1049" s="574">
        <f t="shared" si="138"/>
        <v>0</v>
      </c>
      <c r="Y1049" s="487"/>
      <c r="Z1049" s="487"/>
      <c r="AA1049" s="276">
        <f t="shared" si="139"/>
        <v>0</v>
      </c>
      <c r="AB1049" s="573"/>
      <c r="AC1049" s="487"/>
      <c r="AD1049" s="573"/>
      <c r="AE1049" s="487"/>
      <c r="AF1049" s="577">
        <f t="shared" si="135"/>
        <v>3504198</v>
      </c>
      <c r="AG1049" s="275">
        <f t="shared" si="136"/>
        <v>3103443</v>
      </c>
    </row>
    <row r="1050" spans="1:33" s="578" customFormat="1" ht="12" customHeight="1">
      <c r="A1050" s="646" t="s">
        <v>1272</v>
      </c>
      <c r="B1050" s="646" t="s">
        <v>1821</v>
      </c>
      <c r="C1050" s="651" t="s">
        <v>333</v>
      </c>
      <c r="D1050" s="654"/>
      <c r="E1050" s="655"/>
      <c r="F1050" s="573"/>
      <c r="G1050" s="487"/>
      <c r="H1050" s="953">
        <v>54976722</v>
      </c>
      <c r="I1050" s="953">
        <v>39764292</v>
      </c>
      <c r="J1050" s="573"/>
      <c r="K1050" s="487"/>
      <c r="L1050" s="573"/>
      <c r="M1050" s="573"/>
      <c r="N1050" s="456">
        <f t="shared" si="137"/>
        <v>0</v>
      </c>
      <c r="O1050" s="487"/>
      <c r="P1050" s="487"/>
      <c r="Q1050" s="274">
        <f t="shared" si="132"/>
        <v>0</v>
      </c>
      <c r="R1050" s="574">
        <f t="shared" si="133"/>
        <v>54976722</v>
      </c>
      <c r="S1050" s="275">
        <f t="shared" si="134"/>
        <v>39764292</v>
      </c>
      <c r="T1050" s="575"/>
      <c r="U1050" s="487"/>
      <c r="V1050" s="576"/>
      <c r="W1050" s="573"/>
      <c r="X1050" s="574">
        <f t="shared" si="138"/>
        <v>0</v>
      </c>
      <c r="Y1050" s="487"/>
      <c r="Z1050" s="487"/>
      <c r="AA1050" s="276">
        <f t="shared" si="139"/>
        <v>0</v>
      </c>
      <c r="AB1050" s="573"/>
      <c r="AC1050" s="487"/>
      <c r="AD1050" s="573"/>
      <c r="AE1050" s="487"/>
      <c r="AF1050" s="577">
        <f t="shared" si="135"/>
        <v>54976722</v>
      </c>
      <c r="AG1050" s="275">
        <f t="shared" si="136"/>
        <v>39764292</v>
      </c>
    </row>
    <row r="1051" spans="1:33" s="578" customFormat="1" ht="12" customHeight="1">
      <c r="A1051" s="646" t="s">
        <v>1272</v>
      </c>
      <c r="B1051" s="646" t="s">
        <v>1821</v>
      </c>
      <c r="C1051" s="651"/>
      <c r="D1051" s="654"/>
      <c r="E1051" s="655"/>
      <c r="F1051" s="573"/>
      <c r="G1051" s="487"/>
      <c r="H1051" s="573"/>
      <c r="I1051" s="487"/>
      <c r="J1051" s="573"/>
      <c r="K1051" s="487"/>
      <c r="L1051" s="573"/>
      <c r="M1051" s="573"/>
      <c r="N1051" s="456">
        <f t="shared" si="137"/>
        <v>0</v>
      </c>
      <c r="O1051" s="487"/>
      <c r="P1051" s="487"/>
      <c r="Q1051" s="274">
        <f t="shared" si="132"/>
        <v>0</v>
      </c>
      <c r="R1051" s="574">
        <f t="shared" si="133"/>
        <v>0</v>
      </c>
      <c r="S1051" s="275">
        <f t="shared" si="134"/>
        <v>0</v>
      </c>
      <c r="T1051" s="575"/>
      <c r="U1051" s="487"/>
      <c r="V1051" s="576"/>
      <c r="W1051" s="573"/>
      <c r="X1051" s="574">
        <f t="shared" si="138"/>
        <v>0</v>
      </c>
      <c r="Y1051" s="487"/>
      <c r="Z1051" s="487"/>
      <c r="AA1051" s="276">
        <f t="shared" si="139"/>
        <v>0</v>
      </c>
      <c r="AB1051" s="573"/>
      <c r="AC1051" s="487"/>
      <c r="AD1051" s="573"/>
      <c r="AE1051" s="487"/>
      <c r="AF1051" s="577">
        <f t="shared" si="135"/>
        <v>0</v>
      </c>
      <c r="AG1051" s="275">
        <f t="shared" si="136"/>
        <v>0</v>
      </c>
    </row>
    <row r="1052" spans="1:33" s="578" customFormat="1" ht="12" customHeight="1">
      <c r="A1052" s="646" t="s">
        <v>1272</v>
      </c>
      <c r="B1052" s="646" t="s">
        <v>1821</v>
      </c>
      <c r="C1052" s="651" t="s">
        <v>334</v>
      </c>
      <c r="D1052" s="654"/>
      <c r="E1052" s="655"/>
      <c r="F1052" s="573"/>
      <c r="G1052" s="487"/>
      <c r="H1052" s="573"/>
      <c r="I1052" s="487"/>
      <c r="J1052" s="573"/>
      <c r="K1052" s="487"/>
      <c r="L1052" s="573"/>
      <c r="M1052" s="573"/>
      <c r="N1052" s="456">
        <f t="shared" si="137"/>
        <v>0</v>
      </c>
      <c r="O1052" s="487"/>
      <c r="P1052" s="487"/>
      <c r="Q1052" s="274">
        <f t="shared" si="132"/>
        <v>0</v>
      </c>
      <c r="R1052" s="574">
        <f t="shared" si="133"/>
        <v>0</v>
      </c>
      <c r="S1052" s="275">
        <f t="shared" si="134"/>
        <v>0</v>
      </c>
      <c r="T1052" s="575"/>
      <c r="U1052" s="487"/>
      <c r="V1052" s="576"/>
      <c r="W1052" s="573"/>
      <c r="X1052" s="574">
        <f t="shared" si="138"/>
        <v>0</v>
      </c>
      <c r="Y1052" s="487"/>
      <c r="Z1052" s="487"/>
      <c r="AA1052" s="276">
        <f t="shared" si="139"/>
        <v>0</v>
      </c>
      <c r="AB1052" s="573"/>
      <c r="AC1052" s="487"/>
      <c r="AD1052" s="573"/>
      <c r="AE1052" s="487"/>
      <c r="AF1052" s="577">
        <f t="shared" si="135"/>
        <v>0</v>
      </c>
      <c r="AG1052" s="275">
        <f t="shared" si="136"/>
        <v>0</v>
      </c>
    </row>
    <row r="1053" spans="1:33" s="578" customFormat="1" ht="12" customHeight="1">
      <c r="A1053" s="646" t="s">
        <v>1272</v>
      </c>
      <c r="B1053" s="646" t="s">
        <v>1794</v>
      </c>
      <c r="C1053" s="500" t="s">
        <v>849</v>
      </c>
      <c r="D1053" s="648"/>
      <c r="E1053" s="649"/>
      <c r="F1053" s="573"/>
      <c r="G1053" s="487"/>
      <c r="H1053" s="573"/>
      <c r="I1053" s="487"/>
      <c r="J1053" s="573"/>
      <c r="K1053" s="487"/>
      <c r="L1053" s="573"/>
      <c r="M1053" s="573"/>
      <c r="N1053" s="456">
        <f t="shared" si="137"/>
        <v>0</v>
      </c>
      <c r="O1053" s="487"/>
      <c r="P1053" s="487"/>
      <c r="Q1053" s="274">
        <f t="shared" si="132"/>
        <v>0</v>
      </c>
      <c r="R1053" s="574">
        <f t="shared" si="133"/>
        <v>0</v>
      </c>
      <c r="S1053" s="275">
        <f t="shared" si="134"/>
        <v>0</v>
      </c>
      <c r="T1053" s="575"/>
      <c r="U1053" s="487"/>
      <c r="V1053" s="576"/>
      <c r="W1053" s="573"/>
      <c r="X1053" s="574">
        <f t="shared" si="138"/>
        <v>0</v>
      </c>
      <c r="Y1053" s="487"/>
      <c r="Z1053" s="487"/>
      <c r="AA1053" s="276">
        <f t="shared" si="139"/>
        <v>0</v>
      </c>
      <c r="AB1053" s="573"/>
      <c r="AC1053" s="487"/>
      <c r="AD1053" s="573"/>
      <c r="AE1053" s="487"/>
      <c r="AF1053" s="577">
        <f t="shared" si="135"/>
        <v>0</v>
      </c>
      <c r="AG1053" s="275">
        <f t="shared" si="136"/>
        <v>0</v>
      </c>
    </row>
    <row r="1054" spans="1:33" s="578" customFormat="1" ht="12" customHeight="1">
      <c r="A1054" s="646" t="s">
        <v>1272</v>
      </c>
      <c r="B1054" s="646" t="s">
        <v>1795</v>
      </c>
      <c r="C1054" s="306" t="s">
        <v>957</v>
      </c>
      <c r="D1054" s="648"/>
      <c r="E1054" s="649"/>
      <c r="F1054" s="573"/>
      <c r="G1054" s="487"/>
      <c r="H1054" s="573"/>
      <c r="I1054" s="487"/>
      <c r="J1054" s="573"/>
      <c r="K1054" s="487"/>
      <c r="L1054" s="573"/>
      <c r="M1054" s="573"/>
      <c r="N1054" s="456">
        <f t="shared" si="137"/>
        <v>0</v>
      </c>
      <c r="O1054" s="487"/>
      <c r="P1054" s="487"/>
      <c r="Q1054" s="274">
        <f t="shared" si="132"/>
        <v>0</v>
      </c>
      <c r="R1054" s="574">
        <f t="shared" si="133"/>
        <v>0</v>
      </c>
      <c r="S1054" s="275">
        <f t="shared" si="134"/>
        <v>0</v>
      </c>
      <c r="T1054" s="575"/>
      <c r="U1054" s="487"/>
      <c r="V1054" s="576"/>
      <c r="W1054" s="573"/>
      <c r="X1054" s="574">
        <f t="shared" si="138"/>
        <v>0</v>
      </c>
      <c r="Y1054" s="487"/>
      <c r="Z1054" s="487"/>
      <c r="AA1054" s="276">
        <f t="shared" si="139"/>
        <v>0</v>
      </c>
      <c r="AB1054" s="573"/>
      <c r="AC1054" s="487"/>
      <c r="AD1054" s="573"/>
      <c r="AE1054" s="487"/>
      <c r="AF1054" s="577">
        <f t="shared" si="135"/>
        <v>0</v>
      </c>
      <c r="AG1054" s="275">
        <f t="shared" si="136"/>
        <v>0</v>
      </c>
    </row>
    <row r="1055" spans="1:33" s="578" customFormat="1" ht="12" customHeight="1">
      <c r="A1055" s="646" t="s">
        <v>1272</v>
      </c>
      <c r="B1055" s="646" t="s">
        <v>1795</v>
      </c>
      <c r="C1055" s="652" t="s">
        <v>335</v>
      </c>
      <c r="D1055" s="648"/>
      <c r="E1055" s="649"/>
      <c r="F1055" s="573"/>
      <c r="G1055" s="487"/>
      <c r="H1055" s="573"/>
      <c r="I1055" s="487"/>
      <c r="J1055" s="573"/>
      <c r="K1055" s="487"/>
      <c r="L1055" s="573"/>
      <c r="M1055" s="573"/>
      <c r="N1055" s="456">
        <f t="shared" si="137"/>
        <v>0</v>
      </c>
      <c r="O1055" s="487"/>
      <c r="P1055" s="487"/>
      <c r="Q1055" s="274">
        <f t="shared" si="132"/>
        <v>0</v>
      </c>
      <c r="R1055" s="574">
        <f t="shared" si="133"/>
        <v>0</v>
      </c>
      <c r="S1055" s="275">
        <f t="shared" si="134"/>
        <v>0</v>
      </c>
      <c r="T1055" s="575"/>
      <c r="U1055" s="487"/>
      <c r="V1055" s="576"/>
      <c r="W1055" s="573"/>
      <c r="X1055" s="574">
        <f t="shared" si="138"/>
        <v>0</v>
      </c>
      <c r="Y1055" s="487"/>
      <c r="Z1055" s="487"/>
      <c r="AA1055" s="276">
        <f t="shared" si="139"/>
        <v>0</v>
      </c>
      <c r="AB1055" s="573"/>
      <c r="AC1055" s="487"/>
      <c r="AD1055" s="573"/>
      <c r="AE1055" s="487"/>
      <c r="AF1055" s="577">
        <f t="shared" si="135"/>
        <v>0</v>
      </c>
      <c r="AG1055" s="275">
        <f t="shared" si="136"/>
        <v>0</v>
      </c>
    </row>
    <row r="1056" spans="1:33" s="578" customFormat="1" ht="12" customHeight="1">
      <c r="A1056" s="646" t="s">
        <v>1272</v>
      </c>
      <c r="B1056" s="646" t="s">
        <v>1795</v>
      </c>
      <c r="C1056" s="652" t="s">
        <v>336</v>
      </c>
      <c r="D1056" s="648"/>
      <c r="E1056" s="649"/>
      <c r="F1056" s="573"/>
      <c r="G1056" s="487"/>
      <c r="H1056" s="573"/>
      <c r="I1056" s="487"/>
      <c r="J1056" s="573"/>
      <c r="K1056" s="487"/>
      <c r="L1056" s="573"/>
      <c r="M1056" s="573"/>
      <c r="N1056" s="456">
        <f t="shared" si="137"/>
        <v>0</v>
      </c>
      <c r="O1056" s="487"/>
      <c r="P1056" s="487"/>
      <c r="Q1056" s="274">
        <f t="shared" si="132"/>
        <v>0</v>
      </c>
      <c r="R1056" s="574">
        <f t="shared" si="133"/>
        <v>0</v>
      </c>
      <c r="S1056" s="275">
        <f t="shared" si="134"/>
        <v>0</v>
      </c>
      <c r="T1056" s="575">
        <v>18768992</v>
      </c>
      <c r="U1056" s="487">
        <v>18545421</v>
      </c>
      <c r="V1056" s="576"/>
      <c r="W1056" s="573"/>
      <c r="X1056" s="574">
        <f t="shared" si="138"/>
        <v>0</v>
      </c>
      <c r="Y1056" s="487"/>
      <c r="Z1056" s="487"/>
      <c r="AA1056" s="276">
        <f t="shared" si="139"/>
        <v>0</v>
      </c>
      <c r="AB1056" s="573"/>
      <c r="AC1056" s="487"/>
      <c r="AD1056" s="573"/>
      <c r="AE1056" s="487"/>
      <c r="AF1056" s="577">
        <f t="shared" si="135"/>
        <v>18768992</v>
      </c>
      <c r="AG1056" s="275">
        <f t="shared" si="136"/>
        <v>18545421</v>
      </c>
    </row>
    <row r="1057" spans="1:33" s="578" customFormat="1" ht="12" customHeight="1">
      <c r="A1057" s="646" t="s">
        <v>1272</v>
      </c>
      <c r="B1057" s="646" t="s">
        <v>1795</v>
      </c>
      <c r="C1057" s="652" t="s">
        <v>337</v>
      </c>
      <c r="D1057" s="648"/>
      <c r="E1057" s="649"/>
      <c r="F1057" s="573"/>
      <c r="G1057" s="487"/>
      <c r="H1057" s="573"/>
      <c r="I1057" s="487"/>
      <c r="J1057" s="573"/>
      <c r="K1057" s="487"/>
      <c r="L1057" s="573"/>
      <c r="M1057" s="573"/>
      <c r="N1057" s="456">
        <f t="shared" si="137"/>
        <v>0</v>
      </c>
      <c r="O1057" s="487"/>
      <c r="P1057" s="487"/>
      <c r="Q1057" s="274">
        <f t="shared" si="132"/>
        <v>0</v>
      </c>
      <c r="R1057" s="574">
        <f t="shared" si="133"/>
        <v>0</v>
      </c>
      <c r="S1057" s="275">
        <f t="shared" si="134"/>
        <v>0</v>
      </c>
      <c r="T1057" s="575">
        <v>6557100</v>
      </c>
      <c r="U1057" s="487">
        <v>5834148</v>
      </c>
      <c r="V1057" s="576"/>
      <c r="W1057" s="573"/>
      <c r="X1057" s="574">
        <f t="shared" si="138"/>
        <v>0</v>
      </c>
      <c r="Y1057" s="487"/>
      <c r="Z1057" s="487"/>
      <c r="AA1057" s="276">
        <f t="shared" si="139"/>
        <v>0</v>
      </c>
      <c r="AB1057" s="573"/>
      <c r="AC1057" s="487"/>
      <c r="AD1057" s="573"/>
      <c r="AE1057" s="487"/>
      <c r="AF1057" s="577">
        <f t="shared" si="135"/>
        <v>6557100</v>
      </c>
      <c r="AG1057" s="275">
        <f t="shared" si="136"/>
        <v>5834148</v>
      </c>
    </row>
    <row r="1058" spans="1:33" s="578" customFormat="1" ht="12" customHeight="1">
      <c r="A1058" s="646" t="s">
        <v>1272</v>
      </c>
      <c r="B1058" s="646" t="s">
        <v>1797</v>
      </c>
      <c r="C1058" s="306" t="s">
        <v>955</v>
      </c>
      <c r="D1058" s="654"/>
      <c r="E1058" s="649"/>
      <c r="F1058" s="573"/>
      <c r="G1058" s="487"/>
      <c r="H1058" s="573"/>
      <c r="I1058" s="487"/>
      <c r="J1058" s="573"/>
      <c r="K1058" s="487"/>
      <c r="L1058" s="573"/>
      <c r="M1058" s="573"/>
      <c r="N1058" s="456">
        <f t="shared" si="137"/>
        <v>0</v>
      </c>
      <c r="O1058" s="487"/>
      <c r="P1058" s="487"/>
      <c r="Q1058" s="274">
        <f t="shared" si="132"/>
        <v>0</v>
      </c>
      <c r="R1058" s="574">
        <f t="shared" si="133"/>
        <v>0</v>
      </c>
      <c r="S1058" s="275">
        <f t="shared" si="134"/>
        <v>0</v>
      </c>
      <c r="T1058" s="575"/>
      <c r="U1058" s="487"/>
      <c r="V1058" s="576"/>
      <c r="W1058" s="573"/>
      <c r="X1058" s="574">
        <f t="shared" si="138"/>
        <v>0</v>
      </c>
      <c r="Y1058" s="487"/>
      <c r="Z1058" s="487"/>
      <c r="AA1058" s="276">
        <f t="shared" si="139"/>
        <v>0</v>
      </c>
      <c r="AB1058" s="573"/>
      <c r="AC1058" s="487"/>
      <c r="AD1058" s="573"/>
      <c r="AE1058" s="487"/>
      <c r="AF1058" s="577">
        <f t="shared" si="135"/>
        <v>0</v>
      </c>
      <c r="AG1058" s="275">
        <f t="shared" si="136"/>
        <v>0</v>
      </c>
    </row>
    <row r="1059" spans="1:33" s="578" customFormat="1" ht="12" customHeight="1">
      <c r="A1059" s="646" t="s">
        <v>1272</v>
      </c>
      <c r="B1059" s="646" t="s">
        <v>1797</v>
      </c>
      <c r="C1059" s="656" t="s">
        <v>1403</v>
      </c>
      <c r="D1059" s="654"/>
      <c r="E1059" s="649"/>
      <c r="F1059" s="573"/>
      <c r="G1059" s="487"/>
      <c r="H1059" s="573"/>
      <c r="I1059" s="487"/>
      <c r="J1059" s="573"/>
      <c r="K1059" s="487"/>
      <c r="L1059" s="573"/>
      <c r="M1059" s="573"/>
      <c r="N1059" s="456">
        <f t="shared" si="137"/>
        <v>0</v>
      </c>
      <c r="O1059" s="487"/>
      <c r="P1059" s="487"/>
      <c r="Q1059" s="274">
        <f t="shared" si="132"/>
        <v>0</v>
      </c>
      <c r="R1059" s="574">
        <f t="shared" si="133"/>
        <v>0</v>
      </c>
      <c r="S1059" s="275">
        <f t="shared" si="134"/>
        <v>0</v>
      </c>
      <c r="T1059" s="575">
        <v>97900</v>
      </c>
      <c r="U1059" s="487">
        <v>103550</v>
      </c>
      <c r="V1059" s="576"/>
      <c r="W1059" s="573"/>
      <c r="X1059" s="574">
        <f t="shared" si="138"/>
        <v>0</v>
      </c>
      <c r="Y1059" s="487"/>
      <c r="Z1059" s="487"/>
      <c r="AA1059" s="276">
        <f t="shared" si="139"/>
        <v>0</v>
      </c>
      <c r="AB1059" s="573"/>
      <c r="AC1059" s="487"/>
      <c r="AD1059" s="573"/>
      <c r="AE1059" s="487"/>
      <c r="AF1059" s="577">
        <f t="shared" si="135"/>
        <v>97900</v>
      </c>
      <c r="AG1059" s="275">
        <f t="shared" si="136"/>
        <v>103550</v>
      </c>
    </row>
    <row r="1060" spans="1:33" s="578" customFormat="1" ht="12" customHeight="1">
      <c r="A1060" s="646" t="s">
        <v>1272</v>
      </c>
      <c r="B1060" s="646" t="s">
        <v>1797</v>
      </c>
      <c r="C1060" s="656" t="s">
        <v>338</v>
      </c>
      <c r="D1060" s="654"/>
      <c r="E1060" s="649"/>
      <c r="F1060" s="573"/>
      <c r="G1060" s="487"/>
      <c r="H1060" s="573"/>
      <c r="I1060" s="487"/>
      <c r="J1060" s="573"/>
      <c r="K1060" s="487"/>
      <c r="L1060" s="573"/>
      <c r="M1060" s="573"/>
      <c r="N1060" s="456">
        <f t="shared" si="137"/>
        <v>0</v>
      </c>
      <c r="O1060" s="487"/>
      <c r="P1060" s="487"/>
      <c r="Q1060" s="274">
        <f t="shared" si="132"/>
        <v>0</v>
      </c>
      <c r="R1060" s="574">
        <f t="shared" si="133"/>
        <v>0</v>
      </c>
      <c r="S1060" s="275">
        <f t="shared" si="134"/>
        <v>0</v>
      </c>
      <c r="T1060" s="575">
        <v>400000</v>
      </c>
      <c r="U1060" s="487">
        <v>500000</v>
      </c>
      <c r="V1060" s="576"/>
      <c r="W1060" s="573"/>
      <c r="X1060" s="574">
        <f t="shared" si="138"/>
        <v>0</v>
      </c>
      <c r="Y1060" s="487"/>
      <c r="Z1060" s="487"/>
      <c r="AA1060" s="276">
        <f t="shared" si="139"/>
        <v>0</v>
      </c>
      <c r="AB1060" s="573"/>
      <c r="AC1060" s="487"/>
      <c r="AD1060" s="573"/>
      <c r="AE1060" s="487"/>
      <c r="AF1060" s="577">
        <f t="shared" si="135"/>
        <v>400000</v>
      </c>
      <c r="AG1060" s="275">
        <f t="shared" si="136"/>
        <v>500000</v>
      </c>
    </row>
    <row r="1061" spans="1:33" s="578" customFormat="1" ht="12" customHeight="1">
      <c r="A1061" s="646" t="s">
        <v>1272</v>
      </c>
      <c r="B1061" s="646" t="s">
        <v>1798</v>
      </c>
      <c r="C1061" s="307" t="s">
        <v>1606</v>
      </c>
      <c r="D1061" s="657"/>
      <c r="E1061" s="649"/>
      <c r="F1061" s="573"/>
      <c r="G1061" s="487"/>
      <c r="H1061" s="573"/>
      <c r="I1061" s="487"/>
      <c r="J1061" s="573"/>
      <c r="K1061" s="487"/>
      <c r="L1061" s="573"/>
      <c r="M1061" s="573"/>
      <c r="N1061" s="456">
        <f t="shared" si="137"/>
        <v>0</v>
      </c>
      <c r="O1061" s="487"/>
      <c r="P1061" s="487"/>
      <c r="Q1061" s="274">
        <f t="shared" si="132"/>
        <v>0</v>
      </c>
      <c r="R1061" s="574">
        <f t="shared" si="133"/>
        <v>0</v>
      </c>
      <c r="S1061" s="275">
        <f t="shared" si="134"/>
        <v>0</v>
      </c>
      <c r="T1061" s="575"/>
      <c r="U1061" s="487"/>
      <c r="V1061" s="576"/>
      <c r="W1061" s="573"/>
      <c r="X1061" s="574">
        <f t="shared" si="138"/>
        <v>0</v>
      </c>
      <c r="Y1061" s="487"/>
      <c r="Z1061" s="487"/>
      <c r="AA1061" s="276">
        <f t="shared" si="139"/>
        <v>0</v>
      </c>
      <c r="AB1061" s="573"/>
      <c r="AC1061" s="487"/>
      <c r="AD1061" s="573"/>
      <c r="AE1061" s="487"/>
      <c r="AF1061" s="577">
        <f t="shared" si="135"/>
        <v>0</v>
      </c>
      <c r="AG1061" s="275">
        <f t="shared" si="136"/>
        <v>0</v>
      </c>
    </row>
    <row r="1062" spans="1:33" s="578" customFormat="1" ht="12" customHeight="1">
      <c r="A1062" s="646" t="s">
        <v>1272</v>
      </c>
      <c r="B1062" s="646" t="s">
        <v>1798</v>
      </c>
      <c r="C1062" s="651" t="s">
        <v>339</v>
      </c>
      <c r="D1062" s="657"/>
      <c r="E1062" s="655"/>
      <c r="F1062" s="573"/>
      <c r="G1062" s="487"/>
      <c r="H1062" s="573"/>
      <c r="I1062" s="487"/>
      <c r="J1062" s="573"/>
      <c r="K1062" s="487"/>
      <c r="L1062" s="573"/>
      <c r="M1062" s="573"/>
      <c r="N1062" s="456">
        <f t="shared" si="137"/>
        <v>0</v>
      </c>
      <c r="O1062" s="487"/>
      <c r="P1062" s="487"/>
      <c r="Q1062" s="274">
        <f t="shared" si="132"/>
        <v>0</v>
      </c>
      <c r="R1062" s="574">
        <f t="shared" si="133"/>
        <v>0</v>
      </c>
      <c r="S1062" s="275">
        <f t="shared" si="134"/>
        <v>0</v>
      </c>
      <c r="T1062" s="575">
        <v>158912</v>
      </c>
      <c r="U1062" s="953"/>
      <c r="V1062" s="576"/>
      <c r="W1062" s="573"/>
      <c r="X1062" s="574">
        <f t="shared" si="138"/>
        <v>0</v>
      </c>
      <c r="Y1062" s="487"/>
      <c r="Z1062" s="487"/>
      <c r="AA1062" s="276">
        <f t="shared" si="139"/>
        <v>0</v>
      </c>
      <c r="AB1062" s="573"/>
      <c r="AC1062" s="487"/>
      <c r="AD1062" s="573"/>
      <c r="AE1062" s="487"/>
      <c r="AF1062" s="577">
        <f t="shared" si="135"/>
        <v>158912</v>
      </c>
      <c r="AG1062" s="275">
        <f t="shared" si="136"/>
        <v>0</v>
      </c>
    </row>
    <row r="1063" spans="1:33" s="578" customFormat="1" ht="12" customHeight="1">
      <c r="A1063" s="646" t="s">
        <v>1272</v>
      </c>
      <c r="B1063" s="646" t="s">
        <v>1799</v>
      </c>
      <c r="C1063" s="500" t="s">
        <v>853</v>
      </c>
      <c r="D1063" s="654"/>
      <c r="E1063" s="655"/>
      <c r="F1063" s="573"/>
      <c r="G1063" s="487"/>
      <c r="H1063" s="573"/>
      <c r="I1063" s="487"/>
      <c r="J1063" s="573"/>
      <c r="K1063" s="487"/>
      <c r="L1063" s="573"/>
      <c r="M1063" s="573"/>
      <c r="N1063" s="456">
        <f t="shared" si="137"/>
        <v>0</v>
      </c>
      <c r="O1063" s="487"/>
      <c r="P1063" s="487"/>
      <c r="Q1063" s="274">
        <f t="shared" si="132"/>
        <v>0</v>
      </c>
      <c r="R1063" s="574">
        <f t="shared" si="133"/>
        <v>0</v>
      </c>
      <c r="S1063" s="275">
        <f t="shared" si="134"/>
        <v>0</v>
      </c>
      <c r="T1063" s="575"/>
      <c r="U1063" s="487"/>
      <c r="V1063" s="576"/>
      <c r="W1063" s="573"/>
      <c r="X1063" s="574">
        <f t="shared" si="138"/>
        <v>0</v>
      </c>
      <c r="Y1063" s="487"/>
      <c r="Z1063" s="487"/>
      <c r="AA1063" s="276">
        <f t="shared" si="139"/>
        <v>0</v>
      </c>
      <c r="AB1063" s="573"/>
      <c r="AC1063" s="487"/>
      <c r="AD1063" s="573"/>
      <c r="AE1063" s="487"/>
      <c r="AF1063" s="577">
        <f t="shared" si="135"/>
        <v>0</v>
      </c>
      <c r="AG1063" s="275">
        <f t="shared" si="136"/>
        <v>0</v>
      </c>
    </row>
    <row r="1064" spans="1:33" s="578" customFormat="1" ht="12" customHeight="1">
      <c r="A1064" s="646" t="s">
        <v>1272</v>
      </c>
      <c r="B1064" s="646" t="s">
        <v>1799</v>
      </c>
      <c r="C1064" s="651" t="s">
        <v>340</v>
      </c>
      <c r="D1064" s="654"/>
      <c r="E1064" s="655"/>
      <c r="F1064" s="573"/>
      <c r="G1064" s="487"/>
      <c r="H1064" s="573"/>
      <c r="I1064" s="487"/>
      <c r="J1064" s="573"/>
      <c r="K1064" s="487"/>
      <c r="L1064" s="573"/>
      <c r="M1064" s="573"/>
      <c r="N1064" s="456">
        <f t="shared" si="137"/>
        <v>0</v>
      </c>
      <c r="O1064" s="487"/>
      <c r="P1064" s="487"/>
      <c r="Q1064" s="274">
        <f t="shared" si="132"/>
        <v>0</v>
      </c>
      <c r="R1064" s="574">
        <f t="shared" si="133"/>
        <v>0</v>
      </c>
      <c r="S1064" s="275">
        <f t="shared" si="134"/>
        <v>0</v>
      </c>
      <c r="T1064" s="575">
        <v>3062125</v>
      </c>
      <c r="U1064" s="487">
        <v>2636371</v>
      </c>
      <c r="V1064" s="576"/>
      <c r="W1064" s="573"/>
      <c r="X1064" s="574">
        <f t="shared" si="138"/>
        <v>0</v>
      </c>
      <c r="Y1064" s="487"/>
      <c r="Z1064" s="487"/>
      <c r="AA1064" s="276">
        <f t="shared" si="139"/>
        <v>0</v>
      </c>
      <c r="AB1064" s="573"/>
      <c r="AC1064" s="487"/>
      <c r="AD1064" s="573"/>
      <c r="AE1064" s="487"/>
      <c r="AF1064" s="577">
        <f t="shared" si="135"/>
        <v>3062125</v>
      </c>
      <c r="AG1064" s="275">
        <f t="shared" si="136"/>
        <v>2636371</v>
      </c>
    </row>
    <row r="1065" spans="1:33" s="658" customFormat="1" ht="12" customHeight="1">
      <c r="A1065" s="646" t="s">
        <v>1272</v>
      </c>
      <c r="B1065" s="646" t="s">
        <v>1799</v>
      </c>
      <c r="C1065" s="651" t="s">
        <v>341</v>
      </c>
      <c r="D1065" s="654"/>
      <c r="E1065" s="655"/>
      <c r="F1065" s="573"/>
      <c r="G1065" s="487"/>
      <c r="H1065" s="573"/>
      <c r="I1065" s="487"/>
      <c r="J1065" s="573"/>
      <c r="K1065" s="487"/>
      <c r="L1065" s="573"/>
      <c r="M1065" s="573"/>
      <c r="N1065" s="456">
        <f t="shared" si="137"/>
        <v>0</v>
      </c>
      <c r="O1065" s="487"/>
      <c r="P1065" s="487"/>
      <c r="Q1065" s="274">
        <f t="shared" si="132"/>
        <v>0</v>
      </c>
      <c r="R1065" s="574">
        <f t="shared" si="133"/>
        <v>0</v>
      </c>
      <c r="S1065" s="275">
        <f t="shared" si="134"/>
        <v>0</v>
      </c>
      <c r="T1065" s="575">
        <v>24560862</v>
      </c>
      <c r="U1065" s="950">
        <v>22922360</v>
      </c>
      <c r="V1065" s="576"/>
      <c r="W1065" s="573"/>
      <c r="X1065" s="574">
        <f t="shared" si="138"/>
        <v>0</v>
      </c>
      <c r="Y1065" s="487"/>
      <c r="Z1065" s="487"/>
      <c r="AA1065" s="276">
        <f t="shared" si="139"/>
        <v>0</v>
      </c>
      <c r="AB1065" s="573"/>
      <c r="AC1065" s="487"/>
      <c r="AD1065" s="573"/>
      <c r="AE1065" s="487"/>
      <c r="AF1065" s="577">
        <f t="shared" si="135"/>
        <v>24560862</v>
      </c>
      <c r="AG1065" s="275">
        <f t="shared" si="136"/>
        <v>22922360</v>
      </c>
    </row>
    <row r="1066" spans="1:33" s="658" customFormat="1" ht="12" customHeight="1">
      <c r="A1066" s="646" t="s">
        <v>1272</v>
      </c>
      <c r="B1066" s="646" t="s">
        <v>1799</v>
      </c>
      <c r="C1066" s="651" t="s">
        <v>342</v>
      </c>
      <c r="D1066" s="654"/>
      <c r="E1066" s="655"/>
      <c r="F1066" s="573"/>
      <c r="G1066" s="487"/>
      <c r="H1066" s="573"/>
      <c r="I1066" s="487"/>
      <c r="J1066" s="573"/>
      <c r="K1066" s="487"/>
      <c r="L1066" s="573"/>
      <c r="M1066" s="573"/>
      <c r="N1066" s="456">
        <f t="shared" si="137"/>
        <v>0</v>
      </c>
      <c r="O1066" s="487"/>
      <c r="P1066" s="487"/>
      <c r="Q1066" s="274">
        <f t="shared" si="132"/>
        <v>0</v>
      </c>
      <c r="R1066" s="574">
        <f t="shared" si="133"/>
        <v>0</v>
      </c>
      <c r="S1066" s="275">
        <f t="shared" si="134"/>
        <v>0</v>
      </c>
      <c r="T1066" s="575">
        <v>11247293</v>
      </c>
      <c r="U1066" s="950">
        <v>12130220</v>
      </c>
      <c r="V1066" s="576"/>
      <c r="W1066" s="573"/>
      <c r="X1066" s="574">
        <f t="shared" si="138"/>
        <v>0</v>
      </c>
      <c r="Y1066" s="487"/>
      <c r="Z1066" s="487"/>
      <c r="AA1066" s="276">
        <f t="shared" si="139"/>
        <v>0</v>
      </c>
      <c r="AB1066" s="573"/>
      <c r="AC1066" s="487"/>
      <c r="AD1066" s="573"/>
      <c r="AE1066" s="487"/>
      <c r="AF1066" s="577">
        <f t="shared" si="135"/>
        <v>11247293</v>
      </c>
      <c r="AG1066" s="275">
        <f t="shared" si="136"/>
        <v>12130220</v>
      </c>
    </row>
    <row r="1067" spans="1:33" s="578" customFormat="1" ht="12" customHeight="1">
      <c r="A1067" s="646" t="s">
        <v>1272</v>
      </c>
      <c r="B1067" s="646" t="s">
        <v>1799</v>
      </c>
      <c r="C1067" s="651" t="s">
        <v>1006</v>
      </c>
      <c r="D1067" s="654"/>
      <c r="E1067" s="655"/>
      <c r="F1067" s="573"/>
      <c r="G1067" s="487"/>
      <c r="H1067" s="573"/>
      <c r="I1067" s="487"/>
      <c r="J1067" s="573"/>
      <c r="K1067" s="487"/>
      <c r="L1067" s="573"/>
      <c r="M1067" s="573"/>
      <c r="N1067" s="456">
        <f t="shared" si="137"/>
        <v>0</v>
      </c>
      <c r="O1067" s="487"/>
      <c r="P1067" s="487"/>
      <c r="Q1067" s="274">
        <f t="shared" si="132"/>
        <v>0</v>
      </c>
      <c r="R1067" s="574">
        <f t="shared" si="133"/>
        <v>0</v>
      </c>
      <c r="S1067" s="275">
        <f t="shared" si="134"/>
        <v>0</v>
      </c>
      <c r="T1067" s="575"/>
      <c r="U1067" s="487"/>
      <c r="V1067" s="576"/>
      <c r="W1067" s="573"/>
      <c r="X1067" s="574">
        <f t="shared" si="138"/>
        <v>0</v>
      </c>
      <c r="Y1067" s="487"/>
      <c r="Z1067" s="487"/>
      <c r="AA1067" s="276">
        <f t="shared" si="139"/>
        <v>0</v>
      </c>
      <c r="AB1067" s="573"/>
      <c r="AC1067" s="487"/>
      <c r="AD1067" s="573"/>
      <c r="AE1067" s="487"/>
      <c r="AF1067" s="577">
        <f t="shared" si="135"/>
        <v>0</v>
      </c>
      <c r="AG1067" s="275">
        <f t="shared" si="136"/>
        <v>0</v>
      </c>
    </row>
    <row r="1068" spans="1:33" s="578" customFormat="1" ht="12" customHeight="1">
      <c r="A1068" s="646" t="s">
        <v>1272</v>
      </c>
      <c r="B1068" s="646" t="s">
        <v>1800</v>
      </c>
      <c r="C1068" s="500" t="s">
        <v>858</v>
      </c>
      <c r="D1068" s="654"/>
      <c r="E1068" s="655"/>
      <c r="F1068" s="573"/>
      <c r="G1068" s="487"/>
      <c r="H1068" s="573"/>
      <c r="I1068" s="487"/>
      <c r="J1068" s="573"/>
      <c r="K1068" s="487"/>
      <c r="L1068" s="573"/>
      <c r="M1068" s="573"/>
      <c r="N1068" s="456">
        <f t="shared" si="137"/>
        <v>0</v>
      </c>
      <c r="O1068" s="487"/>
      <c r="P1068" s="487"/>
      <c r="Q1068" s="274">
        <f t="shared" si="132"/>
        <v>0</v>
      </c>
      <c r="R1068" s="574">
        <f t="shared" si="133"/>
        <v>0</v>
      </c>
      <c r="S1068" s="275">
        <f t="shared" si="134"/>
        <v>0</v>
      </c>
      <c r="T1068" s="575"/>
      <c r="U1068" s="487"/>
      <c r="V1068" s="576"/>
      <c r="W1068" s="573"/>
      <c r="X1068" s="574">
        <f t="shared" si="138"/>
        <v>0</v>
      </c>
      <c r="Y1068" s="487"/>
      <c r="Z1068" s="487"/>
      <c r="AA1068" s="276">
        <f t="shared" si="139"/>
        <v>0</v>
      </c>
      <c r="AB1068" s="573"/>
      <c r="AC1068" s="487"/>
      <c r="AD1068" s="573"/>
      <c r="AE1068" s="487"/>
      <c r="AF1068" s="577">
        <f t="shared" si="135"/>
        <v>0</v>
      </c>
      <c r="AG1068" s="275">
        <f t="shared" si="136"/>
        <v>0</v>
      </c>
    </row>
    <row r="1069" spans="1:33" s="578" customFormat="1" ht="12" customHeight="1">
      <c r="A1069" s="646" t="s">
        <v>1272</v>
      </c>
      <c r="B1069" s="646" t="s">
        <v>1801</v>
      </c>
      <c r="C1069" s="306" t="s">
        <v>859</v>
      </c>
      <c r="D1069" s="654"/>
      <c r="E1069" s="655"/>
      <c r="F1069" s="573"/>
      <c r="G1069" s="487"/>
      <c r="H1069" s="573"/>
      <c r="I1069" s="487"/>
      <c r="J1069" s="573"/>
      <c r="K1069" s="487"/>
      <c r="L1069" s="573"/>
      <c r="M1069" s="573"/>
      <c r="N1069" s="456">
        <f t="shared" si="137"/>
        <v>0</v>
      </c>
      <c r="O1069" s="487"/>
      <c r="P1069" s="487"/>
      <c r="Q1069" s="274">
        <f t="shared" si="132"/>
        <v>0</v>
      </c>
      <c r="R1069" s="574">
        <f t="shared" si="133"/>
        <v>0</v>
      </c>
      <c r="S1069" s="275">
        <f t="shared" si="134"/>
        <v>0</v>
      </c>
      <c r="T1069" s="575"/>
      <c r="U1069" s="487"/>
      <c r="V1069" s="576"/>
      <c r="W1069" s="573"/>
      <c r="X1069" s="574">
        <f t="shared" si="138"/>
        <v>0</v>
      </c>
      <c r="Y1069" s="487"/>
      <c r="Z1069" s="487"/>
      <c r="AA1069" s="276">
        <f t="shared" si="139"/>
        <v>0</v>
      </c>
      <c r="AB1069" s="573"/>
      <c r="AC1069" s="487"/>
      <c r="AD1069" s="573"/>
      <c r="AE1069" s="487"/>
      <c r="AF1069" s="577">
        <f t="shared" si="135"/>
        <v>0</v>
      </c>
      <c r="AG1069" s="275">
        <f t="shared" si="136"/>
        <v>0</v>
      </c>
    </row>
    <row r="1070" spans="1:33" s="578" customFormat="1" ht="12" customHeight="1">
      <c r="A1070" s="646" t="s">
        <v>1272</v>
      </c>
      <c r="B1070" s="646" t="s">
        <v>1801</v>
      </c>
      <c r="C1070" s="651" t="s">
        <v>1007</v>
      </c>
      <c r="D1070" s="654"/>
      <c r="E1070" s="655"/>
      <c r="F1070" s="573"/>
      <c r="G1070" s="487"/>
      <c r="H1070" s="573"/>
      <c r="I1070" s="487"/>
      <c r="J1070" s="573"/>
      <c r="K1070" s="487"/>
      <c r="L1070" s="573"/>
      <c r="M1070" s="573"/>
      <c r="N1070" s="456">
        <f t="shared" si="137"/>
        <v>0</v>
      </c>
      <c r="O1070" s="487"/>
      <c r="P1070" s="487"/>
      <c r="Q1070" s="274">
        <f t="shared" si="132"/>
        <v>0</v>
      </c>
      <c r="R1070" s="574">
        <f t="shared" si="133"/>
        <v>0</v>
      </c>
      <c r="S1070" s="275">
        <f t="shared" si="134"/>
        <v>0</v>
      </c>
      <c r="T1070" s="575"/>
      <c r="U1070" s="487"/>
      <c r="V1070" s="576"/>
      <c r="W1070" s="573"/>
      <c r="X1070" s="574">
        <f t="shared" si="138"/>
        <v>0</v>
      </c>
      <c r="Y1070" s="487"/>
      <c r="Z1070" s="487"/>
      <c r="AA1070" s="276">
        <f t="shared" si="139"/>
        <v>0</v>
      </c>
      <c r="AB1070" s="573"/>
      <c r="AC1070" s="487"/>
      <c r="AD1070" s="573"/>
      <c r="AE1070" s="487"/>
      <c r="AF1070" s="577">
        <f t="shared" si="135"/>
        <v>0</v>
      </c>
      <c r="AG1070" s="275">
        <f t="shared" si="136"/>
        <v>0</v>
      </c>
    </row>
    <row r="1071" spans="1:33" s="578" customFormat="1" ht="12" customHeight="1">
      <c r="A1071" s="646" t="s">
        <v>1272</v>
      </c>
      <c r="B1071" s="646" t="s">
        <v>1801</v>
      </c>
      <c r="C1071" s="651" t="s">
        <v>1008</v>
      </c>
      <c r="D1071" s="654"/>
      <c r="E1071" s="655"/>
      <c r="F1071" s="573"/>
      <c r="G1071" s="487"/>
      <c r="H1071" s="573"/>
      <c r="I1071" s="487"/>
      <c r="J1071" s="573"/>
      <c r="K1071" s="487"/>
      <c r="L1071" s="573"/>
      <c r="M1071" s="573"/>
      <c r="N1071" s="456">
        <f t="shared" si="137"/>
        <v>0</v>
      </c>
      <c r="O1071" s="487"/>
      <c r="P1071" s="487"/>
      <c r="Q1071" s="274">
        <f t="shared" si="132"/>
        <v>0</v>
      </c>
      <c r="R1071" s="574">
        <f t="shared" si="133"/>
        <v>0</v>
      </c>
      <c r="S1071" s="275">
        <f t="shared" si="134"/>
        <v>0</v>
      </c>
      <c r="T1071" s="575">
        <v>366800</v>
      </c>
      <c r="U1071" s="487">
        <v>314400</v>
      </c>
      <c r="V1071" s="576"/>
      <c r="W1071" s="573"/>
      <c r="X1071" s="574">
        <f t="shared" si="138"/>
        <v>0</v>
      </c>
      <c r="Y1071" s="487"/>
      <c r="Z1071" s="487"/>
      <c r="AA1071" s="276">
        <f t="shared" si="139"/>
        <v>0</v>
      </c>
      <c r="AB1071" s="573"/>
      <c r="AC1071" s="487"/>
      <c r="AD1071" s="573"/>
      <c r="AE1071" s="487"/>
      <c r="AF1071" s="577">
        <f t="shared" si="135"/>
        <v>366800</v>
      </c>
      <c r="AG1071" s="275">
        <f t="shared" si="136"/>
        <v>314400</v>
      </c>
    </row>
    <row r="1072" spans="1:33" s="578" customFormat="1" ht="12" customHeight="1">
      <c r="A1072" s="646" t="s">
        <v>1272</v>
      </c>
      <c r="B1072" s="646" t="s">
        <v>1801</v>
      </c>
      <c r="C1072" s="651" t="s">
        <v>1009</v>
      </c>
      <c r="D1072" s="654"/>
      <c r="E1072" s="655"/>
      <c r="F1072" s="573"/>
      <c r="G1072" s="487"/>
      <c r="H1072" s="573"/>
      <c r="I1072" s="487"/>
      <c r="J1072" s="573"/>
      <c r="K1072" s="487"/>
      <c r="L1072" s="573"/>
      <c r="M1072" s="573"/>
      <c r="N1072" s="456">
        <f t="shared" si="137"/>
        <v>0</v>
      </c>
      <c r="O1072" s="487"/>
      <c r="P1072" s="487"/>
      <c r="Q1072" s="274">
        <f t="shared" si="132"/>
        <v>0</v>
      </c>
      <c r="R1072" s="574">
        <f t="shared" si="133"/>
        <v>0</v>
      </c>
      <c r="S1072" s="275">
        <f t="shared" si="134"/>
        <v>0</v>
      </c>
      <c r="T1072" s="575">
        <v>157200</v>
      </c>
      <c r="U1072" s="487">
        <v>104800</v>
      </c>
      <c r="V1072" s="576"/>
      <c r="W1072" s="573"/>
      <c r="X1072" s="574">
        <f t="shared" si="138"/>
        <v>0</v>
      </c>
      <c r="Y1072" s="487"/>
      <c r="Z1072" s="487"/>
      <c r="AA1072" s="276">
        <f t="shared" si="139"/>
        <v>0</v>
      </c>
      <c r="AB1072" s="573"/>
      <c r="AC1072" s="487"/>
      <c r="AD1072" s="573"/>
      <c r="AE1072" s="487"/>
      <c r="AF1072" s="577">
        <f t="shared" si="135"/>
        <v>157200</v>
      </c>
      <c r="AG1072" s="275">
        <f t="shared" si="136"/>
        <v>104800</v>
      </c>
    </row>
    <row r="1073" spans="1:33" s="578" customFormat="1" ht="12" customHeight="1">
      <c r="A1073" s="646" t="s">
        <v>1272</v>
      </c>
      <c r="B1073" s="646" t="s">
        <v>1802</v>
      </c>
      <c r="C1073" s="306" t="s">
        <v>861</v>
      </c>
      <c r="D1073" s="654"/>
      <c r="E1073" s="655"/>
      <c r="F1073" s="573"/>
      <c r="G1073" s="487"/>
      <c r="H1073" s="573"/>
      <c r="I1073" s="487"/>
      <c r="J1073" s="573"/>
      <c r="K1073" s="487"/>
      <c r="L1073" s="573"/>
      <c r="M1073" s="573"/>
      <c r="N1073" s="456">
        <f t="shared" si="137"/>
        <v>0</v>
      </c>
      <c r="O1073" s="487"/>
      <c r="P1073" s="487"/>
      <c r="Q1073" s="274">
        <f t="shared" si="132"/>
        <v>0</v>
      </c>
      <c r="R1073" s="574">
        <f t="shared" si="133"/>
        <v>0</v>
      </c>
      <c r="S1073" s="275">
        <f t="shared" si="134"/>
        <v>0</v>
      </c>
      <c r="T1073" s="575"/>
      <c r="U1073" s="487"/>
      <c r="V1073" s="576"/>
      <c r="W1073" s="573"/>
      <c r="X1073" s="574">
        <f t="shared" si="138"/>
        <v>0</v>
      </c>
      <c r="Y1073" s="487"/>
      <c r="Z1073" s="487"/>
      <c r="AA1073" s="276">
        <f t="shared" si="139"/>
        <v>0</v>
      </c>
      <c r="AB1073" s="573"/>
      <c r="AC1073" s="487"/>
      <c r="AD1073" s="573"/>
      <c r="AE1073" s="487"/>
      <c r="AF1073" s="577">
        <f t="shared" si="135"/>
        <v>0</v>
      </c>
      <c r="AG1073" s="275">
        <f t="shared" si="136"/>
        <v>0</v>
      </c>
    </row>
    <row r="1074" spans="1:33" s="578" customFormat="1" ht="12" customHeight="1">
      <c r="A1074" s="646" t="s">
        <v>1272</v>
      </c>
      <c r="B1074" s="646" t="s">
        <v>1802</v>
      </c>
      <c r="C1074" s="651" t="s">
        <v>1010</v>
      </c>
      <c r="D1074" s="654"/>
      <c r="E1074" s="655"/>
      <c r="F1074" s="573"/>
      <c r="G1074" s="487"/>
      <c r="H1074" s="573"/>
      <c r="I1074" s="487"/>
      <c r="J1074" s="573"/>
      <c r="K1074" s="487"/>
      <c r="L1074" s="573"/>
      <c r="M1074" s="573"/>
      <c r="N1074" s="456">
        <f t="shared" si="137"/>
        <v>0</v>
      </c>
      <c r="O1074" s="487"/>
      <c r="P1074" s="487"/>
      <c r="Q1074" s="274">
        <f t="shared" si="132"/>
        <v>0</v>
      </c>
      <c r="R1074" s="574">
        <f t="shared" si="133"/>
        <v>0</v>
      </c>
      <c r="S1074" s="275">
        <f t="shared" si="134"/>
        <v>0</v>
      </c>
      <c r="T1074" s="575">
        <v>104800</v>
      </c>
      <c r="U1074" s="487">
        <v>104800</v>
      </c>
      <c r="V1074" s="576"/>
      <c r="W1074" s="573"/>
      <c r="X1074" s="574">
        <f t="shared" si="138"/>
        <v>0</v>
      </c>
      <c r="Y1074" s="487"/>
      <c r="Z1074" s="487"/>
      <c r="AA1074" s="276">
        <f t="shared" si="139"/>
        <v>0</v>
      </c>
      <c r="AB1074" s="573"/>
      <c r="AC1074" s="487"/>
      <c r="AD1074" s="573"/>
      <c r="AE1074" s="487"/>
      <c r="AF1074" s="577">
        <f t="shared" si="135"/>
        <v>104800</v>
      </c>
      <c r="AG1074" s="275">
        <f t="shared" si="136"/>
        <v>104800</v>
      </c>
    </row>
    <row r="1075" spans="1:33" s="578" customFormat="1" ht="12" customHeight="1">
      <c r="A1075" s="646" t="s">
        <v>1272</v>
      </c>
      <c r="B1075" s="646" t="s">
        <v>1803</v>
      </c>
      <c r="C1075" s="306" t="s">
        <v>1011</v>
      </c>
      <c r="D1075" s="654"/>
      <c r="E1075" s="655"/>
      <c r="F1075" s="573"/>
      <c r="G1075" s="487"/>
      <c r="H1075" s="573"/>
      <c r="I1075" s="487"/>
      <c r="J1075" s="573"/>
      <c r="K1075" s="487"/>
      <c r="L1075" s="573"/>
      <c r="M1075" s="573"/>
      <c r="N1075" s="456">
        <f t="shared" si="137"/>
        <v>0</v>
      </c>
      <c r="O1075" s="487"/>
      <c r="P1075" s="487"/>
      <c r="Q1075" s="274">
        <f t="shared" si="132"/>
        <v>0</v>
      </c>
      <c r="R1075" s="574">
        <f t="shared" si="133"/>
        <v>0</v>
      </c>
      <c r="S1075" s="275">
        <f t="shared" si="134"/>
        <v>0</v>
      </c>
      <c r="T1075" s="575"/>
      <c r="U1075" s="487"/>
      <c r="V1075" s="576"/>
      <c r="W1075" s="573"/>
      <c r="X1075" s="574">
        <f t="shared" si="138"/>
        <v>0</v>
      </c>
      <c r="Y1075" s="487"/>
      <c r="Z1075" s="487"/>
      <c r="AA1075" s="276">
        <f t="shared" si="139"/>
        <v>0</v>
      </c>
      <c r="AB1075" s="573"/>
      <c r="AC1075" s="487"/>
      <c r="AD1075" s="573"/>
      <c r="AE1075" s="487"/>
      <c r="AF1075" s="577">
        <f t="shared" si="135"/>
        <v>0</v>
      </c>
      <c r="AG1075" s="275">
        <f t="shared" si="136"/>
        <v>0</v>
      </c>
    </row>
    <row r="1076" spans="1:33" s="578" customFormat="1" ht="12" customHeight="1">
      <c r="A1076" s="646" t="s">
        <v>1272</v>
      </c>
      <c r="B1076" s="646" t="s">
        <v>1803</v>
      </c>
      <c r="C1076" s="651" t="s">
        <v>1012</v>
      </c>
      <c r="D1076" s="654"/>
      <c r="E1076" s="655"/>
      <c r="F1076" s="573"/>
      <c r="G1076" s="487"/>
      <c r="H1076" s="573"/>
      <c r="I1076" s="487"/>
      <c r="J1076" s="573"/>
      <c r="K1076" s="487"/>
      <c r="L1076" s="573"/>
      <c r="M1076" s="573"/>
      <c r="N1076" s="456">
        <f t="shared" si="137"/>
        <v>0</v>
      </c>
      <c r="O1076" s="487"/>
      <c r="P1076" s="487"/>
      <c r="Q1076" s="274">
        <f t="shared" si="132"/>
        <v>0</v>
      </c>
      <c r="R1076" s="574">
        <f t="shared" si="133"/>
        <v>0</v>
      </c>
      <c r="S1076" s="275">
        <f t="shared" si="134"/>
        <v>0</v>
      </c>
      <c r="T1076" s="575"/>
      <c r="U1076" s="487"/>
      <c r="V1076" s="576"/>
      <c r="W1076" s="573"/>
      <c r="X1076" s="574">
        <f t="shared" si="138"/>
        <v>0</v>
      </c>
      <c r="Y1076" s="487"/>
      <c r="Z1076" s="487"/>
      <c r="AA1076" s="276">
        <f t="shared" si="139"/>
        <v>0</v>
      </c>
      <c r="AB1076" s="573"/>
      <c r="AC1076" s="487"/>
      <c r="AD1076" s="573"/>
      <c r="AE1076" s="487"/>
      <c r="AF1076" s="577">
        <f t="shared" si="135"/>
        <v>0</v>
      </c>
      <c r="AG1076" s="275">
        <f t="shared" si="136"/>
        <v>0</v>
      </c>
    </row>
    <row r="1077" spans="1:33" s="578" customFormat="1" ht="12" customHeight="1">
      <c r="A1077" s="646" t="s">
        <v>1272</v>
      </c>
      <c r="B1077" s="646" t="s">
        <v>1803</v>
      </c>
      <c r="C1077" s="651" t="s">
        <v>341</v>
      </c>
      <c r="D1077" s="654"/>
      <c r="E1077" s="655"/>
      <c r="F1077" s="573"/>
      <c r="G1077" s="487"/>
      <c r="H1077" s="573"/>
      <c r="I1077" s="487"/>
      <c r="J1077" s="573"/>
      <c r="K1077" s="487"/>
      <c r="L1077" s="573"/>
      <c r="M1077" s="573"/>
      <c r="N1077" s="456">
        <f t="shared" si="137"/>
        <v>0</v>
      </c>
      <c r="O1077" s="487"/>
      <c r="P1077" s="487"/>
      <c r="Q1077" s="274">
        <f t="shared" si="132"/>
        <v>0</v>
      </c>
      <c r="R1077" s="574">
        <f t="shared" si="133"/>
        <v>0</v>
      </c>
      <c r="S1077" s="275">
        <f t="shared" si="134"/>
        <v>0</v>
      </c>
      <c r="T1077" s="575">
        <v>1786254</v>
      </c>
      <c r="U1077" s="487">
        <v>1649421</v>
      </c>
      <c r="V1077" s="576"/>
      <c r="W1077" s="573"/>
      <c r="X1077" s="574">
        <f t="shared" si="138"/>
        <v>0</v>
      </c>
      <c r="Y1077" s="487"/>
      <c r="Z1077" s="487"/>
      <c r="AA1077" s="276">
        <f t="shared" si="139"/>
        <v>0</v>
      </c>
      <c r="AB1077" s="573"/>
      <c r="AC1077" s="487"/>
      <c r="AD1077" s="573"/>
      <c r="AE1077" s="487"/>
      <c r="AF1077" s="577">
        <f t="shared" si="135"/>
        <v>1786254</v>
      </c>
      <c r="AG1077" s="275">
        <f t="shared" si="136"/>
        <v>1649421</v>
      </c>
    </row>
    <row r="1078" spans="1:33" s="578" customFormat="1" ht="12" customHeight="1">
      <c r="A1078" s="646" t="s">
        <v>1272</v>
      </c>
      <c r="B1078" s="646" t="s">
        <v>1803</v>
      </c>
      <c r="C1078" s="651" t="s">
        <v>342</v>
      </c>
      <c r="D1078" s="654"/>
      <c r="E1078" s="655"/>
      <c r="F1078" s="573"/>
      <c r="G1078" s="487"/>
      <c r="H1078" s="573"/>
      <c r="I1078" s="487"/>
      <c r="J1078" s="573"/>
      <c r="K1078" s="487"/>
      <c r="L1078" s="573"/>
      <c r="M1078" s="573"/>
      <c r="N1078" s="456">
        <f t="shared" si="137"/>
        <v>0</v>
      </c>
      <c r="O1078" s="487"/>
      <c r="P1078" s="487"/>
      <c r="Q1078" s="274">
        <f t="shared" si="132"/>
        <v>0</v>
      </c>
      <c r="R1078" s="574">
        <f t="shared" si="133"/>
        <v>0</v>
      </c>
      <c r="S1078" s="275">
        <f t="shared" si="134"/>
        <v>0</v>
      </c>
      <c r="T1078" s="575">
        <v>791055</v>
      </c>
      <c r="U1078" s="487">
        <v>730457</v>
      </c>
      <c r="V1078" s="576"/>
      <c r="W1078" s="573"/>
      <c r="X1078" s="574">
        <f t="shared" si="138"/>
        <v>0</v>
      </c>
      <c r="Y1078" s="487"/>
      <c r="Z1078" s="487"/>
      <c r="AA1078" s="276">
        <f t="shared" si="139"/>
        <v>0</v>
      </c>
      <c r="AB1078" s="573"/>
      <c r="AC1078" s="487"/>
      <c r="AD1078" s="573"/>
      <c r="AE1078" s="487"/>
      <c r="AF1078" s="577">
        <f t="shared" si="135"/>
        <v>791055</v>
      </c>
      <c r="AG1078" s="275">
        <f t="shared" si="136"/>
        <v>730457</v>
      </c>
    </row>
    <row r="1079" spans="1:33" s="578" customFormat="1" ht="12" customHeight="1">
      <c r="A1079" s="646" t="s">
        <v>1272</v>
      </c>
      <c r="B1079" s="646" t="s">
        <v>1803</v>
      </c>
      <c r="C1079" s="651" t="s">
        <v>1013</v>
      </c>
      <c r="D1079" s="654"/>
      <c r="E1079" s="655"/>
      <c r="F1079" s="573"/>
      <c r="G1079" s="487"/>
      <c r="H1079" s="573"/>
      <c r="I1079" s="487"/>
      <c r="J1079" s="573"/>
      <c r="K1079" s="487"/>
      <c r="L1079" s="573"/>
      <c r="M1079" s="573"/>
      <c r="N1079" s="456">
        <f t="shared" si="137"/>
        <v>0</v>
      </c>
      <c r="O1079" s="487"/>
      <c r="P1079" s="487"/>
      <c r="Q1079" s="274">
        <f t="shared" si="132"/>
        <v>0</v>
      </c>
      <c r="R1079" s="574">
        <f t="shared" si="133"/>
        <v>0</v>
      </c>
      <c r="S1079" s="275">
        <f t="shared" si="134"/>
        <v>0</v>
      </c>
      <c r="T1079" s="575">
        <v>961175</v>
      </c>
      <c r="U1079" s="487">
        <v>887546</v>
      </c>
      <c r="V1079" s="576"/>
      <c r="W1079" s="573"/>
      <c r="X1079" s="574">
        <f t="shared" si="138"/>
        <v>0</v>
      </c>
      <c r="Y1079" s="487"/>
      <c r="Z1079" s="487"/>
      <c r="AA1079" s="276">
        <f t="shared" si="139"/>
        <v>0</v>
      </c>
      <c r="AB1079" s="573"/>
      <c r="AC1079" s="487"/>
      <c r="AD1079" s="573"/>
      <c r="AE1079" s="487"/>
      <c r="AF1079" s="577">
        <f t="shared" si="135"/>
        <v>961175</v>
      </c>
      <c r="AG1079" s="275">
        <f t="shared" si="136"/>
        <v>887546</v>
      </c>
    </row>
    <row r="1080" spans="1:33" s="578" customFormat="1" ht="12" customHeight="1">
      <c r="A1080" s="646" t="s">
        <v>1272</v>
      </c>
      <c r="B1080" s="646" t="s">
        <v>1804</v>
      </c>
      <c r="C1080" s="307" t="s">
        <v>418</v>
      </c>
      <c r="D1080" s="654"/>
      <c r="E1080" s="655"/>
      <c r="F1080" s="573"/>
      <c r="G1080" s="487"/>
      <c r="H1080" s="573"/>
      <c r="I1080" s="487"/>
      <c r="J1080" s="573"/>
      <c r="K1080" s="487"/>
      <c r="L1080" s="573"/>
      <c r="M1080" s="573"/>
      <c r="N1080" s="456">
        <f t="shared" si="137"/>
        <v>0</v>
      </c>
      <c r="O1080" s="487"/>
      <c r="P1080" s="487"/>
      <c r="Q1080" s="274">
        <f t="shared" si="132"/>
        <v>0</v>
      </c>
      <c r="R1080" s="574">
        <f t="shared" si="133"/>
        <v>0</v>
      </c>
      <c r="S1080" s="275">
        <f t="shared" si="134"/>
        <v>0</v>
      </c>
      <c r="T1080" s="575"/>
      <c r="U1080" s="487"/>
      <c r="V1080" s="576"/>
      <c r="W1080" s="573"/>
      <c r="X1080" s="574">
        <f t="shared" si="138"/>
        <v>0</v>
      </c>
      <c r="Y1080" s="487"/>
      <c r="Z1080" s="487"/>
      <c r="AA1080" s="276">
        <f t="shared" si="139"/>
        <v>0</v>
      </c>
      <c r="AB1080" s="573"/>
      <c r="AC1080" s="487"/>
      <c r="AD1080" s="573"/>
      <c r="AE1080" s="487"/>
      <c r="AF1080" s="577">
        <f t="shared" si="135"/>
        <v>0</v>
      </c>
      <c r="AG1080" s="275">
        <f t="shared" si="136"/>
        <v>0</v>
      </c>
    </row>
    <row r="1081" spans="1:33" s="578" customFormat="1" ht="12" customHeight="1">
      <c r="A1081" s="646" t="s">
        <v>1272</v>
      </c>
      <c r="B1081" s="646" t="s">
        <v>1805</v>
      </c>
      <c r="C1081" s="501" t="s">
        <v>419</v>
      </c>
      <c r="D1081" s="659"/>
      <c r="E1081" s="660"/>
      <c r="F1081" s="573"/>
      <c r="G1081" s="487"/>
      <c r="H1081" s="573"/>
      <c r="I1081" s="487"/>
      <c r="J1081" s="573"/>
      <c r="K1081" s="487"/>
      <c r="L1081" s="573"/>
      <c r="M1081" s="573"/>
      <c r="N1081" s="456">
        <f t="shared" si="137"/>
        <v>0</v>
      </c>
      <c r="O1081" s="487"/>
      <c r="P1081" s="487"/>
      <c r="Q1081" s="274">
        <f t="shared" si="132"/>
        <v>0</v>
      </c>
      <c r="R1081" s="574">
        <f t="shared" si="133"/>
        <v>0</v>
      </c>
      <c r="S1081" s="275">
        <f t="shared" si="134"/>
        <v>0</v>
      </c>
      <c r="T1081" s="575"/>
      <c r="U1081" s="487"/>
      <c r="V1081" s="576"/>
      <c r="W1081" s="573"/>
      <c r="X1081" s="574">
        <f t="shared" si="138"/>
        <v>0</v>
      </c>
      <c r="Y1081" s="487"/>
      <c r="Z1081" s="487"/>
      <c r="AA1081" s="276">
        <f t="shared" si="139"/>
        <v>0</v>
      </c>
      <c r="AB1081" s="573"/>
      <c r="AC1081" s="487"/>
      <c r="AD1081" s="573"/>
      <c r="AE1081" s="487"/>
      <c r="AF1081" s="577">
        <f t="shared" si="135"/>
        <v>0</v>
      </c>
      <c r="AG1081" s="275">
        <f t="shared" si="136"/>
        <v>0</v>
      </c>
    </row>
    <row r="1082" spans="1:33" s="578" customFormat="1" ht="12" customHeight="1">
      <c r="A1082" s="646" t="s">
        <v>1272</v>
      </c>
      <c r="B1082" s="646" t="s">
        <v>1805</v>
      </c>
      <c r="C1082" s="502" t="s">
        <v>1014</v>
      </c>
      <c r="D1082" s="654"/>
      <c r="E1082" s="655"/>
      <c r="F1082" s="573"/>
      <c r="G1082" s="487"/>
      <c r="H1082" s="573"/>
      <c r="I1082" s="487"/>
      <c r="J1082" s="573"/>
      <c r="K1082" s="487"/>
      <c r="L1082" s="573"/>
      <c r="M1082" s="573"/>
      <c r="N1082" s="456">
        <f t="shared" si="137"/>
        <v>0</v>
      </c>
      <c r="O1082" s="487"/>
      <c r="P1082" s="487"/>
      <c r="Q1082" s="274">
        <f t="shared" si="132"/>
        <v>0</v>
      </c>
      <c r="R1082" s="574">
        <f t="shared" si="133"/>
        <v>0</v>
      </c>
      <c r="S1082" s="275">
        <f t="shared" si="134"/>
        <v>0</v>
      </c>
      <c r="T1082" s="575"/>
      <c r="U1082" s="487"/>
      <c r="V1082" s="576"/>
      <c r="W1082" s="573"/>
      <c r="X1082" s="574">
        <f t="shared" si="138"/>
        <v>0</v>
      </c>
      <c r="Y1082" s="487"/>
      <c r="Z1082" s="487"/>
      <c r="AA1082" s="276">
        <f t="shared" si="139"/>
        <v>0</v>
      </c>
      <c r="AB1082" s="573"/>
      <c r="AC1082" s="487"/>
      <c r="AD1082" s="573"/>
      <c r="AE1082" s="487"/>
      <c r="AF1082" s="577">
        <f t="shared" si="135"/>
        <v>0</v>
      </c>
      <c r="AG1082" s="275">
        <f t="shared" si="136"/>
        <v>0</v>
      </c>
    </row>
    <row r="1083" spans="1:33" s="578" customFormat="1" ht="12" customHeight="1">
      <c r="A1083" s="646" t="s">
        <v>1272</v>
      </c>
      <c r="B1083" s="661" t="s">
        <v>1510</v>
      </c>
      <c r="C1083" s="662" t="s">
        <v>421</v>
      </c>
      <c r="D1083" s="654"/>
      <c r="E1083" s="655"/>
      <c r="F1083" s="573"/>
      <c r="G1083" s="487"/>
      <c r="H1083" s="573"/>
      <c r="I1083" s="487"/>
      <c r="J1083" s="573"/>
      <c r="K1083" s="487"/>
      <c r="L1083" s="573"/>
      <c r="M1083" s="573"/>
      <c r="N1083" s="456">
        <f t="shared" si="137"/>
        <v>0</v>
      </c>
      <c r="O1083" s="487"/>
      <c r="P1083" s="487"/>
      <c r="Q1083" s="274">
        <f t="shared" si="132"/>
        <v>0</v>
      </c>
      <c r="R1083" s="574">
        <f t="shared" si="133"/>
        <v>0</v>
      </c>
      <c r="S1083" s="275">
        <f t="shared" si="134"/>
        <v>0</v>
      </c>
      <c r="T1083" s="575"/>
      <c r="U1083" s="487"/>
      <c r="V1083" s="576"/>
      <c r="W1083" s="573"/>
      <c r="X1083" s="574">
        <f t="shared" si="138"/>
        <v>0</v>
      </c>
      <c r="Y1083" s="487"/>
      <c r="Z1083" s="487"/>
      <c r="AA1083" s="276">
        <f t="shared" si="139"/>
        <v>0</v>
      </c>
      <c r="AB1083" s="573"/>
      <c r="AC1083" s="487"/>
      <c r="AD1083" s="573"/>
      <c r="AE1083" s="487"/>
      <c r="AF1083" s="577">
        <f t="shared" si="135"/>
        <v>0</v>
      </c>
      <c r="AG1083" s="275">
        <f t="shared" si="136"/>
        <v>0</v>
      </c>
    </row>
    <row r="1084" spans="1:33" s="578" customFormat="1" ht="12" customHeight="1">
      <c r="A1084" s="646" t="s">
        <v>1272</v>
      </c>
      <c r="B1084" s="661" t="s">
        <v>1511</v>
      </c>
      <c r="C1084" s="662" t="s">
        <v>1883</v>
      </c>
      <c r="D1084" s="654"/>
      <c r="E1084" s="655"/>
      <c r="F1084" s="573"/>
      <c r="G1084" s="487"/>
      <c r="H1084" s="573"/>
      <c r="I1084" s="487"/>
      <c r="J1084" s="573"/>
      <c r="K1084" s="487"/>
      <c r="L1084" s="573"/>
      <c r="M1084" s="573"/>
      <c r="N1084" s="456">
        <f t="shared" si="137"/>
        <v>0</v>
      </c>
      <c r="O1084" s="487"/>
      <c r="P1084" s="487"/>
      <c r="Q1084" s="274">
        <f t="shared" si="132"/>
        <v>0</v>
      </c>
      <c r="R1084" s="574">
        <f t="shared" si="133"/>
        <v>0</v>
      </c>
      <c r="S1084" s="275">
        <f t="shared" si="134"/>
        <v>0</v>
      </c>
      <c r="T1084" s="575">
        <v>100000</v>
      </c>
      <c r="U1084" s="487" t="s">
        <v>1015</v>
      </c>
      <c r="V1084" s="576"/>
      <c r="W1084" s="573"/>
      <c r="X1084" s="574">
        <f t="shared" si="138"/>
        <v>0</v>
      </c>
      <c r="Y1084" s="487"/>
      <c r="Z1084" s="487"/>
      <c r="AA1084" s="276">
        <f t="shared" si="139"/>
        <v>0</v>
      </c>
      <c r="AB1084" s="573"/>
      <c r="AC1084" s="487"/>
      <c r="AD1084" s="573"/>
      <c r="AE1084" s="487"/>
      <c r="AF1084" s="577">
        <f t="shared" si="135"/>
        <v>100000</v>
      </c>
      <c r="AG1084" s="275">
        <f t="shared" si="136"/>
        <v>0</v>
      </c>
    </row>
    <row r="1085" spans="1:33" s="578" customFormat="1" ht="12" customHeight="1">
      <c r="A1085" s="646" t="s">
        <v>1272</v>
      </c>
      <c r="B1085" s="661" t="s">
        <v>1412</v>
      </c>
      <c r="C1085" s="662" t="s">
        <v>1761</v>
      </c>
      <c r="D1085" s="654"/>
      <c r="E1085" s="655"/>
      <c r="F1085" s="573"/>
      <c r="G1085" s="487"/>
      <c r="H1085" s="573"/>
      <c r="I1085" s="487"/>
      <c r="J1085" s="573"/>
      <c r="K1085" s="487"/>
      <c r="L1085" s="573"/>
      <c r="M1085" s="573"/>
      <c r="N1085" s="456">
        <f t="shared" si="137"/>
        <v>0</v>
      </c>
      <c r="O1085" s="487"/>
      <c r="P1085" s="487"/>
      <c r="Q1085" s="274">
        <f t="shared" si="132"/>
        <v>0</v>
      </c>
      <c r="R1085" s="574">
        <f t="shared" si="133"/>
        <v>0</v>
      </c>
      <c r="S1085" s="275">
        <f t="shared" si="134"/>
        <v>0</v>
      </c>
      <c r="T1085" s="575"/>
      <c r="U1085" s="487"/>
      <c r="V1085" s="576"/>
      <c r="W1085" s="573"/>
      <c r="X1085" s="574">
        <f t="shared" si="138"/>
        <v>0</v>
      </c>
      <c r="Y1085" s="487"/>
      <c r="Z1085" s="487"/>
      <c r="AA1085" s="276">
        <f t="shared" si="139"/>
        <v>0</v>
      </c>
      <c r="AB1085" s="573"/>
      <c r="AC1085" s="487"/>
      <c r="AD1085" s="573"/>
      <c r="AE1085" s="487"/>
      <c r="AF1085" s="577">
        <f t="shared" si="135"/>
        <v>0</v>
      </c>
      <c r="AG1085" s="275">
        <f t="shared" si="136"/>
        <v>0</v>
      </c>
    </row>
    <row r="1086" spans="1:33" s="578" customFormat="1" ht="12" customHeight="1">
      <c r="A1086" s="646" t="s">
        <v>1272</v>
      </c>
      <c r="B1086" s="661" t="s">
        <v>1413</v>
      </c>
      <c r="C1086" s="662" t="s">
        <v>422</v>
      </c>
      <c r="D1086" s="654"/>
      <c r="E1086" s="655"/>
      <c r="F1086" s="573"/>
      <c r="G1086" s="487"/>
      <c r="H1086" s="573"/>
      <c r="I1086" s="487"/>
      <c r="J1086" s="573"/>
      <c r="K1086" s="487"/>
      <c r="L1086" s="573"/>
      <c r="M1086" s="573"/>
      <c r="N1086" s="456">
        <f t="shared" si="137"/>
        <v>0</v>
      </c>
      <c r="O1086" s="487"/>
      <c r="P1086" s="487"/>
      <c r="Q1086" s="274">
        <f t="shared" si="132"/>
        <v>0</v>
      </c>
      <c r="R1086" s="574">
        <f t="shared" si="133"/>
        <v>0</v>
      </c>
      <c r="S1086" s="275">
        <f t="shared" si="134"/>
        <v>0</v>
      </c>
      <c r="T1086" s="575"/>
      <c r="U1086" s="487"/>
      <c r="V1086" s="576"/>
      <c r="W1086" s="573"/>
      <c r="X1086" s="574">
        <f t="shared" si="138"/>
        <v>0</v>
      </c>
      <c r="Y1086" s="487"/>
      <c r="Z1086" s="487"/>
      <c r="AA1086" s="276">
        <f t="shared" si="139"/>
        <v>0</v>
      </c>
      <c r="AB1086" s="573"/>
      <c r="AC1086" s="487"/>
      <c r="AD1086" s="573"/>
      <c r="AE1086" s="487"/>
      <c r="AF1086" s="577">
        <f t="shared" si="135"/>
        <v>0</v>
      </c>
      <c r="AG1086" s="275">
        <f t="shared" si="136"/>
        <v>0</v>
      </c>
    </row>
    <row r="1087" spans="1:33" s="578" customFormat="1" ht="12" customHeight="1">
      <c r="A1087" s="646" t="s">
        <v>1272</v>
      </c>
      <c r="B1087" s="661" t="s">
        <v>1582</v>
      </c>
      <c r="C1087" s="662" t="s">
        <v>1883</v>
      </c>
      <c r="D1087" s="654"/>
      <c r="E1087" s="655"/>
      <c r="F1087" s="573"/>
      <c r="G1087" s="487"/>
      <c r="H1087" s="573"/>
      <c r="I1087" s="487"/>
      <c r="J1087" s="573"/>
      <c r="K1087" s="487"/>
      <c r="L1087" s="573"/>
      <c r="M1087" s="573"/>
      <c r="N1087" s="456">
        <f t="shared" si="137"/>
        <v>0</v>
      </c>
      <c r="O1087" s="487"/>
      <c r="P1087" s="487"/>
      <c r="Q1087" s="274">
        <f t="shared" si="132"/>
        <v>0</v>
      </c>
      <c r="R1087" s="574">
        <f t="shared" si="133"/>
        <v>0</v>
      </c>
      <c r="S1087" s="275">
        <f t="shared" si="134"/>
        <v>0</v>
      </c>
      <c r="T1087" s="575">
        <v>520000</v>
      </c>
      <c r="U1087" s="487" t="s">
        <v>1015</v>
      </c>
      <c r="V1087" s="576"/>
      <c r="W1087" s="573"/>
      <c r="X1087" s="574">
        <f t="shared" si="138"/>
        <v>0</v>
      </c>
      <c r="Y1087" s="487"/>
      <c r="Z1087" s="487"/>
      <c r="AA1087" s="276">
        <f t="shared" si="139"/>
        <v>0</v>
      </c>
      <c r="AB1087" s="573"/>
      <c r="AC1087" s="487"/>
      <c r="AD1087" s="573"/>
      <c r="AE1087" s="487"/>
      <c r="AF1087" s="577">
        <f t="shared" si="135"/>
        <v>520000</v>
      </c>
      <c r="AG1087" s="275">
        <f t="shared" si="136"/>
        <v>0</v>
      </c>
    </row>
    <row r="1088" spans="1:33" s="578" customFormat="1" ht="12" customHeight="1">
      <c r="A1088" s="646" t="s">
        <v>1272</v>
      </c>
      <c r="B1088" s="661" t="s">
        <v>1583</v>
      </c>
      <c r="C1088" s="662" t="s">
        <v>1761</v>
      </c>
      <c r="D1088" s="654"/>
      <c r="E1088" s="655"/>
      <c r="F1088" s="573"/>
      <c r="G1088" s="487"/>
      <c r="H1088" s="573"/>
      <c r="I1088" s="487"/>
      <c r="J1088" s="573"/>
      <c r="K1088" s="487"/>
      <c r="L1088" s="573"/>
      <c r="M1088" s="573"/>
      <c r="N1088" s="456">
        <f t="shared" si="137"/>
        <v>0</v>
      </c>
      <c r="O1088" s="487"/>
      <c r="P1088" s="487"/>
      <c r="Q1088" s="274">
        <f t="shared" si="132"/>
        <v>0</v>
      </c>
      <c r="R1088" s="574">
        <f t="shared" si="133"/>
        <v>0</v>
      </c>
      <c r="S1088" s="275">
        <f t="shared" si="134"/>
        <v>0</v>
      </c>
      <c r="T1088" s="575"/>
      <c r="U1088" s="487"/>
      <c r="V1088" s="576"/>
      <c r="W1088" s="573"/>
      <c r="X1088" s="574">
        <f t="shared" si="138"/>
        <v>0</v>
      </c>
      <c r="Y1088" s="487"/>
      <c r="Z1088" s="487"/>
      <c r="AA1088" s="276">
        <f t="shared" si="139"/>
        <v>0</v>
      </c>
      <c r="AB1088" s="573"/>
      <c r="AC1088" s="487"/>
      <c r="AD1088" s="573"/>
      <c r="AE1088" s="487"/>
      <c r="AF1088" s="577">
        <f t="shared" si="135"/>
        <v>0</v>
      </c>
      <c r="AG1088" s="275">
        <f t="shared" si="136"/>
        <v>0</v>
      </c>
    </row>
    <row r="1089" spans="1:33" s="578" customFormat="1" ht="12" customHeight="1">
      <c r="A1089" s="646" t="s">
        <v>1272</v>
      </c>
      <c r="B1089" s="646" t="s">
        <v>1805</v>
      </c>
      <c r="C1089" s="502" t="s">
        <v>1016</v>
      </c>
      <c r="D1089" s="654"/>
      <c r="E1089" s="655"/>
      <c r="F1089" s="573"/>
      <c r="G1089" s="487"/>
      <c r="H1089" s="573"/>
      <c r="I1089" s="487"/>
      <c r="J1089" s="573"/>
      <c r="K1089" s="487"/>
      <c r="L1089" s="573"/>
      <c r="M1089" s="573"/>
      <c r="N1089" s="456">
        <f t="shared" si="137"/>
        <v>0</v>
      </c>
      <c r="O1089" s="487"/>
      <c r="P1089" s="487"/>
      <c r="Q1089" s="274">
        <f t="shared" si="132"/>
        <v>0</v>
      </c>
      <c r="R1089" s="574">
        <f t="shared" si="133"/>
        <v>0</v>
      </c>
      <c r="S1089" s="275">
        <f t="shared" si="134"/>
        <v>0</v>
      </c>
      <c r="T1089" s="575">
        <v>50911</v>
      </c>
      <c r="U1089" s="487">
        <v>50911</v>
      </c>
      <c r="V1089" s="576"/>
      <c r="W1089" s="573"/>
      <c r="X1089" s="574">
        <f t="shared" si="138"/>
        <v>0</v>
      </c>
      <c r="Y1089" s="487"/>
      <c r="Z1089" s="487"/>
      <c r="AA1089" s="276">
        <f t="shared" si="139"/>
        <v>0</v>
      </c>
      <c r="AB1089" s="573"/>
      <c r="AC1089" s="487"/>
      <c r="AD1089" s="573"/>
      <c r="AE1089" s="487"/>
      <c r="AF1089" s="577">
        <f t="shared" si="135"/>
        <v>50911</v>
      </c>
      <c r="AG1089" s="275">
        <f t="shared" si="136"/>
        <v>50911</v>
      </c>
    </row>
    <row r="1090" spans="1:33" s="578" customFormat="1" ht="12" customHeight="1">
      <c r="A1090" s="646" t="s">
        <v>1272</v>
      </c>
      <c r="B1090" s="661" t="s">
        <v>1764</v>
      </c>
      <c r="C1090" s="662" t="s">
        <v>1883</v>
      </c>
      <c r="D1090" s="654"/>
      <c r="E1090" s="655"/>
      <c r="F1090" s="573"/>
      <c r="G1090" s="487"/>
      <c r="H1090" s="573"/>
      <c r="I1090" s="487"/>
      <c r="J1090" s="573"/>
      <c r="K1090" s="487"/>
      <c r="L1090" s="573"/>
      <c r="M1090" s="573"/>
      <c r="N1090" s="456">
        <f t="shared" si="137"/>
        <v>0</v>
      </c>
      <c r="O1090" s="487"/>
      <c r="P1090" s="487"/>
      <c r="Q1090" s="274">
        <f t="shared" si="132"/>
        <v>0</v>
      </c>
      <c r="R1090" s="574">
        <f t="shared" si="133"/>
        <v>0</v>
      </c>
      <c r="S1090" s="275">
        <f t="shared" si="134"/>
        <v>0</v>
      </c>
      <c r="T1090" s="575"/>
      <c r="U1090" s="487"/>
      <c r="V1090" s="576"/>
      <c r="W1090" s="573"/>
      <c r="X1090" s="574">
        <f t="shared" si="138"/>
        <v>0</v>
      </c>
      <c r="Y1090" s="487"/>
      <c r="Z1090" s="487"/>
      <c r="AA1090" s="276">
        <f t="shared" si="139"/>
        <v>0</v>
      </c>
      <c r="AB1090" s="573"/>
      <c r="AC1090" s="487"/>
      <c r="AD1090" s="573"/>
      <c r="AE1090" s="487"/>
      <c r="AF1090" s="577">
        <f t="shared" si="135"/>
        <v>0</v>
      </c>
      <c r="AG1090" s="275">
        <f t="shared" si="136"/>
        <v>0</v>
      </c>
    </row>
    <row r="1091" spans="1:33" s="578" customFormat="1" ht="12" customHeight="1">
      <c r="A1091" s="646" t="s">
        <v>1272</v>
      </c>
      <c r="B1091" s="661" t="s">
        <v>1765</v>
      </c>
      <c r="C1091" s="662" t="s">
        <v>1761</v>
      </c>
      <c r="D1091" s="654"/>
      <c r="E1091" s="655"/>
      <c r="F1091" s="573"/>
      <c r="G1091" s="487"/>
      <c r="H1091" s="573"/>
      <c r="I1091" s="487"/>
      <c r="J1091" s="573"/>
      <c r="K1091" s="487"/>
      <c r="L1091" s="573"/>
      <c r="M1091" s="573"/>
      <c r="N1091" s="456">
        <f t="shared" si="137"/>
        <v>0</v>
      </c>
      <c r="O1091" s="487"/>
      <c r="P1091" s="487"/>
      <c r="Q1091" s="274">
        <f t="shared" si="132"/>
        <v>0</v>
      </c>
      <c r="R1091" s="574">
        <f t="shared" si="133"/>
        <v>0</v>
      </c>
      <c r="S1091" s="275">
        <f t="shared" si="134"/>
        <v>0</v>
      </c>
      <c r="T1091" s="575"/>
      <c r="U1091" s="487"/>
      <c r="V1091" s="576"/>
      <c r="W1091" s="573"/>
      <c r="X1091" s="574">
        <f t="shared" si="138"/>
        <v>0</v>
      </c>
      <c r="Y1091" s="487"/>
      <c r="Z1091" s="487"/>
      <c r="AA1091" s="276">
        <f t="shared" si="139"/>
        <v>0</v>
      </c>
      <c r="AB1091" s="573"/>
      <c r="AC1091" s="487"/>
      <c r="AD1091" s="573"/>
      <c r="AE1091" s="487"/>
      <c r="AF1091" s="577">
        <f t="shared" si="135"/>
        <v>0</v>
      </c>
      <c r="AG1091" s="275">
        <f t="shared" si="136"/>
        <v>0</v>
      </c>
    </row>
    <row r="1092" spans="1:33" s="578" customFormat="1" ht="12" customHeight="1">
      <c r="A1092" s="646" t="s">
        <v>1272</v>
      </c>
      <c r="B1092" s="661" t="s">
        <v>1510</v>
      </c>
      <c r="C1092" s="662" t="s">
        <v>421</v>
      </c>
      <c r="D1092" s="654"/>
      <c r="E1092" s="655"/>
      <c r="F1092" s="573"/>
      <c r="G1092" s="487"/>
      <c r="H1092" s="573"/>
      <c r="I1092" s="487"/>
      <c r="J1092" s="573"/>
      <c r="K1092" s="487"/>
      <c r="L1092" s="573"/>
      <c r="M1092" s="573"/>
      <c r="N1092" s="456">
        <f t="shared" si="137"/>
        <v>0</v>
      </c>
      <c r="O1092" s="487"/>
      <c r="P1092" s="487"/>
      <c r="Q1092" s="274">
        <f t="shared" si="132"/>
        <v>0</v>
      </c>
      <c r="R1092" s="574">
        <f t="shared" si="133"/>
        <v>0</v>
      </c>
      <c r="S1092" s="275">
        <f t="shared" si="134"/>
        <v>0</v>
      </c>
      <c r="T1092" s="575"/>
      <c r="U1092" s="487"/>
      <c r="V1092" s="576"/>
      <c r="W1092" s="573"/>
      <c r="X1092" s="574">
        <f t="shared" si="138"/>
        <v>0</v>
      </c>
      <c r="Y1092" s="487"/>
      <c r="Z1092" s="487"/>
      <c r="AA1092" s="276">
        <f t="shared" si="139"/>
        <v>0</v>
      </c>
      <c r="AB1092" s="573"/>
      <c r="AC1092" s="487"/>
      <c r="AD1092" s="573"/>
      <c r="AE1092" s="487"/>
      <c r="AF1092" s="577">
        <f t="shared" si="135"/>
        <v>0</v>
      </c>
      <c r="AG1092" s="275">
        <f t="shared" si="136"/>
        <v>0</v>
      </c>
    </row>
    <row r="1093" spans="1:33" s="578" customFormat="1" ht="12" customHeight="1">
      <c r="A1093" s="646" t="s">
        <v>1272</v>
      </c>
      <c r="B1093" s="661" t="s">
        <v>1511</v>
      </c>
      <c r="C1093" s="662" t="s">
        <v>1883</v>
      </c>
      <c r="D1093" s="654"/>
      <c r="E1093" s="655"/>
      <c r="F1093" s="573"/>
      <c r="G1093" s="487"/>
      <c r="H1093" s="573"/>
      <c r="I1093" s="487"/>
      <c r="J1093" s="573"/>
      <c r="K1093" s="487"/>
      <c r="L1093" s="573"/>
      <c r="M1093" s="573"/>
      <c r="N1093" s="456">
        <f t="shared" si="137"/>
        <v>0</v>
      </c>
      <c r="O1093" s="487"/>
      <c r="P1093" s="487"/>
      <c r="Q1093" s="274">
        <f t="shared" si="132"/>
        <v>0</v>
      </c>
      <c r="R1093" s="574">
        <f t="shared" si="133"/>
        <v>0</v>
      </c>
      <c r="S1093" s="275">
        <f t="shared" si="134"/>
        <v>0</v>
      </c>
      <c r="T1093" s="575"/>
      <c r="U1093" s="487"/>
      <c r="V1093" s="576"/>
      <c r="W1093" s="573"/>
      <c r="X1093" s="574">
        <f t="shared" si="138"/>
        <v>0</v>
      </c>
      <c r="Y1093" s="487"/>
      <c r="Z1093" s="487"/>
      <c r="AA1093" s="276">
        <f t="shared" si="139"/>
        <v>0</v>
      </c>
      <c r="AB1093" s="573"/>
      <c r="AC1093" s="487"/>
      <c r="AD1093" s="573"/>
      <c r="AE1093" s="487"/>
      <c r="AF1093" s="577">
        <f t="shared" si="135"/>
        <v>0</v>
      </c>
      <c r="AG1093" s="275">
        <f t="shared" si="136"/>
        <v>0</v>
      </c>
    </row>
    <row r="1094" spans="1:33" s="578" customFormat="1" ht="12" customHeight="1">
      <c r="A1094" s="646" t="s">
        <v>1272</v>
      </c>
      <c r="B1094" s="661" t="s">
        <v>1412</v>
      </c>
      <c r="C1094" s="662" t="s">
        <v>1761</v>
      </c>
      <c r="D1094" s="654"/>
      <c r="E1094" s="655"/>
      <c r="F1094" s="573"/>
      <c r="G1094" s="487"/>
      <c r="H1094" s="573"/>
      <c r="I1094" s="487"/>
      <c r="J1094" s="573"/>
      <c r="K1094" s="487"/>
      <c r="L1094" s="573"/>
      <c r="M1094" s="573"/>
      <c r="N1094" s="456">
        <f t="shared" si="137"/>
        <v>0</v>
      </c>
      <c r="O1094" s="487"/>
      <c r="P1094" s="487"/>
      <c r="Q1094" s="274">
        <f t="shared" si="132"/>
        <v>0</v>
      </c>
      <c r="R1094" s="574">
        <f t="shared" si="133"/>
        <v>0</v>
      </c>
      <c r="S1094" s="275">
        <f t="shared" si="134"/>
        <v>0</v>
      </c>
      <c r="T1094" s="575"/>
      <c r="U1094" s="487"/>
      <c r="V1094" s="576"/>
      <c r="W1094" s="573"/>
      <c r="X1094" s="574">
        <f t="shared" si="138"/>
        <v>0</v>
      </c>
      <c r="Y1094" s="487"/>
      <c r="Z1094" s="487"/>
      <c r="AA1094" s="276">
        <f t="shared" si="139"/>
        <v>0</v>
      </c>
      <c r="AB1094" s="573"/>
      <c r="AC1094" s="487"/>
      <c r="AD1094" s="573"/>
      <c r="AE1094" s="487"/>
      <c r="AF1094" s="577">
        <f t="shared" si="135"/>
        <v>0</v>
      </c>
      <c r="AG1094" s="275">
        <f t="shared" si="136"/>
        <v>0</v>
      </c>
    </row>
    <row r="1095" spans="1:33" s="578" customFormat="1" ht="12" customHeight="1">
      <c r="A1095" s="646" t="s">
        <v>1272</v>
      </c>
      <c r="B1095" s="661" t="s">
        <v>1413</v>
      </c>
      <c r="C1095" s="662" t="s">
        <v>422</v>
      </c>
      <c r="D1095" s="654"/>
      <c r="E1095" s="655"/>
      <c r="F1095" s="573"/>
      <c r="G1095" s="487"/>
      <c r="H1095" s="573"/>
      <c r="I1095" s="487"/>
      <c r="J1095" s="573"/>
      <c r="K1095" s="487"/>
      <c r="L1095" s="573"/>
      <c r="M1095" s="573"/>
      <c r="N1095" s="456">
        <f t="shared" si="137"/>
        <v>0</v>
      </c>
      <c r="O1095" s="487"/>
      <c r="P1095" s="487"/>
      <c r="Q1095" s="274">
        <f t="shared" si="132"/>
        <v>0</v>
      </c>
      <c r="R1095" s="574">
        <f t="shared" si="133"/>
        <v>0</v>
      </c>
      <c r="S1095" s="275">
        <f t="shared" si="134"/>
        <v>0</v>
      </c>
      <c r="T1095" s="575"/>
      <c r="U1095" s="487"/>
      <c r="V1095" s="576"/>
      <c r="W1095" s="573"/>
      <c r="X1095" s="574">
        <f t="shared" si="138"/>
        <v>0</v>
      </c>
      <c r="Y1095" s="487"/>
      <c r="Z1095" s="487"/>
      <c r="AA1095" s="276">
        <f t="shared" si="139"/>
        <v>0</v>
      </c>
      <c r="AB1095" s="573"/>
      <c r="AC1095" s="487"/>
      <c r="AD1095" s="573"/>
      <c r="AE1095" s="487"/>
      <c r="AF1095" s="577">
        <f t="shared" si="135"/>
        <v>0</v>
      </c>
      <c r="AG1095" s="275">
        <f t="shared" si="136"/>
        <v>0</v>
      </c>
    </row>
    <row r="1096" spans="1:33" s="578" customFormat="1" ht="12" customHeight="1">
      <c r="A1096" s="646" t="s">
        <v>1272</v>
      </c>
      <c r="B1096" s="661" t="s">
        <v>1582</v>
      </c>
      <c r="C1096" s="662" t="s">
        <v>1883</v>
      </c>
      <c r="D1096" s="654"/>
      <c r="E1096" s="655"/>
      <c r="F1096" s="573"/>
      <c r="G1096" s="487"/>
      <c r="H1096" s="573"/>
      <c r="I1096" s="487"/>
      <c r="J1096" s="573"/>
      <c r="K1096" s="487"/>
      <c r="L1096" s="573"/>
      <c r="M1096" s="573"/>
      <c r="N1096" s="456">
        <f t="shared" si="137"/>
        <v>0</v>
      </c>
      <c r="O1096" s="487"/>
      <c r="P1096" s="487"/>
      <c r="Q1096" s="274">
        <f t="shared" si="132"/>
        <v>0</v>
      </c>
      <c r="R1096" s="574">
        <f t="shared" si="133"/>
        <v>0</v>
      </c>
      <c r="S1096" s="275">
        <f t="shared" si="134"/>
        <v>0</v>
      </c>
      <c r="T1096" s="575"/>
      <c r="U1096" s="487"/>
      <c r="V1096" s="576"/>
      <c r="W1096" s="573"/>
      <c r="X1096" s="574">
        <f t="shared" si="138"/>
        <v>0</v>
      </c>
      <c r="Y1096" s="487"/>
      <c r="Z1096" s="487"/>
      <c r="AA1096" s="276">
        <f t="shared" si="139"/>
        <v>0</v>
      </c>
      <c r="AB1096" s="573"/>
      <c r="AC1096" s="487"/>
      <c r="AD1096" s="573"/>
      <c r="AE1096" s="487"/>
      <c r="AF1096" s="577">
        <f t="shared" si="135"/>
        <v>0</v>
      </c>
      <c r="AG1096" s="275">
        <f t="shared" si="136"/>
        <v>0</v>
      </c>
    </row>
    <row r="1097" spans="1:33" s="578" customFormat="1" ht="12" customHeight="1">
      <c r="A1097" s="646" t="s">
        <v>1272</v>
      </c>
      <c r="B1097" s="661" t="s">
        <v>1583</v>
      </c>
      <c r="C1097" s="662" t="s">
        <v>1761</v>
      </c>
      <c r="D1097" s="654"/>
      <c r="E1097" s="655"/>
      <c r="F1097" s="573"/>
      <c r="G1097" s="487"/>
      <c r="H1097" s="573"/>
      <c r="I1097" s="487"/>
      <c r="J1097" s="573"/>
      <c r="K1097" s="487"/>
      <c r="L1097" s="573"/>
      <c r="M1097" s="573"/>
      <c r="N1097" s="456">
        <f t="shared" si="137"/>
        <v>0</v>
      </c>
      <c r="O1097" s="487"/>
      <c r="P1097" s="487"/>
      <c r="Q1097" s="274">
        <f t="shared" si="132"/>
        <v>0</v>
      </c>
      <c r="R1097" s="574">
        <f t="shared" si="133"/>
        <v>0</v>
      </c>
      <c r="S1097" s="275">
        <f t="shared" si="134"/>
        <v>0</v>
      </c>
      <c r="T1097" s="575"/>
      <c r="U1097" s="487"/>
      <c r="V1097" s="576"/>
      <c r="W1097" s="573"/>
      <c r="X1097" s="574">
        <f t="shared" si="138"/>
        <v>0</v>
      </c>
      <c r="Y1097" s="487"/>
      <c r="Z1097" s="487"/>
      <c r="AA1097" s="276">
        <f t="shared" si="139"/>
        <v>0</v>
      </c>
      <c r="AB1097" s="573"/>
      <c r="AC1097" s="487"/>
      <c r="AD1097" s="573"/>
      <c r="AE1097" s="487"/>
      <c r="AF1097" s="577">
        <f t="shared" si="135"/>
        <v>0</v>
      </c>
      <c r="AG1097" s="275">
        <f t="shared" si="136"/>
        <v>0</v>
      </c>
    </row>
    <row r="1098" spans="1:33" s="578" customFormat="1" ht="12" customHeight="1">
      <c r="A1098" s="646" t="s">
        <v>1272</v>
      </c>
      <c r="B1098" s="646" t="s">
        <v>1805</v>
      </c>
      <c r="C1098" s="502" t="s">
        <v>1017</v>
      </c>
      <c r="D1098" s="654"/>
      <c r="E1098" s="655"/>
      <c r="F1098" s="573"/>
      <c r="G1098" s="487"/>
      <c r="H1098" s="573"/>
      <c r="I1098" s="487"/>
      <c r="J1098" s="573"/>
      <c r="K1098" s="487"/>
      <c r="L1098" s="573"/>
      <c r="M1098" s="573"/>
      <c r="N1098" s="456">
        <f t="shared" si="137"/>
        <v>0</v>
      </c>
      <c r="O1098" s="487"/>
      <c r="P1098" s="487"/>
      <c r="Q1098" s="274">
        <f t="shared" ref="Q1098:Q1161" si="140">SUM(O1098:P1098)</f>
        <v>0</v>
      </c>
      <c r="R1098" s="574">
        <f t="shared" ref="R1098:R1161" si="141">SUM(F1098,H1098,J1098,L1098)</f>
        <v>0</v>
      </c>
      <c r="S1098" s="275">
        <f t="shared" ref="S1098:S1161" si="142">SUM(G1098,I1098,K1098,O1098)</f>
        <v>0</v>
      </c>
      <c r="T1098" s="575"/>
      <c r="U1098" s="487"/>
      <c r="V1098" s="576"/>
      <c r="W1098" s="573"/>
      <c r="X1098" s="574">
        <f t="shared" si="138"/>
        <v>0</v>
      </c>
      <c r="Y1098" s="487"/>
      <c r="Z1098" s="487"/>
      <c r="AA1098" s="276">
        <f t="shared" si="139"/>
        <v>0</v>
      </c>
      <c r="AB1098" s="573"/>
      <c r="AC1098" s="487"/>
      <c r="AD1098" s="573"/>
      <c r="AE1098" s="487"/>
      <c r="AF1098" s="577">
        <f t="shared" ref="AF1098:AF1161" si="143">SUM(R1098,T1098,V1098,AB1098,AD1098)</f>
        <v>0</v>
      </c>
      <c r="AG1098" s="275">
        <f t="shared" ref="AG1098:AG1161" si="144">SUM(S1098,U1098,Y1098,AC1098,AE1098)</f>
        <v>0</v>
      </c>
    </row>
    <row r="1099" spans="1:33" s="578" customFormat="1" ht="12" customHeight="1">
      <c r="A1099" s="646" t="s">
        <v>1272</v>
      </c>
      <c r="B1099" s="661" t="s">
        <v>1510</v>
      </c>
      <c r="C1099" s="662" t="s">
        <v>421</v>
      </c>
      <c r="D1099" s="654"/>
      <c r="E1099" s="655"/>
      <c r="F1099" s="573"/>
      <c r="G1099" s="487"/>
      <c r="H1099" s="573"/>
      <c r="I1099" s="487"/>
      <c r="J1099" s="573"/>
      <c r="K1099" s="487"/>
      <c r="L1099" s="573"/>
      <c r="M1099" s="573"/>
      <c r="N1099" s="456">
        <f t="shared" si="137"/>
        <v>0</v>
      </c>
      <c r="O1099" s="487"/>
      <c r="P1099" s="487"/>
      <c r="Q1099" s="274">
        <f t="shared" si="140"/>
        <v>0</v>
      </c>
      <c r="R1099" s="574">
        <f t="shared" si="141"/>
        <v>0</v>
      </c>
      <c r="S1099" s="275">
        <f t="shared" si="142"/>
        <v>0</v>
      </c>
      <c r="T1099" s="575"/>
      <c r="U1099" s="487"/>
      <c r="V1099" s="576"/>
      <c r="W1099" s="573"/>
      <c r="X1099" s="574">
        <f t="shared" si="138"/>
        <v>0</v>
      </c>
      <c r="Y1099" s="487"/>
      <c r="Z1099" s="487"/>
      <c r="AA1099" s="276">
        <f t="shared" si="139"/>
        <v>0</v>
      </c>
      <c r="AB1099" s="573"/>
      <c r="AC1099" s="487"/>
      <c r="AD1099" s="573"/>
      <c r="AE1099" s="487"/>
      <c r="AF1099" s="577">
        <f t="shared" si="143"/>
        <v>0</v>
      </c>
      <c r="AG1099" s="275">
        <f t="shared" si="144"/>
        <v>0</v>
      </c>
    </row>
    <row r="1100" spans="1:33" s="578" customFormat="1" ht="12" customHeight="1">
      <c r="A1100" s="646" t="s">
        <v>1272</v>
      </c>
      <c r="B1100" s="661" t="s">
        <v>1511</v>
      </c>
      <c r="C1100" s="662" t="s">
        <v>1883</v>
      </c>
      <c r="D1100" s="654"/>
      <c r="E1100" s="655"/>
      <c r="F1100" s="573"/>
      <c r="G1100" s="487"/>
      <c r="H1100" s="573"/>
      <c r="I1100" s="487"/>
      <c r="J1100" s="573"/>
      <c r="K1100" s="487"/>
      <c r="L1100" s="573"/>
      <c r="M1100" s="573"/>
      <c r="N1100" s="456">
        <f t="shared" si="137"/>
        <v>0</v>
      </c>
      <c r="O1100" s="487"/>
      <c r="P1100" s="487"/>
      <c r="Q1100" s="274">
        <f t="shared" si="140"/>
        <v>0</v>
      </c>
      <c r="R1100" s="574">
        <f t="shared" si="141"/>
        <v>0</v>
      </c>
      <c r="S1100" s="275">
        <f t="shared" si="142"/>
        <v>0</v>
      </c>
      <c r="T1100" s="575"/>
      <c r="U1100" s="487"/>
      <c r="V1100" s="576"/>
      <c r="W1100" s="573"/>
      <c r="X1100" s="574">
        <f t="shared" si="138"/>
        <v>0</v>
      </c>
      <c r="Y1100" s="487"/>
      <c r="Z1100" s="487"/>
      <c r="AA1100" s="276">
        <f t="shared" si="139"/>
        <v>0</v>
      </c>
      <c r="AB1100" s="573"/>
      <c r="AC1100" s="487"/>
      <c r="AD1100" s="573"/>
      <c r="AE1100" s="487"/>
      <c r="AF1100" s="577">
        <f t="shared" si="143"/>
        <v>0</v>
      </c>
      <c r="AG1100" s="275">
        <f t="shared" si="144"/>
        <v>0</v>
      </c>
    </row>
    <row r="1101" spans="1:33" s="578" customFormat="1" ht="12" customHeight="1">
      <c r="A1101" s="646" t="s">
        <v>1272</v>
      </c>
      <c r="B1101" s="661" t="s">
        <v>1412</v>
      </c>
      <c r="C1101" s="662" t="s">
        <v>1761</v>
      </c>
      <c r="D1101" s="654"/>
      <c r="E1101" s="655"/>
      <c r="F1101" s="573"/>
      <c r="G1101" s="487"/>
      <c r="H1101" s="573"/>
      <c r="I1101" s="487"/>
      <c r="J1101" s="573"/>
      <c r="K1101" s="487"/>
      <c r="L1101" s="573"/>
      <c r="M1101" s="573"/>
      <c r="N1101" s="456">
        <f t="shared" si="137"/>
        <v>0</v>
      </c>
      <c r="O1101" s="487"/>
      <c r="P1101" s="487"/>
      <c r="Q1101" s="274">
        <f t="shared" si="140"/>
        <v>0</v>
      </c>
      <c r="R1101" s="574">
        <f t="shared" si="141"/>
        <v>0</v>
      </c>
      <c r="S1101" s="275">
        <f t="shared" si="142"/>
        <v>0</v>
      </c>
      <c r="T1101" s="575">
        <v>255850</v>
      </c>
      <c r="U1101" s="487">
        <v>255850</v>
      </c>
      <c r="V1101" s="576"/>
      <c r="W1101" s="573"/>
      <c r="X1101" s="574">
        <f t="shared" si="138"/>
        <v>0</v>
      </c>
      <c r="Y1101" s="487"/>
      <c r="Z1101" s="487"/>
      <c r="AA1101" s="276">
        <f t="shared" si="139"/>
        <v>0</v>
      </c>
      <c r="AB1101" s="573"/>
      <c r="AC1101" s="487"/>
      <c r="AD1101" s="573"/>
      <c r="AE1101" s="487"/>
      <c r="AF1101" s="577">
        <f t="shared" si="143"/>
        <v>255850</v>
      </c>
      <c r="AG1101" s="275">
        <f t="shared" si="144"/>
        <v>255850</v>
      </c>
    </row>
    <row r="1102" spans="1:33" s="578" customFormat="1" ht="12" customHeight="1">
      <c r="A1102" s="646" t="s">
        <v>1272</v>
      </c>
      <c r="B1102" s="661" t="s">
        <v>1413</v>
      </c>
      <c r="C1102" s="662" t="s">
        <v>422</v>
      </c>
      <c r="D1102" s="654"/>
      <c r="E1102" s="655"/>
      <c r="F1102" s="573"/>
      <c r="G1102" s="487"/>
      <c r="H1102" s="573"/>
      <c r="I1102" s="487"/>
      <c r="J1102" s="573"/>
      <c r="K1102" s="487"/>
      <c r="L1102" s="573"/>
      <c r="M1102" s="573"/>
      <c r="N1102" s="456">
        <f t="shared" si="137"/>
        <v>0</v>
      </c>
      <c r="O1102" s="487"/>
      <c r="P1102" s="487"/>
      <c r="Q1102" s="274">
        <f t="shared" si="140"/>
        <v>0</v>
      </c>
      <c r="R1102" s="574">
        <f t="shared" si="141"/>
        <v>0</v>
      </c>
      <c r="S1102" s="275">
        <f t="shared" si="142"/>
        <v>0</v>
      </c>
      <c r="T1102" s="575"/>
      <c r="U1102" s="487"/>
      <c r="V1102" s="576"/>
      <c r="W1102" s="573"/>
      <c r="X1102" s="574">
        <f t="shared" si="138"/>
        <v>0</v>
      </c>
      <c r="Y1102" s="487"/>
      <c r="Z1102" s="487"/>
      <c r="AA1102" s="276">
        <f t="shared" si="139"/>
        <v>0</v>
      </c>
      <c r="AB1102" s="573"/>
      <c r="AC1102" s="487"/>
      <c r="AD1102" s="573"/>
      <c r="AE1102" s="487"/>
      <c r="AF1102" s="577">
        <f t="shared" si="143"/>
        <v>0</v>
      </c>
      <c r="AG1102" s="275">
        <f t="shared" si="144"/>
        <v>0</v>
      </c>
    </row>
    <row r="1103" spans="1:33" s="578" customFormat="1" ht="12" customHeight="1">
      <c r="A1103" s="646" t="s">
        <v>1272</v>
      </c>
      <c r="B1103" s="661" t="s">
        <v>1582</v>
      </c>
      <c r="C1103" s="662" t="s">
        <v>1883</v>
      </c>
      <c r="D1103" s="654"/>
      <c r="E1103" s="655"/>
      <c r="F1103" s="573"/>
      <c r="G1103" s="487"/>
      <c r="H1103" s="573"/>
      <c r="I1103" s="487"/>
      <c r="J1103" s="573"/>
      <c r="K1103" s="487"/>
      <c r="L1103" s="573"/>
      <c r="M1103" s="573"/>
      <c r="N1103" s="456">
        <f t="shared" si="137"/>
        <v>0</v>
      </c>
      <c r="O1103" s="487"/>
      <c r="P1103" s="487"/>
      <c r="Q1103" s="274">
        <f t="shared" si="140"/>
        <v>0</v>
      </c>
      <c r="R1103" s="574">
        <f t="shared" si="141"/>
        <v>0</v>
      </c>
      <c r="S1103" s="275">
        <f t="shared" si="142"/>
        <v>0</v>
      </c>
      <c r="T1103" s="575"/>
      <c r="U1103" s="487"/>
      <c r="V1103" s="576"/>
      <c r="W1103" s="573"/>
      <c r="X1103" s="574">
        <f t="shared" si="138"/>
        <v>0</v>
      </c>
      <c r="Y1103" s="487"/>
      <c r="Z1103" s="487"/>
      <c r="AA1103" s="276">
        <f t="shared" si="139"/>
        <v>0</v>
      </c>
      <c r="AB1103" s="573"/>
      <c r="AC1103" s="487"/>
      <c r="AD1103" s="573"/>
      <c r="AE1103" s="487"/>
      <c r="AF1103" s="577">
        <f t="shared" si="143"/>
        <v>0</v>
      </c>
      <c r="AG1103" s="275">
        <f t="shared" si="144"/>
        <v>0</v>
      </c>
    </row>
    <row r="1104" spans="1:33" s="578" customFormat="1" ht="12" customHeight="1">
      <c r="A1104" s="646" t="s">
        <v>1272</v>
      </c>
      <c r="B1104" s="661" t="s">
        <v>1583</v>
      </c>
      <c r="C1104" s="662" t="s">
        <v>1761</v>
      </c>
      <c r="D1104" s="654"/>
      <c r="E1104" s="655"/>
      <c r="F1104" s="573"/>
      <c r="G1104" s="487"/>
      <c r="H1104" s="573"/>
      <c r="I1104" s="487"/>
      <c r="J1104" s="573"/>
      <c r="K1104" s="487"/>
      <c r="L1104" s="573"/>
      <c r="M1104" s="573"/>
      <c r="N1104" s="456">
        <f t="shared" si="137"/>
        <v>0</v>
      </c>
      <c r="O1104" s="487"/>
      <c r="P1104" s="487"/>
      <c r="Q1104" s="274">
        <f t="shared" si="140"/>
        <v>0</v>
      </c>
      <c r="R1104" s="574">
        <f t="shared" si="141"/>
        <v>0</v>
      </c>
      <c r="S1104" s="275">
        <f t="shared" si="142"/>
        <v>0</v>
      </c>
      <c r="T1104" s="575"/>
      <c r="U1104" s="487"/>
      <c r="V1104" s="576"/>
      <c r="W1104" s="573"/>
      <c r="X1104" s="574">
        <f t="shared" si="138"/>
        <v>0</v>
      </c>
      <c r="Y1104" s="487"/>
      <c r="Z1104" s="487"/>
      <c r="AA1104" s="276">
        <f t="shared" si="139"/>
        <v>0</v>
      </c>
      <c r="AB1104" s="573"/>
      <c r="AC1104" s="487"/>
      <c r="AD1104" s="573"/>
      <c r="AE1104" s="487"/>
      <c r="AF1104" s="577">
        <f t="shared" si="143"/>
        <v>0</v>
      </c>
      <c r="AG1104" s="275">
        <f t="shared" si="144"/>
        <v>0</v>
      </c>
    </row>
    <row r="1105" spans="1:33" s="578" customFormat="1" ht="12" customHeight="1">
      <c r="A1105" s="646" t="s">
        <v>1272</v>
      </c>
      <c r="B1105" s="661" t="s">
        <v>1805</v>
      </c>
      <c r="C1105" s="502" t="s">
        <v>1018</v>
      </c>
      <c r="D1105" s="654"/>
      <c r="E1105" s="655"/>
      <c r="F1105" s="573"/>
      <c r="G1105" s="487"/>
      <c r="H1105" s="573"/>
      <c r="I1105" s="487"/>
      <c r="J1105" s="573"/>
      <c r="K1105" s="487"/>
      <c r="L1105" s="573"/>
      <c r="M1105" s="573"/>
      <c r="N1105" s="456">
        <f t="shared" si="137"/>
        <v>0</v>
      </c>
      <c r="O1105" s="487"/>
      <c r="P1105" s="487"/>
      <c r="Q1105" s="274">
        <f t="shared" si="140"/>
        <v>0</v>
      </c>
      <c r="R1105" s="574">
        <f t="shared" si="141"/>
        <v>0</v>
      </c>
      <c r="S1105" s="275">
        <f t="shared" si="142"/>
        <v>0</v>
      </c>
      <c r="T1105" s="575">
        <v>5332698</v>
      </c>
      <c r="U1105" s="487">
        <v>5332698</v>
      </c>
      <c r="V1105" s="576"/>
      <c r="W1105" s="573"/>
      <c r="X1105" s="574">
        <f t="shared" si="138"/>
        <v>0</v>
      </c>
      <c r="Y1105" s="487"/>
      <c r="Z1105" s="487"/>
      <c r="AA1105" s="276">
        <f t="shared" si="139"/>
        <v>0</v>
      </c>
      <c r="AB1105" s="573"/>
      <c r="AC1105" s="487"/>
      <c r="AD1105" s="573"/>
      <c r="AE1105" s="487"/>
      <c r="AF1105" s="577">
        <f t="shared" si="143"/>
        <v>5332698</v>
      </c>
      <c r="AG1105" s="275">
        <f t="shared" si="144"/>
        <v>5332698</v>
      </c>
    </row>
    <row r="1106" spans="1:33" s="578" customFormat="1" ht="12" customHeight="1">
      <c r="A1106" s="646" t="s">
        <v>1272</v>
      </c>
      <c r="B1106" s="661" t="s">
        <v>1764</v>
      </c>
      <c r="C1106" s="662" t="s">
        <v>1883</v>
      </c>
      <c r="D1106" s="654"/>
      <c r="E1106" s="655"/>
      <c r="F1106" s="573"/>
      <c r="G1106" s="487"/>
      <c r="H1106" s="573"/>
      <c r="I1106" s="487"/>
      <c r="J1106" s="573"/>
      <c r="K1106" s="487"/>
      <c r="L1106" s="573"/>
      <c r="M1106" s="573"/>
      <c r="N1106" s="456">
        <f t="shared" si="137"/>
        <v>0</v>
      </c>
      <c r="O1106" s="487"/>
      <c r="P1106" s="487"/>
      <c r="Q1106" s="274">
        <f t="shared" si="140"/>
        <v>0</v>
      </c>
      <c r="R1106" s="574">
        <f t="shared" si="141"/>
        <v>0</v>
      </c>
      <c r="S1106" s="275">
        <f t="shared" si="142"/>
        <v>0</v>
      </c>
      <c r="T1106" s="575"/>
      <c r="U1106" s="487"/>
      <c r="V1106" s="576"/>
      <c r="W1106" s="573"/>
      <c r="X1106" s="574">
        <f t="shared" si="138"/>
        <v>0</v>
      </c>
      <c r="Y1106" s="487"/>
      <c r="Z1106" s="487"/>
      <c r="AA1106" s="276">
        <f t="shared" si="139"/>
        <v>0</v>
      </c>
      <c r="AB1106" s="573"/>
      <c r="AC1106" s="487"/>
      <c r="AD1106" s="573"/>
      <c r="AE1106" s="487"/>
      <c r="AF1106" s="577">
        <f t="shared" si="143"/>
        <v>0</v>
      </c>
      <c r="AG1106" s="275">
        <f t="shared" si="144"/>
        <v>0</v>
      </c>
    </row>
    <row r="1107" spans="1:33" s="578" customFormat="1" ht="12" customHeight="1">
      <c r="A1107" s="646" t="s">
        <v>1272</v>
      </c>
      <c r="B1107" s="661" t="s">
        <v>1765</v>
      </c>
      <c r="C1107" s="662" t="s">
        <v>1761</v>
      </c>
      <c r="D1107" s="654"/>
      <c r="E1107" s="655"/>
      <c r="F1107" s="573"/>
      <c r="G1107" s="487"/>
      <c r="H1107" s="573"/>
      <c r="I1107" s="487"/>
      <c r="J1107" s="573"/>
      <c r="K1107" s="487"/>
      <c r="L1107" s="573"/>
      <c r="M1107" s="573"/>
      <c r="N1107" s="456">
        <f t="shared" ref="N1107:N1170" si="145">SUM(L1107:M1107)</f>
        <v>0</v>
      </c>
      <c r="O1107" s="487"/>
      <c r="P1107" s="487"/>
      <c r="Q1107" s="274">
        <f t="shared" si="140"/>
        <v>0</v>
      </c>
      <c r="R1107" s="574">
        <f t="shared" si="141"/>
        <v>0</v>
      </c>
      <c r="S1107" s="275">
        <f t="shared" si="142"/>
        <v>0</v>
      </c>
      <c r="T1107" s="575"/>
      <c r="U1107" s="487"/>
      <c r="V1107" s="576"/>
      <c r="W1107" s="573"/>
      <c r="X1107" s="574">
        <f t="shared" ref="X1107:X1170" si="146">SUM(V1107:W1107)</f>
        <v>0</v>
      </c>
      <c r="Y1107" s="487"/>
      <c r="Z1107" s="487"/>
      <c r="AA1107" s="276">
        <f t="shared" ref="AA1107:AA1170" si="147">SUM(Y1107:Z1107)</f>
        <v>0</v>
      </c>
      <c r="AB1107" s="573"/>
      <c r="AC1107" s="487"/>
      <c r="AD1107" s="573"/>
      <c r="AE1107" s="487"/>
      <c r="AF1107" s="577">
        <f t="shared" si="143"/>
        <v>0</v>
      </c>
      <c r="AG1107" s="275">
        <f t="shared" si="144"/>
        <v>0</v>
      </c>
    </row>
    <row r="1108" spans="1:33" s="578" customFormat="1" ht="12" customHeight="1">
      <c r="A1108" s="646" t="s">
        <v>1272</v>
      </c>
      <c r="B1108" s="661" t="s">
        <v>1510</v>
      </c>
      <c r="C1108" s="662" t="s">
        <v>421</v>
      </c>
      <c r="D1108" s="654"/>
      <c r="E1108" s="655"/>
      <c r="F1108" s="573"/>
      <c r="G1108" s="487"/>
      <c r="H1108" s="573"/>
      <c r="I1108" s="487"/>
      <c r="J1108" s="573"/>
      <c r="K1108" s="487"/>
      <c r="L1108" s="573"/>
      <c r="M1108" s="573"/>
      <c r="N1108" s="456">
        <f t="shared" si="145"/>
        <v>0</v>
      </c>
      <c r="O1108" s="487"/>
      <c r="P1108" s="487"/>
      <c r="Q1108" s="274">
        <f t="shared" si="140"/>
        <v>0</v>
      </c>
      <c r="R1108" s="574">
        <f t="shared" si="141"/>
        <v>0</v>
      </c>
      <c r="S1108" s="275">
        <f t="shared" si="142"/>
        <v>0</v>
      </c>
      <c r="T1108" s="575"/>
      <c r="U1108" s="487"/>
      <c r="V1108" s="576"/>
      <c r="W1108" s="573"/>
      <c r="X1108" s="574">
        <f t="shared" si="146"/>
        <v>0</v>
      </c>
      <c r="Y1108" s="487"/>
      <c r="Z1108" s="487"/>
      <c r="AA1108" s="276">
        <f t="shared" si="147"/>
        <v>0</v>
      </c>
      <c r="AB1108" s="573"/>
      <c r="AC1108" s="487"/>
      <c r="AD1108" s="573"/>
      <c r="AE1108" s="487"/>
      <c r="AF1108" s="577">
        <f t="shared" si="143"/>
        <v>0</v>
      </c>
      <c r="AG1108" s="275">
        <f t="shared" si="144"/>
        <v>0</v>
      </c>
    </row>
    <row r="1109" spans="1:33" s="578" customFormat="1" ht="12" customHeight="1">
      <c r="A1109" s="646" t="s">
        <v>1272</v>
      </c>
      <c r="B1109" s="661" t="s">
        <v>1511</v>
      </c>
      <c r="C1109" s="662" t="s">
        <v>1883</v>
      </c>
      <c r="D1109" s="654"/>
      <c r="E1109" s="655"/>
      <c r="F1109" s="573"/>
      <c r="G1109" s="487"/>
      <c r="H1109" s="573"/>
      <c r="I1109" s="487"/>
      <c r="J1109" s="573"/>
      <c r="K1109" s="487"/>
      <c r="L1109" s="573"/>
      <c r="M1109" s="573"/>
      <c r="N1109" s="456">
        <f t="shared" si="145"/>
        <v>0</v>
      </c>
      <c r="O1109" s="487"/>
      <c r="P1109" s="487"/>
      <c r="Q1109" s="274">
        <f t="shared" si="140"/>
        <v>0</v>
      </c>
      <c r="R1109" s="574">
        <f t="shared" si="141"/>
        <v>0</v>
      </c>
      <c r="S1109" s="275">
        <f t="shared" si="142"/>
        <v>0</v>
      </c>
      <c r="T1109" s="575"/>
      <c r="U1109" s="487"/>
      <c r="V1109" s="576"/>
      <c r="W1109" s="573"/>
      <c r="X1109" s="574">
        <f t="shared" si="146"/>
        <v>0</v>
      </c>
      <c r="Y1109" s="487"/>
      <c r="Z1109" s="487"/>
      <c r="AA1109" s="276">
        <f t="shared" si="147"/>
        <v>0</v>
      </c>
      <c r="AB1109" s="573"/>
      <c r="AC1109" s="487"/>
      <c r="AD1109" s="573"/>
      <c r="AE1109" s="487"/>
      <c r="AF1109" s="577">
        <f t="shared" si="143"/>
        <v>0</v>
      </c>
      <c r="AG1109" s="275">
        <f t="shared" si="144"/>
        <v>0</v>
      </c>
    </row>
    <row r="1110" spans="1:33" s="578" customFormat="1" ht="12" customHeight="1">
      <c r="A1110" s="646" t="s">
        <v>1272</v>
      </c>
      <c r="B1110" s="661" t="s">
        <v>1412</v>
      </c>
      <c r="C1110" s="662" t="s">
        <v>1761</v>
      </c>
      <c r="D1110" s="654"/>
      <c r="E1110" s="655"/>
      <c r="F1110" s="573"/>
      <c r="G1110" s="487"/>
      <c r="H1110" s="573"/>
      <c r="I1110" s="487"/>
      <c r="J1110" s="573"/>
      <c r="K1110" s="487"/>
      <c r="L1110" s="573"/>
      <c r="M1110" s="573"/>
      <c r="N1110" s="456">
        <f t="shared" si="145"/>
        <v>0</v>
      </c>
      <c r="O1110" s="487"/>
      <c r="P1110" s="487"/>
      <c r="Q1110" s="274">
        <f t="shared" si="140"/>
        <v>0</v>
      </c>
      <c r="R1110" s="574">
        <f t="shared" si="141"/>
        <v>0</v>
      </c>
      <c r="S1110" s="275">
        <f t="shared" si="142"/>
        <v>0</v>
      </c>
      <c r="T1110" s="575"/>
      <c r="U1110" s="487"/>
      <c r="V1110" s="576"/>
      <c r="W1110" s="573"/>
      <c r="X1110" s="574">
        <f t="shared" si="146"/>
        <v>0</v>
      </c>
      <c r="Y1110" s="487"/>
      <c r="Z1110" s="487"/>
      <c r="AA1110" s="276">
        <f t="shared" si="147"/>
        <v>0</v>
      </c>
      <c r="AB1110" s="573"/>
      <c r="AC1110" s="487"/>
      <c r="AD1110" s="573"/>
      <c r="AE1110" s="487"/>
      <c r="AF1110" s="577">
        <f t="shared" si="143"/>
        <v>0</v>
      </c>
      <c r="AG1110" s="275">
        <f t="shared" si="144"/>
        <v>0</v>
      </c>
    </row>
    <row r="1111" spans="1:33" s="578" customFormat="1" ht="12" customHeight="1">
      <c r="A1111" s="646" t="s">
        <v>1272</v>
      </c>
      <c r="B1111" s="661" t="s">
        <v>1413</v>
      </c>
      <c r="C1111" s="662" t="s">
        <v>422</v>
      </c>
      <c r="D1111" s="654"/>
      <c r="E1111" s="655"/>
      <c r="F1111" s="573"/>
      <c r="G1111" s="487"/>
      <c r="H1111" s="573"/>
      <c r="I1111" s="487"/>
      <c r="J1111" s="573"/>
      <c r="K1111" s="487"/>
      <c r="L1111" s="573"/>
      <c r="M1111" s="573"/>
      <c r="N1111" s="456">
        <f t="shared" si="145"/>
        <v>0</v>
      </c>
      <c r="O1111" s="487"/>
      <c r="P1111" s="487"/>
      <c r="Q1111" s="274">
        <f t="shared" si="140"/>
        <v>0</v>
      </c>
      <c r="R1111" s="574">
        <f t="shared" si="141"/>
        <v>0</v>
      </c>
      <c r="S1111" s="275">
        <f t="shared" si="142"/>
        <v>0</v>
      </c>
      <c r="T1111" s="575"/>
      <c r="U1111" s="487"/>
      <c r="V1111" s="576"/>
      <c r="W1111" s="573"/>
      <c r="X1111" s="574">
        <f t="shared" si="146"/>
        <v>0</v>
      </c>
      <c r="Y1111" s="487"/>
      <c r="Z1111" s="487"/>
      <c r="AA1111" s="276">
        <f t="shared" si="147"/>
        <v>0</v>
      </c>
      <c r="AB1111" s="573"/>
      <c r="AC1111" s="487"/>
      <c r="AD1111" s="573"/>
      <c r="AE1111" s="487"/>
      <c r="AF1111" s="577">
        <f t="shared" si="143"/>
        <v>0</v>
      </c>
      <c r="AG1111" s="275">
        <f t="shared" si="144"/>
        <v>0</v>
      </c>
    </row>
    <row r="1112" spans="1:33" s="578" customFormat="1" ht="12" customHeight="1">
      <c r="A1112" s="646" t="s">
        <v>1272</v>
      </c>
      <c r="B1112" s="661" t="s">
        <v>1582</v>
      </c>
      <c r="C1112" s="662" t="s">
        <v>1883</v>
      </c>
      <c r="D1112" s="654"/>
      <c r="E1112" s="655"/>
      <c r="F1112" s="573"/>
      <c r="G1112" s="487"/>
      <c r="H1112" s="573"/>
      <c r="I1112" s="487"/>
      <c r="J1112" s="573"/>
      <c r="K1112" s="487"/>
      <c r="L1112" s="573"/>
      <c r="M1112" s="573"/>
      <c r="N1112" s="456">
        <f t="shared" si="145"/>
        <v>0</v>
      </c>
      <c r="O1112" s="487"/>
      <c r="P1112" s="487"/>
      <c r="Q1112" s="274">
        <f t="shared" si="140"/>
        <v>0</v>
      </c>
      <c r="R1112" s="574">
        <f t="shared" si="141"/>
        <v>0</v>
      </c>
      <c r="S1112" s="275">
        <f t="shared" si="142"/>
        <v>0</v>
      </c>
      <c r="T1112" s="575"/>
      <c r="U1112" s="487"/>
      <c r="V1112" s="576"/>
      <c r="W1112" s="573"/>
      <c r="X1112" s="574">
        <f t="shared" si="146"/>
        <v>0</v>
      </c>
      <c r="Y1112" s="487"/>
      <c r="Z1112" s="487"/>
      <c r="AA1112" s="276">
        <f t="shared" si="147"/>
        <v>0</v>
      </c>
      <c r="AB1112" s="573"/>
      <c r="AC1112" s="487"/>
      <c r="AD1112" s="573"/>
      <c r="AE1112" s="487"/>
      <c r="AF1112" s="577">
        <f t="shared" si="143"/>
        <v>0</v>
      </c>
      <c r="AG1112" s="275">
        <f t="shared" si="144"/>
        <v>0</v>
      </c>
    </row>
    <row r="1113" spans="1:33" s="578" customFormat="1" ht="12" customHeight="1">
      <c r="A1113" s="646" t="s">
        <v>1272</v>
      </c>
      <c r="B1113" s="661" t="s">
        <v>1583</v>
      </c>
      <c r="C1113" s="662" t="s">
        <v>1761</v>
      </c>
      <c r="D1113" s="654"/>
      <c r="E1113" s="655"/>
      <c r="F1113" s="573"/>
      <c r="G1113" s="487"/>
      <c r="H1113" s="573"/>
      <c r="I1113" s="487"/>
      <c r="J1113" s="573"/>
      <c r="K1113" s="487"/>
      <c r="L1113" s="573"/>
      <c r="M1113" s="573"/>
      <c r="N1113" s="456">
        <f t="shared" si="145"/>
        <v>0</v>
      </c>
      <c r="O1113" s="487"/>
      <c r="P1113" s="487"/>
      <c r="Q1113" s="274">
        <f t="shared" si="140"/>
        <v>0</v>
      </c>
      <c r="R1113" s="574">
        <f t="shared" si="141"/>
        <v>0</v>
      </c>
      <c r="S1113" s="275">
        <f t="shared" si="142"/>
        <v>0</v>
      </c>
      <c r="T1113" s="575"/>
      <c r="U1113" s="487"/>
      <c r="V1113" s="576"/>
      <c r="W1113" s="573"/>
      <c r="X1113" s="574">
        <f t="shared" si="146"/>
        <v>0</v>
      </c>
      <c r="Y1113" s="487"/>
      <c r="Z1113" s="487"/>
      <c r="AA1113" s="276">
        <f t="shared" si="147"/>
        <v>0</v>
      </c>
      <c r="AB1113" s="573"/>
      <c r="AC1113" s="487"/>
      <c r="AD1113" s="573"/>
      <c r="AE1113" s="487"/>
      <c r="AF1113" s="577">
        <f t="shared" si="143"/>
        <v>0</v>
      </c>
      <c r="AG1113" s="275">
        <f t="shared" si="144"/>
        <v>0</v>
      </c>
    </row>
    <row r="1114" spans="1:33" s="578" customFormat="1" ht="12" customHeight="1">
      <c r="A1114" s="646" t="s">
        <v>1272</v>
      </c>
      <c r="B1114" s="661" t="s">
        <v>1805</v>
      </c>
      <c r="C1114" s="502" t="s">
        <v>1019</v>
      </c>
      <c r="D1114" s="654"/>
      <c r="E1114" s="655"/>
      <c r="F1114" s="573"/>
      <c r="G1114" s="487"/>
      <c r="H1114" s="573"/>
      <c r="I1114" s="487"/>
      <c r="J1114" s="573"/>
      <c r="K1114" s="487"/>
      <c r="L1114" s="573"/>
      <c r="M1114" s="573"/>
      <c r="N1114" s="456">
        <f t="shared" si="145"/>
        <v>0</v>
      </c>
      <c r="O1114" s="487"/>
      <c r="P1114" s="487"/>
      <c r="Q1114" s="274">
        <f t="shared" si="140"/>
        <v>0</v>
      </c>
      <c r="R1114" s="574">
        <f t="shared" si="141"/>
        <v>0</v>
      </c>
      <c r="S1114" s="275">
        <f t="shared" si="142"/>
        <v>0</v>
      </c>
      <c r="T1114" s="575">
        <v>5855278</v>
      </c>
      <c r="U1114" s="487">
        <v>5855278</v>
      </c>
      <c r="V1114" s="576"/>
      <c r="W1114" s="573"/>
      <c r="X1114" s="574">
        <f t="shared" si="146"/>
        <v>0</v>
      </c>
      <c r="Y1114" s="487"/>
      <c r="Z1114" s="487"/>
      <c r="AA1114" s="276">
        <f t="shared" si="147"/>
        <v>0</v>
      </c>
      <c r="AB1114" s="573"/>
      <c r="AC1114" s="487"/>
      <c r="AD1114" s="573"/>
      <c r="AE1114" s="487"/>
      <c r="AF1114" s="577">
        <f t="shared" si="143"/>
        <v>5855278</v>
      </c>
      <c r="AG1114" s="275">
        <f t="shared" si="144"/>
        <v>5855278</v>
      </c>
    </row>
    <row r="1115" spans="1:33" s="578" customFormat="1" ht="12" customHeight="1">
      <c r="A1115" s="646" t="s">
        <v>1272</v>
      </c>
      <c r="B1115" s="661" t="s">
        <v>1764</v>
      </c>
      <c r="C1115" s="662" t="s">
        <v>1883</v>
      </c>
      <c r="D1115" s="654"/>
      <c r="E1115" s="655"/>
      <c r="F1115" s="573"/>
      <c r="G1115" s="487"/>
      <c r="H1115" s="573"/>
      <c r="I1115" s="487"/>
      <c r="J1115" s="573"/>
      <c r="K1115" s="487"/>
      <c r="L1115" s="573"/>
      <c r="M1115" s="573"/>
      <c r="N1115" s="456">
        <f t="shared" si="145"/>
        <v>0</v>
      </c>
      <c r="O1115" s="487"/>
      <c r="P1115" s="487"/>
      <c r="Q1115" s="274">
        <f t="shared" si="140"/>
        <v>0</v>
      </c>
      <c r="R1115" s="574">
        <f t="shared" si="141"/>
        <v>0</v>
      </c>
      <c r="S1115" s="275">
        <f t="shared" si="142"/>
        <v>0</v>
      </c>
      <c r="T1115" s="663" t="s">
        <v>1224</v>
      </c>
      <c r="U1115" s="487"/>
      <c r="V1115" s="576"/>
      <c r="W1115" s="573"/>
      <c r="X1115" s="574">
        <f t="shared" si="146"/>
        <v>0</v>
      </c>
      <c r="Y1115" s="487"/>
      <c r="Z1115" s="487"/>
      <c r="AA1115" s="276">
        <f t="shared" si="147"/>
        <v>0</v>
      </c>
      <c r="AB1115" s="573"/>
      <c r="AC1115" s="487"/>
      <c r="AD1115" s="573"/>
      <c r="AE1115" s="487"/>
      <c r="AF1115" s="577">
        <f t="shared" si="143"/>
        <v>0</v>
      </c>
      <c r="AG1115" s="275">
        <f t="shared" si="144"/>
        <v>0</v>
      </c>
    </row>
    <row r="1116" spans="1:33" s="578" customFormat="1" ht="12" customHeight="1">
      <c r="A1116" s="646" t="s">
        <v>1272</v>
      </c>
      <c r="B1116" s="661" t="s">
        <v>1765</v>
      </c>
      <c r="C1116" s="662" t="s">
        <v>1761</v>
      </c>
      <c r="D1116" s="654"/>
      <c r="E1116" s="655"/>
      <c r="F1116" s="573"/>
      <c r="G1116" s="487"/>
      <c r="H1116" s="573"/>
      <c r="I1116" s="487"/>
      <c r="J1116" s="573"/>
      <c r="K1116" s="487"/>
      <c r="L1116" s="573"/>
      <c r="M1116" s="573"/>
      <c r="N1116" s="456">
        <f t="shared" si="145"/>
        <v>0</v>
      </c>
      <c r="O1116" s="487"/>
      <c r="P1116" s="487"/>
      <c r="Q1116" s="274">
        <f t="shared" si="140"/>
        <v>0</v>
      </c>
      <c r="R1116" s="574">
        <f t="shared" si="141"/>
        <v>0</v>
      </c>
      <c r="S1116" s="275">
        <f t="shared" si="142"/>
        <v>0</v>
      </c>
      <c r="T1116" s="794"/>
      <c r="U1116" s="487"/>
      <c r="V1116" s="576"/>
      <c r="W1116" s="573"/>
      <c r="X1116" s="574">
        <f t="shared" si="146"/>
        <v>0</v>
      </c>
      <c r="Y1116" s="487"/>
      <c r="Z1116" s="487"/>
      <c r="AA1116" s="276">
        <f t="shared" si="147"/>
        <v>0</v>
      </c>
      <c r="AB1116" s="573"/>
      <c r="AC1116" s="487"/>
      <c r="AD1116" s="573"/>
      <c r="AE1116" s="487"/>
      <c r="AF1116" s="577">
        <f t="shared" si="143"/>
        <v>0</v>
      </c>
      <c r="AG1116" s="275">
        <f t="shared" si="144"/>
        <v>0</v>
      </c>
    </row>
    <row r="1117" spans="1:33" s="578" customFormat="1" ht="12" customHeight="1">
      <c r="A1117" s="646" t="s">
        <v>1272</v>
      </c>
      <c r="B1117" s="661" t="s">
        <v>1510</v>
      </c>
      <c r="C1117" s="662" t="s">
        <v>421</v>
      </c>
      <c r="D1117" s="654"/>
      <c r="E1117" s="655"/>
      <c r="F1117" s="573"/>
      <c r="G1117" s="487"/>
      <c r="H1117" s="573"/>
      <c r="I1117" s="487"/>
      <c r="J1117" s="573"/>
      <c r="K1117" s="487"/>
      <c r="L1117" s="573"/>
      <c r="M1117" s="573"/>
      <c r="N1117" s="456">
        <f t="shared" si="145"/>
        <v>0</v>
      </c>
      <c r="O1117" s="487"/>
      <c r="P1117" s="487"/>
      <c r="Q1117" s="274">
        <f t="shared" si="140"/>
        <v>0</v>
      </c>
      <c r="R1117" s="574">
        <f t="shared" si="141"/>
        <v>0</v>
      </c>
      <c r="S1117" s="275">
        <f t="shared" si="142"/>
        <v>0</v>
      </c>
      <c r="T1117" s="794"/>
      <c r="U1117" s="487"/>
      <c r="V1117" s="576"/>
      <c r="W1117" s="573"/>
      <c r="X1117" s="574">
        <f t="shared" si="146"/>
        <v>0</v>
      </c>
      <c r="Y1117" s="487"/>
      <c r="Z1117" s="487"/>
      <c r="AA1117" s="276">
        <f t="shared" si="147"/>
        <v>0</v>
      </c>
      <c r="AB1117" s="573"/>
      <c r="AC1117" s="487"/>
      <c r="AD1117" s="573"/>
      <c r="AE1117" s="487"/>
      <c r="AF1117" s="577">
        <f t="shared" si="143"/>
        <v>0</v>
      </c>
      <c r="AG1117" s="275">
        <f t="shared" si="144"/>
        <v>0</v>
      </c>
    </row>
    <row r="1118" spans="1:33" s="578" customFormat="1" ht="12" customHeight="1">
      <c r="A1118" s="646" t="s">
        <v>1272</v>
      </c>
      <c r="B1118" s="661" t="s">
        <v>1511</v>
      </c>
      <c r="C1118" s="662" t="s">
        <v>1883</v>
      </c>
      <c r="D1118" s="654"/>
      <c r="E1118" s="655"/>
      <c r="F1118" s="573"/>
      <c r="G1118" s="487"/>
      <c r="H1118" s="573"/>
      <c r="I1118" s="487"/>
      <c r="J1118" s="573"/>
      <c r="K1118" s="487"/>
      <c r="L1118" s="573"/>
      <c r="M1118" s="573"/>
      <c r="N1118" s="456">
        <f t="shared" si="145"/>
        <v>0</v>
      </c>
      <c r="O1118" s="487"/>
      <c r="P1118" s="487"/>
      <c r="Q1118" s="274">
        <f t="shared" si="140"/>
        <v>0</v>
      </c>
      <c r="R1118" s="574">
        <f t="shared" si="141"/>
        <v>0</v>
      </c>
      <c r="S1118" s="275">
        <f t="shared" si="142"/>
        <v>0</v>
      </c>
      <c r="T1118" s="794"/>
      <c r="U1118" s="487"/>
      <c r="V1118" s="576"/>
      <c r="W1118" s="573"/>
      <c r="X1118" s="574">
        <f t="shared" si="146"/>
        <v>0</v>
      </c>
      <c r="Y1118" s="487"/>
      <c r="Z1118" s="487"/>
      <c r="AA1118" s="276">
        <f t="shared" si="147"/>
        <v>0</v>
      </c>
      <c r="AB1118" s="573"/>
      <c r="AC1118" s="487"/>
      <c r="AD1118" s="573"/>
      <c r="AE1118" s="487"/>
      <c r="AF1118" s="577">
        <f t="shared" si="143"/>
        <v>0</v>
      </c>
      <c r="AG1118" s="275">
        <f t="shared" si="144"/>
        <v>0</v>
      </c>
    </row>
    <row r="1119" spans="1:33" s="578" customFormat="1" ht="12" customHeight="1">
      <c r="A1119" s="646" t="s">
        <v>1272</v>
      </c>
      <c r="B1119" s="661" t="s">
        <v>1412</v>
      </c>
      <c r="C1119" s="662" t="s">
        <v>1761</v>
      </c>
      <c r="D1119" s="654"/>
      <c r="E1119" s="655"/>
      <c r="F1119" s="573"/>
      <c r="G1119" s="487"/>
      <c r="H1119" s="573"/>
      <c r="I1119" s="487"/>
      <c r="J1119" s="573"/>
      <c r="K1119" s="487"/>
      <c r="L1119" s="573"/>
      <c r="M1119" s="573"/>
      <c r="N1119" s="456">
        <f t="shared" si="145"/>
        <v>0</v>
      </c>
      <c r="O1119" s="487"/>
      <c r="P1119" s="487"/>
      <c r="Q1119" s="274">
        <f t="shared" si="140"/>
        <v>0</v>
      </c>
      <c r="R1119" s="574">
        <f t="shared" si="141"/>
        <v>0</v>
      </c>
      <c r="S1119" s="275">
        <f t="shared" si="142"/>
        <v>0</v>
      </c>
      <c r="T1119" s="794"/>
      <c r="U1119" s="487"/>
      <c r="V1119" s="576"/>
      <c r="W1119" s="573"/>
      <c r="X1119" s="574">
        <f t="shared" si="146"/>
        <v>0</v>
      </c>
      <c r="Y1119" s="487"/>
      <c r="Z1119" s="487"/>
      <c r="AA1119" s="276">
        <f t="shared" si="147"/>
        <v>0</v>
      </c>
      <c r="AB1119" s="573"/>
      <c r="AC1119" s="487"/>
      <c r="AD1119" s="573"/>
      <c r="AE1119" s="487"/>
      <c r="AF1119" s="577">
        <f t="shared" si="143"/>
        <v>0</v>
      </c>
      <c r="AG1119" s="275">
        <f t="shared" si="144"/>
        <v>0</v>
      </c>
    </row>
    <row r="1120" spans="1:33" s="578" customFormat="1" ht="12" customHeight="1">
      <c r="A1120" s="646" t="s">
        <v>1272</v>
      </c>
      <c r="B1120" s="661" t="s">
        <v>1413</v>
      </c>
      <c r="C1120" s="662" t="s">
        <v>422</v>
      </c>
      <c r="D1120" s="654"/>
      <c r="E1120" s="655"/>
      <c r="F1120" s="573"/>
      <c r="G1120" s="487"/>
      <c r="H1120" s="573"/>
      <c r="I1120" s="487"/>
      <c r="J1120" s="573"/>
      <c r="K1120" s="487"/>
      <c r="L1120" s="573"/>
      <c r="M1120" s="573"/>
      <c r="N1120" s="456">
        <f t="shared" si="145"/>
        <v>0</v>
      </c>
      <c r="O1120" s="487"/>
      <c r="P1120" s="487"/>
      <c r="Q1120" s="274">
        <f t="shared" si="140"/>
        <v>0</v>
      </c>
      <c r="R1120" s="574">
        <f t="shared" si="141"/>
        <v>0</v>
      </c>
      <c r="S1120" s="275">
        <f t="shared" si="142"/>
        <v>0</v>
      </c>
      <c r="T1120" s="795"/>
      <c r="U1120" s="487"/>
      <c r="V1120" s="576"/>
      <c r="W1120" s="573"/>
      <c r="X1120" s="574">
        <f t="shared" si="146"/>
        <v>0</v>
      </c>
      <c r="Y1120" s="487"/>
      <c r="Z1120" s="487"/>
      <c r="AA1120" s="276">
        <f t="shared" si="147"/>
        <v>0</v>
      </c>
      <c r="AB1120" s="573"/>
      <c r="AC1120" s="487"/>
      <c r="AD1120" s="573"/>
      <c r="AE1120" s="487"/>
      <c r="AF1120" s="577">
        <f t="shared" si="143"/>
        <v>0</v>
      </c>
      <c r="AG1120" s="275">
        <f t="shared" si="144"/>
        <v>0</v>
      </c>
    </row>
    <row r="1121" spans="1:33" s="578" customFormat="1" ht="12" customHeight="1">
      <c r="A1121" s="646" t="s">
        <v>1272</v>
      </c>
      <c r="B1121" s="661" t="s">
        <v>1582</v>
      </c>
      <c r="C1121" s="662" t="s">
        <v>1883</v>
      </c>
      <c r="D1121" s="654"/>
      <c r="E1121" s="655"/>
      <c r="F1121" s="573"/>
      <c r="G1121" s="487"/>
      <c r="H1121" s="573"/>
      <c r="I1121" s="487"/>
      <c r="J1121" s="573"/>
      <c r="K1121" s="487"/>
      <c r="L1121" s="573"/>
      <c r="M1121" s="573"/>
      <c r="N1121" s="456">
        <f t="shared" si="145"/>
        <v>0</v>
      </c>
      <c r="O1121" s="487"/>
      <c r="P1121" s="487"/>
      <c r="Q1121" s="274">
        <f t="shared" si="140"/>
        <v>0</v>
      </c>
      <c r="R1121" s="574">
        <f t="shared" si="141"/>
        <v>0</v>
      </c>
      <c r="S1121" s="275">
        <f t="shared" si="142"/>
        <v>0</v>
      </c>
      <c r="T1121" s="575"/>
      <c r="U1121" s="487"/>
      <c r="V1121" s="576"/>
      <c r="W1121" s="573"/>
      <c r="X1121" s="574">
        <f t="shared" si="146"/>
        <v>0</v>
      </c>
      <c r="Y1121" s="487"/>
      <c r="Z1121" s="487"/>
      <c r="AA1121" s="276">
        <f t="shared" si="147"/>
        <v>0</v>
      </c>
      <c r="AB1121" s="573"/>
      <c r="AC1121" s="487"/>
      <c r="AD1121" s="573"/>
      <c r="AE1121" s="487"/>
      <c r="AF1121" s="577">
        <f t="shared" si="143"/>
        <v>0</v>
      </c>
      <c r="AG1121" s="275">
        <f t="shared" si="144"/>
        <v>0</v>
      </c>
    </row>
    <row r="1122" spans="1:33" s="578" customFormat="1" ht="12" customHeight="1">
      <c r="A1122" s="646" t="s">
        <v>1272</v>
      </c>
      <c r="B1122" s="661" t="s">
        <v>1583</v>
      </c>
      <c r="C1122" s="662" t="s">
        <v>1761</v>
      </c>
      <c r="D1122" s="654"/>
      <c r="E1122" s="655"/>
      <c r="F1122" s="573"/>
      <c r="G1122" s="487"/>
      <c r="H1122" s="573"/>
      <c r="I1122" s="487"/>
      <c r="J1122" s="573"/>
      <c r="K1122" s="487"/>
      <c r="L1122" s="573"/>
      <c r="M1122" s="573"/>
      <c r="N1122" s="456">
        <f t="shared" si="145"/>
        <v>0</v>
      </c>
      <c r="O1122" s="487"/>
      <c r="P1122" s="487"/>
      <c r="Q1122" s="274">
        <f t="shared" si="140"/>
        <v>0</v>
      </c>
      <c r="R1122" s="574">
        <f t="shared" si="141"/>
        <v>0</v>
      </c>
      <c r="S1122" s="275">
        <f t="shared" si="142"/>
        <v>0</v>
      </c>
      <c r="T1122" s="575"/>
      <c r="U1122" s="487"/>
      <c r="V1122" s="576"/>
      <c r="W1122" s="573"/>
      <c r="X1122" s="574">
        <f t="shared" si="146"/>
        <v>0</v>
      </c>
      <c r="Y1122" s="487"/>
      <c r="Z1122" s="487"/>
      <c r="AA1122" s="276">
        <f t="shared" si="147"/>
        <v>0</v>
      </c>
      <c r="AB1122" s="573"/>
      <c r="AC1122" s="487"/>
      <c r="AD1122" s="573"/>
      <c r="AE1122" s="487"/>
      <c r="AF1122" s="577">
        <f t="shared" si="143"/>
        <v>0</v>
      </c>
      <c r="AG1122" s="275">
        <f t="shared" si="144"/>
        <v>0</v>
      </c>
    </row>
    <row r="1123" spans="1:33" s="578" customFormat="1" ht="12" customHeight="1">
      <c r="A1123" s="646" t="s">
        <v>1272</v>
      </c>
      <c r="B1123" s="646" t="s">
        <v>1805</v>
      </c>
      <c r="C1123" s="502" t="s">
        <v>1020</v>
      </c>
      <c r="D1123" s="654"/>
      <c r="E1123" s="655"/>
      <c r="F1123" s="573"/>
      <c r="G1123" s="487"/>
      <c r="H1123" s="573"/>
      <c r="I1123" s="487"/>
      <c r="J1123" s="573"/>
      <c r="K1123" s="487"/>
      <c r="L1123" s="573"/>
      <c r="M1123" s="573"/>
      <c r="N1123" s="456">
        <f t="shared" si="145"/>
        <v>0</v>
      </c>
      <c r="O1123" s="487"/>
      <c r="P1123" s="487"/>
      <c r="Q1123" s="274">
        <f t="shared" si="140"/>
        <v>0</v>
      </c>
      <c r="R1123" s="574">
        <f t="shared" si="141"/>
        <v>0</v>
      </c>
      <c r="S1123" s="275">
        <f t="shared" si="142"/>
        <v>0</v>
      </c>
      <c r="T1123" s="663" t="s">
        <v>1221</v>
      </c>
      <c r="U1123" s="487"/>
      <c r="V1123" s="576"/>
      <c r="W1123" s="573"/>
      <c r="X1123" s="574">
        <f t="shared" si="146"/>
        <v>0</v>
      </c>
      <c r="Y1123" s="487"/>
      <c r="Z1123" s="487"/>
      <c r="AA1123" s="276">
        <f t="shared" si="147"/>
        <v>0</v>
      </c>
      <c r="AB1123" s="573"/>
      <c r="AC1123" s="487"/>
      <c r="AD1123" s="573"/>
      <c r="AE1123" s="487"/>
      <c r="AF1123" s="577">
        <f t="shared" si="143"/>
        <v>0</v>
      </c>
      <c r="AG1123" s="275">
        <f t="shared" si="144"/>
        <v>0</v>
      </c>
    </row>
    <row r="1124" spans="1:33" s="578" customFormat="1" ht="12" customHeight="1">
      <c r="A1124" s="646" t="s">
        <v>1272</v>
      </c>
      <c r="B1124" s="661" t="s">
        <v>1510</v>
      </c>
      <c r="C1124" s="662" t="s">
        <v>421</v>
      </c>
      <c r="D1124" s="654"/>
      <c r="E1124" s="655"/>
      <c r="F1124" s="573"/>
      <c r="G1124" s="487"/>
      <c r="H1124" s="573"/>
      <c r="I1124" s="487"/>
      <c r="J1124" s="573"/>
      <c r="K1124" s="487"/>
      <c r="L1124" s="573"/>
      <c r="M1124" s="573"/>
      <c r="N1124" s="456">
        <f t="shared" si="145"/>
        <v>0</v>
      </c>
      <c r="O1124" s="487"/>
      <c r="P1124" s="487"/>
      <c r="Q1124" s="274">
        <f t="shared" si="140"/>
        <v>0</v>
      </c>
      <c r="R1124" s="574">
        <f t="shared" si="141"/>
        <v>0</v>
      </c>
      <c r="S1124" s="275">
        <f t="shared" si="142"/>
        <v>0</v>
      </c>
      <c r="T1124" s="796"/>
      <c r="U1124" s="487"/>
      <c r="V1124" s="576"/>
      <c r="W1124" s="573"/>
      <c r="X1124" s="574">
        <f t="shared" si="146"/>
        <v>0</v>
      </c>
      <c r="Y1124" s="487"/>
      <c r="Z1124" s="487"/>
      <c r="AA1124" s="276">
        <f t="shared" si="147"/>
        <v>0</v>
      </c>
      <c r="AB1124" s="573"/>
      <c r="AC1124" s="487"/>
      <c r="AD1124" s="573"/>
      <c r="AE1124" s="487"/>
      <c r="AF1124" s="577">
        <f t="shared" si="143"/>
        <v>0</v>
      </c>
      <c r="AG1124" s="275">
        <f t="shared" si="144"/>
        <v>0</v>
      </c>
    </row>
    <row r="1125" spans="1:33" s="578" customFormat="1" ht="12" customHeight="1">
      <c r="A1125" s="646" t="s">
        <v>1272</v>
      </c>
      <c r="B1125" s="661" t="s">
        <v>1511</v>
      </c>
      <c r="C1125" s="662" t="s">
        <v>1883</v>
      </c>
      <c r="D1125" s="654"/>
      <c r="E1125" s="655"/>
      <c r="F1125" s="573"/>
      <c r="G1125" s="487"/>
      <c r="H1125" s="573"/>
      <c r="I1125" s="487"/>
      <c r="J1125" s="573"/>
      <c r="K1125" s="487"/>
      <c r="L1125" s="573"/>
      <c r="M1125" s="573"/>
      <c r="N1125" s="456">
        <f t="shared" si="145"/>
        <v>0</v>
      </c>
      <c r="O1125" s="487"/>
      <c r="P1125" s="487"/>
      <c r="Q1125" s="274">
        <f t="shared" si="140"/>
        <v>0</v>
      </c>
      <c r="R1125" s="574">
        <f t="shared" si="141"/>
        <v>0</v>
      </c>
      <c r="S1125" s="275">
        <f t="shared" si="142"/>
        <v>0</v>
      </c>
      <c r="T1125" s="797"/>
      <c r="U1125" s="487"/>
      <c r="V1125" s="576"/>
      <c r="W1125" s="573"/>
      <c r="X1125" s="574">
        <f t="shared" si="146"/>
        <v>0</v>
      </c>
      <c r="Y1125" s="487"/>
      <c r="Z1125" s="487"/>
      <c r="AA1125" s="276">
        <f t="shared" si="147"/>
        <v>0</v>
      </c>
      <c r="AB1125" s="573"/>
      <c r="AC1125" s="487"/>
      <c r="AD1125" s="573"/>
      <c r="AE1125" s="487"/>
      <c r="AF1125" s="577">
        <f t="shared" si="143"/>
        <v>0</v>
      </c>
      <c r="AG1125" s="275">
        <f t="shared" si="144"/>
        <v>0</v>
      </c>
    </row>
    <row r="1126" spans="1:33" s="578" customFormat="1" ht="12" customHeight="1">
      <c r="A1126" s="646" t="s">
        <v>1272</v>
      </c>
      <c r="B1126" s="661" t="s">
        <v>1412</v>
      </c>
      <c r="C1126" s="662" t="s">
        <v>1761</v>
      </c>
      <c r="D1126" s="654"/>
      <c r="E1126" s="655"/>
      <c r="F1126" s="573"/>
      <c r="G1126" s="487"/>
      <c r="H1126" s="573"/>
      <c r="I1126" s="487"/>
      <c r="J1126" s="573"/>
      <c r="K1126" s="487"/>
      <c r="L1126" s="573"/>
      <c r="M1126" s="573"/>
      <c r="N1126" s="456">
        <f t="shared" si="145"/>
        <v>0</v>
      </c>
      <c r="O1126" s="487"/>
      <c r="P1126" s="487"/>
      <c r="Q1126" s="274">
        <f t="shared" si="140"/>
        <v>0</v>
      </c>
      <c r="R1126" s="574">
        <f t="shared" si="141"/>
        <v>0</v>
      </c>
      <c r="S1126" s="275">
        <f t="shared" si="142"/>
        <v>0</v>
      </c>
      <c r="T1126" s="575"/>
      <c r="U1126" s="487"/>
      <c r="V1126" s="576"/>
      <c r="W1126" s="573"/>
      <c r="X1126" s="574">
        <f t="shared" si="146"/>
        <v>0</v>
      </c>
      <c r="Y1126" s="487"/>
      <c r="Z1126" s="487"/>
      <c r="AA1126" s="276">
        <f t="shared" si="147"/>
        <v>0</v>
      </c>
      <c r="AB1126" s="573"/>
      <c r="AC1126" s="487"/>
      <c r="AD1126" s="573"/>
      <c r="AE1126" s="487"/>
      <c r="AF1126" s="577">
        <f t="shared" si="143"/>
        <v>0</v>
      </c>
      <c r="AG1126" s="275">
        <f t="shared" si="144"/>
        <v>0</v>
      </c>
    </row>
    <row r="1127" spans="1:33" s="578" customFormat="1" ht="12" customHeight="1">
      <c r="A1127" s="646" t="s">
        <v>1272</v>
      </c>
      <c r="B1127" s="661" t="s">
        <v>1413</v>
      </c>
      <c r="C1127" s="662" t="s">
        <v>422</v>
      </c>
      <c r="D1127" s="654"/>
      <c r="E1127" s="655"/>
      <c r="F1127" s="573"/>
      <c r="G1127" s="487"/>
      <c r="H1127" s="573"/>
      <c r="I1127" s="487"/>
      <c r="J1127" s="573"/>
      <c r="K1127" s="487"/>
      <c r="L1127" s="573"/>
      <c r="M1127" s="573"/>
      <c r="N1127" s="456">
        <f t="shared" si="145"/>
        <v>0</v>
      </c>
      <c r="O1127" s="487"/>
      <c r="P1127" s="487"/>
      <c r="Q1127" s="274">
        <f t="shared" si="140"/>
        <v>0</v>
      </c>
      <c r="R1127" s="574">
        <f t="shared" si="141"/>
        <v>0</v>
      </c>
      <c r="S1127" s="275">
        <f t="shared" si="142"/>
        <v>0</v>
      </c>
      <c r="T1127" s="575"/>
      <c r="U1127" s="487"/>
      <c r="V1127" s="576"/>
      <c r="W1127" s="573"/>
      <c r="X1127" s="574">
        <f t="shared" si="146"/>
        <v>0</v>
      </c>
      <c r="Y1127" s="487"/>
      <c r="Z1127" s="487"/>
      <c r="AA1127" s="276">
        <f t="shared" si="147"/>
        <v>0</v>
      </c>
      <c r="AB1127" s="573"/>
      <c r="AC1127" s="487"/>
      <c r="AD1127" s="573"/>
      <c r="AE1127" s="487"/>
      <c r="AF1127" s="577">
        <f t="shared" si="143"/>
        <v>0</v>
      </c>
      <c r="AG1127" s="275">
        <f t="shared" si="144"/>
        <v>0</v>
      </c>
    </row>
    <row r="1128" spans="1:33" s="578" customFormat="1" ht="12" customHeight="1">
      <c r="A1128" s="646" t="s">
        <v>1272</v>
      </c>
      <c r="B1128" s="661" t="s">
        <v>1582</v>
      </c>
      <c r="C1128" s="662" t="s">
        <v>1883</v>
      </c>
      <c r="D1128" s="654"/>
      <c r="E1128" s="655"/>
      <c r="F1128" s="573"/>
      <c r="G1128" s="487"/>
      <c r="H1128" s="573"/>
      <c r="I1128" s="487"/>
      <c r="J1128" s="573"/>
      <c r="K1128" s="487"/>
      <c r="L1128" s="573"/>
      <c r="M1128" s="573"/>
      <c r="N1128" s="456">
        <f t="shared" si="145"/>
        <v>0</v>
      </c>
      <c r="O1128" s="487"/>
      <c r="P1128" s="487"/>
      <c r="Q1128" s="274">
        <f t="shared" si="140"/>
        <v>0</v>
      </c>
      <c r="R1128" s="574">
        <f t="shared" si="141"/>
        <v>0</v>
      </c>
      <c r="S1128" s="275">
        <f t="shared" si="142"/>
        <v>0</v>
      </c>
      <c r="T1128" s="575"/>
      <c r="U1128" s="487"/>
      <c r="V1128" s="576"/>
      <c r="W1128" s="573"/>
      <c r="X1128" s="574">
        <f t="shared" si="146"/>
        <v>0</v>
      </c>
      <c r="Y1128" s="487"/>
      <c r="Z1128" s="487"/>
      <c r="AA1128" s="276">
        <f t="shared" si="147"/>
        <v>0</v>
      </c>
      <c r="AB1128" s="573"/>
      <c r="AC1128" s="487"/>
      <c r="AD1128" s="573"/>
      <c r="AE1128" s="487"/>
      <c r="AF1128" s="577">
        <f t="shared" si="143"/>
        <v>0</v>
      </c>
      <c r="AG1128" s="275">
        <f t="shared" si="144"/>
        <v>0</v>
      </c>
    </row>
    <row r="1129" spans="1:33" s="578" customFormat="1" ht="12" customHeight="1">
      <c r="A1129" s="646" t="s">
        <v>1272</v>
      </c>
      <c r="B1129" s="661" t="s">
        <v>1583</v>
      </c>
      <c r="C1129" s="662" t="s">
        <v>1761</v>
      </c>
      <c r="D1129" s="654"/>
      <c r="E1129" s="655"/>
      <c r="F1129" s="573"/>
      <c r="G1129" s="487"/>
      <c r="H1129" s="573"/>
      <c r="I1129" s="487"/>
      <c r="J1129" s="573"/>
      <c r="K1129" s="487"/>
      <c r="L1129" s="573"/>
      <c r="M1129" s="573"/>
      <c r="N1129" s="456">
        <f t="shared" si="145"/>
        <v>0</v>
      </c>
      <c r="O1129" s="487"/>
      <c r="P1129" s="487"/>
      <c r="Q1129" s="274">
        <f t="shared" si="140"/>
        <v>0</v>
      </c>
      <c r="R1129" s="574">
        <f t="shared" si="141"/>
        <v>0</v>
      </c>
      <c r="S1129" s="275">
        <f t="shared" si="142"/>
        <v>0</v>
      </c>
      <c r="T1129" s="575">
        <v>760000</v>
      </c>
      <c r="U1129" s="487">
        <v>710000</v>
      </c>
      <c r="V1129" s="576"/>
      <c r="W1129" s="573"/>
      <c r="X1129" s="574">
        <f t="shared" si="146"/>
        <v>0</v>
      </c>
      <c r="Y1129" s="487"/>
      <c r="Z1129" s="487"/>
      <c r="AA1129" s="276">
        <f t="shared" si="147"/>
        <v>0</v>
      </c>
      <c r="AB1129" s="573"/>
      <c r="AC1129" s="487"/>
      <c r="AD1129" s="573"/>
      <c r="AE1129" s="487"/>
      <c r="AF1129" s="577">
        <f t="shared" si="143"/>
        <v>760000</v>
      </c>
      <c r="AG1129" s="275">
        <f t="shared" si="144"/>
        <v>710000</v>
      </c>
    </row>
    <row r="1130" spans="1:33" s="578" customFormat="1" ht="12" customHeight="1">
      <c r="A1130" s="646" t="s">
        <v>1272</v>
      </c>
      <c r="B1130" s="661" t="s">
        <v>1806</v>
      </c>
      <c r="C1130" s="503" t="s">
        <v>193</v>
      </c>
      <c r="D1130" s="654"/>
      <c r="E1130" s="655"/>
      <c r="F1130" s="573"/>
      <c r="G1130" s="487"/>
      <c r="H1130" s="573"/>
      <c r="I1130" s="487"/>
      <c r="J1130" s="573"/>
      <c r="K1130" s="487"/>
      <c r="L1130" s="573"/>
      <c r="M1130" s="573"/>
      <c r="N1130" s="456">
        <f t="shared" si="145"/>
        <v>0</v>
      </c>
      <c r="O1130" s="487"/>
      <c r="P1130" s="487"/>
      <c r="Q1130" s="274">
        <f t="shared" si="140"/>
        <v>0</v>
      </c>
      <c r="R1130" s="574">
        <f t="shared" si="141"/>
        <v>0</v>
      </c>
      <c r="S1130" s="275">
        <f t="shared" si="142"/>
        <v>0</v>
      </c>
      <c r="T1130" s="575"/>
      <c r="U1130" s="487"/>
      <c r="V1130" s="576"/>
      <c r="W1130" s="573"/>
      <c r="X1130" s="574">
        <f t="shared" si="146"/>
        <v>0</v>
      </c>
      <c r="Y1130" s="487"/>
      <c r="Z1130" s="487"/>
      <c r="AA1130" s="276">
        <f t="shared" si="147"/>
        <v>0</v>
      </c>
      <c r="AB1130" s="573"/>
      <c r="AC1130" s="487"/>
      <c r="AD1130" s="573"/>
      <c r="AE1130" s="487"/>
      <c r="AF1130" s="577">
        <f t="shared" si="143"/>
        <v>0</v>
      </c>
      <c r="AG1130" s="275">
        <f t="shared" si="144"/>
        <v>0</v>
      </c>
    </row>
    <row r="1131" spans="1:33" s="578" customFormat="1" ht="12" customHeight="1">
      <c r="A1131" s="646" t="s">
        <v>1272</v>
      </c>
      <c r="B1131" s="646" t="s">
        <v>1806</v>
      </c>
      <c r="C1131" s="502" t="s">
        <v>1021</v>
      </c>
      <c r="D1131" s="654"/>
      <c r="E1131" s="655"/>
      <c r="F1131" s="573"/>
      <c r="G1131" s="487"/>
      <c r="H1131" s="573"/>
      <c r="I1131" s="487"/>
      <c r="J1131" s="573"/>
      <c r="K1131" s="487"/>
      <c r="L1131" s="573"/>
      <c r="M1131" s="573"/>
      <c r="N1131" s="456">
        <f t="shared" si="145"/>
        <v>0</v>
      </c>
      <c r="O1131" s="487"/>
      <c r="P1131" s="487"/>
      <c r="Q1131" s="274">
        <f t="shared" si="140"/>
        <v>0</v>
      </c>
      <c r="R1131" s="574">
        <f t="shared" si="141"/>
        <v>0</v>
      </c>
      <c r="S1131" s="275">
        <f t="shared" si="142"/>
        <v>0</v>
      </c>
      <c r="T1131" s="575"/>
      <c r="U1131" s="487"/>
      <c r="V1131" s="576"/>
      <c r="W1131" s="573"/>
      <c r="X1131" s="574">
        <f t="shared" si="146"/>
        <v>0</v>
      </c>
      <c r="Y1131" s="487"/>
      <c r="Z1131" s="487"/>
      <c r="AA1131" s="276">
        <f t="shared" si="147"/>
        <v>0</v>
      </c>
      <c r="AB1131" s="573"/>
      <c r="AC1131" s="487"/>
      <c r="AD1131" s="573"/>
      <c r="AE1131" s="487"/>
      <c r="AF1131" s="577">
        <f t="shared" si="143"/>
        <v>0</v>
      </c>
      <c r="AG1131" s="275">
        <f t="shared" si="144"/>
        <v>0</v>
      </c>
    </row>
    <row r="1132" spans="1:33" s="578" customFormat="1" ht="12" customHeight="1">
      <c r="A1132" s="646" t="s">
        <v>1272</v>
      </c>
      <c r="B1132" s="661" t="s">
        <v>1764</v>
      </c>
      <c r="C1132" s="662" t="s">
        <v>1883</v>
      </c>
      <c r="D1132" s="654"/>
      <c r="E1132" s="655"/>
      <c r="F1132" s="573"/>
      <c r="G1132" s="487"/>
      <c r="H1132" s="573"/>
      <c r="I1132" s="487"/>
      <c r="J1132" s="573"/>
      <c r="K1132" s="487"/>
      <c r="L1132" s="573"/>
      <c r="M1132" s="573"/>
      <c r="N1132" s="456">
        <f t="shared" si="145"/>
        <v>0</v>
      </c>
      <c r="O1132" s="487"/>
      <c r="P1132" s="487"/>
      <c r="Q1132" s="274">
        <f t="shared" si="140"/>
        <v>0</v>
      </c>
      <c r="R1132" s="574">
        <f t="shared" si="141"/>
        <v>0</v>
      </c>
      <c r="S1132" s="275">
        <f t="shared" si="142"/>
        <v>0</v>
      </c>
      <c r="T1132" s="575"/>
      <c r="U1132" s="487"/>
      <c r="V1132" s="576"/>
      <c r="W1132" s="573"/>
      <c r="X1132" s="574">
        <f t="shared" si="146"/>
        <v>0</v>
      </c>
      <c r="Y1132" s="487"/>
      <c r="Z1132" s="487"/>
      <c r="AA1132" s="276">
        <f t="shared" si="147"/>
        <v>0</v>
      </c>
      <c r="AB1132" s="573"/>
      <c r="AC1132" s="487"/>
      <c r="AD1132" s="573"/>
      <c r="AE1132" s="487"/>
      <c r="AF1132" s="577">
        <f t="shared" si="143"/>
        <v>0</v>
      </c>
      <c r="AG1132" s="275">
        <f t="shared" si="144"/>
        <v>0</v>
      </c>
    </row>
    <row r="1133" spans="1:33" s="578" customFormat="1" ht="12" customHeight="1">
      <c r="A1133" s="646" t="s">
        <v>1272</v>
      </c>
      <c r="B1133" s="661" t="s">
        <v>1765</v>
      </c>
      <c r="C1133" s="662" t="s">
        <v>1761</v>
      </c>
      <c r="D1133" s="654"/>
      <c r="E1133" s="655"/>
      <c r="F1133" s="573"/>
      <c r="G1133" s="487"/>
      <c r="H1133" s="573"/>
      <c r="I1133" s="487"/>
      <c r="J1133" s="573"/>
      <c r="K1133" s="487"/>
      <c r="L1133" s="573"/>
      <c r="M1133" s="573"/>
      <c r="N1133" s="456">
        <f t="shared" si="145"/>
        <v>0</v>
      </c>
      <c r="O1133" s="487"/>
      <c r="P1133" s="487"/>
      <c r="Q1133" s="274">
        <f t="shared" si="140"/>
        <v>0</v>
      </c>
      <c r="R1133" s="574">
        <f t="shared" si="141"/>
        <v>0</v>
      </c>
      <c r="S1133" s="275">
        <f t="shared" si="142"/>
        <v>0</v>
      </c>
      <c r="T1133" s="575">
        <v>338950936</v>
      </c>
      <c r="U1133" s="487">
        <v>355086391</v>
      </c>
      <c r="V1133" s="576"/>
      <c r="W1133" s="573"/>
      <c r="X1133" s="574">
        <f t="shared" si="146"/>
        <v>0</v>
      </c>
      <c r="Y1133" s="487"/>
      <c r="Z1133" s="487"/>
      <c r="AA1133" s="276">
        <f t="shared" si="147"/>
        <v>0</v>
      </c>
      <c r="AB1133" s="573"/>
      <c r="AC1133" s="487"/>
      <c r="AD1133" s="573"/>
      <c r="AE1133" s="487"/>
      <c r="AF1133" s="577">
        <f t="shared" si="143"/>
        <v>338950936</v>
      </c>
      <c r="AG1133" s="275">
        <f t="shared" si="144"/>
        <v>355086391</v>
      </c>
    </row>
    <row r="1134" spans="1:33" s="578" customFormat="1" ht="12" customHeight="1">
      <c r="A1134" s="646" t="s">
        <v>1272</v>
      </c>
      <c r="B1134" s="646" t="s">
        <v>1807</v>
      </c>
      <c r="C1134" s="501" t="s">
        <v>1879</v>
      </c>
      <c r="D1134" s="654"/>
      <c r="E1134" s="655"/>
      <c r="F1134" s="573"/>
      <c r="G1134" s="487"/>
      <c r="H1134" s="573"/>
      <c r="I1134" s="487"/>
      <c r="J1134" s="573"/>
      <c r="K1134" s="487"/>
      <c r="L1134" s="573"/>
      <c r="M1134" s="573"/>
      <c r="N1134" s="456">
        <f t="shared" si="145"/>
        <v>0</v>
      </c>
      <c r="O1134" s="487"/>
      <c r="P1134" s="487"/>
      <c r="Q1134" s="274">
        <f t="shared" si="140"/>
        <v>0</v>
      </c>
      <c r="R1134" s="574">
        <f t="shared" si="141"/>
        <v>0</v>
      </c>
      <c r="S1134" s="275">
        <f t="shared" si="142"/>
        <v>0</v>
      </c>
      <c r="T1134" s="575"/>
      <c r="U1134" s="487"/>
      <c r="V1134" s="576"/>
      <c r="W1134" s="573"/>
      <c r="X1134" s="574">
        <f t="shared" si="146"/>
        <v>0</v>
      </c>
      <c r="Y1134" s="487"/>
      <c r="Z1134" s="487"/>
      <c r="AA1134" s="276">
        <f t="shared" si="147"/>
        <v>0</v>
      </c>
      <c r="AB1134" s="573"/>
      <c r="AC1134" s="487"/>
      <c r="AD1134" s="573"/>
      <c r="AE1134" s="487"/>
      <c r="AF1134" s="577">
        <f t="shared" si="143"/>
        <v>0</v>
      </c>
      <c r="AG1134" s="275">
        <f t="shared" si="144"/>
        <v>0</v>
      </c>
    </row>
    <row r="1135" spans="1:33" s="578" customFormat="1" ht="12" customHeight="1">
      <c r="A1135" s="646" t="s">
        <v>1272</v>
      </c>
      <c r="B1135" s="646" t="s">
        <v>1807</v>
      </c>
      <c r="C1135" s="502" t="s">
        <v>1022</v>
      </c>
      <c r="D1135" s="664"/>
      <c r="E1135" s="665"/>
      <c r="F1135" s="573"/>
      <c r="G1135" s="487"/>
      <c r="H1135" s="573"/>
      <c r="I1135" s="487"/>
      <c r="J1135" s="573"/>
      <c r="K1135" s="487"/>
      <c r="L1135" s="573"/>
      <c r="M1135" s="573"/>
      <c r="N1135" s="456">
        <f t="shared" si="145"/>
        <v>0</v>
      </c>
      <c r="O1135" s="487"/>
      <c r="P1135" s="487"/>
      <c r="Q1135" s="274">
        <f t="shared" si="140"/>
        <v>0</v>
      </c>
      <c r="R1135" s="574">
        <f t="shared" si="141"/>
        <v>0</v>
      </c>
      <c r="S1135" s="275">
        <f t="shared" si="142"/>
        <v>0</v>
      </c>
      <c r="T1135" s="575"/>
      <c r="U1135" s="487"/>
      <c r="V1135" s="576"/>
      <c r="W1135" s="573"/>
      <c r="X1135" s="574">
        <f t="shared" si="146"/>
        <v>0</v>
      </c>
      <c r="Y1135" s="487"/>
      <c r="Z1135" s="487"/>
      <c r="AA1135" s="276">
        <f t="shared" si="147"/>
        <v>0</v>
      </c>
      <c r="AB1135" s="573"/>
      <c r="AC1135" s="487"/>
      <c r="AD1135" s="573"/>
      <c r="AE1135" s="487"/>
      <c r="AF1135" s="577">
        <f t="shared" si="143"/>
        <v>0</v>
      </c>
      <c r="AG1135" s="275">
        <f t="shared" si="144"/>
        <v>0</v>
      </c>
    </row>
    <row r="1136" spans="1:33" s="578" customFormat="1" ht="12" customHeight="1">
      <c r="A1136" s="646" t="s">
        <v>1272</v>
      </c>
      <c r="B1136" s="661" t="s">
        <v>1766</v>
      </c>
      <c r="C1136" s="662" t="s">
        <v>1883</v>
      </c>
      <c r="D1136" s="664"/>
      <c r="E1136" s="665"/>
      <c r="F1136" s="573"/>
      <c r="G1136" s="487"/>
      <c r="H1136" s="573"/>
      <c r="I1136" s="487"/>
      <c r="J1136" s="573"/>
      <c r="K1136" s="487"/>
      <c r="L1136" s="573"/>
      <c r="M1136" s="573"/>
      <c r="N1136" s="456">
        <f t="shared" si="145"/>
        <v>0</v>
      </c>
      <c r="O1136" s="487"/>
      <c r="P1136" s="487"/>
      <c r="Q1136" s="274">
        <f t="shared" si="140"/>
        <v>0</v>
      </c>
      <c r="R1136" s="574">
        <f t="shared" si="141"/>
        <v>0</v>
      </c>
      <c r="S1136" s="275">
        <f t="shared" si="142"/>
        <v>0</v>
      </c>
      <c r="T1136" s="575"/>
      <c r="U1136" s="487"/>
      <c r="V1136" s="576"/>
      <c r="W1136" s="573"/>
      <c r="X1136" s="574">
        <f t="shared" si="146"/>
        <v>0</v>
      </c>
      <c r="Y1136" s="487"/>
      <c r="Z1136" s="487"/>
      <c r="AA1136" s="276">
        <f t="shared" si="147"/>
        <v>0</v>
      </c>
      <c r="AB1136" s="573"/>
      <c r="AC1136" s="487"/>
      <c r="AD1136" s="573"/>
      <c r="AE1136" s="487"/>
      <c r="AF1136" s="577">
        <f t="shared" si="143"/>
        <v>0</v>
      </c>
      <c r="AG1136" s="275">
        <f t="shared" si="144"/>
        <v>0</v>
      </c>
    </row>
    <row r="1137" spans="1:33" s="578" customFormat="1" ht="12" customHeight="1">
      <c r="A1137" s="646" t="s">
        <v>1272</v>
      </c>
      <c r="B1137" s="661" t="s">
        <v>1767</v>
      </c>
      <c r="C1137" s="662" t="s">
        <v>1761</v>
      </c>
      <c r="D1137" s="664"/>
      <c r="E1137" s="665"/>
      <c r="F1137" s="573"/>
      <c r="G1137" s="487"/>
      <c r="H1137" s="573"/>
      <c r="I1137" s="487"/>
      <c r="J1137" s="573"/>
      <c r="K1137" s="487"/>
      <c r="L1137" s="573"/>
      <c r="M1137" s="573"/>
      <c r="N1137" s="456">
        <f t="shared" si="145"/>
        <v>0</v>
      </c>
      <c r="O1137" s="487"/>
      <c r="P1137" s="487"/>
      <c r="Q1137" s="274">
        <f t="shared" si="140"/>
        <v>0</v>
      </c>
      <c r="R1137" s="574">
        <f t="shared" si="141"/>
        <v>0</v>
      </c>
      <c r="S1137" s="275">
        <f t="shared" si="142"/>
        <v>0</v>
      </c>
      <c r="T1137" s="575">
        <v>1228708</v>
      </c>
      <c r="U1137" s="487">
        <v>1228708</v>
      </c>
      <c r="V1137" s="576"/>
      <c r="W1137" s="573"/>
      <c r="X1137" s="574">
        <f t="shared" si="146"/>
        <v>0</v>
      </c>
      <c r="Y1137" s="487"/>
      <c r="Z1137" s="487"/>
      <c r="AA1137" s="276">
        <f t="shared" si="147"/>
        <v>0</v>
      </c>
      <c r="AB1137" s="573"/>
      <c r="AC1137" s="487"/>
      <c r="AD1137" s="573"/>
      <c r="AE1137" s="487"/>
      <c r="AF1137" s="577">
        <f t="shared" si="143"/>
        <v>1228708</v>
      </c>
      <c r="AG1137" s="275">
        <f t="shared" si="144"/>
        <v>1228708</v>
      </c>
    </row>
    <row r="1138" spans="1:33" s="578" customFormat="1" ht="12" customHeight="1">
      <c r="A1138" s="646" t="s">
        <v>1272</v>
      </c>
      <c r="B1138" s="646" t="s">
        <v>1807</v>
      </c>
      <c r="C1138" s="502" t="s">
        <v>1021</v>
      </c>
      <c r="D1138" s="664"/>
      <c r="E1138" s="665"/>
      <c r="F1138" s="573"/>
      <c r="G1138" s="487"/>
      <c r="H1138" s="573"/>
      <c r="I1138" s="487"/>
      <c r="J1138" s="573"/>
      <c r="K1138" s="487"/>
      <c r="L1138" s="573"/>
      <c r="M1138" s="573"/>
      <c r="N1138" s="456">
        <f t="shared" si="145"/>
        <v>0</v>
      </c>
      <c r="O1138" s="487"/>
      <c r="P1138" s="487"/>
      <c r="Q1138" s="274">
        <f t="shared" si="140"/>
        <v>0</v>
      </c>
      <c r="R1138" s="574">
        <f t="shared" si="141"/>
        <v>0</v>
      </c>
      <c r="S1138" s="275">
        <f t="shared" si="142"/>
        <v>0</v>
      </c>
      <c r="T1138" s="575"/>
      <c r="U1138" s="487"/>
      <c r="V1138" s="576"/>
      <c r="W1138" s="573"/>
      <c r="X1138" s="574">
        <f t="shared" si="146"/>
        <v>0</v>
      </c>
      <c r="Y1138" s="487"/>
      <c r="Z1138" s="487"/>
      <c r="AA1138" s="276">
        <f t="shared" si="147"/>
        <v>0</v>
      </c>
      <c r="AB1138" s="573"/>
      <c r="AC1138" s="487"/>
      <c r="AD1138" s="573"/>
      <c r="AE1138" s="487"/>
      <c r="AF1138" s="577">
        <f t="shared" si="143"/>
        <v>0</v>
      </c>
      <c r="AG1138" s="275">
        <f t="shared" si="144"/>
        <v>0</v>
      </c>
    </row>
    <row r="1139" spans="1:33" s="578" customFormat="1" ht="12" customHeight="1">
      <c r="A1139" s="646" t="s">
        <v>1272</v>
      </c>
      <c r="B1139" s="661" t="s">
        <v>1766</v>
      </c>
      <c r="C1139" s="662" t="s">
        <v>1883</v>
      </c>
      <c r="D1139" s="664"/>
      <c r="E1139" s="665"/>
      <c r="F1139" s="573"/>
      <c r="G1139" s="487"/>
      <c r="H1139" s="573"/>
      <c r="I1139" s="487"/>
      <c r="J1139" s="573"/>
      <c r="K1139" s="487"/>
      <c r="L1139" s="573"/>
      <c r="M1139" s="573"/>
      <c r="N1139" s="456">
        <f t="shared" si="145"/>
        <v>0</v>
      </c>
      <c r="O1139" s="487"/>
      <c r="P1139" s="487"/>
      <c r="Q1139" s="274">
        <f t="shared" si="140"/>
        <v>0</v>
      </c>
      <c r="R1139" s="574">
        <f t="shared" si="141"/>
        <v>0</v>
      </c>
      <c r="S1139" s="275">
        <f t="shared" si="142"/>
        <v>0</v>
      </c>
      <c r="T1139" s="575"/>
      <c r="U1139" s="487"/>
      <c r="V1139" s="576"/>
      <c r="W1139" s="573"/>
      <c r="X1139" s="574">
        <f t="shared" si="146"/>
        <v>0</v>
      </c>
      <c r="Y1139" s="487"/>
      <c r="Z1139" s="487"/>
      <c r="AA1139" s="276">
        <f t="shared" si="147"/>
        <v>0</v>
      </c>
      <c r="AB1139" s="573"/>
      <c r="AC1139" s="487"/>
      <c r="AD1139" s="573"/>
      <c r="AE1139" s="487"/>
      <c r="AF1139" s="577">
        <f t="shared" si="143"/>
        <v>0</v>
      </c>
      <c r="AG1139" s="275">
        <f t="shared" si="144"/>
        <v>0</v>
      </c>
    </row>
    <row r="1140" spans="1:33" s="578" customFormat="1" ht="12" customHeight="1">
      <c r="A1140" s="646" t="s">
        <v>1272</v>
      </c>
      <c r="B1140" s="661" t="s">
        <v>1767</v>
      </c>
      <c r="C1140" s="662" t="s">
        <v>1761</v>
      </c>
      <c r="D1140" s="664"/>
      <c r="E1140" s="665"/>
      <c r="F1140" s="573"/>
      <c r="G1140" s="487"/>
      <c r="H1140" s="573"/>
      <c r="I1140" s="487"/>
      <c r="J1140" s="573"/>
      <c r="K1140" s="487"/>
      <c r="L1140" s="573"/>
      <c r="M1140" s="573"/>
      <c r="N1140" s="456">
        <f t="shared" si="145"/>
        <v>0</v>
      </c>
      <c r="O1140" s="487"/>
      <c r="P1140" s="487"/>
      <c r="Q1140" s="274">
        <f t="shared" si="140"/>
        <v>0</v>
      </c>
      <c r="R1140" s="574">
        <f t="shared" si="141"/>
        <v>0</v>
      </c>
      <c r="S1140" s="275">
        <f t="shared" si="142"/>
        <v>0</v>
      </c>
      <c r="T1140" s="575">
        <v>45651732</v>
      </c>
      <c r="U1140" s="487">
        <v>42323094</v>
      </c>
      <c r="V1140" s="576"/>
      <c r="W1140" s="573"/>
      <c r="X1140" s="574">
        <f t="shared" si="146"/>
        <v>0</v>
      </c>
      <c r="Y1140" s="487"/>
      <c r="Z1140" s="487"/>
      <c r="AA1140" s="276">
        <f t="shared" si="147"/>
        <v>0</v>
      </c>
      <c r="AB1140" s="573"/>
      <c r="AC1140" s="487"/>
      <c r="AD1140" s="573"/>
      <c r="AE1140" s="487"/>
      <c r="AF1140" s="577">
        <f t="shared" si="143"/>
        <v>45651732</v>
      </c>
      <c r="AG1140" s="275">
        <f t="shared" si="144"/>
        <v>42323094</v>
      </c>
    </row>
    <row r="1141" spans="1:33" ht="12" customHeight="1">
      <c r="A1141" s="568" t="s">
        <v>1272</v>
      </c>
      <c r="B1141" s="569" t="s">
        <v>1776</v>
      </c>
      <c r="C1141" s="570" t="s">
        <v>68</v>
      </c>
      <c r="D1141" s="571">
        <v>138682</v>
      </c>
      <c r="E1141" s="666">
        <v>12</v>
      </c>
      <c r="F1141" s="573">
        <v>9611422</v>
      </c>
      <c r="G1141" s="487">
        <v>9883882</v>
      </c>
      <c r="H1141" s="573"/>
      <c r="I1141" s="487"/>
      <c r="J1141" s="573"/>
      <c r="K1141" s="487"/>
      <c r="L1141" s="952">
        <v>4627926</v>
      </c>
      <c r="M1141" s="573"/>
      <c r="N1141" s="456">
        <f t="shared" si="145"/>
        <v>4627926</v>
      </c>
      <c r="O1141" s="578">
        <v>4630000</v>
      </c>
      <c r="P1141" s="487"/>
      <c r="Q1141" s="274">
        <f t="shared" si="140"/>
        <v>4630000</v>
      </c>
      <c r="R1141" s="574">
        <f t="shared" si="141"/>
        <v>14239348</v>
      </c>
      <c r="S1141" s="275">
        <f t="shared" si="142"/>
        <v>14513882</v>
      </c>
      <c r="T1141" s="575"/>
      <c r="U1141" s="487"/>
      <c r="V1141" s="576"/>
      <c r="W1141" s="573"/>
      <c r="X1141" s="574">
        <f t="shared" si="146"/>
        <v>0</v>
      </c>
      <c r="Y1141" s="487"/>
      <c r="Z1141" s="487"/>
      <c r="AA1141" s="276">
        <f t="shared" si="147"/>
        <v>0</v>
      </c>
      <c r="AB1141" s="573"/>
      <c r="AC1141" s="487"/>
      <c r="AD1141" s="573"/>
      <c r="AE1141" s="487"/>
      <c r="AF1141" s="577">
        <f t="shared" si="143"/>
        <v>14239348</v>
      </c>
      <c r="AG1141" s="275">
        <f t="shared" si="144"/>
        <v>14513882</v>
      </c>
    </row>
    <row r="1142" spans="1:33" ht="12" customHeight="1">
      <c r="A1142" s="568" t="s">
        <v>1272</v>
      </c>
      <c r="B1142" s="569" t="s">
        <v>1776</v>
      </c>
      <c r="C1142" s="570" t="s">
        <v>70</v>
      </c>
      <c r="D1142" s="571">
        <v>246813</v>
      </c>
      <c r="E1142" s="666">
        <v>12</v>
      </c>
      <c r="F1142" s="622">
        <v>12269370</v>
      </c>
      <c r="G1142" s="487">
        <v>11875277</v>
      </c>
      <c r="H1142" s="573"/>
      <c r="I1142" s="487"/>
      <c r="J1142" s="573"/>
      <c r="K1142" s="487"/>
      <c r="L1142" s="952">
        <v>5215901</v>
      </c>
      <c r="M1142" s="573"/>
      <c r="N1142" s="456">
        <f t="shared" si="145"/>
        <v>5215901</v>
      </c>
      <c r="O1142" s="578">
        <v>5220000</v>
      </c>
      <c r="P1142" s="487"/>
      <c r="Q1142" s="274">
        <f t="shared" si="140"/>
        <v>5220000</v>
      </c>
      <c r="R1142" s="574">
        <f t="shared" si="141"/>
        <v>17485271</v>
      </c>
      <c r="S1142" s="275">
        <f t="shared" si="142"/>
        <v>17095277</v>
      </c>
      <c r="T1142" s="575"/>
      <c r="U1142" s="487"/>
      <c r="V1142" s="576"/>
      <c r="W1142" s="573"/>
      <c r="X1142" s="574">
        <f t="shared" si="146"/>
        <v>0</v>
      </c>
      <c r="Y1142" s="487"/>
      <c r="Z1142" s="487"/>
      <c r="AA1142" s="276">
        <f t="shared" si="147"/>
        <v>0</v>
      </c>
      <c r="AB1142" s="573"/>
      <c r="AC1142" s="487"/>
      <c r="AD1142" s="573"/>
      <c r="AE1142" s="487"/>
      <c r="AF1142" s="577">
        <f t="shared" si="143"/>
        <v>17485271</v>
      </c>
      <c r="AG1142" s="275">
        <f t="shared" si="144"/>
        <v>17095277</v>
      </c>
    </row>
    <row r="1143" spans="1:33" ht="12" customHeight="1">
      <c r="A1143" s="568" t="s">
        <v>1272</v>
      </c>
      <c r="B1143" s="569" t="s">
        <v>1776</v>
      </c>
      <c r="C1143" s="570" t="s">
        <v>71</v>
      </c>
      <c r="D1143" s="571">
        <v>138840</v>
      </c>
      <c r="E1143" s="666">
        <v>12</v>
      </c>
      <c r="F1143" s="622">
        <v>15588121</v>
      </c>
      <c r="G1143" s="487">
        <v>14517125</v>
      </c>
      <c r="H1143" s="573"/>
      <c r="I1143" s="487"/>
      <c r="J1143" s="573"/>
      <c r="K1143" s="487"/>
      <c r="L1143" s="952">
        <v>5498838</v>
      </c>
      <c r="M1143" s="573"/>
      <c r="N1143" s="456">
        <f t="shared" si="145"/>
        <v>5498838</v>
      </c>
      <c r="O1143" s="578">
        <v>5500000</v>
      </c>
      <c r="P1143" s="487"/>
      <c r="Q1143" s="274">
        <f t="shared" si="140"/>
        <v>5500000</v>
      </c>
      <c r="R1143" s="574">
        <f t="shared" si="141"/>
        <v>21086959</v>
      </c>
      <c r="S1143" s="275">
        <f t="shared" si="142"/>
        <v>20017125</v>
      </c>
      <c r="T1143" s="575"/>
      <c r="U1143" s="487"/>
      <c r="V1143" s="576"/>
      <c r="W1143" s="573"/>
      <c r="X1143" s="574">
        <f t="shared" si="146"/>
        <v>0</v>
      </c>
      <c r="Y1143" s="487"/>
      <c r="Z1143" s="487"/>
      <c r="AA1143" s="276">
        <f t="shared" si="147"/>
        <v>0</v>
      </c>
      <c r="AB1143" s="573"/>
      <c r="AC1143" s="487"/>
      <c r="AD1143" s="573"/>
      <c r="AE1143" s="487"/>
      <c r="AF1143" s="577">
        <f t="shared" si="143"/>
        <v>21086959</v>
      </c>
      <c r="AG1143" s="275">
        <f t="shared" si="144"/>
        <v>20017125</v>
      </c>
    </row>
    <row r="1144" spans="1:33" ht="12" customHeight="1">
      <c r="A1144" s="568" t="s">
        <v>1272</v>
      </c>
      <c r="B1144" s="569" t="s">
        <v>1776</v>
      </c>
      <c r="C1144" s="570" t="s">
        <v>72</v>
      </c>
      <c r="D1144" s="571">
        <v>138956</v>
      </c>
      <c r="E1144" s="666">
        <v>12</v>
      </c>
      <c r="F1144" s="622">
        <v>17494294</v>
      </c>
      <c r="G1144" s="487">
        <v>17464793</v>
      </c>
      <c r="H1144" s="573"/>
      <c r="I1144" s="487"/>
      <c r="J1144" s="573"/>
      <c r="K1144" s="487"/>
      <c r="L1144" s="952">
        <v>6113100</v>
      </c>
      <c r="M1144" s="573"/>
      <c r="N1144" s="456">
        <f t="shared" si="145"/>
        <v>6113100</v>
      </c>
      <c r="O1144" s="578">
        <v>6120000</v>
      </c>
      <c r="P1144" s="487"/>
      <c r="Q1144" s="274">
        <f t="shared" si="140"/>
        <v>6120000</v>
      </c>
      <c r="R1144" s="574">
        <f t="shared" si="141"/>
        <v>23607394</v>
      </c>
      <c r="S1144" s="275">
        <f t="shared" si="142"/>
        <v>23584793</v>
      </c>
      <c r="T1144" s="575"/>
      <c r="U1144" s="487"/>
      <c r="V1144" s="576"/>
      <c r="W1144" s="573"/>
      <c r="X1144" s="574">
        <f t="shared" si="146"/>
        <v>0</v>
      </c>
      <c r="Y1144" s="487"/>
      <c r="Z1144" s="487"/>
      <c r="AA1144" s="276">
        <f t="shared" si="147"/>
        <v>0</v>
      </c>
      <c r="AB1144" s="573"/>
      <c r="AC1144" s="487"/>
      <c r="AD1144" s="573"/>
      <c r="AE1144" s="487"/>
      <c r="AF1144" s="577">
        <f t="shared" si="143"/>
        <v>23607394</v>
      </c>
      <c r="AG1144" s="275">
        <f t="shared" si="144"/>
        <v>23584793</v>
      </c>
    </row>
    <row r="1145" spans="1:33" ht="12" customHeight="1">
      <c r="A1145" s="568" t="s">
        <v>1272</v>
      </c>
      <c r="B1145" s="569" t="s">
        <v>1776</v>
      </c>
      <c r="C1145" s="570" t="s">
        <v>73</v>
      </c>
      <c r="D1145" s="571">
        <v>140304</v>
      </c>
      <c r="E1145" s="666">
        <v>12</v>
      </c>
      <c r="F1145" s="573">
        <v>15682547</v>
      </c>
      <c r="G1145" s="487">
        <v>15549461</v>
      </c>
      <c r="H1145" s="573"/>
      <c r="I1145" s="487"/>
      <c r="J1145" s="573"/>
      <c r="K1145" s="487"/>
      <c r="L1145" s="952">
        <v>7178083</v>
      </c>
      <c r="M1145" s="573"/>
      <c r="N1145" s="456">
        <f t="shared" si="145"/>
        <v>7178083</v>
      </c>
      <c r="O1145" s="578">
        <v>7180000</v>
      </c>
      <c r="P1145" s="487"/>
      <c r="Q1145" s="274">
        <f t="shared" si="140"/>
        <v>7180000</v>
      </c>
      <c r="R1145" s="574">
        <f t="shared" si="141"/>
        <v>22860630</v>
      </c>
      <c r="S1145" s="275">
        <f t="shared" si="142"/>
        <v>22729461</v>
      </c>
      <c r="T1145" s="575"/>
      <c r="U1145" s="487"/>
      <c r="V1145" s="576"/>
      <c r="W1145" s="573"/>
      <c r="X1145" s="574">
        <f t="shared" si="146"/>
        <v>0</v>
      </c>
      <c r="Y1145" s="487"/>
      <c r="Z1145" s="487"/>
      <c r="AA1145" s="276">
        <f t="shared" si="147"/>
        <v>0</v>
      </c>
      <c r="AB1145" s="573"/>
      <c r="AC1145" s="487"/>
      <c r="AD1145" s="573"/>
      <c r="AE1145" s="487"/>
      <c r="AF1145" s="577">
        <f t="shared" si="143"/>
        <v>22860630</v>
      </c>
      <c r="AG1145" s="275">
        <f t="shared" si="144"/>
        <v>22729461</v>
      </c>
    </row>
    <row r="1146" spans="1:33" ht="12" customHeight="1">
      <c r="A1146" s="568" t="s">
        <v>1272</v>
      </c>
      <c r="B1146" s="569" t="s">
        <v>1776</v>
      </c>
      <c r="C1146" s="570" t="s">
        <v>74</v>
      </c>
      <c r="D1146" s="571">
        <v>140331</v>
      </c>
      <c r="E1146" s="666">
        <v>12</v>
      </c>
      <c r="F1146" s="573">
        <v>13103558</v>
      </c>
      <c r="G1146" s="487">
        <v>13012605</v>
      </c>
      <c r="H1146" s="573"/>
      <c r="I1146" s="487"/>
      <c r="J1146" s="573"/>
      <c r="K1146" s="487"/>
      <c r="L1146" s="952">
        <v>8791777</v>
      </c>
      <c r="M1146" s="573"/>
      <c r="N1146" s="456">
        <f t="shared" si="145"/>
        <v>8791777</v>
      </c>
      <c r="O1146" s="578">
        <v>8800000</v>
      </c>
      <c r="P1146" s="487"/>
      <c r="Q1146" s="274">
        <f t="shared" si="140"/>
        <v>8800000</v>
      </c>
      <c r="R1146" s="574">
        <f t="shared" si="141"/>
        <v>21895335</v>
      </c>
      <c r="S1146" s="275">
        <f t="shared" si="142"/>
        <v>21812605</v>
      </c>
      <c r="T1146" s="575"/>
      <c r="U1146" s="487"/>
      <c r="V1146" s="576"/>
      <c r="W1146" s="573"/>
      <c r="X1146" s="574">
        <f t="shared" si="146"/>
        <v>0</v>
      </c>
      <c r="Y1146" s="487"/>
      <c r="Z1146" s="487"/>
      <c r="AA1146" s="276">
        <f t="shared" si="147"/>
        <v>0</v>
      </c>
      <c r="AB1146" s="573"/>
      <c r="AC1146" s="487"/>
      <c r="AD1146" s="573"/>
      <c r="AE1146" s="487"/>
      <c r="AF1146" s="577">
        <f t="shared" si="143"/>
        <v>21895335</v>
      </c>
      <c r="AG1146" s="275">
        <f t="shared" si="144"/>
        <v>21812605</v>
      </c>
    </row>
    <row r="1147" spans="1:33" ht="12" customHeight="1">
      <c r="A1147" s="568" t="s">
        <v>1272</v>
      </c>
      <c r="B1147" s="569" t="s">
        <v>1776</v>
      </c>
      <c r="C1147" s="570" t="s">
        <v>75</v>
      </c>
      <c r="D1147" s="571">
        <v>139357</v>
      </c>
      <c r="E1147" s="666">
        <v>12</v>
      </c>
      <c r="F1147" s="573">
        <v>10700624</v>
      </c>
      <c r="G1147" s="487">
        <v>10228233</v>
      </c>
      <c r="H1147" s="573"/>
      <c r="I1147" s="487"/>
      <c r="J1147" s="573"/>
      <c r="K1147" s="487"/>
      <c r="L1147" s="952">
        <v>5866701</v>
      </c>
      <c r="M1147" s="573"/>
      <c r="N1147" s="456">
        <f t="shared" si="145"/>
        <v>5866701</v>
      </c>
      <c r="O1147" s="578">
        <v>5870000</v>
      </c>
      <c r="P1147" s="487"/>
      <c r="Q1147" s="274">
        <f t="shared" si="140"/>
        <v>5870000</v>
      </c>
      <c r="R1147" s="574">
        <f t="shared" si="141"/>
        <v>16567325</v>
      </c>
      <c r="S1147" s="275">
        <f t="shared" si="142"/>
        <v>16098233</v>
      </c>
      <c r="T1147" s="575"/>
      <c r="U1147" s="487"/>
      <c r="V1147" s="576"/>
      <c r="W1147" s="573"/>
      <c r="X1147" s="574">
        <f t="shared" si="146"/>
        <v>0</v>
      </c>
      <c r="Y1147" s="487"/>
      <c r="Z1147" s="487"/>
      <c r="AA1147" s="276">
        <f t="shared" si="147"/>
        <v>0</v>
      </c>
      <c r="AB1147" s="573"/>
      <c r="AC1147" s="487"/>
      <c r="AD1147" s="573"/>
      <c r="AE1147" s="487"/>
      <c r="AF1147" s="577">
        <f t="shared" si="143"/>
        <v>16567325</v>
      </c>
      <c r="AG1147" s="275">
        <f t="shared" si="144"/>
        <v>16098233</v>
      </c>
    </row>
    <row r="1148" spans="1:33" ht="12" customHeight="1">
      <c r="A1148" s="568" t="s">
        <v>1272</v>
      </c>
      <c r="B1148" s="569" t="s">
        <v>1776</v>
      </c>
      <c r="C1148" s="568" t="s">
        <v>76</v>
      </c>
      <c r="D1148" s="581">
        <v>139384</v>
      </c>
      <c r="E1148" s="666">
        <v>12</v>
      </c>
      <c r="F1148" s="622">
        <v>12363052</v>
      </c>
      <c r="G1148" s="487">
        <v>11688898</v>
      </c>
      <c r="H1148" s="573"/>
      <c r="I1148" s="487"/>
      <c r="J1148" s="573"/>
      <c r="K1148" s="487"/>
      <c r="L1148" s="952">
        <v>4098068</v>
      </c>
      <c r="M1148" s="573"/>
      <c r="N1148" s="456">
        <f t="shared" si="145"/>
        <v>4098068</v>
      </c>
      <c r="O1148" s="578">
        <v>4100000</v>
      </c>
      <c r="P1148" s="487"/>
      <c r="Q1148" s="274">
        <f t="shared" si="140"/>
        <v>4100000</v>
      </c>
      <c r="R1148" s="574">
        <f t="shared" si="141"/>
        <v>16461120</v>
      </c>
      <c r="S1148" s="275">
        <f t="shared" si="142"/>
        <v>15788898</v>
      </c>
      <c r="T1148" s="575"/>
      <c r="U1148" s="487"/>
      <c r="V1148" s="576"/>
      <c r="W1148" s="573"/>
      <c r="X1148" s="574">
        <f t="shared" si="146"/>
        <v>0</v>
      </c>
      <c r="Y1148" s="487"/>
      <c r="Z1148" s="487"/>
      <c r="AA1148" s="276">
        <f t="shared" si="147"/>
        <v>0</v>
      </c>
      <c r="AB1148" s="573"/>
      <c r="AC1148" s="487"/>
      <c r="AD1148" s="573"/>
      <c r="AE1148" s="487"/>
      <c r="AF1148" s="577">
        <f t="shared" si="143"/>
        <v>16461120</v>
      </c>
      <c r="AG1148" s="275">
        <f t="shared" si="144"/>
        <v>15788898</v>
      </c>
    </row>
    <row r="1149" spans="1:33" ht="12" customHeight="1">
      <c r="A1149" s="568" t="s">
        <v>1272</v>
      </c>
      <c r="B1149" s="569" t="s">
        <v>1776</v>
      </c>
      <c r="C1149" s="570" t="s">
        <v>255</v>
      </c>
      <c r="D1149" s="571">
        <v>244446</v>
      </c>
      <c r="E1149" s="666">
        <v>12</v>
      </c>
      <c r="F1149" s="622">
        <v>18664637</v>
      </c>
      <c r="G1149" s="487">
        <v>18286460</v>
      </c>
      <c r="H1149" s="573"/>
      <c r="I1149" s="487"/>
      <c r="J1149" s="573"/>
      <c r="K1149" s="487"/>
      <c r="L1149" s="952">
        <v>8928782</v>
      </c>
      <c r="M1149" s="573"/>
      <c r="N1149" s="456">
        <f t="shared" si="145"/>
        <v>8928782</v>
      </c>
      <c r="O1149" s="578">
        <v>8930000</v>
      </c>
      <c r="P1149" s="487"/>
      <c r="Q1149" s="274">
        <f t="shared" si="140"/>
        <v>8930000</v>
      </c>
      <c r="R1149" s="574">
        <f t="shared" si="141"/>
        <v>27593419</v>
      </c>
      <c r="S1149" s="275">
        <f t="shared" si="142"/>
        <v>27216460</v>
      </c>
      <c r="T1149" s="575"/>
      <c r="U1149" s="487"/>
      <c r="V1149" s="576"/>
      <c r="W1149" s="573"/>
      <c r="X1149" s="574">
        <f t="shared" si="146"/>
        <v>0</v>
      </c>
      <c r="Y1149" s="487"/>
      <c r="Z1149" s="487"/>
      <c r="AA1149" s="276">
        <f t="shared" si="147"/>
        <v>0</v>
      </c>
      <c r="AB1149" s="573"/>
      <c r="AC1149" s="487"/>
      <c r="AD1149" s="573"/>
      <c r="AE1149" s="487"/>
      <c r="AF1149" s="577">
        <f t="shared" si="143"/>
        <v>27593419</v>
      </c>
      <c r="AG1149" s="275">
        <f t="shared" si="144"/>
        <v>27216460</v>
      </c>
    </row>
    <row r="1150" spans="1:33" ht="12" customHeight="1">
      <c r="A1150" s="568" t="s">
        <v>1272</v>
      </c>
      <c r="B1150" s="569" t="s">
        <v>1776</v>
      </c>
      <c r="C1150" s="570" t="s">
        <v>256</v>
      </c>
      <c r="D1150" s="571">
        <v>139126</v>
      </c>
      <c r="E1150" s="666">
        <v>12</v>
      </c>
      <c r="F1150" s="622">
        <v>6701050</v>
      </c>
      <c r="G1150" s="487">
        <v>6559053</v>
      </c>
      <c r="H1150" s="573"/>
      <c r="I1150" s="487"/>
      <c r="J1150" s="573"/>
      <c r="K1150" s="487"/>
      <c r="L1150" s="952">
        <v>2395568</v>
      </c>
      <c r="M1150" s="573"/>
      <c r="N1150" s="456">
        <f t="shared" si="145"/>
        <v>2395568</v>
      </c>
      <c r="O1150" s="578">
        <v>2400000</v>
      </c>
      <c r="P1150" s="487"/>
      <c r="Q1150" s="274">
        <f t="shared" si="140"/>
        <v>2400000</v>
      </c>
      <c r="R1150" s="574">
        <f t="shared" si="141"/>
        <v>9096618</v>
      </c>
      <c r="S1150" s="275">
        <f t="shared" si="142"/>
        <v>8959053</v>
      </c>
      <c r="T1150" s="575"/>
      <c r="U1150" s="487"/>
      <c r="V1150" s="576"/>
      <c r="W1150" s="573"/>
      <c r="X1150" s="574">
        <f t="shared" si="146"/>
        <v>0</v>
      </c>
      <c r="Y1150" s="487"/>
      <c r="Z1150" s="487"/>
      <c r="AA1150" s="276">
        <f t="shared" si="147"/>
        <v>0</v>
      </c>
      <c r="AB1150" s="573"/>
      <c r="AC1150" s="487"/>
      <c r="AD1150" s="573"/>
      <c r="AE1150" s="487"/>
      <c r="AF1150" s="577">
        <f t="shared" si="143"/>
        <v>9096618</v>
      </c>
      <c r="AG1150" s="275">
        <f t="shared" si="144"/>
        <v>8959053</v>
      </c>
    </row>
    <row r="1151" spans="1:33" ht="12" customHeight="1">
      <c r="A1151" s="568" t="s">
        <v>1272</v>
      </c>
      <c r="B1151" s="569" t="s">
        <v>1776</v>
      </c>
      <c r="C1151" s="570" t="s">
        <v>257</v>
      </c>
      <c r="D1151" s="571">
        <v>139986</v>
      </c>
      <c r="E1151" s="666">
        <v>12</v>
      </c>
      <c r="F1151" s="622">
        <v>9407273</v>
      </c>
      <c r="G1151" s="487">
        <v>9338301</v>
      </c>
      <c r="H1151" s="573"/>
      <c r="I1151" s="487"/>
      <c r="J1151" s="573"/>
      <c r="K1151" s="487"/>
      <c r="L1151" s="952">
        <v>6876924</v>
      </c>
      <c r="M1151" s="573"/>
      <c r="N1151" s="456">
        <f t="shared" si="145"/>
        <v>6876924</v>
      </c>
      <c r="O1151" s="578">
        <v>6880000</v>
      </c>
      <c r="P1151" s="487"/>
      <c r="Q1151" s="274">
        <f t="shared" si="140"/>
        <v>6880000</v>
      </c>
      <c r="R1151" s="574">
        <f t="shared" si="141"/>
        <v>16284197</v>
      </c>
      <c r="S1151" s="275">
        <f t="shared" si="142"/>
        <v>16218301</v>
      </c>
      <c r="T1151" s="575"/>
      <c r="U1151" s="487"/>
      <c r="V1151" s="576"/>
      <c r="W1151" s="573"/>
      <c r="X1151" s="574">
        <f t="shared" si="146"/>
        <v>0</v>
      </c>
      <c r="Y1151" s="487"/>
      <c r="Z1151" s="487"/>
      <c r="AA1151" s="276">
        <f t="shared" si="147"/>
        <v>0</v>
      </c>
      <c r="AB1151" s="573"/>
      <c r="AC1151" s="487"/>
      <c r="AD1151" s="573"/>
      <c r="AE1151" s="487"/>
      <c r="AF1151" s="577">
        <f t="shared" si="143"/>
        <v>16284197</v>
      </c>
      <c r="AG1151" s="275">
        <f t="shared" si="144"/>
        <v>16218301</v>
      </c>
    </row>
    <row r="1152" spans="1:33" ht="12" customHeight="1">
      <c r="A1152" s="568" t="s">
        <v>1272</v>
      </c>
      <c r="B1152" s="569" t="s">
        <v>1776</v>
      </c>
      <c r="C1152" s="570" t="s">
        <v>258</v>
      </c>
      <c r="D1152" s="571">
        <v>140012</v>
      </c>
      <c r="E1152" s="666">
        <v>12</v>
      </c>
      <c r="F1152" s="622">
        <v>15264950</v>
      </c>
      <c r="G1152" s="487">
        <v>15146586</v>
      </c>
      <c r="H1152" s="573"/>
      <c r="I1152" s="487"/>
      <c r="J1152" s="573"/>
      <c r="K1152" s="487"/>
      <c r="L1152" s="952">
        <v>10942576</v>
      </c>
      <c r="M1152" s="573"/>
      <c r="N1152" s="456">
        <f t="shared" si="145"/>
        <v>10942576</v>
      </c>
      <c r="O1152" s="578">
        <v>10950000</v>
      </c>
      <c r="P1152" s="487"/>
      <c r="Q1152" s="274">
        <f t="shared" si="140"/>
        <v>10950000</v>
      </c>
      <c r="R1152" s="574">
        <f t="shared" si="141"/>
        <v>26207526</v>
      </c>
      <c r="S1152" s="275">
        <f t="shared" si="142"/>
        <v>26096586</v>
      </c>
      <c r="T1152" s="575"/>
      <c r="U1152" s="487"/>
      <c r="V1152" s="576"/>
      <c r="W1152" s="573"/>
      <c r="X1152" s="574">
        <f t="shared" si="146"/>
        <v>0</v>
      </c>
      <c r="Y1152" s="487"/>
      <c r="Z1152" s="487"/>
      <c r="AA1152" s="276">
        <f t="shared" si="147"/>
        <v>0</v>
      </c>
      <c r="AB1152" s="573"/>
      <c r="AC1152" s="487"/>
      <c r="AD1152" s="573"/>
      <c r="AE1152" s="487"/>
      <c r="AF1152" s="577">
        <f t="shared" si="143"/>
        <v>26207526</v>
      </c>
      <c r="AG1152" s="275">
        <f t="shared" si="144"/>
        <v>26096586</v>
      </c>
    </row>
    <row r="1153" spans="1:33" ht="12" customHeight="1">
      <c r="A1153" s="568" t="s">
        <v>1272</v>
      </c>
      <c r="B1153" s="569" t="s">
        <v>1776</v>
      </c>
      <c r="C1153" s="570" t="s">
        <v>259</v>
      </c>
      <c r="D1153" s="571">
        <v>140076</v>
      </c>
      <c r="E1153" s="666">
        <v>12</v>
      </c>
      <c r="F1153" s="622">
        <v>7002252</v>
      </c>
      <c r="G1153" s="487">
        <v>6972360</v>
      </c>
      <c r="H1153" s="573"/>
      <c r="I1153" s="487"/>
      <c r="J1153" s="573"/>
      <c r="K1153" s="487"/>
      <c r="L1153" s="952">
        <v>2271211</v>
      </c>
      <c r="M1153" s="573"/>
      <c r="N1153" s="456">
        <f t="shared" si="145"/>
        <v>2271211</v>
      </c>
      <c r="O1153" s="578">
        <v>2280000</v>
      </c>
      <c r="P1153" s="487"/>
      <c r="Q1153" s="274">
        <f t="shared" si="140"/>
        <v>2280000</v>
      </c>
      <c r="R1153" s="574">
        <f t="shared" si="141"/>
        <v>9273463</v>
      </c>
      <c r="S1153" s="275">
        <f t="shared" si="142"/>
        <v>9252360</v>
      </c>
      <c r="T1153" s="575"/>
      <c r="U1153" s="487"/>
      <c r="V1153" s="576"/>
      <c r="W1153" s="573"/>
      <c r="X1153" s="574">
        <f t="shared" si="146"/>
        <v>0</v>
      </c>
      <c r="Y1153" s="487"/>
      <c r="Z1153" s="487"/>
      <c r="AA1153" s="276">
        <f t="shared" si="147"/>
        <v>0</v>
      </c>
      <c r="AB1153" s="573"/>
      <c r="AC1153" s="487"/>
      <c r="AD1153" s="573"/>
      <c r="AE1153" s="487"/>
      <c r="AF1153" s="577">
        <f t="shared" si="143"/>
        <v>9273463</v>
      </c>
      <c r="AG1153" s="275">
        <f t="shared" si="144"/>
        <v>9252360</v>
      </c>
    </row>
    <row r="1154" spans="1:33" ht="12" customHeight="1">
      <c r="A1154" s="568" t="s">
        <v>1272</v>
      </c>
      <c r="B1154" s="569" t="s">
        <v>1776</v>
      </c>
      <c r="C1154" s="570" t="s">
        <v>260</v>
      </c>
      <c r="D1154" s="571">
        <v>140243</v>
      </c>
      <c r="E1154" s="666">
        <v>12</v>
      </c>
      <c r="F1154" s="573">
        <v>9952125</v>
      </c>
      <c r="G1154" s="487">
        <v>9878617</v>
      </c>
      <c r="H1154" s="573"/>
      <c r="I1154" s="487"/>
      <c r="J1154" s="573"/>
      <c r="K1154" s="487"/>
      <c r="L1154" s="952">
        <v>5112980</v>
      </c>
      <c r="M1154" s="573"/>
      <c r="N1154" s="456">
        <f t="shared" si="145"/>
        <v>5112980</v>
      </c>
      <c r="O1154" s="578">
        <v>5120000</v>
      </c>
      <c r="P1154" s="487"/>
      <c r="Q1154" s="274">
        <f t="shared" si="140"/>
        <v>5120000</v>
      </c>
      <c r="R1154" s="574">
        <f t="shared" si="141"/>
        <v>15065105</v>
      </c>
      <c r="S1154" s="275">
        <f t="shared" si="142"/>
        <v>14998617</v>
      </c>
      <c r="T1154" s="575"/>
      <c r="U1154" s="487"/>
      <c r="V1154" s="576"/>
      <c r="W1154" s="573"/>
      <c r="X1154" s="574">
        <f t="shared" si="146"/>
        <v>0</v>
      </c>
      <c r="Y1154" s="487"/>
      <c r="Z1154" s="487"/>
      <c r="AA1154" s="276">
        <f t="shared" si="147"/>
        <v>0</v>
      </c>
      <c r="AB1154" s="573"/>
      <c r="AC1154" s="487"/>
      <c r="AD1154" s="573"/>
      <c r="AE1154" s="487"/>
      <c r="AF1154" s="577">
        <f t="shared" si="143"/>
        <v>15065105</v>
      </c>
      <c r="AG1154" s="275">
        <f t="shared" si="144"/>
        <v>14998617</v>
      </c>
    </row>
    <row r="1155" spans="1:33" ht="12" customHeight="1">
      <c r="A1155" s="568" t="s">
        <v>1272</v>
      </c>
      <c r="B1155" s="569" t="s">
        <v>1776</v>
      </c>
      <c r="C1155" s="570" t="s">
        <v>261</v>
      </c>
      <c r="D1155" s="571">
        <v>140085</v>
      </c>
      <c r="E1155" s="666">
        <v>12</v>
      </c>
      <c r="F1155" s="622">
        <v>9226374</v>
      </c>
      <c r="G1155" s="487">
        <v>9383222</v>
      </c>
      <c r="H1155" s="573"/>
      <c r="I1155" s="487"/>
      <c r="J1155" s="573"/>
      <c r="K1155" s="487"/>
      <c r="L1155" s="952">
        <v>3645197</v>
      </c>
      <c r="M1155" s="573"/>
      <c r="N1155" s="456">
        <f t="shared" si="145"/>
        <v>3645197</v>
      </c>
      <c r="O1155" s="578">
        <v>3650000</v>
      </c>
      <c r="P1155" s="487"/>
      <c r="Q1155" s="274">
        <f t="shared" si="140"/>
        <v>3650000</v>
      </c>
      <c r="R1155" s="574">
        <f t="shared" si="141"/>
        <v>12871571</v>
      </c>
      <c r="S1155" s="275">
        <f t="shared" si="142"/>
        <v>13033222</v>
      </c>
      <c r="T1155" s="575"/>
      <c r="U1155" s="487"/>
      <c r="V1155" s="576"/>
      <c r="W1155" s="573"/>
      <c r="X1155" s="574">
        <f t="shared" si="146"/>
        <v>0</v>
      </c>
      <c r="Y1155" s="487"/>
      <c r="Z1155" s="487"/>
      <c r="AA1155" s="276">
        <f t="shared" si="147"/>
        <v>0</v>
      </c>
      <c r="AB1155" s="573"/>
      <c r="AC1155" s="487"/>
      <c r="AD1155" s="573"/>
      <c r="AE1155" s="487"/>
      <c r="AF1155" s="577">
        <f t="shared" si="143"/>
        <v>12871571</v>
      </c>
      <c r="AG1155" s="275">
        <f t="shared" si="144"/>
        <v>13033222</v>
      </c>
    </row>
    <row r="1156" spans="1:33" ht="12" customHeight="1">
      <c r="A1156" s="568" t="s">
        <v>1272</v>
      </c>
      <c r="B1156" s="569" t="s">
        <v>1776</v>
      </c>
      <c r="C1156" s="570" t="s">
        <v>262</v>
      </c>
      <c r="D1156" s="571">
        <v>140599</v>
      </c>
      <c r="E1156" s="666">
        <v>12</v>
      </c>
      <c r="F1156" s="622">
        <v>8965880</v>
      </c>
      <c r="G1156" s="487">
        <v>8569353</v>
      </c>
      <c r="H1156" s="573"/>
      <c r="I1156" s="487"/>
      <c r="J1156" s="573"/>
      <c r="K1156" s="487"/>
      <c r="L1156" s="952">
        <v>3479298</v>
      </c>
      <c r="M1156" s="573"/>
      <c r="N1156" s="456">
        <f t="shared" si="145"/>
        <v>3479298</v>
      </c>
      <c r="O1156" s="578">
        <v>3480000</v>
      </c>
      <c r="P1156" s="487"/>
      <c r="Q1156" s="274">
        <f t="shared" si="140"/>
        <v>3480000</v>
      </c>
      <c r="R1156" s="574">
        <f t="shared" si="141"/>
        <v>12445178</v>
      </c>
      <c r="S1156" s="275">
        <f t="shared" si="142"/>
        <v>12049353</v>
      </c>
      <c r="T1156" s="575"/>
      <c r="U1156" s="487"/>
      <c r="V1156" s="576"/>
      <c r="W1156" s="573"/>
      <c r="X1156" s="574">
        <f t="shared" si="146"/>
        <v>0</v>
      </c>
      <c r="Y1156" s="487"/>
      <c r="Z1156" s="487"/>
      <c r="AA1156" s="276">
        <f t="shared" si="147"/>
        <v>0</v>
      </c>
      <c r="AB1156" s="573"/>
      <c r="AC1156" s="487"/>
      <c r="AD1156" s="573"/>
      <c r="AE1156" s="487"/>
      <c r="AF1156" s="577">
        <f t="shared" si="143"/>
        <v>12445178</v>
      </c>
      <c r="AG1156" s="275">
        <f t="shared" si="144"/>
        <v>12049353</v>
      </c>
    </row>
    <row r="1157" spans="1:33" ht="12" customHeight="1">
      <c r="A1157" s="568" t="s">
        <v>1272</v>
      </c>
      <c r="B1157" s="569" t="s">
        <v>1776</v>
      </c>
      <c r="C1157" s="570" t="s">
        <v>263</v>
      </c>
      <c r="D1157" s="571">
        <v>140678</v>
      </c>
      <c r="E1157" s="666">
        <v>12</v>
      </c>
      <c r="F1157" s="622">
        <v>10273270</v>
      </c>
      <c r="G1157" s="487">
        <v>10279160</v>
      </c>
      <c r="H1157" s="573"/>
      <c r="I1157" s="487"/>
      <c r="J1157" s="573"/>
      <c r="K1157" s="487"/>
      <c r="L1157" s="952">
        <v>3220931</v>
      </c>
      <c r="M1157" s="573"/>
      <c r="N1157" s="456">
        <f t="shared" si="145"/>
        <v>3220931</v>
      </c>
      <c r="O1157" s="578">
        <v>3230000</v>
      </c>
      <c r="P1157" s="487"/>
      <c r="Q1157" s="274">
        <f t="shared" si="140"/>
        <v>3230000</v>
      </c>
      <c r="R1157" s="574">
        <f t="shared" si="141"/>
        <v>13494201</v>
      </c>
      <c r="S1157" s="275">
        <f t="shared" si="142"/>
        <v>13509160</v>
      </c>
      <c r="T1157" s="575"/>
      <c r="U1157" s="487"/>
      <c r="V1157" s="576"/>
      <c r="W1157" s="573"/>
      <c r="X1157" s="574">
        <f t="shared" si="146"/>
        <v>0</v>
      </c>
      <c r="Y1157" s="487"/>
      <c r="Z1157" s="487"/>
      <c r="AA1157" s="276">
        <f t="shared" si="147"/>
        <v>0</v>
      </c>
      <c r="AB1157" s="573"/>
      <c r="AC1157" s="487"/>
      <c r="AD1157" s="573"/>
      <c r="AE1157" s="487"/>
      <c r="AF1157" s="577">
        <f t="shared" si="143"/>
        <v>13494201</v>
      </c>
      <c r="AG1157" s="275">
        <f t="shared" si="144"/>
        <v>13509160</v>
      </c>
    </row>
    <row r="1158" spans="1:33" ht="12" customHeight="1">
      <c r="A1158" s="568" t="s">
        <v>1272</v>
      </c>
      <c r="B1158" s="569" t="s">
        <v>1776</v>
      </c>
      <c r="C1158" s="570" t="s">
        <v>264</v>
      </c>
      <c r="D1158" s="571">
        <v>366456</v>
      </c>
      <c r="E1158" s="666">
        <v>12</v>
      </c>
      <c r="F1158" s="573">
        <v>5511334</v>
      </c>
      <c r="G1158" s="487">
        <v>5475523</v>
      </c>
      <c r="H1158" s="573"/>
      <c r="I1158" s="487"/>
      <c r="J1158" s="573"/>
      <c r="K1158" s="487"/>
      <c r="L1158" s="952">
        <v>3306242</v>
      </c>
      <c r="M1158" s="573"/>
      <c r="N1158" s="456">
        <f t="shared" si="145"/>
        <v>3306242</v>
      </c>
      <c r="O1158" s="578">
        <v>3310000</v>
      </c>
      <c r="P1158" s="487"/>
      <c r="Q1158" s="274">
        <f t="shared" si="140"/>
        <v>3310000</v>
      </c>
      <c r="R1158" s="574">
        <f t="shared" si="141"/>
        <v>8817576</v>
      </c>
      <c r="S1158" s="275">
        <f t="shared" si="142"/>
        <v>8785523</v>
      </c>
      <c r="T1158" s="575"/>
      <c r="U1158" s="487"/>
      <c r="V1158" s="576"/>
      <c r="W1158" s="573"/>
      <c r="X1158" s="574">
        <f t="shared" si="146"/>
        <v>0</v>
      </c>
      <c r="Y1158" s="487"/>
      <c r="Z1158" s="487"/>
      <c r="AA1158" s="276">
        <f t="shared" si="147"/>
        <v>0</v>
      </c>
      <c r="AB1158" s="573"/>
      <c r="AC1158" s="487"/>
      <c r="AD1158" s="573"/>
      <c r="AE1158" s="487"/>
      <c r="AF1158" s="577">
        <f t="shared" si="143"/>
        <v>8817576</v>
      </c>
      <c r="AG1158" s="275">
        <f t="shared" si="144"/>
        <v>8785523</v>
      </c>
    </row>
    <row r="1159" spans="1:33" ht="12" customHeight="1">
      <c r="A1159" s="568" t="s">
        <v>1272</v>
      </c>
      <c r="B1159" s="569" t="s">
        <v>1776</v>
      </c>
      <c r="C1159" s="570" t="s">
        <v>265</v>
      </c>
      <c r="D1159" s="571">
        <v>141273</v>
      </c>
      <c r="E1159" s="666">
        <v>12</v>
      </c>
      <c r="F1159" s="573">
        <v>6437332</v>
      </c>
      <c r="G1159" s="487">
        <v>6272590</v>
      </c>
      <c r="H1159" s="573"/>
      <c r="I1159" s="487"/>
      <c r="J1159" s="573"/>
      <c r="K1159" s="487"/>
      <c r="L1159" s="952">
        <v>3223715</v>
      </c>
      <c r="M1159" s="573"/>
      <c r="N1159" s="456">
        <f t="shared" si="145"/>
        <v>3223715</v>
      </c>
      <c r="O1159" s="578">
        <v>3230000</v>
      </c>
      <c r="P1159" s="487"/>
      <c r="Q1159" s="274">
        <f t="shared" si="140"/>
        <v>3230000</v>
      </c>
      <c r="R1159" s="574">
        <f t="shared" si="141"/>
        <v>9661047</v>
      </c>
      <c r="S1159" s="275">
        <f t="shared" si="142"/>
        <v>9502590</v>
      </c>
      <c r="T1159" s="575"/>
      <c r="U1159" s="487"/>
      <c r="V1159" s="576"/>
      <c r="W1159" s="573"/>
      <c r="X1159" s="574">
        <f t="shared" si="146"/>
        <v>0</v>
      </c>
      <c r="Y1159" s="487"/>
      <c r="Z1159" s="487"/>
      <c r="AA1159" s="276">
        <f t="shared" si="147"/>
        <v>0</v>
      </c>
      <c r="AB1159" s="573"/>
      <c r="AC1159" s="487"/>
      <c r="AD1159" s="573"/>
      <c r="AE1159" s="487"/>
      <c r="AF1159" s="577">
        <f t="shared" si="143"/>
        <v>9661047</v>
      </c>
      <c r="AG1159" s="275">
        <f t="shared" si="144"/>
        <v>9502590</v>
      </c>
    </row>
    <row r="1160" spans="1:33" ht="12" customHeight="1">
      <c r="A1160" s="568" t="s">
        <v>1272</v>
      </c>
      <c r="B1160" s="569" t="s">
        <v>1776</v>
      </c>
      <c r="C1160" s="570" t="s">
        <v>266</v>
      </c>
      <c r="D1160" s="571">
        <v>366465</v>
      </c>
      <c r="E1160" s="666">
        <v>12</v>
      </c>
      <c r="F1160" s="622">
        <v>8530742</v>
      </c>
      <c r="G1160" s="487">
        <v>8247313</v>
      </c>
      <c r="H1160" s="573"/>
      <c r="I1160" s="487"/>
      <c r="J1160" s="573"/>
      <c r="K1160" s="487"/>
      <c r="L1160" s="952">
        <v>3212346</v>
      </c>
      <c r="M1160" s="573"/>
      <c r="N1160" s="456">
        <f t="shared" si="145"/>
        <v>3212346</v>
      </c>
      <c r="O1160" s="578">
        <v>3220000</v>
      </c>
      <c r="P1160" s="487"/>
      <c r="Q1160" s="274">
        <f t="shared" si="140"/>
        <v>3220000</v>
      </c>
      <c r="R1160" s="574">
        <f t="shared" si="141"/>
        <v>11743088</v>
      </c>
      <c r="S1160" s="275">
        <f t="shared" si="142"/>
        <v>11467313</v>
      </c>
      <c r="T1160" s="575"/>
      <c r="U1160" s="487"/>
      <c r="V1160" s="576"/>
      <c r="W1160" s="573"/>
      <c r="X1160" s="574">
        <f t="shared" si="146"/>
        <v>0</v>
      </c>
      <c r="Y1160" s="487"/>
      <c r="Z1160" s="487"/>
      <c r="AA1160" s="276">
        <f t="shared" si="147"/>
        <v>0</v>
      </c>
      <c r="AB1160" s="573"/>
      <c r="AC1160" s="487"/>
      <c r="AD1160" s="573"/>
      <c r="AE1160" s="487"/>
      <c r="AF1160" s="577">
        <f t="shared" si="143"/>
        <v>11743088</v>
      </c>
      <c r="AG1160" s="275">
        <f t="shared" si="144"/>
        <v>11467313</v>
      </c>
    </row>
    <row r="1161" spans="1:33" ht="12" customHeight="1">
      <c r="A1161" s="568" t="s">
        <v>1272</v>
      </c>
      <c r="B1161" s="569" t="s">
        <v>1776</v>
      </c>
      <c r="C1161" s="570" t="s">
        <v>267</v>
      </c>
      <c r="D1161" s="571">
        <v>248776</v>
      </c>
      <c r="E1161" s="666">
        <v>12</v>
      </c>
      <c r="F1161" s="622">
        <v>5234564</v>
      </c>
      <c r="G1161" s="487">
        <v>5406856</v>
      </c>
      <c r="H1161" s="573"/>
      <c r="I1161" s="487"/>
      <c r="J1161" s="573"/>
      <c r="K1161" s="487"/>
      <c r="L1161" s="952">
        <v>2218984</v>
      </c>
      <c r="M1161" s="573"/>
      <c r="N1161" s="456">
        <f t="shared" si="145"/>
        <v>2218984</v>
      </c>
      <c r="O1161" s="578">
        <v>2220000</v>
      </c>
      <c r="P1161" s="487"/>
      <c r="Q1161" s="274">
        <f t="shared" si="140"/>
        <v>2220000</v>
      </c>
      <c r="R1161" s="574">
        <f t="shared" si="141"/>
        <v>7453548</v>
      </c>
      <c r="S1161" s="275">
        <f t="shared" si="142"/>
        <v>7626856</v>
      </c>
      <c r="T1161" s="575"/>
      <c r="U1161" s="487"/>
      <c r="V1161" s="576"/>
      <c r="W1161" s="573"/>
      <c r="X1161" s="574">
        <f t="shared" si="146"/>
        <v>0</v>
      </c>
      <c r="Y1161" s="487"/>
      <c r="Z1161" s="487"/>
      <c r="AA1161" s="276">
        <f t="shared" si="147"/>
        <v>0</v>
      </c>
      <c r="AB1161" s="573"/>
      <c r="AC1161" s="487"/>
      <c r="AD1161" s="573"/>
      <c r="AE1161" s="487"/>
      <c r="AF1161" s="577">
        <f t="shared" si="143"/>
        <v>7453548</v>
      </c>
      <c r="AG1161" s="275">
        <f t="shared" si="144"/>
        <v>7626856</v>
      </c>
    </row>
    <row r="1162" spans="1:33" ht="12" customHeight="1">
      <c r="A1162" s="568" t="s">
        <v>1272</v>
      </c>
      <c r="B1162" s="569" t="s">
        <v>1776</v>
      </c>
      <c r="C1162" s="570" t="s">
        <v>268</v>
      </c>
      <c r="D1162" s="571">
        <v>140942</v>
      </c>
      <c r="E1162" s="666">
        <v>12</v>
      </c>
      <c r="F1162" s="573">
        <v>12436953</v>
      </c>
      <c r="G1162" s="487">
        <v>12293599</v>
      </c>
      <c r="H1162" s="573"/>
      <c r="I1162" s="487"/>
      <c r="J1162" s="573"/>
      <c r="K1162" s="487"/>
      <c r="L1162" s="952">
        <v>5382520</v>
      </c>
      <c r="M1162" s="573"/>
      <c r="N1162" s="456">
        <f t="shared" si="145"/>
        <v>5382520</v>
      </c>
      <c r="O1162" s="578">
        <v>5390000</v>
      </c>
      <c r="P1162" s="487"/>
      <c r="Q1162" s="274">
        <f t="shared" ref="Q1162:Q1225" si="148">SUM(O1162:P1162)</f>
        <v>5390000</v>
      </c>
      <c r="R1162" s="574">
        <f t="shared" ref="R1162:R1225" si="149">SUM(F1162,H1162,J1162,L1162)</f>
        <v>17819473</v>
      </c>
      <c r="S1162" s="275">
        <f t="shared" ref="S1162:S1225" si="150">SUM(G1162,I1162,K1162,O1162)</f>
        <v>17683599</v>
      </c>
      <c r="T1162" s="575"/>
      <c r="U1162" s="487"/>
      <c r="V1162" s="576"/>
      <c r="W1162" s="573"/>
      <c r="X1162" s="574">
        <f t="shared" si="146"/>
        <v>0</v>
      </c>
      <c r="Y1162" s="487"/>
      <c r="Z1162" s="487"/>
      <c r="AA1162" s="276">
        <f t="shared" si="147"/>
        <v>0</v>
      </c>
      <c r="AB1162" s="573"/>
      <c r="AC1162" s="487"/>
      <c r="AD1162" s="573"/>
      <c r="AE1162" s="487"/>
      <c r="AF1162" s="577">
        <f t="shared" ref="AF1162:AF1225" si="151">SUM(R1162,T1162,V1162,AB1162,AD1162)</f>
        <v>17819473</v>
      </c>
      <c r="AG1162" s="275">
        <f t="shared" ref="AG1162:AG1225" si="152">SUM(S1162,U1162,Y1162,AC1162,AE1162)</f>
        <v>17683599</v>
      </c>
    </row>
    <row r="1163" spans="1:33" ht="12" customHeight="1">
      <c r="A1163" s="568" t="s">
        <v>1272</v>
      </c>
      <c r="B1163" s="569" t="s">
        <v>1776</v>
      </c>
      <c r="C1163" s="570" t="s">
        <v>269</v>
      </c>
      <c r="D1163" s="571">
        <v>141006</v>
      </c>
      <c r="E1163" s="666">
        <v>12</v>
      </c>
      <c r="F1163" s="622">
        <v>9410384</v>
      </c>
      <c r="G1163" s="487">
        <v>9122493</v>
      </c>
      <c r="H1163" s="573"/>
      <c r="I1163" s="487"/>
      <c r="J1163" s="573"/>
      <c r="K1163" s="487"/>
      <c r="L1163" s="952">
        <v>3074802</v>
      </c>
      <c r="M1163" s="573"/>
      <c r="N1163" s="456">
        <f t="shared" si="145"/>
        <v>3074802</v>
      </c>
      <c r="O1163" s="578">
        <v>3080000</v>
      </c>
      <c r="P1163" s="487"/>
      <c r="Q1163" s="274">
        <f t="shared" si="148"/>
        <v>3080000</v>
      </c>
      <c r="R1163" s="574">
        <f t="shared" si="149"/>
        <v>12485186</v>
      </c>
      <c r="S1163" s="275">
        <f t="shared" si="150"/>
        <v>12202493</v>
      </c>
      <c r="T1163" s="575"/>
      <c r="U1163" s="487"/>
      <c r="V1163" s="576"/>
      <c r="W1163" s="573"/>
      <c r="X1163" s="574">
        <f t="shared" si="146"/>
        <v>0</v>
      </c>
      <c r="Y1163" s="487"/>
      <c r="Z1163" s="487"/>
      <c r="AA1163" s="276">
        <f t="shared" si="147"/>
        <v>0</v>
      </c>
      <c r="AB1163" s="573"/>
      <c r="AC1163" s="487"/>
      <c r="AD1163" s="573"/>
      <c r="AE1163" s="487"/>
      <c r="AF1163" s="577">
        <f t="shared" si="151"/>
        <v>12485186</v>
      </c>
      <c r="AG1163" s="275">
        <f t="shared" si="152"/>
        <v>12202493</v>
      </c>
    </row>
    <row r="1164" spans="1:33" ht="12" customHeight="1">
      <c r="A1164" s="568" t="s">
        <v>1272</v>
      </c>
      <c r="B1164" s="569" t="s">
        <v>1776</v>
      </c>
      <c r="C1164" s="570" t="s">
        <v>271</v>
      </c>
      <c r="D1164" s="571">
        <v>141158</v>
      </c>
      <c r="E1164" s="666">
        <v>12</v>
      </c>
      <c r="F1164" s="622">
        <v>8487994.8499999996</v>
      </c>
      <c r="G1164" s="487">
        <v>8310937</v>
      </c>
      <c r="H1164" s="573"/>
      <c r="I1164" s="487"/>
      <c r="J1164" s="573"/>
      <c r="K1164" s="487"/>
      <c r="L1164" s="952">
        <v>2352462</v>
      </c>
      <c r="M1164" s="573"/>
      <c r="N1164" s="456">
        <f t="shared" si="145"/>
        <v>2352462</v>
      </c>
      <c r="O1164" s="578">
        <v>2360000</v>
      </c>
      <c r="P1164" s="487"/>
      <c r="Q1164" s="274">
        <f t="shared" si="148"/>
        <v>2360000</v>
      </c>
      <c r="R1164" s="574">
        <f t="shared" si="149"/>
        <v>10840456.85</v>
      </c>
      <c r="S1164" s="275">
        <f t="shared" si="150"/>
        <v>10670937</v>
      </c>
      <c r="T1164" s="575"/>
      <c r="U1164" s="487"/>
      <c r="V1164" s="576"/>
      <c r="W1164" s="573"/>
      <c r="X1164" s="574">
        <f t="shared" si="146"/>
        <v>0</v>
      </c>
      <c r="Y1164" s="487"/>
      <c r="Z1164" s="487"/>
      <c r="AA1164" s="276">
        <f t="shared" si="147"/>
        <v>0</v>
      </c>
      <c r="AB1164" s="573"/>
      <c r="AC1164" s="487"/>
      <c r="AD1164" s="573"/>
      <c r="AE1164" s="487"/>
      <c r="AF1164" s="577">
        <f t="shared" si="151"/>
        <v>10840456.85</v>
      </c>
      <c r="AG1164" s="275">
        <f t="shared" si="152"/>
        <v>10670937</v>
      </c>
    </row>
    <row r="1165" spans="1:33" ht="12" customHeight="1">
      <c r="A1165" s="568" t="s">
        <v>1272</v>
      </c>
      <c r="B1165" s="569" t="s">
        <v>1776</v>
      </c>
      <c r="C1165" s="570" t="s">
        <v>272</v>
      </c>
      <c r="D1165" s="571">
        <v>141255</v>
      </c>
      <c r="E1165" s="666">
        <v>12</v>
      </c>
      <c r="F1165" s="622">
        <v>8139209</v>
      </c>
      <c r="G1165" s="487">
        <v>8285134</v>
      </c>
      <c r="H1165" s="573"/>
      <c r="I1165" s="487"/>
      <c r="J1165" s="573"/>
      <c r="K1165" s="487"/>
      <c r="L1165" s="952">
        <v>4282233</v>
      </c>
      <c r="M1165" s="573"/>
      <c r="N1165" s="456">
        <f t="shared" si="145"/>
        <v>4282233</v>
      </c>
      <c r="O1165" s="578">
        <v>4290000</v>
      </c>
      <c r="P1165" s="487"/>
      <c r="Q1165" s="274">
        <f t="shared" si="148"/>
        <v>4290000</v>
      </c>
      <c r="R1165" s="574">
        <f t="shared" si="149"/>
        <v>12421442</v>
      </c>
      <c r="S1165" s="275">
        <f t="shared" si="150"/>
        <v>12575134</v>
      </c>
      <c r="T1165" s="575"/>
      <c r="U1165" s="487"/>
      <c r="V1165" s="576"/>
      <c r="W1165" s="573"/>
      <c r="X1165" s="574">
        <f t="shared" si="146"/>
        <v>0</v>
      </c>
      <c r="Y1165" s="487"/>
      <c r="Z1165" s="487"/>
      <c r="AA1165" s="276">
        <f t="shared" si="147"/>
        <v>0</v>
      </c>
      <c r="AB1165" s="573"/>
      <c r="AC1165" s="487"/>
      <c r="AD1165" s="573"/>
      <c r="AE1165" s="487"/>
      <c r="AF1165" s="577">
        <f t="shared" si="151"/>
        <v>12421442</v>
      </c>
      <c r="AG1165" s="275">
        <f t="shared" si="152"/>
        <v>12575134</v>
      </c>
    </row>
    <row r="1166" spans="1:33" ht="12" customHeight="1">
      <c r="A1166" s="568" t="s">
        <v>1272</v>
      </c>
      <c r="B1166" s="569" t="s">
        <v>1776</v>
      </c>
      <c r="C1166" s="570" t="s">
        <v>273</v>
      </c>
      <c r="D1166" s="571">
        <v>139278</v>
      </c>
      <c r="E1166" s="666">
        <v>12</v>
      </c>
      <c r="F1166" s="573">
        <v>12638838</v>
      </c>
      <c r="G1166" s="487">
        <v>12329324</v>
      </c>
      <c r="H1166" s="573"/>
      <c r="I1166" s="487"/>
      <c r="J1166" s="573"/>
      <c r="K1166" s="487"/>
      <c r="L1166" s="952">
        <v>5826540</v>
      </c>
      <c r="M1166" s="573"/>
      <c r="N1166" s="456">
        <f t="shared" si="145"/>
        <v>5826540</v>
      </c>
      <c r="O1166" s="578">
        <v>5830000</v>
      </c>
      <c r="P1166" s="487"/>
      <c r="Q1166" s="274">
        <f t="shared" si="148"/>
        <v>5830000</v>
      </c>
      <c r="R1166" s="574">
        <f t="shared" si="149"/>
        <v>18465378</v>
      </c>
      <c r="S1166" s="275">
        <f t="shared" si="150"/>
        <v>18159324</v>
      </c>
      <c r="T1166" s="575"/>
      <c r="U1166" s="487"/>
      <c r="V1166" s="576"/>
      <c r="W1166" s="573"/>
      <c r="X1166" s="574">
        <f t="shared" si="146"/>
        <v>0</v>
      </c>
      <c r="Y1166" s="487"/>
      <c r="Z1166" s="487"/>
      <c r="AA1166" s="276">
        <f t="shared" si="147"/>
        <v>0</v>
      </c>
      <c r="AB1166" s="573"/>
      <c r="AC1166" s="487"/>
      <c r="AD1166" s="573"/>
      <c r="AE1166" s="487"/>
      <c r="AF1166" s="577">
        <f t="shared" si="151"/>
        <v>18465378</v>
      </c>
      <c r="AG1166" s="275">
        <f t="shared" si="152"/>
        <v>18159324</v>
      </c>
    </row>
    <row r="1167" spans="1:33" ht="12" customHeight="1">
      <c r="A1167" s="568" t="s">
        <v>1272</v>
      </c>
      <c r="B1167" s="569" t="s">
        <v>1776</v>
      </c>
      <c r="C1167" s="570" t="s">
        <v>274</v>
      </c>
      <c r="D1167" s="571">
        <v>141228</v>
      </c>
      <c r="E1167" s="666">
        <v>12</v>
      </c>
      <c r="F1167" s="573">
        <v>6123533</v>
      </c>
      <c r="G1167" s="487">
        <v>6460345</v>
      </c>
      <c r="H1167" s="573"/>
      <c r="I1167" s="487"/>
      <c r="J1167" s="573"/>
      <c r="K1167" s="487"/>
      <c r="L1167" s="952">
        <v>2700870</v>
      </c>
      <c r="M1167" s="573"/>
      <c r="N1167" s="456">
        <f t="shared" si="145"/>
        <v>2700870</v>
      </c>
      <c r="O1167" s="578">
        <v>2710000</v>
      </c>
      <c r="P1167" s="487"/>
      <c r="Q1167" s="274">
        <f t="shared" si="148"/>
        <v>2710000</v>
      </c>
      <c r="R1167" s="574">
        <f t="shared" si="149"/>
        <v>8824403</v>
      </c>
      <c r="S1167" s="275">
        <f t="shared" si="150"/>
        <v>9170345</v>
      </c>
      <c r="T1167" s="575"/>
      <c r="U1167" s="487"/>
      <c r="V1167" s="576"/>
      <c r="W1167" s="573"/>
      <c r="X1167" s="574">
        <f t="shared" si="146"/>
        <v>0</v>
      </c>
      <c r="Y1167" s="487"/>
      <c r="Z1167" s="487"/>
      <c r="AA1167" s="276">
        <f t="shared" si="147"/>
        <v>0</v>
      </c>
      <c r="AB1167" s="573"/>
      <c r="AC1167" s="487"/>
      <c r="AD1167" s="573"/>
      <c r="AE1167" s="487"/>
      <c r="AF1167" s="577">
        <f t="shared" si="151"/>
        <v>8824403</v>
      </c>
      <c r="AG1167" s="275">
        <f t="shared" si="152"/>
        <v>9170345</v>
      </c>
    </row>
    <row r="1168" spans="1:33" ht="12" customHeight="1">
      <c r="A1168" s="568" t="s">
        <v>1272</v>
      </c>
      <c r="B1168" s="569" t="s">
        <v>1776</v>
      </c>
      <c r="C1168" s="570" t="s">
        <v>69</v>
      </c>
      <c r="D1168" s="571">
        <v>366447</v>
      </c>
      <c r="E1168" s="666">
        <v>13</v>
      </c>
      <c r="F1168" s="573">
        <v>6085779</v>
      </c>
      <c r="G1168" s="487">
        <v>5987814</v>
      </c>
      <c r="H1168" s="573"/>
      <c r="I1168" s="487"/>
      <c r="J1168" s="573"/>
      <c r="K1168" s="487"/>
      <c r="L1168" s="952">
        <v>1278684</v>
      </c>
      <c r="M1168" s="573"/>
      <c r="N1168" s="456">
        <f t="shared" si="145"/>
        <v>1278684</v>
      </c>
      <c r="O1168" s="578">
        <v>1280000</v>
      </c>
      <c r="P1168" s="487"/>
      <c r="Q1168" s="274">
        <f t="shared" si="148"/>
        <v>1280000</v>
      </c>
      <c r="R1168" s="574">
        <f t="shared" si="149"/>
        <v>7364463</v>
      </c>
      <c r="S1168" s="275">
        <f t="shared" si="150"/>
        <v>7267814</v>
      </c>
      <c r="T1168" s="575"/>
      <c r="U1168" s="487"/>
      <c r="V1168" s="576"/>
      <c r="W1168" s="573"/>
      <c r="X1168" s="574">
        <f t="shared" si="146"/>
        <v>0</v>
      </c>
      <c r="Y1168" s="487"/>
      <c r="Z1168" s="487"/>
      <c r="AA1168" s="276">
        <f t="shared" si="147"/>
        <v>0</v>
      </c>
      <c r="AB1168" s="573"/>
      <c r="AC1168" s="487"/>
      <c r="AD1168" s="573"/>
      <c r="AE1168" s="487"/>
      <c r="AF1168" s="577">
        <f t="shared" si="151"/>
        <v>7364463</v>
      </c>
      <c r="AG1168" s="275">
        <f t="shared" si="152"/>
        <v>7267814</v>
      </c>
    </row>
    <row r="1169" spans="1:33" ht="12" customHeight="1">
      <c r="A1169" s="568" t="s">
        <v>1272</v>
      </c>
      <c r="B1169" s="569" t="s">
        <v>1776</v>
      </c>
      <c r="C1169" s="570" t="s">
        <v>351</v>
      </c>
      <c r="D1169" s="571">
        <v>140809</v>
      </c>
      <c r="E1169" s="666">
        <v>13</v>
      </c>
      <c r="F1169" s="573">
        <v>4749243</v>
      </c>
      <c r="G1169" s="487">
        <v>4677114</v>
      </c>
      <c r="H1169" s="573"/>
      <c r="I1169" s="487"/>
      <c r="J1169" s="573"/>
      <c r="K1169" s="487"/>
      <c r="L1169" s="952">
        <v>1454147</v>
      </c>
      <c r="M1169" s="573"/>
      <c r="N1169" s="456">
        <f t="shared" si="145"/>
        <v>1454147</v>
      </c>
      <c r="O1169" s="578">
        <v>1460000</v>
      </c>
      <c r="P1169" s="487"/>
      <c r="Q1169" s="274">
        <f t="shared" si="148"/>
        <v>1460000</v>
      </c>
      <c r="R1169" s="574">
        <f t="shared" si="149"/>
        <v>6203390</v>
      </c>
      <c r="S1169" s="275">
        <f t="shared" si="150"/>
        <v>6137114</v>
      </c>
      <c r="T1169" s="575"/>
      <c r="U1169" s="487"/>
      <c r="V1169" s="576"/>
      <c r="W1169" s="573"/>
      <c r="X1169" s="574">
        <f t="shared" si="146"/>
        <v>0</v>
      </c>
      <c r="Y1169" s="487"/>
      <c r="Z1169" s="487"/>
      <c r="AA1169" s="276">
        <f t="shared" si="147"/>
        <v>0</v>
      </c>
      <c r="AB1169" s="573"/>
      <c r="AC1169" s="487"/>
      <c r="AD1169" s="573"/>
      <c r="AE1169" s="487"/>
      <c r="AF1169" s="577">
        <f t="shared" si="151"/>
        <v>6203390</v>
      </c>
      <c r="AG1169" s="275">
        <f t="shared" si="152"/>
        <v>6137114</v>
      </c>
    </row>
    <row r="1170" spans="1:33" ht="12" customHeight="1">
      <c r="A1170" s="568" t="s">
        <v>1272</v>
      </c>
      <c r="B1170" s="569" t="s">
        <v>1776</v>
      </c>
      <c r="C1170" s="570" t="s">
        <v>352</v>
      </c>
      <c r="D1170" s="571">
        <v>248794</v>
      </c>
      <c r="E1170" s="666">
        <v>13</v>
      </c>
      <c r="F1170" s="573">
        <v>4480124</v>
      </c>
      <c r="G1170" s="487">
        <v>4417899</v>
      </c>
      <c r="H1170" s="573"/>
      <c r="I1170" s="487"/>
      <c r="J1170" s="573"/>
      <c r="K1170" s="487"/>
      <c r="L1170" s="952">
        <v>1837448</v>
      </c>
      <c r="M1170" s="573"/>
      <c r="N1170" s="456">
        <f t="shared" si="145"/>
        <v>1837448</v>
      </c>
      <c r="O1170" s="578">
        <v>1840000</v>
      </c>
      <c r="P1170" s="487"/>
      <c r="Q1170" s="274">
        <f t="shared" si="148"/>
        <v>1840000</v>
      </c>
      <c r="R1170" s="574">
        <f t="shared" si="149"/>
        <v>6317572</v>
      </c>
      <c r="S1170" s="275">
        <f t="shared" si="150"/>
        <v>6257899</v>
      </c>
      <c r="T1170" s="575"/>
      <c r="U1170" s="487"/>
      <c r="V1170" s="576"/>
      <c r="W1170" s="573"/>
      <c r="X1170" s="574">
        <f t="shared" si="146"/>
        <v>0</v>
      </c>
      <c r="Y1170" s="487"/>
      <c r="Z1170" s="487"/>
      <c r="AA1170" s="276">
        <f t="shared" si="147"/>
        <v>0</v>
      </c>
      <c r="AB1170" s="573"/>
      <c r="AC1170" s="487"/>
      <c r="AD1170" s="573"/>
      <c r="AE1170" s="487"/>
      <c r="AF1170" s="577">
        <f t="shared" si="151"/>
        <v>6317572</v>
      </c>
      <c r="AG1170" s="275">
        <f t="shared" si="152"/>
        <v>6257899</v>
      </c>
    </row>
    <row r="1171" spans="1:33" ht="12" customHeight="1">
      <c r="A1171" s="568" t="s">
        <v>1272</v>
      </c>
      <c r="B1171" s="569" t="s">
        <v>1776</v>
      </c>
      <c r="C1171" s="570" t="s">
        <v>353</v>
      </c>
      <c r="D1171" s="571">
        <v>420431</v>
      </c>
      <c r="E1171" s="666">
        <v>13</v>
      </c>
      <c r="F1171" s="622">
        <v>4129707</v>
      </c>
      <c r="G1171" s="487">
        <v>3909653</v>
      </c>
      <c r="H1171" s="573"/>
      <c r="I1171" s="487"/>
      <c r="J1171" s="573"/>
      <c r="K1171" s="487"/>
      <c r="L1171" s="952">
        <v>1492201</v>
      </c>
      <c r="M1171" s="573"/>
      <c r="N1171" s="456">
        <f t="shared" ref="N1171:N1234" si="153">SUM(L1171:M1171)</f>
        <v>1492201</v>
      </c>
      <c r="O1171" s="578">
        <v>1500000</v>
      </c>
      <c r="P1171" s="487"/>
      <c r="Q1171" s="274">
        <f t="shared" si="148"/>
        <v>1500000</v>
      </c>
      <c r="R1171" s="574">
        <f t="shared" si="149"/>
        <v>5621908</v>
      </c>
      <c r="S1171" s="275">
        <f t="shared" si="150"/>
        <v>5409653</v>
      </c>
      <c r="T1171" s="575"/>
      <c r="U1171" s="487"/>
      <c r="V1171" s="576"/>
      <c r="W1171" s="573"/>
      <c r="X1171" s="574">
        <f t="shared" ref="X1171:X1234" si="154">SUM(V1171:W1171)</f>
        <v>0</v>
      </c>
      <c r="Y1171" s="487"/>
      <c r="Z1171" s="487"/>
      <c r="AA1171" s="276">
        <f t="shared" ref="AA1171:AA1234" si="155">SUM(Y1171:Z1171)</f>
        <v>0</v>
      </c>
      <c r="AB1171" s="573"/>
      <c r="AC1171" s="487"/>
      <c r="AD1171" s="573"/>
      <c r="AE1171" s="487"/>
      <c r="AF1171" s="577">
        <f t="shared" si="151"/>
        <v>5621908</v>
      </c>
      <c r="AG1171" s="275">
        <f t="shared" si="152"/>
        <v>5409653</v>
      </c>
    </row>
    <row r="1172" spans="1:33" ht="12" customHeight="1">
      <c r="A1172" s="568" t="s">
        <v>1272</v>
      </c>
      <c r="B1172" s="569" t="s">
        <v>1776</v>
      </c>
      <c r="C1172" s="570" t="s">
        <v>270</v>
      </c>
      <c r="D1172" s="571">
        <v>368911</v>
      </c>
      <c r="E1172" s="666">
        <v>13</v>
      </c>
      <c r="F1172" s="622">
        <v>6225202</v>
      </c>
      <c r="G1172" s="487">
        <v>6012658</v>
      </c>
      <c r="H1172" s="573"/>
      <c r="I1172" s="487"/>
      <c r="J1172" s="573"/>
      <c r="K1172" s="487"/>
      <c r="L1172" s="952">
        <v>1603152</v>
      </c>
      <c r="M1172" s="573"/>
      <c r="N1172" s="456">
        <f t="shared" si="153"/>
        <v>1603152</v>
      </c>
      <c r="O1172" s="578">
        <v>1610000</v>
      </c>
      <c r="P1172" s="487"/>
      <c r="Q1172" s="274">
        <f t="shared" si="148"/>
        <v>1610000</v>
      </c>
      <c r="R1172" s="574">
        <f t="shared" si="149"/>
        <v>7828354</v>
      </c>
      <c r="S1172" s="275">
        <f t="shared" si="150"/>
        <v>7622658</v>
      </c>
      <c r="T1172" s="575"/>
      <c r="U1172" s="487"/>
      <c r="V1172" s="576"/>
      <c r="W1172" s="573"/>
      <c r="X1172" s="574">
        <f t="shared" si="154"/>
        <v>0</v>
      </c>
      <c r="Y1172" s="487"/>
      <c r="Z1172" s="487"/>
      <c r="AA1172" s="276">
        <f t="shared" si="155"/>
        <v>0</v>
      </c>
      <c r="AB1172" s="573"/>
      <c r="AC1172" s="487"/>
      <c r="AD1172" s="573"/>
      <c r="AE1172" s="487"/>
      <c r="AF1172" s="577">
        <f t="shared" si="151"/>
        <v>7828354</v>
      </c>
      <c r="AG1172" s="275">
        <f t="shared" si="152"/>
        <v>7622658</v>
      </c>
    </row>
    <row r="1173" spans="1:33" ht="12" customHeight="1">
      <c r="A1173" s="568" t="s">
        <v>1272</v>
      </c>
      <c r="B1173" s="569" t="s">
        <v>1776</v>
      </c>
      <c r="C1173" s="570" t="s">
        <v>354</v>
      </c>
      <c r="D1173" s="571">
        <v>141121</v>
      </c>
      <c r="E1173" s="666">
        <v>13</v>
      </c>
      <c r="F1173" s="622">
        <v>5141395</v>
      </c>
      <c r="G1173" s="487">
        <v>5033652</v>
      </c>
      <c r="H1173" s="573"/>
      <c r="I1173" s="487"/>
      <c r="J1173" s="573"/>
      <c r="K1173" s="487"/>
      <c r="L1173" s="952">
        <v>886836</v>
      </c>
      <c r="M1173" s="573"/>
      <c r="N1173" s="456">
        <f t="shared" si="153"/>
        <v>886836</v>
      </c>
      <c r="O1173" s="578">
        <v>890000</v>
      </c>
      <c r="P1173" s="487"/>
      <c r="Q1173" s="274">
        <f t="shared" si="148"/>
        <v>890000</v>
      </c>
      <c r="R1173" s="574">
        <f t="shared" si="149"/>
        <v>6028231</v>
      </c>
      <c r="S1173" s="275">
        <f t="shared" si="150"/>
        <v>5923652</v>
      </c>
      <c r="T1173" s="575"/>
      <c r="U1173" s="487"/>
      <c r="V1173" s="576"/>
      <c r="W1173" s="573"/>
      <c r="X1173" s="574">
        <f t="shared" si="154"/>
        <v>0</v>
      </c>
      <c r="Y1173" s="487"/>
      <c r="Z1173" s="487"/>
      <c r="AA1173" s="276">
        <f t="shared" si="155"/>
        <v>0</v>
      </c>
      <c r="AB1173" s="573"/>
      <c r="AC1173" s="487"/>
      <c r="AD1173" s="573"/>
      <c r="AE1173" s="487"/>
      <c r="AF1173" s="577">
        <f t="shared" si="151"/>
        <v>6028231</v>
      </c>
      <c r="AG1173" s="275">
        <f t="shared" si="152"/>
        <v>5923652</v>
      </c>
    </row>
    <row r="1174" spans="1:33" ht="12" customHeight="1">
      <c r="A1174" s="568" t="s">
        <v>1272</v>
      </c>
      <c r="B1174" s="569" t="s">
        <v>1785</v>
      </c>
      <c r="C1174" s="250" t="s">
        <v>1434</v>
      </c>
      <c r="D1174" s="571"/>
      <c r="E1174" s="572"/>
      <c r="F1174" s="573"/>
      <c r="G1174" s="487"/>
      <c r="H1174" s="573"/>
      <c r="I1174" s="487"/>
      <c r="J1174" s="573"/>
      <c r="K1174" s="487"/>
      <c r="L1174" s="573"/>
      <c r="M1174" s="573"/>
      <c r="N1174" s="456">
        <f t="shared" si="153"/>
        <v>0</v>
      </c>
      <c r="O1174" s="487"/>
      <c r="P1174" s="487"/>
      <c r="Q1174" s="274">
        <f t="shared" si="148"/>
        <v>0</v>
      </c>
      <c r="R1174" s="574">
        <f t="shared" si="149"/>
        <v>0</v>
      </c>
      <c r="S1174" s="275">
        <f t="shared" si="150"/>
        <v>0</v>
      </c>
      <c r="T1174" s="575"/>
      <c r="U1174" s="487"/>
      <c r="V1174" s="576"/>
      <c r="W1174" s="573"/>
      <c r="X1174" s="574">
        <f t="shared" si="154"/>
        <v>0</v>
      </c>
      <c r="Y1174" s="487"/>
      <c r="Z1174" s="487"/>
      <c r="AA1174" s="276">
        <f t="shared" si="155"/>
        <v>0</v>
      </c>
      <c r="AB1174" s="573"/>
      <c r="AC1174" s="487"/>
      <c r="AD1174" s="573"/>
      <c r="AE1174" s="487"/>
      <c r="AF1174" s="577">
        <f t="shared" si="151"/>
        <v>0</v>
      </c>
      <c r="AG1174" s="275">
        <f t="shared" si="152"/>
        <v>0</v>
      </c>
    </row>
    <row r="1175" spans="1:33" ht="12" customHeight="1" thickBot="1">
      <c r="A1175" s="568" t="s">
        <v>1272</v>
      </c>
      <c r="B1175" s="569" t="s">
        <v>1786</v>
      </c>
      <c r="C1175" s="237" t="s">
        <v>1891</v>
      </c>
      <c r="D1175" s="571"/>
      <c r="E1175" s="572"/>
      <c r="F1175" s="573"/>
      <c r="G1175" s="487"/>
      <c r="H1175" s="573"/>
      <c r="I1175" s="487"/>
      <c r="J1175" s="573"/>
      <c r="K1175" s="487"/>
      <c r="L1175" s="573"/>
      <c r="M1175" s="573"/>
      <c r="N1175" s="456">
        <f t="shared" si="153"/>
        <v>0</v>
      </c>
      <c r="O1175" s="487"/>
      <c r="P1175" s="487"/>
      <c r="Q1175" s="274">
        <f t="shared" si="148"/>
        <v>0</v>
      </c>
      <c r="R1175" s="574">
        <f t="shared" si="149"/>
        <v>0</v>
      </c>
      <c r="S1175" s="275">
        <f t="shared" si="150"/>
        <v>0</v>
      </c>
      <c r="T1175" s="575"/>
      <c r="U1175" s="487"/>
      <c r="V1175" s="576"/>
      <c r="W1175" s="573"/>
      <c r="X1175" s="574">
        <f t="shared" si="154"/>
        <v>0</v>
      </c>
      <c r="Y1175" s="487"/>
      <c r="Z1175" s="487"/>
      <c r="AA1175" s="276">
        <f t="shared" si="155"/>
        <v>0</v>
      </c>
      <c r="AB1175" s="573"/>
      <c r="AC1175" s="487"/>
      <c r="AD1175" s="573"/>
      <c r="AE1175" s="487"/>
      <c r="AF1175" s="577">
        <f t="shared" si="151"/>
        <v>0</v>
      </c>
      <c r="AG1175" s="275">
        <f t="shared" si="152"/>
        <v>0</v>
      </c>
    </row>
    <row r="1176" spans="1:33" ht="12" customHeight="1">
      <c r="A1176" s="568" t="s">
        <v>1272</v>
      </c>
      <c r="B1176" s="569" t="s">
        <v>1786</v>
      </c>
      <c r="C1176" s="504" t="s">
        <v>1023</v>
      </c>
      <c r="D1176" s="571"/>
      <c r="E1176" s="572"/>
      <c r="F1176" s="573"/>
      <c r="G1176" s="487"/>
      <c r="H1176" s="957">
        <v>16368043</v>
      </c>
      <c r="I1176" s="499"/>
      <c r="J1176" s="573"/>
      <c r="K1176" s="487"/>
      <c r="L1176" s="573"/>
      <c r="M1176" s="573"/>
      <c r="N1176" s="456">
        <f t="shared" si="153"/>
        <v>0</v>
      </c>
      <c r="O1176" s="487"/>
      <c r="P1176" s="487"/>
      <c r="Q1176" s="274">
        <f t="shared" si="148"/>
        <v>0</v>
      </c>
      <c r="R1176" s="574">
        <f t="shared" si="149"/>
        <v>16368043</v>
      </c>
      <c r="S1176" s="275">
        <f t="shared" si="150"/>
        <v>0</v>
      </c>
      <c r="T1176" s="575"/>
      <c r="U1176" s="487"/>
      <c r="V1176" s="576"/>
      <c r="W1176" s="573"/>
      <c r="X1176" s="574">
        <f t="shared" si="154"/>
        <v>0</v>
      </c>
      <c r="Y1176" s="487"/>
      <c r="Z1176" s="487"/>
      <c r="AA1176" s="276">
        <f t="shared" si="155"/>
        <v>0</v>
      </c>
      <c r="AB1176" s="573"/>
      <c r="AC1176" s="487"/>
      <c r="AD1176" s="573"/>
      <c r="AE1176" s="487"/>
      <c r="AF1176" s="577">
        <f t="shared" si="151"/>
        <v>16368043</v>
      </c>
      <c r="AG1176" s="275">
        <f t="shared" si="152"/>
        <v>0</v>
      </c>
    </row>
    <row r="1177" spans="1:33" ht="12" customHeight="1">
      <c r="A1177" s="568" t="s">
        <v>1272</v>
      </c>
      <c r="B1177" s="569" t="s">
        <v>1821</v>
      </c>
      <c r="C1177" s="250" t="s">
        <v>1433</v>
      </c>
      <c r="D1177" s="585"/>
      <c r="E1177" s="586"/>
      <c r="F1177" s="573"/>
      <c r="G1177" s="487"/>
      <c r="H1177" s="576"/>
      <c r="I1177" s="487"/>
      <c r="J1177" s="573"/>
      <c r="K1177" s="487"/>
      <c r="L1177" s="573"/>
      <c r="M1177" s="573"/>
      <c r="N1177" s="456">
        <f t="shared" si="153"/>
        <v>0</v>
      </c>
      <c r="O1177" s="487"/>
      <c r="P1177" s="487"/>
      <c r="Q1177" s="274">
        <f t="shared" si="148"/>
        <v>0</v>
      </c>
      <c r="R1177" s="574">
        <f t="shared" si="149"/>
        <v>0</v>
      </c>
      <c r="S1177" s="275">
        <f t="shared" si="150"/>
        <v>0</v>
      </c>
      <c r="T1177" s="575"/>
      <c r="U1177" s="487"/>
      <c r="V1177" s="576"/>
      <c r="W1177" s="573"/>
      <c r="X1177" s="574">
        <f t="shared" si="154"/>
        <v>0</v>
      </c>
      <c r="Y1177" s="487"/>
      <c r="Z1177" s="487"/>
      <c r="AA1177" s="276">
        <f t="shared" si="155"/>
        <v>0</v>
      </c>
      <c r="AB1177" s="573"/>
      <c r="AC1177" s="487"/>
      <c r="AD1177" s="573"/>
      <c r="AE1177" s="487"/>
      <c r="AF1177" s="577">
        <f t="shared" si="151"/>
        <v>0</v>
      </c>
      <c r="AG1177" s="275">
        <f t="shared" si="152"/>
        <v>0</v>
      </c>
    </row>
    <row r="1178" spans="1:33" ht="12" customHeight="1" thickBot="1">
      <c r="A1178" s="568" t="s">
        <v>1272</v>
      </c>
      <c r="B1178" s="569" t="s">
        <v>1821</v>
      </c>
      <c r="C1178" s="580" t="s">
        <v>1218</v>
      </c>
      <c r="D1178" s="585"/>
      <c r="E1178" s="586"/>
      <c r="F1178" s="573"/>
      <c r="G1178" s="487"/>
      <c r="H1178" s="591">
        <v>4173438</v>
      </c>
      <c r="I1178" s="1209">
        <v>3041111</v>
      </c>
      <c r="J1178" s="573"/>
      <c r="K1178" s="487"/>
      <c r="L1178" s="573"/>
      <c r="M1178" s="573"/>
      <c r="N1178" s="456">
        <f t="shared" si="153"/>
        <v>0</v>
      </c>
      <c r="O1178" s="487"/>
      <c r="P1178" s="487"/>
      <c r="Q1178" s="274">
        <f t="shared" si="148"/>
        <v>0</v>
      </c>
      <c r="R1178" s="574">
        <f t="shared" si="149"/>
        <v>4173438</v>
      </c>
      <c r="S1178" s="275">
        <f t="shared" si="150"/>
        <v>3041111</v>
      </c>
      <c r="T1178" s="575"/>
      <c r="U1178" s="487"/>
      <c r="V1178" s="576"/>
      <c r="W1178" s="573"/>
      <c r="X1178" s="574">
        <f t="shared" si="154"/>
        <v>0</v>
      </c>
      <c r="Y1178" s="487"/>
      <c r="Z1178" s="487"/>
      <c r="AA1178" s="276">
        <f t="shared" si="155"/>
        <v>0</v>
      </c>
      <c r="AB1178" s="573"/>
      <c r="AC1178" s="487"/>
      <c r="AD1178" s="573"/>
      <c r="AE1178" s="487"/>
      <c r="AF1178" s="577">
        <f t="shared" si="151"/>
        <v>4173438</v>
      </c>
      <c r="AG1178" s="275">
        <f t="shared" si="152"/>
        <v>3041111</v>
      </c>
    </row>
    <row r="1179" spans="1:33" ht="12" customHeight="1">
      <c r="A1179" s="568" t="s">
        <v>1272</v>
      </c>
      <c r="B1179" s="569" t="s">
        <v>1794</v>
      </c>
      <c r="C1179" s="250" t="s">
        <v>849</v>
      </c>
      <c r="D1179" s="571"/>
      <c r="E1179" s="572"/>
      <c r="F1179" s="573"/>
      <c r="G1179" s="487"/>
      <c r="H1179" s="573"/>
      <c r="I1179" s="487"/>
      <c r="J1179" s="573"/>
      <c r="K1179" s="487"/>
      <c r="L1179" s="573"/>
      <c r="M1179" s="573"/>
      <c r="N1179" s="456">
        <f t="shared" si="153"/>
        <v>0</v>
      </c>
      <c r="O1179" s="487"/>
      <c r="P1179" s="487"/>
      <c r="Q1179" s="274">
        <f t="shared" si="148"/>
        <v>0</v>
      </c>
      <c r="R1179" s="574">
        <f t="shared" si="149"/>
        <v>0</v>
      </c>
      <c r="S1179" s="275">
        <f t="shared" si="150"/>
        <v>0</v>
      </c>
      <c r="T1179" s="575"/>
      <c r="U1179" s="487"/>
      <c r="V1179" s="576"/>
      <c r="W1179" s="573"/>
      <c r="X1179" s="574">
        <f t="shared" si="154"/>
        <v>0</v>
      </c>
      <c r="Y1179" s="487"/>
      <c r="Z1179" s="487"/>
      <c r="AA1179" s="276">
        <f t="shared" si="155"/>
        <v>0</v>
      </c>
      <c r="AB1179" s="573"/>
      <c r="AC1179" s="487"/>
      <c r="AD1179" s="573"/>
      <c r="AE1179" s="487"/>
      <c r="AF1179" s="577">
        <f t="shared" si="151"/>
        <v>0</v>
      </c>
      <c r="AG1179" s="275">
        <f t="shared" si="152"/>
        <v>0</v>
      </c>
    </row>
    <row r="1180" spans="1:33" ht="12" customHeight="1">
      <c r="A1180" s="568" t="s">
        <v>1272</v>
      </c>
      <c r="B1180" s="569" t="s">
        <v>1796</v>
      </c>
      <c r="C1180" s="237" t="s">
        <v>956</v>
      </c>
      <c r="D1180" s="571"/>
      <c r="E1180" s="572"/>
      <c r="F1180" s="573"/>
      <c r="G1180" s="487"/>
      <c r="H1180" s="573"/>
      <c r="I1180" s="487"/>
      <c r="J1180" s="573"/>
      <c r="K1180" s="487"/>
      <c r="L1180" s="573"/>
      <c r="M1180" s="573"/>
      <c r="N1180" s="456">
        <f t="shared" si="153"/>
        <v>0</v>
      </c>
      <c r="O1180" s="487"/>
      <c r="P1180" s="487"/>
      <c r="Q1180" s="274">
        <f t="shared" si="148"/>
        <v>0</v>
      </c>
      <c r="R1180" s="574">
        <f t="shared" si="149"/>
        <v>0</v>
      </c>
      <c r="S1180" s="275">
        <f t="shared" si="150"/>
        <v>0</v>
      </c>
      <c r="T1180" s="575"/>
      <c r="U1180" s="487"/>
      <c r="V1180" s="576"/>
      <c r="W1180" s="573"/>
      <c r="X1180" s="574">
        <f t="shared" si="154"/>
        <v>0</v>
      </c>
      <c r="Y1180" s="487"/>
      <c r="Z1180" s="487"/>
      <c r="AA1180" s="276">
        <f t="shared" si="155"/>
        <v>0</v>
      </c>
      <c r="AB1180" s="573"/>
      <c r="AC1180" s="487"/>
      <c r="AD1180" s="573"/>
      <c r="AE1180" s="487"/>
      <c r="AF1180" s="577">
        <f t="shared" si="151"/>
        <v>0</v>
      </c>
      <c r="AG1180" s="275">
        <f t="shared" si="152"/>
        <v>0</v>
      </c>
    </row>
    <row r="1181" spans="1:33" ht="12" customHeight="1">
      <c r="A1181" s="568" t="s">
        <v>1272</v>
      </c>
      <c r="B1181" s="569" t="s">
        <v>1796</v>
      </c>
      <c r="C1181" s="579" t="s">
        <v>1219</v>
      </c>
      <c r="D1181" s="571"/>
      <c r="E1181" s="572"/>
      <c r="F1181" s="573"/>
      <c r="G1181" s="487"/>
      <c r="H1181" s="573"/>
      <c r="I1181" s="487"/>
      <c r="J1181" s="573"/>
      <c r="K1181" s="487"/>
      <c r="L1181" s="573"/>
      <c r="M1181" s="573"/>
      <c r="N1181" s="456">
        <f t="shared" si="153"/>
        <v>0</v>
      </c>
      <c r="O1181" s="487"/>
      <c r="P1181" s="487"/>
      <c r="Q1181" s="274">
        <f t="shared" si="148"/>
        <v>0</v>
      </c>
      <c r="R1181" s="574">
        <f t="shared" si="149"/>
        <v>0</v>
      </c>
      <c r="S1181" s="275">
        <f t="shared" si="150"/>
        <v>0</v>
      </c>
      <c r="T1181" s="575">
        <v>10676351</v>
      </c>
      <c r="U1181" s="487">
        <f>13607777</f>
        <v>13607777</v>
      </c>
      <c r="V1181" s="576"/>
      <c r="W1181" s="573"/>
      <c r="X1181" s="574">
        <f t="shared" si="154"/>
        <v>0</v>
      </c>
      <c r="Y1181" s="487"/>
      <c r="Z1181" s="487"/>
      <c r="AA1181" s="276">
        <f t="shared" si="155"/>
        <v>0</v>
      </c>
      <c r="AB1181" s="573"/>
      <c r="AC1181" s="487"/>
      <c r="AD1181" s="573"/>
      <c r="AE1181" s="487"/>
      <c r="AF1181" s="577">
        <f t="shared" si="151"/>
        <v>10676351</v>
      </c>
      <c r="AG1181" s="275">
        <f t="shared" si="152"/>
        <v>13607777</v>
      </c>
    </row>
    <row r="1182" spans="1:33" s="578" customFormat="1" ht="12" customHeight="1">
      <c r="A1182" s="597" t="s">
        <v>1278</v>
      </c>
      <c r="B1182" s="667" t="s">
        <v>1776</v>
      </c>
      <c r="C1182" s="668" t="s">
        <v>958</v>
      </c>
      <c r="D1182" s="600">
        <v>157085</v>
      </c>
      <c r="E1182" s="601">
        <v>1</v>
      </c>
      <c r="F1182" s="619">
        <f>326964400-1945500-1053000-8292000-35375600-23466200-35502900-28752600-3263500-2063400-4154100-657900-307800-626100-4740800-537400-10052100</f>
        <v>166173500</v>
      </c>
      <c r="G1182" s="487">
        <f>321252600-6332100-4649100-1053000-7660400-34418500-20138500-33736600-29235300-3397100-2029200-4138700-637900-297800-73800-4644900-533000</f>
        <v>168276700</v>
      </c>
      <c r="H1182" s="573"/>
      <c r="I1182" s="487"/>
      <c r="J1182" s="573"/>
      <c r="K1182" s="487"/>
      <c r="L1182" s="619">
        <f>238848000-10293752</f>
        <v>228554248</v>
      </c>
      <c r="M1182" s="573"/>
      <c r="N1182" s="456">
        <f t="shared" si="153"/>
        <v>228554248</v>
      </c>
      <c r="O1182" s="487">
        <f>253257100-17683000</f>
        <v>235574100</v>
      </c>
      <c r="P1182" s="487"/>
      <c r="Q1182" s="274">
        <f t="shared" si="148"/>
        <v>235574100</v>
      </c>
      <c r="R1182" s="574">
        <f t="shared" si="149"/>
        <v>394727748</v>
      </c>
      <c r="S1182" s="275">
        <f t="shared" si="150"/>
        <v>403850800</v>
      </c>
      <c r="T1182" s="575"/>
      <c r="U1182" s="487"/>
      <c r="V1182" s="576"/>
      <c r="W1182" s="573"/>
      <c r="X1182" s="574">
        <f t="shared" si="154"/>
        <v>0</v>
      </c>
      <c r="Y1182" s="487"/>
      <c r="Z1182" s="487"/>
      <c r="AA1182" s="276">
        <f t="shared" si="155"/>
        <v>0</v>
      </c>
      <c r="AB1182" s="573"/>
      <c r="AC1182" s="487"/>
      <c r="AD1182" s="573"/>
      <c r="AE1182" s="487"/>
      <c r="AF1182" s="577">
        <f t="shared" si="151"/>
        <v>394727748</v>
      </c>
      <c r="AG1182" s="275">
        <f t="shared" si="152"/>
        <v>403850800</v>
      </c>
    </row>
    <row r="1183" spans="1:33" s="578" customFormat="1" ht="12" customHeight="1">
      <c r="A1183" s="597" t="s">
        <v>1278</v>
      </c>
      <c r="B1183" s="667" t="s">
        <v>1793</v>
      </c>
      <c r="C1183" s="669" t="s">
        <v>1614</v>
      </c>
      <c r="D1183" s="600">
        <v>157085</v>
      </c>
      <c r="E1183" s="601">
        <v>1</v>
      </c>
      <c r="F1183" s="573"/>
      <c r="G1183" s="487"/>
      <c r="H1183" s="573"/>
      <c r="I1183" s="487"/>
      <c r="J1183" s="573"/>
      <c r="K1183" s="487"/>
      <c r="L1183" s="573"/>
      <c r="M1183" s="573"/>
      <c r="N1183" s="456">
        <f t="shared" si="153"/>
        <v>0</v>
      </c>
      <c r="O1183" s="487"/>
      <c r="P1183" s="487"/>
      <c r="Q1183" s="274">
        <f t="shared" si="148"/>
        <v>0</v>
      </c>
      <c r="R1183" s="574">
        <f t="shared" si="149"/>
        <v>0</v>
      </c>
      <c r="S1183" s="275">
        <f t="shared" si="150"/>
        <v>0</v>
      </c>
      <c r="T1183" s="670"/>
      <c r="U1183" s="487"/>
      <c r="V1183" s="576"/>
      <c r="W1183" s="573"/>
      <c r="X1183" s="574">
        <f t="shared" si="154"/>
        <v>0</v>
      </c>
      <c r="Y1183" s="487"/>
      <c r="Z1183" s="487"/>
      <c r="AA1183" s="276">
        <f t="shared" si="155"/>
        <v>0</v>
      </c>
      <c r="AB1183" s="573">
        <f>1053000+8292000+35375600+23466200</f>
        <v>68186800</v>
      </c>
      <c r="AC1183" s="487">
        <v>63270400</v>
      </c>
      <c r="AD1183" s="573">
        <v>10293752</v>
      </c>
      <c r="AE1183" s="487">
        <v>17683000</v>
      </c>
      <c r="AF1183" s="577">
        <f t="shared" si="151"/>
        <v>78480552</v>
      </c>
      <c r="AG1183" s="275">
        <f t="shared" si="152"/>
        <v>80953400</v>
      </c>
    </row>
    <row r="1184" spans="1:33" s="578" customFormat="1" ht="12" customHeight="1">
      <c r="A1184" s="597" t="s">
        <v>1278</v>
      </c>
      <c r="B1184" s="667" t="s">
        <v>1778</v>
      </c>
      <c r="C1184" s="491" t="s">
        <v>959</v>
      </c>
      <c r="D1184" s="600">
        <v>157085</v>
      </c>
      <c r="E1184" s="601">
        <v>1</v>
      </c>
      <c r="F1184" s="573"/>
      <c r="G1184" s="487"/>
      <c r="H1184" s="573"/>
      <c r="I1184" s="487"/>
      <c r="J1184" s="573"/>
      <c r="K1184" s="487"/>
      <c r="L1184" s="573"/>
      <c r="M1184" s="573"/>
      <c r="N1184" s="456">
        <f t="shared" si="153"/>
        <v>0</v>
      </c>
      <c r="O1184" s="487"/>
      <c r="P1184" s="487"/>
      <c r="Q1184" s="274">
        <f t="shared" si="148"/>
        <v>0</v>
      </c>
      <c r="R1184" s="574">
        <f t="shared" si="149"/>
        <v>0</v>
      </c>
      <c r="S1184" s="275">
        <f t="shared" si="150"/>
        <v>0</v>
      </c>
      <c r="T1184" s="575"/>
      <c r="U1184" s="487"/>
      <c r="V1184" s="576"/>
      <c r="W1184" s="573"/>
      <c r="X1184" s="574">
        <f t="shared" si="154"/>
        <v>0</v>
      </c>
      <c r="Y1184" s="487"/>
      <c r="Z1184" s="487"/>
      <c r="AA1184" s="276">
        <f t="shared" si="155"/>
        <v>0</v>
      </c>
      <c r="AB1184" s="573"/>
      <c r="AC1184" s="487"/>
      <c r="AD1184" s="573"/>
      <c r="AE1184" s="487"/>
      <c r="AF1184" s="577">
        <f t="shared" si="151"/>
        <v>0</v>
      </c>
      <c r="AG1184" s="275">
        <f t="shared" si="152"/>
        <v>0</v>
      </c>
    </row>
    <row r="1185" spans="1:33" s="578" customFormat="1" ht="12" customHeight="1">
      <c r="A1185" s="597" t="s">
        <v>1278</v>
      </c>
      <c r="B1185" s="667" t="s">
        <v>1778</v>
      </c>
      <c r="C1185" s="669" t="s">
        <v>960</v>
      </c>
      <c r="D1185" s="600">
        <v>157085</v>
      </c>
      <c r="E1185" s="601">
        <v>1</v>
      </c>
      <c r="F1185" s="573"/>
      <c r="G1185" s="487"/>
      <c r="H1185" s="573">
        <v>3263500</v>
      </c>
      <c r="I1185" s="487">
        <v>3397100</v>
      </c>
      <c r="J1185" s="573"/>
      <c r="K1185" s="487"/>
      <c r="L1185" s="573"/>
      <c r="M1185" s="573"/>
      <c r="N1185" s="456">
        <f t="shared" si="153"/>
        <v>0</v>
      </c>
      <c r="O1185" s="487"/>
      <c r="P1185" s="487"/>
      <c r="Q1185" s="274">
        <f t="shared" si="148"/>
        <v>0</v>
      </c>
      <c r="R1185" s="574">
        <f t="shared" si="149"/>
        <v>3263500</v>
      </c>
      <c r="S1185" s="275">
        <f t="shared" si="150"/>
        <v>3397100</v>
      </c>
      <c r="T1185" s="575"/>
      <c r="U1185" s="487"/>
      <c r="V1185" s="576"/>
      <c r="W1185" s="573"/>
      <c r="X1185" s="574">
        <f t="shared" si="154"/>
        <v>0</v>
      </c>
      <c r="Y1185" s="487"/>
      <c r="Z1185" s="487"/>
      <c r="AA1185" s="276">
        <f t="shared" si="155"/>
        <v>0</v>
      </c>
      <c r="AB1185" s="573"/>
      <c r="AC1185" s="487"/>
      <c r="AD1185" s="573"/>
      <c r="AE1185" s="487"/>
      <c r="AF1185" s="577">
        <f t="shared" si="151"/>
        <v>3263500</v>
      </c>
      <c r="AG1185" s="275">
        <f t="shared" si="152"/>
        <v>3397100</v>
      </c>
    </row>
    <row r="1186" spans="1:33" s="578" customFormat="1" ht="12" customHeight="1">
      <c r="A1186" s="597" t="s">
        <v>1278</v>
      </c>
      <c r="B1186" s="667" t="s">
        <v>1778</v>
      </c>
      <c r="C1186" s="669" t="s">
        <v>961</v>
      </c>
      <c r="D1186" s="600">
        <v>157085</v>
      </c>
      <c r="E1186" s="601">
        <v>1</v>
      </c>
      <c r="F1186" s="573"/>
      <c r="G1186" s="487"/>
      <c r="H1186" s="573">
        <v>2063400</v>
      </c>
      <c r="I1186" s="487">
        <v>2029200</v>
      </c>
      <c r="J1186" s="573"/>
      <c r="K1186" s="487"/>
      <c r="L1186" s="573"/>
      <c r="M1186" s="573"/>
      <c r="N1186" s="456">
        <f t="shared" si="153"/>
        <v>0</v>
      </c>
      <c r="O1186" s="487"/>
      <c r="P1186" s="487"/>
      <c r="Q1186" s="274">
        <f t="shared" si="148"/>
        <v>0</v>
      </c>
      <c r="R1186" s="574">
        <f t="shared" si="149"/>
        <v>2063400</v>
      </c>
      <c r="S1186" s="275">
        <f t="shared" si="150"/>
        <v>2029200</v>
      </c>
      <c r="T1186" s="575"/>
      <c r="U1186" s="487"/>
      <c r="V1186" s="576"/>
      <c r="W1186" s="573"/>
      <c r="X1186" s="574">
        <f t="shared" si="154"/>
        <v>0</v>
      </c>
      <c r="Y1186" s="487"/>
      <c r="Z1186" s="487"/>
      <c r="AA1186" s="276">
        <f t="shared" si="155"/>
        <v>0</v>
      </c>
      <c r="AB1186" s="573"/>
      <c r="AC1186" s="487"/>
      <c r="AD1186" s="573"/>
      <c r="AE1186" s="487"/>
      <c r="AF1186" s="577">
        <f t="shared" si="151"/>
        <v>2063400</v>
      </c>
      <c r="AG1186" s="275">
        <f t="shared" si="152"/>
        <v>2029200</v>
      </c>
    </row>
    <row r="1187" spans="1:33" s="578" customFormat="1" ht="12" customHeight="1">
      <c r="A1187" s="597" t="s">
        <v>1278</v>
      </c>
      <c r="B1187" s="667" t="s">
        <v>1778</v>
      </c>
      <c r="C1187" s="669" t="s">
        <v>962</v>
      </c>
      <c r="D1187" s="600">
        <v>157085</v>
      </c>
      <c r="E1187" s="601">
        <v>1</v>
      </c>
      <c r="F1187" s="573"/>
      <c r="G1187" s="487"/>
      <c r="H1187" s="573">
        <v>4154100</v>
      </c>
      <c r="I1187" s="487">
        <v>4138700</v>
      </c>
      <c r="J1187" s="573"/>
      <c r="K1187" s="487"/>
      <c r="L1187" s="573"/>
      <c r="M1187" s="573"/>
      <c r="N1187" s="456">
        <f t="shared" si="153"/>
        <v>0</v>
      </c>
      <c r="O1187" s="487"/>
      <c r="P1187" s="487"/>
      <c r="Q1187" s="274">
        <f t="shared" si="148"/>
        <v>0</v>
      </c>
      <c r="R1187" s="574">
        <f t="shared" si="149"/>
        <v>4154100</v>
      </c>
      <c r="S1187" s="275">
        <f t="shared" si="150"/>
        <v>4138700</v>
      </c>
      <c r="T1187" s="575"/>
      <c r="U1187" s="487"/>
      <c r="V1187" s="576"/>
      <c r="W1187" s="573"/>
      <c r="X1187" s="574">
        <f t="shared" si="154"/>
        <v>0</v>
      </c>
      <c r="Y1187" s="487"/>
      <c r="Z1187" s="487"/>
      <c r="AA1187" s="276">
        <f t="shared" si="155"/>
        <v>0</v>
      </c>
      <c r="AB1187" s="573"/>
      <c r="AC1187" s="487"/>
      <c r="AD1187" s="573"/>
      <c r="AE1187" s="487"/>
      <c r="AF1187" s="577">
        <f t="shared" si="151"/>
        <v>4154100</v>
      </c>
      <c r="AG1187" s="275">
        <f t="shared" si="152"/>
        <v>4138700</v>
      </c>
    </row>
    <row r="1188" spans="1:33" s="578" customFormat="1" ht="12" customHeight="1">
      <c r="A1188" s="597" t="s">
        <v>1278</v>
      </c>
      <c r="B1188" s="667" t="s">
        <v>1778</v>
      </c>
      <c r="C1188" s="669" t="s">
        <v>963</v>
      </c>
      <c r="D1188" s="600">
        <v>157085</v>
      </c>
      <c r="E1188" s="601">
        <v>1</v>
      </c>
      <c r="F1188" s="573"/>
      <c r="G1188" s="487"/>
      <c r="H1188" s="573">
        <v>657900</v>
      </c>
      <c r="I1188" s="487">
        <v>637900</v>
      </c>
      <c r="J1188" s="573"/>
      <c r="K1188" s="487"/>
      <c r="L1188" s="573"/>
      <c r="M1188" s="573"/>
      <c r="N1188" s="456">
        <f t="shared" si="153"/>
        <v>0</v>
      </c>
      <c r="O1188" s="487"/>
      <c r="P1188" s="487"/>
      <c r="Q1188" s="274">
        <f t="shared" si="148"/>
        <v>0</v>
      </c>
      <c r="R1188" s="574">
        <f t="shared" si="149"/>
        <v>657900</v>
      </c>
      <c r="S1188" s="275">
        <f t="shared" si="150"/>
        <v>637900</v>
      </c>
      <c r="T1188" s="575"/>
      <c r="U1188" s="487"/>
      <c r="V1188" s="576"/>
      <c r="W1188" s="573"/>
      <c r="X1188" s="574">
        <f t="shared" si="154"/>
        <v>0</v>
      </c>
      <c r="Y1188" s="487"/>
      <c r="Z1188" s="487"/>
      <c r="AA1188" s="276">
        <f t="shared" si="155"/>
        <v>0</v>
      </c>
      <c r="AB1188" s="573"/>
      <c r="AC1188" s="487"/>
      <c r="AD1188" s="573"/>
      <c r="AE1188" s="487"/>
      <c r="AF1188" s="577">
        <f t="shared" si="151"/>
        <v>657900</v>
      </c>
      <c r="AG1188" s="275">
        <f t="shared" si="152"/>
        <v>637900</v>
      </c>
    </row>
    <row r="1189" spans="1:33" s="578" customFormat="1" ht="12" customHeight="1">
      <c r="A1189" s="597" t="s">
        <v>1278</v>
      </c>
      <c r="B1189" s="667" t="s">
        <v>1778</v>
      </c>
      <c r="C1189" s="669" t="s">
        <v>964</v>
      </c>
      <c r="D1189" s="600">
        <v>157085</v>
      </c>
      <c r="E1189" s="601">
        <v>1</v>
      </c>
      <c r="F1189" s="573"/>
      <c r="G1189" s="487"/>
      <c r="H1189" s="573">
        <v>307800</v>
      </c>
      <c r="I1189" s="487">
        <v>297800</v>
      </c>
      <c r="J1189" s="573"/>
      <c r="K1189" s="487"/>
      <c r="L1189" s="573"/>
      <c r="M1189" s="573"/>
      <c r="N1189" s="456">
        <f t="shared" si="153"/>
        <v>0</v>
      </c>
      <c r="O1189" s="487"/>
      <c r="P1189" s="487"/>
      <c r="Q1189" s="274">
        <f t="shared" si="148"/>
        <v>0</v>
      </c>
      <c r="R1189" s="574">
        <f t="shared" si="149"/>
        <v>307800</v>
      </c>
      <c r="S1189" s="275">
        <f t="shared" si="150"/>
        <v>297800</v>
      </c>
      <c r="T1189" s="575"/>
      <c r="U1189" s="487"/>
      <c r="V1189" s="576"/>
      <c r="W1189" s="573"/>
      <c r="X1189" s="574">
        <f t="shared" si="154"/>
        <v>0</v>
      </c>
      <c r="Y1189" s="487"/>
      <c r="Z1189" s="487"/>
      <c r="AA1189" s="276">
        <f t="shared" si="155"/>
        <v>0</v>
      </c>
      <c r="AB1189" s="573"/>
      <c r="AC1189" s="487"/>
      <c r="AD1189" s="573"/>
      <c r="AE1189" s="487"/>
      <c r="AF1189" s="577">
        <f t="shared" si="151"/>
        <v>307800</v>
      </c>
      <c r="AG1189" s="275">
        <f t="shared" si="152"/>
        <v>297800</v>
      </c>
    </row>
    <row r="1190" spans="1:33" s="578" customFormat="1" ht="12" customHeight="1">
      <c r="A1190" s="597" t="s">
        <v>1278</v>
      </c>
      <c r="B1190" s="667" t="s">
        <v>1778</v>
      </c>
      <c r="C1190" s="669" t="s">
        <v>965</v>
      </c>
      <c r="D1190" s="600">
        <v>157085</v>
      </c>
      <c r="E1190" s="601">
        <v>1</v>
      </c>
      <c r="F1190" s="573"/>
      <c r="G1190" s="487"/>
      <c r="H1190" s="573">
        <v>626100</v>
      </c>
      <c r="I1190" s="487">
        <v>73800</v>
      </c>
      <c r="J1190" s="573"/>
      <c r="K1190" s="487"/>
      <c r="L1190" s="573"/>
      <c r="M1190" s="573"/>
      <c r="N1190" s="456">
        <f t="shared" si="153"/>
        <v>0</v>
      </c>
      <c r="O1190" s="487"/>
      <c r="P1190" s="487"/>
      <c r="Q1190" s="274">
        <f t="shared" si="148"/>
        <v>0</v>
      </c>
      <c r="R1190" s="574">
        <f t="shared" si="149"/>
        <v>626100</v>
      </c>
      <c r="S1190" s="275">
        <f t="shared" si="150"/>
        <v>73800</v>
      </c>
      <c r="T1190" s="575"/>
      <c r="U1190" s="487"/>
      <c r="V1190" s="576"/>
      <c r="W1190" s="573"/>
      <c r="X1190" s="574">
        <f t="shared" si="154"/>
        <v>0</v>
      </c>
      <c r="Y1190" s="487"/>
      <c r="Z1190" s="487"/>
      <c r="AA1190" s="276">
        <f t="shared" si="155"/>
        <v>0</v>
      </c>
      <c r="AB1190" s="573"/>
      <c r="AC1190" s="487"/>
      <c r="AD1190" s="573"/>
      <c r="AE1190" s="487"/>
      <c r="AF1190" s="577">
        <f t="shared" si="151"/>
        <v>626100</v>
      </c>
      <c r="AG1190" s="275">
        <f t="shared" si="152"/>
        <v>73800</v>
      </c>
    </row>
    <row r="1191" spans="1:33" s="578" customFormat="1" ht="12" customHeight="1">
      <c r="A1191" s="597" t="s">
        <v>1278</v>
      </c>
      <c r="B1191" s="667" t="s">
        <v>1780</v>
      </c>
      <c r="C1191" s="295" t="s">
        <v>1769</v>
      </c>
      <c r="D1191" s="600">
        <v>157085</v>
      </c>
      <c r="E1191" s="601">
        <v>1</v>
      </c>
      <c r="F1191" s="573"/>
      <c r="G1191" s="487"/>
      <c r="H1191" s="573">
        <v>35502900</v>
      </c>
      <c r="I1191" s="487">
        <v>33736600</v>
      </c>
      <c r="J1191" s="573"/>
      <c r="K1191" s="487"/>
      <c r="L1191" s="573"/>
      <c r="M1191" s="573"/>
      <c r="N1191" s="456">
        <f t="shared" si="153"/>
        <v>0</v>
      </c>
      <c r="O1191" s="487"/>
      <c r="P1191" s="487"/>
      <c r="Q1191" s="274">
        <f t="shared" si="148"/>
        <v>0</v>
      </c>
      <c r="R1191" s="574">
        <f t="shared" si="149"/>
        <v>35502900</v>
      </c>
      <c r="S1191" s="275">
        <f t="shared" si="150"/>
        <v>33736600</v>
      </c>
      <c r="T1191" s="575"/>
      <c r="U1191" s="487"/>
      <c r="V1191" s="576"/>
      <c r="W1191" s="573"/>
      <c r="X1191" s="574">
        <f t="shared" si="154"/>
        <v>0</v>
      </c>
      <c r="Y1191" s="487"/>
      <c r="Z1191" s="487"/>
      <c r="AA1191" s="276">
        <f t="shared" si="155"/>
        <v>0</v>
      </c>
      <c r="AB1191" s="573"/>
      <c r="AC1191" s="487"/>
      <c r="AD1191" s="573"/>
      <c r="AE1191" s="487"/>
      <c r="AF1191" s="577">
        <f t="shared" si="151"/>
        <v>35502900</v>
      </c>
      <c r="AG1191" s="275">
        <f t="shared" si="152"/>
        <v>33736600</v>
      </c>
    </row>
    <row r="1192" spans="1:33" s="578" customFormat="1" ht="12" customHeight="1">
      <c r="A1192" s="597" t="s">
        <v>1278</v>
      </c>
      <c r="B1192" s="667" t="s">
        <v>1780</v>
      </c>
      <c r="C1192" s="295" t="s">
        <v>1768</v>
      </c>
      <c r="D1192" s="600">
        <v>157085</v>
      </c>
      <c r="E1192" s="601">
        <v>1</v>
      </c>
      <c r="F1192" s="573"/>
      <c r="G1192" s="487"/>
      <c r="H1192" s="573">
        <v>28752600</v>
      </c>
      <c r="I1192" s="487">
        <v>29235300</v>
      </c>
      <c r="J1192" s="573"/>
      <c r="K1192" s="487"/>
      <c r="L1192" s="573"/>
      <c r="M1192" s="573"/>
      <c r="N1192" s="456">
        <f t="shared" si="153"/>
        <v>0</v>
      </c>
      <c r="O1192" s="487"/>
      <c r="P1192" s="487"/>
      <c r="Q1192" s="274">
        <f t="shared" si="148"/>
        <v>0</v>
      </c>
      <c r="R1192" s="574">
        <f t="shared" si="149"/>
        <v>28752600</v>
      </c>
      <c r="S1192" s="275">
        <f t="shared" si="150"/>
        <v>29235300</v>
      </c>
      <c r="T1192" s="575"/>
      <c r="U1192" s="487"/>
      <c r="V1192" s="576"/>
      <c r="W1192" s="573"/>
      <c r="X1192" s="574">
        <f t="shared" si="154"/>
        <v>0</v>
      </c>
      <c r="Y1192" s="487"/>
      <c r="Z1192" s="487"/>
      <c r="AA1192" s="276">
        <f t="shared" si="155"/>
        <v>0</v>
      </c>
      <c r="AB1192" s="573"/>
      <c r="AC1192" s="487"/>
      <c r="AD1192" s="573"/>
      <c r="AE1192" s="487"/>
      <c r="AF1192" s="577">
        <f t="shared" si="151"/>
        <v>28752600</v>
      </c>
      <c r="AG1192" s="275">
        <f t="shared" si="152"/>
        <v>29235300</v>
      </c>
    </row>
    <row r="1193" spans="1:33" s="578" customFormat="1" ht="12" customHeight="1">
      <c r="A1193" s="597" t="s">
        <v>1278</v>
      </c>
      <c r="B1193" s="667" t="s">
        <v>1783</v>
      </c>
      <c r="C1193" s="491" t="s">
        <v>1881</v>
      </c>
      <c r="D1193" s="600">
        <v>157085</v>
      </c>
      <c r="E1193" s="601">
        <v>1</v>
      </c>
      <c r="F1193" s="573"/>
      <c r="G1193" s="487"/>
      <c r="H1193" s="573"/>
      <c r="I1193" s="487"/>
      <c r="J1193" s="573"/>
      <c r="K1193" s="487"/>
      <c r="L1193" s="573"/>
      <c r="M1193" s="573"/>
      <c r="N1193" s="456">
        <f t="shared" si="153"/>
        <v>0</v>
      </c>
      <c r="O1193" s="487"/>
      <c r="P1193" s="487"/>
      <c r="Q1193" s="274">
        <f t="shared" si="148"/>
        <v>0</v>
      </c>
      <c r="R1193" s="574">
        <f t="shared" si="149"/>
        <v>0</v>
      </c>
      <c r="S1193" s="275">
        <f t="shared" si="150"/>
        <v>0</v>
      </c>
      <c r="T1193" s="575"/>
      <c r="U1193" s="487"/>
      <c r="V1193" s="576"/>
      <c r="W1193" s="573"/>
      <c r="X1193" s="574">
        <f t="shared" si="154"/>
        <v>0</v>
      </c>
      <c r="Y1193" s="487"/>
      <c r="Z1193" s="487"/>
      <c r="AA1193" s="276">
        <f t="shared" si="155"/>
        <v>0</v>
      </c>
      <c r="AB1193" s="573"/>
      <c r="AC1193" s="487"/>
      <c r="AD1193" s="573"/>
      <c r="AE1193" s="487"/>
      <c r="AF1193" s="577">
        <f t="shared" si="151"/>
        <v>0</v>
      </c>
      <c r="AG1193" s="275">
        <f t="shared" si="152"/>
        <v>0</v>
      </c>
    </row>
    <row r="1194" spans="1:33" s="578" customFormat="1" ht="12" customHeight="1">
      <c r="A1194" s="597" t="s">
        <v>1278</v>
      </c>
      <c r="B1194" s="667" t="s">
        <v>1783</v>
      </c>
      <c r="C1194" s="671" t="s">
        <v>966</v>
      </c>
      <c r="D1194" s="672">
        <v>157085</v>
      </c>
      <c r="E1194" s="601">
        <v>1</v>
      </c>
      <c r="F1194" s="573"/>
      <c r="G1194" s="487"/>
      <c r="H1194" s="619">
        <v>4740800</v>
      </c>
      <c r="I1194" s="487">
        <v>4644900</v>
      </c>
      <c r="J1194" s="573"/>
      <c r="K1194" s="487"/>
      <c r="L1194" s="573"/>
      <c r="M1194" s="573"/>
      <c r="N1194" s="456">
        <f t="shared" si="153"/>
        <v>0</v>
      </c>
      <c r="O1194" s="487"/>
      <c r="P1194" s="487"/>
      <c r="Q1194" s="274">
        <f t="shared" si="148"/>
        <v>0</v>
      </c>
      <c r="R1194" s="574">
        <f t="shared" si="149"/>
        <v>4740800</v>
      </c>
      <c r="S1194" s="275">
        <f t="shared" si="150"/>
        <v>4644900</v>
      </c>
      <c r="T1194" s="575"/>
      <c r="U1194" s="487"/>
      <c r="V1194" s="576"/>
      <c r="W1194" s="573"/>
      <c r="X1194" s="574">
        <f t="shared" si="154"/>
        <v>0</v>
      </c>
      <c r="Y1194" s="487"/>
      <c r="Z1194" s="487"/>
      <c r="AA1194" s="276">
        <f t="shared" si="155"/>
        <v>0</v>
      </c>
      <c r="AB1194" s="573"/>
      <c r="AC1194" s="487"/>
      <c r="AD1194" s="573"/>
      <c r="AE1194" s="487"/>
      <c r="AF1194" s="577">
        <f t="shared" si="151"/>
        <v>4740800</v>
      </c>
      <c r="AG1194" s="275">
        <f t="shared" si="152"/>
        <v>4644900</v>
      </c>
    </row>
    <row r="1195" spans="1:33" s="578" customFormat="1" ht="12" customHeight="1">
      <c r="A1195" s="597" t="s">
        <v>1278</v>
      </c>
      <c r="B1195" s="667" t="s">
        <v>1783</v>
      </c>
      <c r="C1195" s="669" t="s">
        <v>967</v>
      </c>
      <c r="D1195" s="600">
        <v>157085</v>
      </c>
      <c r="E1195" s="601">
        <v>1</v>
      </c>
      <c r="F1195" s="573"/>
      <c r="G1195" s="487"/>
      <c r="H1195" s="573">
        <v>833700</v>
      </c>
      <c r="I1195" s="487">
        <v>832000</v>
      </c>
      <c r="J1195" s="573"/>
      <c r="K1195" s="487"/>
      <c r="L1195" s="573"/>
      <c r="M1195" s="573"/>
      <c r="N1195" s="456">
        <f t="shared" si="153"/>
        <v>0</v>
      </c>
      <c r="O1195" s="487"/>
      <c r="P1195" s="487"/>
      <c r="Q1195" s="274">
        <f t="shared" si="148"/>
        <v>0</v>
      </c>
      <c r="R1195" s="574">
        <f t="shared" si="149"/>
        <v>833700</v>
      </c>
      <c r="S1195" s="275">
        <f t="shared" si="150"/>
        <v>832000</v>
      </c>
      <c r="T1195" s="575"/>
      <c r="U1195" s="487"/>
      <c r="V1195" s="576"/>
      <c r="W1195" s="573"/>
      <c r="X1195" s="574">
        <f t="shared" si="154"/>
        <v>0</v>
      </c>
      <c r="Y1195" s="487"/>
      <c r="Z1195" s="487"/>
      <c r="AA1195" s="276">
        <f t="shared" si="155"/>
        <v>0</v>
      </c>
      <c r="AB1195" s="573"/>
      <c r="AC1195" s="487"/>
      <c r="AD1195" s="573"/>
      <c r="AE1195" s="487"/>
      <c r="AF1195" s="577">
        <f t="shared" si="151"/>
        <v>833700</v>
      </c>
      <c r="AG1195" s="275">
        <f t="shared" si="152"/>
        <v>832000</v>
      </c>
    </row>
    <row r="1196" spans="1:33" s="578" customFormat="1" ht="12" customHeight="1">
      <c r="A1196" s="597" t="s">
        <v>1278</v>
      </c>
      <c r="B1196" s="667" t="s">
        <v>1783</v>
      </c>
      <c r="C1196" s="669" t="s">
        <v>965</v>
      </c>
      <c r="D1196" s="600">
        <v>157085</v>
      </c>
      <c r="E1196" s="601">
        <v>1</v>
      </c>
      <c r="F1196" s="573"/>
      <c r="G1196" s="487"/>
      <c r="H1196" s="573">
        <v>537400</v>
      </c>
      <c r="I1196" s="487">
        <v>533000</v>
      </c>
      <c r="J1196" s="573"/>
      <c r="K1196" s="487"/>
      <c r="L1196" s="573"/>
      <c r="M1196" s="573"/>
      <c r="N1196" s="456">
        <f t="shared" si="153"/>
        <v>0</v>
      </c>
      <c r="O1196" s="487"/>
      <c r="P1196" s="487"/>
      <c r="Q1196" s="274">
        <f t="shared" si="148"/>
        <v>0</v>
      </c>
      <c r="R1196" s="574">
        <f t="shared" si="149"/>
        <v>537400</v>
      </c>
      <c r="S1196" s="275">
        <f t="shared" si="150"/>
        <v>533000</v>
      </c>
      <c r="T1196" s="575"/>
      <c r="U1196" s="487"/>
      <c r="V1196" s="576"/>
      <c r="W1196" s="573"/>
      <c r="X1196" s="574">
        <f t="shared" si="154"/>
        <v>0</v>
      </c>
      <c r="Y1196" s="487"/>
      <c r="Z1196" s="487"/>
      <c r="AA1196" s="276">
        <f t="shared" si="155"/>
        <v>0</v>
      </c>
      <c r="AB1196" s="573"/>
      <c r="AC1196" s="487"/>
      <c r="AD1196" s="573"/>
      <c r="AE1196" s="487"/>
      <c r="AF1196" s="577">
        <f t="shared" si="151"/>
        <v>537400</v>
      </c>
      <c r="AG1196" s="275">
        <f t="shared" si="152"/>
        <v>533000</v>
      </c>
    </row>
    <row r="1197" spans="1:33" s="578" customFormat="1" ht="12" customHeight="1">
      <c r="A1197" s="597" t="s">
        <v>1278</v>
      </c>
      <c r="B1197" s="667" t="s">
        <v>1776</v>
      </c>
      <c r="C1197" s="673" t="s">
        <v>968</v>
      </c>
      <c r="D1197" s="600">
        <v>157289</v>
      </c>
      <c r="E1197" s="601">
        <v>1</v>
      </c>
      <c r="F1197" s="619">
        <f>186288900-3791500-19155600-5007000-23303100-1843200-810100-285900-5057200</f>
        <v>127035300</v>
      </c>
      <c r="G1197" s="487">
        <f>185423000-7500600-20246500-4240600-14902500-1230000-821600-285200-3153500-7500000</f>
        <v>125542500</v>
      </c>
      <c r="H1197" s="573"/>
      <c r="I1197" s="487"/>
      <c r="J1197" s="573"/>
      <c r="K1197" s="487"/>
      <c r="L1197" s="619">
        <f>186625900-15260297</f>
        <v>171365603</v>
      </c>
      <c r="M1197" s="573"/>
      <c r="N1197" s="456">
        <f t="shared" si="153"/>
        <v>171365603</v>
      </c>
      <c r="O1197" s="487">
        <f>187086300-16151000</f>
        <v>170935300</v>
      </c>
      <c r="P1197" s="487"/>
      <c r="Q1197" s="274">
        <f t="shared" si="148"/>
        <v>170935300</v>
      </c>
      <c r="R1197" s="574">
        <f t="shared" si="149"/>
        <v>298400903</v>
      </c>
      <c r="S1197" s="275">
        <f t="shared" si="150"/>
        <v>296477800</v>
      </c>
      <c r="T1197" s="575"/>
      <c r="U1197" s="487"/>
      <c r="V1197" s="576"/>
      <c r="W1197" s="573"/>
      <c r="X1197" s="574">
        <f t="shared" si="154"/>
        <v>0</v>
      </c>
      <c r="Y1197" s="487"/>
      <c r="Z1197" s="487"/>
      <c r="AA1197" s="276">
        <f t="shared" si="155"/>
        <v>0</v>
      </c>
      <c r="AB1197" s="573"/>
      <c r="AC1197" s="487"/>
      <c r="AD1197" s="573"/>
      <c r="AE1197" s="487"/>
      <c r="AF1197" s="577">
        <f t="shared" si="151"/>
        <v>298400903</v>
      </c>
      <c r="AG1197" s="275">
        <f t="shared" si="152"/>
        <v>296477800</v>
      </c>
    </row>
    <row r="1198" spans="1:33" s="578" customFormat="1" ht="12" customHeight="1">
      <c r="A1198" s="597" t="s">
        <v>1278</v>
      </c>
      <c r="B1198" s="667" t="s">
        <v>1793</v>
      </c>
      <c r="C1198" s="671" t="s">
        <v>1614</v>
      </c>
      <c r="D1198" s="600">
        <v>157289</v>
      </c>
      <c r="E1198" s="601">
        <v>1</v>
      </c>
      <c r="F1198" s="573"/>
      <c r="G1198" s="487"/>
      <c r="H1198" s="573"/>
      <c r="I1198" s="487"/>
      <c r="J1198" s="573"/>
      <c r="K1198" s="487"/>
      <c r="L1198" s="573"/>
      <c r="M1198" s="573"/>
      <c r="N1198" s="456">
        <f t="shared" si="153"/>
        <v>0</v>
      </c>
      <c r="O1198" s="487"/>
      <c r="P1198" s="487"/>
      <c r="Q1198" s="274">
        <f t="shared" si="148"/>
        <v>0</v>
      </c>
      <c r="R1198" s="574">
        <f t="shared" si="149"/>
        <v>0</v>
      </c>
      <c r="S1198" s="275">
        <f t="shared" si="150"/>
        <v>0</v>
      </c>
      <c r="T1198" s="575"/>
      <c r="U1198" s="487"/>
      <c r="V1198" s="576"/>
      <c r="W1198" s="573"/>
      <c r="X1198" s="574">
        <f t="shared" si="154"/>
        <v>0</v>
      </c>
      <c r="Y1198" s="487"/>
      <c r="Z1198" s="487"/>
      <c r="AA1198" s="276">
        <f t="shared" si="155"/>
        <v>0</v>
      </c>
      <c r="AB1198" s="670">
        <f>18982300+5007000+23303100+1843200</f>
        <v>49135600</v>
      </c>
      <c r="AC1198" s="487">
        <f>20246500+4240600+14902500</f>
        <v>39389600</v>
      </c>
      <c r="AD1198" s="573">
        <v>15260297</v>
      </c>
      <c r="AE1198" s="487">
        <v>16151000</v>
      </c>
      <c r="AF1198" s="577">
        <f t="shared" si="151"/>
        <v>64395897</v>
      </c>
      <c r="AG1198" s="275">
        <f t="shared" si="152"/>
        <v>55540600</v>
      </c>
    </row>
    <row r="1199" spans="1:33" s="578" customFormat="1" ht="12" customHeight="1">
      <c r="A1199" s="597" t="s">
        <v>1278</v>
      </c>
      <c r="B1199" s="667" t="s">
        <v>1778</v>
      </c>
      <c r="C1199" s="491" t="s">
        <v>959</v>
      </c>
      <c r="D1199" s="600">
        <v>157289</v>
      </c>
      <c r="E1199" s="601">
        <v>1</v>
      </c>
      <c r="F1199" s="573"/>
      <c r="G1199" s="487"/>
      <c r="H1199" s="573"/>
      <c r="I1199" s="1211">
        <v>821600</v>
      </c>
      <c r="J1199" s="573"/>
      <c r="K1199" s="487"/>
      <c r="L1199" s="573"/>
      <c r="M1199" s="573"/>
      <c r="N1199" s="456">
        <f t="shared" si="153"/>
        <v>0</v>
      </c>
      <c r="O1199" s="487"/>
      <c r="P1199" s="487"/>
      <c r="Q1199" s="274">
        <f t="shared" si="148"/>
        <v>0</v>
      </c>
      <c r="R1199" s="574">
        <f t="shared" si="149"/>
        <v>0</v>
      </c>
      <c r="S1199" s="275">
        <f t="shared" si="150"/>
        <v>821600</v>
      </c>
      <c r="T1199" s="575"/>
      <c r="U1199" s="487"/>
      <c r="V1199" s="576"/>
      <c r="W1199" s="573"/>
      <c r="X1199" s="574">
        <f t="shared" si="154"/>
        <v>0</v>
      </c>
      <c r="Y1199" s="487"/>
      <c r="Z1199" s="487"/>
      <c r="AA1199" s="276">
        <f t="shared" si="155"/>
        <v>0</v>
      </c>
      <c r="AB1199" s="573"/>
      <c r="AC1199" s="487"/>
      <c r="AD1199" s="573"/>
      <c r="AE1199" s="487"/>
      <c r="AF1199" s="577">
        <f t="shared" si="151"/>
        <v>0</v>
      </c>
      <c r="AG1199" s="275">
        <f t="shared" si="152"/>
        <v>821600</v>
      </c>
    </row>
    <row r="1200" spans="1:33" s="578" customFormat="1" ht="12" customHeight="1">
      <c r="A1200" s="597" t="s">
        <v>1278</v>
      </c>
      <c r="B1200" s="667" t="s">
        <v>1778</v>
      </c>
      <c r="C1200" s="669" t="s">
        <v>969</v>
      </c>
      <c r="D1200" s="600">
        <v>157289</v>
      </c>
      <c r="E1200" s="601">
        <v>1</v>
      </c>
      <c r="F1200" s="573"/>
      <c r="G1200" s="487"/>
      <c r="H1200" s="573">
        <v>285900</v>
      </c>
      <c r="I1200" s="487">
        <v>285200</v>
      </c>
      <c r="J1200" s="573"/>
      <c r="K1200" s="487"/>
      <c r="L1200" s="573"/>
      <c r="M1200" s="573"/>
      <c r="N1200" s="456">
        <f t="shared" si="153"/>
        <v>0</v>
      </c>
      <c r="O1200" s="487"/>
      <c r="P1200" s="487"/>
      <c r="Q1200" s="274">
        <f t="shared" si="148"/>
        <v>0</v>
      </c>
      <c r="R1200" s="574">
        <f t="shared" si="149"/>
        <v>285900</v>
      </c>
      <c r="S1200" s="275">
        <f t="shared" si="150"/>
        <v>285200</v>
      </c>
      <c r="T1200" s="575"/>
      <c r="U1200" s="487"/>
      <c r="V1200" s="576"/>
      <c r="W1200" s="573"/>
      <c r="X1200" s="574">
        <f t="shared" si="154"/>
        <v>0</v>
      </c>
      <c r="Y1200" s="487"/>
      <c r="Z1200" s="487"/>
      <c r="AA1200" s="276">
        <f t="shared" si="155"/>
        <v>0</v>
      </c>
      <c r="AB1200" s="573"/>
      <c r="AC1200" s="487"/>
      <c r="AD1200" s="573"/>
      <c r="AE1200" s="487"/>
      <c r="AF1200" s="577">
        <f t="shared" si="151"/>
        <v>285900</v>
      </c>
      <c r="AG1200" s="275">
        <f t="shared" si="152"/>
        <v>285200</v>
      </c>
    </row>
    <row r="1201" spans="1:33" s="578" customFormat="1" ht="12" customHeight="1">
      <c r="A1201" s="597" t="s">
        <v>1278</v>
      </c>
      <c r="B1201" s="667" t="s">
        <v>1783</v>
      </c>
      <c r="C1201" s="491" t="s">
        <v>1881</v>
      </c>
      <c r="D1201" s="600">
        <v>157289</v>
      </c>
      <c r="E1201" s="601">
        <v>1</v>
      </c>
      <c r="F1201" s="573"/>
      <c r="G1201" s="487"/>
      <c r="H1201" s="573"/>
      <c r="I1201" s="487"/>
      <c r="J1201" s="573"/>
      <c r="K1201" s="487"/>
      <c r="L1201" s="573"/>
      <c r="M1201" s="573"/>
      <c r="N1201" s="456">
        <f t="shared" si="153"/>
        <v>0</v>
      </c>
      <c r="O1201" s="487"/>
      <c r="P1201" s="487"/>
      <c r="Q1201" s="274">
        <f t="shared" si="148"/>
        <v>0</v>
      </c>
      <c r="R1201" s="574">
        <f t="shared" si="149"/>
        <v>0</v>
      </c>
      <c r="S1201" s="275">
        <f t="shared" si="150"/>
        <v>0</v>
      </c>
      <c r="T1201" s="575"/>
      <c r="U1201" s="487"/>
      <c r="V1201" s="576"/>
      <c r="W1201" s="573"/>
      <c r="X1201" s="574">
        <f t="shared" si="154"/>
        <v>0</v>
      </c>
      <c r="Y1201" s="487"/>
      <c r="Z1201" s="487"/>
      <c r="AA1201" s="276">
        <f t="shared" si="155"/>
        <v>0</v>
      </c>
      <c r="AB1201" s="573"/>
      <c r="AC1201" s="487"/>
      <c r="AD1201" s="573"/>
      <c r="AE1201" s="487"/>
      <c r="AF1201" s="577">
        <f t="shared" si="151"/>
        <v>0</v>
      </c>
      <c r="AG1201" s="275">
        <f t="shared" si="152"/>
        <v>0</v>
      </c>
    </row>
    <row r="1202" spans="1:33" s="578" customFormat="1" ht="12" customHeight="1">
      <c r="A1202" s="597" t="s">
        <v>1278</v>
      </c>
      <c r="B1202" s="667" t="s">
        <v>1776</v>
      </c>
      <c r="C1202" s="673" t="s">
        <v>970</v>
      </c>
      <c r="D1202" s="600">
        <v>156620</v>
      </c>
      <c r="E1202" s="601">
        <v>3</v>
      </c>
      <c r="F1202" s="619">
        <f>77837400-468800-2392800</f>
        <v>74975800</v>
      </c>
      <c r="G1202" s="487">
        <f>77245100-2009400-1504700</f>
        <v>73731000</v>
      </c>
      <c r="H1202" s="573"/>
      <c r="I1202" s="487"/>
      <c r="J1202" s="573"/>
      <c r="K1202" s="487"/>
      <c r="L1202" s="619">
        <v>99155500</v>
      </c>
      <c r="M1202" s="573"/>
      <c r="N1202" s="456">
        <f t="shared" si="153"/>
        <v>99155500</v>
      </c>
      <c r="O1202" s="487">
        <v>105634100</v>
      </c>
      <c r="P1202" s="487"/>
      <c r="Q1202" s="274">
        <f t="shared" si="148"/>
        <v>105634100</v>
      </c>
      <c r="R1202" s="574">
        <f t="shared" si="149"/>
        <v>174131300</v>
      </c>
      <c r="S1202" s="275">
        <f t="shared" si="150"/>
        <v>179365100</v>
      </c>
      <c r="T1202" s="575"/>
      <c r="U1202" s="487"/>
      <c r="V1202" s="576"/>
      <c r="W1202" s="573"/>
      <c r="X1202" s="574">
        <f t="shared" si="154"/>
        <v>0</v>
      </c>
      <c r="Y1202" s="487"/>
      <c r="Z1202" s="487"/>
      <c r="AA1202" s="276">
        <f t="shared" si="155"/>
        <v>0</v>
      </c>
      <c r="AB1202" s="573"/>
      <c r="AC1202" s="487"/>
      <c r="AD1202" s="573"/>
      <c r="AE1202" s="487"/>
      <c r="AF1202" s="577">
        <f t="shared" si="151"/>
        <v>174131300</v>
      </c>
      <c r="AG1202" s="275">
        <f t="shared" si="152"/>
        <v>179365100</v>
      </c>
    </row>
    <row r="1203" spans="1:33" s="578" customFormat="1" ht="12" customHeight="1">
      <c r="A1203" s="597" t="s">
        <v>1278</v>
      </c>
      <c r="B1203" s="667" t="s">
        <v>1776</v>
      </c>
      <c r="C1203" s="673" t="s">
        <v>971</v>
      </c>
      <c r="D1203" s="600">
        <v>157401</v>
      </c>
      <c r="E1203" s="601">
        <v>3</v>
      </c>
      <c r="F1203" s="619">
        <f>54386600-2565100-1682100</f>
        <v>50139400</v>
      </c>
      <c r="G1203" s="487">
        <f>52943200-2544600-1058900</f>
        <v>49339700</v>
      </c>
      <c r="H1203" s="573"/>
      <c r="I1203" s="487"/>
      <c r="J1203" s="573"/>
      <c r="K1203" s="487"/>
      <c r="L1203" s="619">
        <v>74275500</v>
      </c>
      <c r="M1203" s="573"/>
      <c r="N1203" s="456">
        <f t="shared" si="153"/>
        <v>74275500</v>
      </c>
      <c r="O1203" s="487">
        <v>79420600</v>
      </c>
      <c r="P1203" s="487"/>
      <c r="Q1203" s="274">
        <f t="shared" si="148"/>
        <v>79420600</v>
      </c>
      <c r="R1203" s="574">
        <f t="shared" si="149"/>
        <v>124414900</v>
      </c>
      <c r="S1203" s="275">
        <f t="shared" si="150"/>
        <v>128760300</v>
      </c>
      <c r="T1203" s="575"/>
      <c r="U1203" s="487"/>
      <c r="V1203" s="576"/>
      <c r="W1203" s="573"/>
      <c r="X1203" s="574">
        <f t="shared" si="154"/>
        <v>0</v>
      </c>
      <c r="Y1203" s="487"/>
      <c r="Z1203" s="487"/>
      <c r="AA1203" s="276">
        <f t="shared" si="155"/>
        <v>0</v>
      </c>
      <c r="AB1203" s="573"/>
      <c r="AC1203" s="487"/>
      <c r="AD1203" s="573"/>
      <c r="AE1203" s="487"/>
      <c r="AF1203" s="577">
        <f t="shared" si="151"/>
        <v>124414900</v>
      </c>
      <c r="AG1203" s="275">
        <f t="shared" si="152"/>
        <v>128760300</v>
      </c>
    </row>
    <row r="1204" spans="1:33" s="578" customFormat="1" ht="12" customHeight="1">
      <c r="A1204" s="597" t="s">
        <v>1278</v>
      </c>
      <c r="B1204" s="667" t="s">
        <v>1778</v>
      </c>
      <c r="C1204" s="295" t="s">
        <v>1891</v>
      </c>
      <c r="D1204" s="600">
        <v>157401</v>
      </c>
      <c r="E1204" s="601">
        <v>3</v>
      </c>
      <c r="F1204" s="573"/>
      <c r="G1204" s="487"/>
      <c r="H1204" s="573"/>
      <c r="I1204" s="487"/>
      <c r="J1204" s="573"/>
      <c r="K1204" s="487"/>
      <c r="L1204" s="573"/>
      <c r="M1204" s="573"/>
      <c r="N1204" s="456">
        <f t="shared" si="153"/>
        <v>0</v>
      </c>
      <c r="O1204" s="487"/>
      <c r="P1204" s="487"/>
      <c r="Q1204" s="274">
        <f t="shared" si="148"/>
        <v>0</v>
      </c>
      <c r="R1204" s="574">
        <f t="shared" si="149"/>
        <v>0</v>
      </c>
      <c r="S1204" s="275">
        <f t="shared" si="150"/>
        <v>0</v>
      </c>
      <c r="T1204" s="575"/>
      <c r="U1204" s="487"/>
      <c r="V1204" s="576"/>
      <c r="W1204" s="573"/>
      <c r="X1204" s="574">
        <f t="shared" si="154"/>
        <v>0</v>
      </c>
      <c r="Y1204" s="487"/>
      <c r="Z1204" s="487"/>
      <c r="AA1204" s="276">
        <f t="shared" si="155"/>
        <v>0</v>
      </c>
      <c r="AB1204" s="573"/>
      <c r="AC1204" s="487"/>
      <c r="AD1204" s="573"/>
      <c r="AE1204" s="487"/>
      <c r="AF1204" s="577">
        <f t="shared" si="151"/>
        <v>0</v>
      </c>
      <c r="AG1204" s="275">
        <f t="shared" si="152"/>
        <v>0</v>
      </c>
    </row>
    <row r="1205" spans="1:33" s="578" customFormat="1" ht="12" customHeight="1">
      <c r="A1205" s="597" t="s">
        <v>1278</v>
      </c>
      <c r="B1205" s="667" t="s">
        <v>1778</v>
      </c>
      <c r="C1205" s="671" t="s">
        <v>230</v>
      </c>
      <c r="D1205" s="600">
        <v>157401</v>
      </c>
      <c r="E1205" s="601">
        <v>3</v>
      </c>
      <c r="F1205" s="573"/>
      <c r="G1205" s="487"/>
      <c r="H1205" s="573">
        <v>2694800</v>
      </c>
      <c r="I1205" s="487">
        <v>2544600</v>
      </c>
      <c r="J1205" s="573"/>
      <c r="K1205" s="487"/>
      <c r="L1205" s="573"/>
      <c r="M1205" s="573"/>
      <c r="N1205" s="456">
        <f t="shared" si="153"/>
        <v>0</v>
      </c>
      <c r="O1205" s="487"/>
      <c r="P1205" s="487"/>
      <c r="Q1205" s="274">
        <f t="shared" si="148"/>
        <v>0</v>
      </c>
      <c r="R1205" s="574">
        <f t="shared" si="149"/>
        <v>2694800</v>
      </c>
      <c r="S1205" s="275">
        <f t="shared" si="150"/>
        <v>2544600</v>
      </c>
      <c r="T1205" s="575"/>
      <c r="U1205" s="487"/>
      <c r="V1205" s="576"/>
      <c r="W1205" s="573"/>
      <c r="X1205" s="574">
        <f t="shared" si="154"/>
        <v>0</v>
      </c>
      <c r="Y1205" s="487"/>
      <c r="Z1205" s="487"/>
      <c r="AA1205" s="276">
        <f t="shared" si="155"/>
        <v>0</v>
      </c>
      <c r="AB1205" s="573"/>
      <c r="AC1205" s="487"/>
      <c r="AD1205" s="573"/>
      <c r="AE1205" s="487"/>
      <c r="AF1205" s="577">
        <f t="shared" si="151"/>
        <v>2694800</v>
      </c>
      <c r="AG1205" s="275">
        <f t="shared" si="152"/>
        <v>2544600</v>
      </c>
    </row>
    <row r="1206" spans="1:33" s="578" customFormat="1" ht="12" customHeight="1">
      <c r="A1206" s="597" t="s">
        <v>1278</v>
      </c>
      <c r="B1206" s="667" t="s">
        <v>1776</v>
      </c>
      <c r="C1206" s="673" t="s">
        <v>972</v>
      </c>
      <c r="D1206" s="600">
        <v>157951</v>
      </c>
      <c r="E1206" s="601">
        <v>3</v>
      </c>
      <c r="F1206" s="619">
        <f>83842700-1280600-2800000-2553500</f>
        <v>77208600</v>
      </c>
      <c r="G1206" s="487">
        <f>82296300-1670000-2716000-1612500</f>
        <v>76297800</v>
      </c>
      <c r="H1206" s="573"/>
      <c r="I1206" s="483"/>
      <c r="J1206" s="573"/>
      <c r="K1206" s="487"/>
      <c r="L1206" s="619">
        <v>123936400</v>
      </c>
      <c r="M1206" s="573"/>
      <c r="N1206" s="456">
        <f t="shared" si="153"/>
        <v>123936400</v>
      </c>
      <c r="O1206" s="487">
        <v>131783000</v>
      </c>
      <c r="P1206" s="487"/>
      <c r="Q1206" s="274">
        <f t="shared" si="148"/>
        <v>131783000</v>
      </c>
      <c r="R1206" s="574">
        <f t="shared" si="149"/>
        <v>201145000</v>
      </c>
      <c r="S1206" s="275">
        <f t="shared" si="150"/>
        <v>208080800</v>
      </c>
      <c r="T1206" s="575"/>
      <c r="U1206" s="487"/>
      <c r="V1206" s="576"/>
      <c r="W1206" s="573"/>
      <c r="X1206" s="574">
        <f t="shared" si="154"/>
        <v>0</v>
      </c>
      <c r="Y1206" s="487"/>
      <c r="Z1206" s="487"/>
      <c r="AA1206" s="276">
        <f t="shared" si="155"/>
        <v>0</v>
      </c>
      <c r="AB1206" s="573"/>
      <c r="AC1206" s="487"/>
      <c r="AD1206" s="573"/>
      <c r="AE1206" s="487"/>
      <c r="AF1206" s="577">
        <f t="shared" si="151"/>
        <v>201145000</v>
      </c>
      <c r="AG1206" s="275">
        <f t="shared" si="152"/>
        <v>208080800</v>
      </c>
    </row>
    <row r="1207" spans="1:33" s="578" customFormat="1" ht="12" customHeight="1">
      <c r="A1207" s="597" t="s">
        <v>1278</v>
      </c>
      <c r="B1207" s="667" t="s">
        <v>1778</v>
      </c>
      <c r="C1207" s="295" t="s">
        <v>1891</v>
      </c>
      <c r="D1207" s="600">
        <v>157951</v>
      </c>
      <c r="E1207" s="601">
        <v>3</v>
      </c>
      <c r="F1207" s="573"/>
      <c r="G1207" s="487"/>
      <c r="H1207" s="573"/>
      <c r="I1207" s="483"/>
      <c r="J1207" s="573"/>
      <c r="K1207" s="487"/>
      <c r="L1207" s="573"/>
      <c r="M1207" s="573"/>
      <c r="N1207" s="456">
        <f t="shared" si="153"/>
        <v>0</v>
      </c>
      <c r="O1207" s="487"/>
      <c r="P1207" s="487"/>
      <c r="Q1207" s="274">
        <f t="shared" si="148"/>
        <v>0</v>
      </c>
      <c r="R1207" s="574">
        <f t="shared" si="149"/>
        <v>0</v>
      </c>
      <c r="S1207" s="275">
        <f t="shared" si="150"/>
        <v>0</v>
      </c>
      <c r="T1207" s="575"/>
      <c r="U1207" s="487"/>
      <c r="V1207" s="576"/>
      <c r="W1207" s="573"/>
      <c r="X1207" s="574">
        <f t="shared" si="154"/>
        <v>0</v>
      </c>
      <c r="Y1207" s="487"/>
      <c r="Z1207" s="487"/>
      <c r="AA1207" s="276">
        <f t="shared" si="155"/>
        <v>0</v>
      </c>
      <c r="AB1207" s="573"/>
      <c r="AC1207" s="487"/>
      <c r="AD1207" s="573"/>
      <c r="AE1207" s="487"/>
      <c r="AF1207" s="577">
        <f t="shared" si="151"/>
        <v>0</v>
      </c>
      <c r="AG1207" s="275">
        <f t="shared" si="152"/>
        <v>0</v>
      </c>
    </row>
    <row r="1208" spans="1:33" s="578" customFormat="1" ht="12" customHeight="1">
      <c r="A1208" s="597" t="s">
        <v>1278</v>
      </c>
      <c r="B1208" s="667" t="s">
        <v>1778</v>
      </c>
      <c r="C1208" s="671" t="s">
        <v>973</v>
      </c>
      <c r="D1208" s="600">
        <v>157951</v>
      </c>
      <c r="E1208" s="601">
        <v>3</v>
      </c>
      <c r="F1208" s="573"/>
      <c r="G1208" s="487"/>
      <c r="H1208" s="619">
        <v>2800000</v>
      </c>
      <c r="I1208" s="487">
        <v>2716000</v>
      </c>
      <c r="J1208" s="573"/>
      <c r="K1208" s="487"/>
      <c r="L1208" s="573"/>
      <c r="M1208" s="573"/>
      <c r="N1208" s="456">
        <f t="shared" si="153"/>
        <v>0</v>
      </c>
      <c r="O1208" s="487"/>
      <c r="P1208" s="487"/>
      <c r="Q1208" s="274">
        <f t="shared" si="148"/>
        <v>0</v>
      </c>
      <c r="R1208" s="574">
        <f t="shared" si="149"/>
        <v>2800000</v>
      </c>
      <c r="S1208" s="275">
        <f t="shared" si="150"/>
        <v>2716000</v>
      </c>
      <c r="T1208" s="575"/>
      <c r="U1208" s="487"/>
      <c r="V1208" s="576"/>
      <c r="W1208" s="573"/>
      <c r="X1208" s="574">
        <f t="shared" si="154"/>
        <v>0</v>
      </c>
      <c r="Y1208" s="487"/>
      <c r="Z1208" s="487"/>
      <c r="AA1208" s="276">
        <f t="shared" si="155"/>
        <v>0</v>
      </c>
      <c r="AB1208" s="573"/>
      <c r="AC1208" s="487"/>
      <c r="AD1208" s="573"/>
      <c r="AE1208" s="487"/>
      <c r="AF1208" s="577">
        <f t="shared" si="151"/>
        <v>2800000</v>
      </c>
      <c r="AG1208" s="275">
        <f t="shared" si="152"/>
        <v>2716000</v>
      </c>
    </row>
    <row r="1209" spans="1:33" s="578" customFormat="1" ht="12" customHeight="1">
      <c r="A1209" s="597" t="s">
        <v>1278</v>
      </c>
      <c r="B1209" s="667" t="s">
        <v>1776</v>
      </c>
      <c r="C1209" s="673" t="s">
        <v>974</v>
      </c>
      <c r="D1209" s="600">
        <v>157386</v>
      </c>
      <c r="E1209" s="601">
        <v>4</v>
      </c>
      <c r="F1209" s="619">
        <f>47251500-495500-982800-141000-1446100</f>
        <v>44186100</v>
      </c>
      <c r="G1209" s="487">
        <f>46682100-1140600-982800-141000-910800</f>
        <v>43506900</v>
      </c>
      <c r="H1209" s="573"/>
      <c r="I1209" s="487"/>
      <c r="J1209" s="573"/>
      <c r="K1209" s="487"/>
      <c r="L1209" s="619">
        <v>47316700</v>
      </c>
      <c r="M1209" s="573"/>
      <c r="N1209" s="456">
        <f t="shared" si="153"/>
        <v>47316700</v>
      </c>
      <c r="O1209" s="487">
        <v>52800500</v>
      </c>
      <c r="P1209" s="487"/>
      <c r="Q1209" s="274">
        <f t="shared" si="148"/>
        <v>52800500</v>
      </c>
      <c r="R1209" s="574">
        <f t="shared" si="149"/>
        <v>91502800</v>
      </c>
      <c r="S1209" s="275">
        <f t="shared" si="150"/>
        <v>96307400</v>
      </c>
      <c r="T1209" s="575"/>
      <c r="U1209" s="487"/>
      <c r="V1209" s="576"/>
      <c r="W1209" s="573"/>
      <c r="X1209" s="574">
        <f t="shared" si="154"/>
        <v>0</v>
      </c>
      <c r="Y1209" s="487"/>
      <c r="Z1209" s="487"/>
      <c r="AA1209" s="276">
        <f t="shared" si="155"/>
        <v>0</v>
      </c>
      <c r="AB1209" s="573"/>
      <c r="AC1209" s="487"/>
      <c r="AD1209" s="573"/>
      <c r="AE1209" s="487"/>
      <c r="AF1209" s="577">
        <f t="shared" si="151"/>
        <v>91502800</v>
      </c>
      <c r="AG1209" s="275">
        <f t="shared" si="152"/>
        <v>96307400</v>
      </c>
    </row>
    <row r="1210" spans="1:33" s="578" customFormat="1" ht="12" customHeight="1">
      <c r="A1210" s="597" t="s">
        <v>1278</v>
      </c>
      <c r="B1210" s="667" t="s">
        <v>1778</v>
      </c>
      <c r="C1210" s="491" t="s">
        <v>959</v>
      </c>
      <c r="D1210" s="600">
        <v>157386</v>
      </c>
      <c r="E1210" s="601">
        <v>4</v>
      </c>
      <c r="F1210" s="573"/>
      <c r="G1210" s="487"/>
      <c r="H1210" s="573"/>
      <c r="I1210" s="487"/>
      <c r="J1210" s="573"/>
      <c r="K1210" s="487"/>
      <c r="L1210" s="573"/>
      <c r="M1210" s="573"/>
      <c r="N1210" s="456">
        <f t="shared" si="153"/>
        <v>0</v>
      </c>
      <c r="O1210" s="487"/>
      <c r="P1210" s="487"/>
      <c r="Q1210" s="274">
        <f t="shared" si="148"/>
        <v>0</v>
      </c>
      <c r="R1210" s="574">
        <f t="shared" si="149"/>
        <v>0</v>
      </c>
      <c r="S1210" s="275">
        <f t="shared" si="150"/>
        <v>0</v>
      </c>
      <c r="T1210" s="575"/>
      <c r="U1210" s="487"/>
      <c r="V1210" s="576"/>
      <c r="W1210" s="573"/>
      <c r="X1210" s="574">
        <f t="shared" si="154"/>
        <v>0</v>
      </c>
      <c r="Y1210" s="487"/>
      <c r="Z1210" s="487"/>
      <c r="AA1210" s="276">
        <f t="shared" si="155"/>
        <v>0</v>
      </c>
      <c r="AB1210" s="573"/>
      <c r="AC1210" s="487"/>
      <c r="AD1210" s="573"/>
      <c r="AE1210" s="487"/>
      <c r="AF1210" s="577">
        <f t="shared" si="151"/>
        <v>0</v>
      </c>
      <c r="AG1210" s="275">
        <f t="shared" si="152"/>
        <v>0</v>
      </c>
    </row>
    <row r="1211" spans="1:33" s="578" customFormat="1" ht="12" customHeight="1">
      <c r="A1211" s="597" t="s">
        <v>1278</v>
      </c>
      <c r="B1211" s="667" t="s">
        <v>1778</v>
      </c>
      <c r="C1211" s="669" t="s">
        <v>975</v>
      </c>
      <c r="D1211" s="600">
        <v>157386</v>
      </c>
      <c r="E1211" s="601">
        <v>4</v>
      </c>
      <c r="F1211" s="573"/>
      <c r="G1211" s="487"/>
      <c r="H1211" s="573">
        <v>982800</v>
      </c>
      <c r="I1211" s="487">
        <v>982800</v>
      </c>
      <c r="J1211" s="573"/>
      <c r="K1211" s="487"/>
      <c r="L1211" s="573"/>
      <c r="M1211" s="573"/>
      <c r="N1211" s="456">
        <f t="shared" si="153"/>
        <v>0</v>
      </c>
      <c r="O1211" s="487"/>
      <c r="P1211" s="487"/>
      <c r="Q1211" s="274">
        <f t="shared" si="148"/>
        <v>0</v>
      </c>
      <c r="R1211" s="574">
        <f t="shared" si="149"/>
        <v>982800</v>
      </c>
      <c r="S1211" s="275">
        <f t="shared" si="150"/>
        <v>982800</v>
      </c>
      <c r="T1211" s="575"/>
      <c r="U1211" s="487"/>
      <c r="V1211" s="576"/>
      <c r="W1211" s="573"/>
      <c r="X1211" s="574">
        <f t="shared" si="154"/>
        <v>0</v>
      </c>
      <c r="Y1211" s="487"/>
      <c r="Z1211" s="487"/>
      <c r="AA1211" s="276">
        <f t="shared" si="155"/>
        <v>0</v>
      </c>
      <c r="AB1211" s="573"/>
      <c r="AC1211" s="487"/>
      <c r="AD1211" s="573"/>
      <c r="AE1211" s="487"/>
      <c r="AF1211" s="577">
        <f t="shared" si="151"/>
        <v>982800</v>
      </c>
      <c r="AG1211" s="275">
        <f t="shared" si="152"/>
        <v>982800</v>
      </c>
    </row>
    <row r="1212" spans="1:33" s="578" customFormat="1" ht="12" customHeight="1">
      <c r="A1212" s="597" t="s">
        <v>1278</v>
      </c>
      <c r="B1212" s="667" t="s">
        <v>1783</v>
      </c>
      <c r="C1212" s="491" t="s">
        <v>1881</v>
      </c>
      <c r="D1212" s="600">
        <v>157386</v>
      </c>
      <c r="E1212" s="601">
        <v>4</v>
      </c>
      <c r="F1212" s="573"/>
      <c r="G1212" s="487"/>
      <c r="H1212" s="573"/>
      <c r="I1212" s="487"/>
      <c r="J1212" s="573"/>
      <c r="K1212" s="487"/>
      <c r="L1212" s="573"/>
      <c r="M1212" s="573"/>
      <c r="N1212" s="456">
        <f t="shared" si="153"/>
        <v>0</v>
      </c>
      <c r="O1212" s="487"/>
      <c r="P1212" s="487"/>
      <c r="Q1212" s="274">
        <f t="shared" si="148"/>
        <v>0</v>
      </c>
      <c r="R1212" s="574">
        <f t="shared" si="149"/>
        <v>0</v>
      </c>
      <c r="S1212" s="275">
        <f t="shared" si="150"/>
        <v>0</v>
      </c>
      <c r="T1212" s="575"/>
      <c r="U1212" s="487"/>
      <c r="V1212" s="576"/>
      <c r="W1212" s="573"/>
      <c r="X1212" s="574">
        <f t="shared" si="154"/>
        <v>0</v>
      </c>
      <c r="Y1212" s="487"/>
      <c r="Z1212" s="487"/>
      <c r="AA1212" s="276">
        <f t="shared" si="155"/>
        <v>0</v>
      </c>
      <c r="AB1212" s="573"/>
      <c r="AC1212" s="487"/>
      <c r="AD1212" s="573"/>
      <c r="AE1212" s="487"/>
      <c r="AF1212" s="577">
        <f t="shared" si="151"/>
        <v>0</v>
      </c>
      <c r="AG1212" s="275">
        <f t="shared" si="152"/>
        <v>0</v>
      </c>
    </row>
    <row r="1213" spans="1:33" s="578" customFormat="1" ht="12" customHeight="1">
      <c r="A1213" s="597" t="s">
        <v>1278</v>
      </c>
      <c r="B1213" s="667" t="s">
        <v>1783</v>
      </c>
      <c r="C1213" s="669" t="s">
        <v>976</v>
      </c>
      <c r="D1213" s="600">
        <v>157386</v>
      </c>
      <c r="E1213" s="601">
        <v>4</v>
      </c>
      <c r="F1213" s="573"/>
      <c r="G1213" s="487"/>
      <c r="H1213" s="573">
        <v>141000</v>
      </c>
      <c r="I1213" s="487">
        <v>141000</v>
      </c>
      <c r="J1213" s="573"/>
      <c r="K1213" s="487"/>
      <c r="L1213" s="573"/>
      <c r="M1213" s="573"/>
      <c r="N1213" s="456">
        <f t="shared" si="153"/>
        <v>0</v>
      </c>
      <c r="O1213" s="487"/>
      <c r="P1213" s="487"/>
      <c r="Q1213" s="274">
        <f t="shared" si="148"/>
        <v>0</v>
      </c>
      <c r="R1213" s="574">
        <f t="shared" si="149"/>
        <v>141000</v>
      </c>
      <c r="S1213" s="275">
        <f t="shared" si="150"/>
        <v>141000</v>
      </c>
      <c r="T1213" s="575"/>
      <c r="U1213" s="487"/>
      <c r="V1213" s="576"/>
      <c r="W1213" s="573"/>
      <c r="X1213" s="574">
        <f t="shared" si="154"/>
        <v>0</v>
      </c>
      <c r="Y1213" s="487"/>
      <c r="Z1213" s="487"/>
      <c r="AA1213" s="276">
        <f t="shared" si="155"/>
        <v>0</v>
      </c>
      <c r="AB1213" s="573"/>
      <c r="AC1213" s="487"/>
      <c r="AD1213" s="573"/>
      <c r="AE1213" s="487"/>
      <c r="AF1213" s="577">
        <f t="shared" si="151"/>
        <v>141000</v>
      </c>
      <c r="AG1213" s="275">
        <f t="shared" si="152"/>
        <v>141000</v>
      </c>
    </row>
    <row r="1214" spans="1:33" s="578" customFormat="1" ht="12" customHeight="1">
      <c r="A1214" s="597" t="s">
        <v>1278</v>
      </c>
      <c r="B1214" s="667" t="s">
        <v>1776</v>
      </c>
      <c r="C1214" s="673" t="s">
        <v>977</v>
      </c>
      <c r="D1214" s="600">
        <v>157447</v>
      </c>
      <c r="E1214" s="601">
        <v>4</v>
      </c>
      <c r="F1214" s="619">
        <f>53677000-230500--1500000-1653000</f>
        <v>53293500</v>
      </c>
      <c r="G1214" s="487">
        <f>54922000-2608500-1500000-1046300</f>
        <v>49767200</v>
      </c>
      <c r="H1214" s="573"/>
      <c r="I1214" s="487"/>
      <c r="J1214" s="573"/>
      <c r="K1214" s="487"/>
      <c r="L1214" s="619">
        <v>97090000</v>
      </c>
      <c r="M1214" s="573"/>
      <c r="N1214" s="456">
        <f t="shared" si="153"/>
        <v>97090000</v>
      </c>
      <c r="O1214" s="487">
        <v>96573000</v>
      </c>
      <c r="P1214" s="487"/>
      <c r="Q1214" s="274">
        <f t="shared" si="148"/>
        <v>96573000</v>
      </c>
      <c r="R1214" s="574">
        <f t="shared" si="149"/>
        <v>150383500</v>
      </c>
      <c r="S1214" s="275">
        <f t="shared" si="150"/>
        <v>146340200</v>
      </c>
      <c r="T1214" s="575"/>
      <c r="U1214" s="487"/>
      <c r="V1214" s="576"/>
      <c r="W1214" s="573"/>
      <c r="X1214" s="574">
        <f t="shared" si="154"/>
        <v>0</v>
      </c>
      <c r="Y1214" s="487"/>
      <c r="Z1214" s="487"/>
      <c r="AA1214" s="276">
        <f t="shared" si="155"/>
        <v>0</v>
      </c>
      <c r="AB1214" s="573"/>
      <c r="AC1214" s="487"/>
      <c r="AD1214" s="573"/>
      <c r="AE1214" s="487"/>
      <c r="AF1214" s="577">
        <f t="shared" si="151"/>
        <v>150383500</v>
      </c>
      <c r="AG1214" s="275">
        <f t="shared" si="152"/>
        <v>146340200</v>
      </c>
    </row>
    <row r="1215" spans="1:33" s="578" customFormat="1" ht="12" customHeight="1">
      <c r="A1215" s="597" t="s">
        <v>1278</v>
      </c>
      <c r="B1215" s="667" t="s">
        <v>1778</v>
      </c>
      <c r="C1215" s="295" t="s">
        <v>1891</v>
      </c>
      <c r="D1215" s="600">
        <v>157447</v>
      </c>
      <c r="E1215" s="601">
        <v>4</v>
      </c>
      <c r="F1215" s="573"/>
      <c r="G1215" s="487"/>
      <c r="H1215" s="573"/>
      <c r="I1215" s="487"/>
      <c r="J1215" s="573"/>
      <c r="K1215" s="487"/>
      <c r="L1215" s="573"/>
      <c r="M1215" s="573"/>
      <c r="N1215" s="456">
        <f t="shared" si="153"/>
        <v>0</v>
      </c>
      <c r="O1215" s="487"/>
      <c r="P1215" s="487"/>
      <c r="Q1215" s="274">
        <f t="shared" si="148"/>
        <v>0</v>
      </c>
      <c r="R1215" s="574">
        <f t="shared" si="149"/>
        <v>0</v>
      </c>
      <c r="S1215" s="275">
        <f t="shared" si="150"/>
        <v>0</v>
      </c>
      <c r="T1215" s="575"/>
      <c r="U1215" s="487"/>
      <c r="V1215" s="576"/>
      <c r="W1215" s="573"/>
      <c r="X1215" s="574">
        <f t="shared" si="154"/>
        <v>0</v>
      </c>
      <c r="Y1215" s="487"/>
      <c r="Z1215" s="487"/>
      <c r="AA1215" s="276">
        <f t="shared" si="155"/>
        <v>0</v>
      </c>
      <c r="AB1215" s="573"/>
      <c r="AC1215" s="487"/>
      <c r="AD1215" s="573"/>
      <c r="AE1215" s="487"/>
      <c r="AF1215" s="577">
        <f t="shared" si="151"/>
        <v>0</v>
      </c>
      <c r="AG1215" s="275">
        <f t="shared" si="152"/>
        <v>0</v>
      </c>
    </row>
    <row r="1216" spans="1:33" s="578" customFormat="1" ht="12" customHeight="1">
      <c r="A1216" s="597" t="s">
        <v>1278</v>
      </c>
      <c r="B1216" s="667" t="s">
        <v>1778</v>
      </c>
      <c r="C1216" s="671" t="s">
        <v>978</v>
      </c>
      <c r="D1216" s="600">
        <v>157447</v>
      </c>
      <c r="E1216" s="601">
        <v>4</v>
      </c>
      <c r="F1216" s="573"/>
      <c r="G1216" s="487"/>
      <c r="H1216" s="573">
        <v>1500000</v>
      </c>
      <c r="I1216" s="487">
        <v>1500000</v>
      </c>
      <c r="J1216" s="573"/>
      <c r="K1216" s="487"/>
      <c r="L1216" s="573"/>
      <c r="M1216" s="573"/>
      <c r="N1216" s="456">
        <f t="shared" si="153"/>
        <v>0</v>
      </c>
      <c r="O1216" s="487"/>
      <c r="P1216" s="487"/>
      <c r="Q1216" s="274">
        <f t="shared" si="148"/>
        <v>0</v>
      </c>
      <c r="R1216" s="574">
        <f t="shared" si="149"/>
        <v>1500000</v>
      </c>
      <c r="S1216" s="275">
        <f t="shared" si="150"/>
        <v>1500000</v>
      </c>
      <c r="T1216" s="575"/>
      <c r="U1216" s="487"/>
      <c r="V1216" s="576"/>
      <c r="W1216" s="573"/>
      <c r="X1216" s="574">
        <f t="shared" si="154"/>
        <v>0</v>
      </c>
      <c r="Y1216" s="487"/>
      <c r="Z1216" s="487"/>
      <c r="AA1216" s="276">
        <f t="shared" si="155"/>
        <v>0</v>
      </c>
      <c r="AB1216" s="573"/>
      <c r="AC1216" s="487"/>
      <c r="AD1216" s="573"/>
      <c r="AE1216" s="487"/>
      <c r="AF1216" s="577">
        <f t="shared" si="151"/>
        <v>1500000</v>
      </c>
      <c r="AG1216" s="275">
        <f t="shared" si="152"/>
        <v>1500000</v>
      </c>
    </row>
    <row r="1217" spans="1:33" s="578" customFormat="1" ht="12" customHeight="1">
      <c r="A1217" s="597" t="s">
        <v>1278</v>
      </c>
      <c r="B1217" s="667" t="s">
        <v>1776</v>
      </c>
      <c r="C1217" s="673" t="s">
        <v>979</v>
      </c>
      <c r="D1217" s="600">
        <v>157058</v>
      </c>
      <c r="E1217" s="601">
        <v>5</v>
      </c>
      <c r="F1217" s="619">
        <f>27525700-907300-2654000-2783700-823300</f>
        <v>20357400</v>
      </c>
      <c r="G1217" s="487">
        <f>26927100-909900-2854600-2869800-520300</f>
        <v>19772500</v>
      </c>
      <c r="H1217" s="573"/>
      <c r="I1217" s="487"/>
      <c r="J1217" s="573"/>
      <c r="K1217" s="487"/>
      <c r="L1217" s="619">
        <v>16736100</v>
      </c>
      <c r="M1217" s="573"/>
      <c r="N1217" s="456">
        <f t="shared" si="153"/>
        <v>16736100</v>
      </c>
      <c r="O1217" s="487">
        <v>18086900</v>
      </c>
      <c r="P1217" s="487"/>
      <c r="Q1217" s="274">
        <f t="shared" si="148"/>
        <v>18086900</v>
      </c>
      <c r="R1217" s="574">
        <f t="shared" si="149"/>
        <v>37093500</v>
      </c>
      <c r="S1217" s="275">
        <f t="shared" si="150"/>
        <v>37859400</v>
      </c>
      <c r="T1217" s="575"/>
      <c r="U1217" s="487"/>
      <c r="V1217" s="576"/>
      <c r="W1217" s="573"/>
      <c r="X1217" s="574">
        <f t="shared" si="154"/>
        <v>0</v>
      </c>
      <c r="Y1217" s="487"/>
      <c r="Z1217" s="487"/>
      <c r="AA1217" s="276">
        <f t="shared" si="155"/>
        <v>0</v>
      </c>
      <c r="AB1217" s="573"/>
      <c r="AC1217" s="487"/>
      <c r="AD1217" s="573"/>
      <c r="AE1217" s="487"/>
      <c r="AF1217" s="577">
        <f t="shared" si="151"/>
        <v>37093500</v>
      </c>
      <c r="AG1217" s="275">
        <f t="shared" si="152"/>
        <v>37859400</v>
      </c>
    </row>
    <row r="1218" spans="1:33" s="578" customFormat="1" ht="12" customHeight="1">
      <c r="A1218" s="597" t="s">
        <v>1278</v>
      </c>
      <c r="B1218" s="667" t="s">
        <v>1778</v>
      </c>
      <c r="C1218" s="491" t="s">
        <v>959</v>
      </c>
      <c r="D1218" s="600">
        <v>157058</v>
      </c>
      <c r="E1218" s="601">
        <v>5</v>
      </c>
      <c r="F1218" s="573"/>
      <c r="G1218" s="487"/>
      <c r="H1218" s="573">
        <v>2654000</v>
      </c>
      <c r="I1218" s="487">
        <v>2854600</v>
      </c>
      <c r="J1218" s="573"/>
      <c r="K1218" s="487"/>
      <c r="L1218" s="573"/>
      <c r="M1218" s="573"/>
      <c r="N1218" s="456">
        <f t="shared" si="153"/>
        <v>0</v>
      </c>
      <c r="O1218" s="487"/>
      <c r="P1218" s="487"/>
      <c r="Q1218" s="274">
        <f t="shared" si="148"/>
        <v>0</v>
      </c>
      <c r="R1218" s="574">
        <f t="shared" si="149"/>
        <v>2654000</v>
      </c>
      <c r="S1218" s="275">
        <f t="shared" si="150"/>
        <v>2854600</v>
      </c>
      <c r="T1218" s="575"/>
      <c r="U1218" s="487"/>
      <c r="V1218" s="576"/>
      <c r="W1218" s="573"/>
      <c r="X1218" s="574">
        <f t="shared" si="154"/>
        <v>0</v>
      </c>
      <c r="Y1218" s="487"/>
      <c r="Z1218" s="487"/>
      <c r="AA1218" s="276">
        <f t="shared" si="155"/>
        <v>0</v>
      </c>
      <c r="AB1218" s="573"/>
      <c r="AC1218" s="487"/>
      <c r="AD1218" s="573"/>
      <c r="AE1218" s="487"/>
      <c r="AF1218" s="577">
        <f t="shared" si="151"/>
        <v>2654000</v>
      </c>
      <c r="AG1218" s="275">
        <f t="shared" si="152"/>
        <v>2854600</v>
      </c>
    </row>
    <row r="1219" spans="1:33" s="578" customFormat="1" ht="12" customHeight="1">
      <c r="A1219" s="597" t="s">
        <v>1278</v>
      </c>
      <c r="B1219" s="667" t="s">
        <v>1780</v>
      </c>
      <c r="C1219" s="491" t="s">
        <v>1769</v>
      </c>
      <c r="D1219" s="600">
        <v>157058</v>
      </c>
      <c r="E1219" s="601">
        <v>5</v>
      </c>
      <c r="F1219" s="573"/>
      <c r="G1219" s="487"/>
      <c r="H1219" s="573">
        <v>2783700</v>
      </c>
      <c r="I1219" s="487">
        <v>2869800</v>
      </c>
      <c r="J1219" s="573"/>
      <c r="K1219" s="487"/>
      <c r="L1219" s="573"/>
      <c r="M1219" s="573"/>
      <c r="N1219" s="456">
        <f t="shared" si="153"/>
        <v>0</v>
      </c>
      <c r="O1219" s="487"/>
      <c r="P1219" s="487"/>
      <c r="Q1219" s="274">
        <f t="shared" si="148"/>
        <v>0</v>
      </c>
      <c r="R1219" s="574">
        <f t="shared" si="149"/>
        <v>2783700</v>
      </c>
      <c r="S1219" s="275">
        <f t="shared" si="150"/>
        <v>2869800</v>
      </c>
      <c r="T1219" s="575"/>
      <c r="U1219" s="487"/>
      <c r="V1219" s="576"/>
      <c r="W1219" s="573"/>
      <c r="X1219" s="574">
        <f t="shared" si="154"/>
        <v>0</v>
      </c>
      <c r="Y1219" s="487"/>
      <c r="Z1219" s="487"/>
      <c r="AA1219" s="276">
        <f t="shared" si="155"/>
        <v>0</v>
      </c>
      <c r="AB1219" s="573"/>
      <c r="AC1219" s="487"/>
      <c r="AD1219" s="573"/>
      <c r="AE1219" s="487"/>
      <c r="AF1219" s="577">
        <f t="shared" si="151"/>
        <v>2783700</v>
      </c>
      <c r="AG1219" s="275">
        <f t="shared" si="152"/>
        <v>2869800</v>
      </c>
    </row>
    <row r="1220" spans="1:33" s="578" customFormat="1" ht="12" customHeight="1">
      <c r="A1220" s="597" t="s">
        <v>1278</v>
      </c>
      <c r="B1220" s="667" t="s">
        <v>1776</v>
      </c>
      <c r="C1220" s="674" t="s">
        <v>980</v>
      </c>
      <c r="D1220" s="675">
        <v>157173</v>
      </c>
      <c r="E1220" s="676">
        <v>8</v>
      </c>
      <c r="F1220" s="619">
        <v>16499530</v>
      </c>
      <c r="G1220" s="949">
        <v>17038490</v>
      </c>
      <c r="H1220" s="573"/>
      <c r="I1220" s="487"/>
      <c r="J1220" s="573"/>
      <c r="K1220" s="487"/>
      <c r="L1220" s="952">
        <v>29224800</v>
      </c>
      <c r="M1220" s="573"/>
      <c r="N1220" s="456">
        <f t="shared" si="153"/>
        <v>29224800</v>
      </c>
      <c r="O1220" s="949">
        <v>26853900</v>
      </c>
      <c r="P1220" s="487"/>
      <c r="Q1220" s="274">
        <f t="shared" si="148"/>
        <v>26853900</v>
      </c>
      <c r="R1220" s="574">
        <f t="shared" si="149"/>
        <v>45724330</v>
      </c>
      <c r="S1220" s="275">
        <f t="shared" si="150"/>
        <v>43892390</v>
      </c>
      <c r="T1220" s="575"/>
      <c r="U1220" s="487"/>
      <c r="V1220" s="576"/>
      <c r="W1220" s="573"/>
      <c r="X1220" s="574">
        <f t="shared" si="154"/>
        <v>0</v>
      </c>
      <c r="Y1220" s="487"/>
      <c r="Z1220" s="487"/>
      <c r="AA1220" s="276">
        <f t="shared" si="155"/>
        <v>0</v>
      </c>
      <c r="AB1220" s="573"/>
      <c r="AC1220" s="487"/>
      <c r="AD1220" s="573"/>
      <c r="AE1220" s="487"/>
      <c r="AF1220" s="577">
        <f t="shared" si="151"/>
        <v>45724330</v>
      </c>
      <c r="AG1220" s="275">
        <f t="shared" si="152"/>
        <v>43892390</v>
      </c>
    </row>
    <row r="1221" spans="1:33" s="578" customFormat="1" ht="12" customHeight="1">
      <c r="A1221" s="597" t="s">
        <v>1278</v>
      </c>
      <c r="B1221" s="667" t="s">
        <v>1776</v>
      </c>
      <c r="C1221" s="674" t="s">
        <v>981</v>
      </c>
      <c r="D1221" s="675">
        <v>156921</v>
      </c>
      <c r="E1221" s="676">
        <v>8</v>
      </c>
      <c r="F1221" s="619">
        <v>22253749</v>
      </c>
      <c r="G1221" s="949">
        <v>24785435</v>
      </c>
      <c r="H1221" s="573"/>
      <c r="I1221" s="487"/>
      <c r="J1221" s="573"/>
      <c r="K1221" s="487"/>
      <c r="L1221" s="952">
        <v>26658600</v>
      </c>
      <c r="M1221" s="573"/>
      <c r="N1221" s="456">
        <f t="shared" si="153"/>
        <v>26658600</v>
      </c>
      <c r="O1221" s="949">
        <v>28835600</v>
      </c>
      <c r="P1221" s="487"/>
      <c r="Q1221" s="274">
        <f t="shared" si="148"/>
        <v>28835600</v>
      </c>
      <c r="R1221" s="574">
        <f t="shared" si="149"/>
        <v>48912349</v>
      </c>
      <c r="S1221" s="275">
        <f t="shared" si="150"/>
        <v>53621035</v>
      </c>
      <c r="T1221" s="575"/>
      <c r="U1221" s="487"/>
      <c r="V1221" s="576"/>
      <c r="W1221" s="573"/>
      <c r="X1221" s="574">
        <f t="shared" si="154"/>
        <v>0</v>
      </c>
      <c r="Y1221" s="487"/>
      <c r="Z1221" s="487"/>
      <c r="AA1221" s="276">
        <f t="shared" si="155"/>
        <v>0</v>
      </c>
      <c r="AB1221" s="573"/>
      <c r="AC1221" s="487"/>
      <c r="AD1221" s="573"/>
      <c r="AE1221" s="487"/>
      <c r="AF1221" s="577">
        <f t="shared" si="151"/>
        <v>48912349</v>
      </c>
      <c r="AG1221" s="275">
        <f t="shared" si="152"/>
        <v>53621035</v>
      </c>
    </row>
    <row r="1222" spans="1:33" s="578" customFormat="1" ht="12" customHeight="1">
      <c r="A1222" s="597" t="s">
        <v>1278</v>
      </c>
      <c r="B1222" s="667" t="s">
        <v>1776</v>
      </c>
      <c r="C1222" s="674" t="s">
        <v>982</v>
      </c>
      <c r="D1222" s="675">
        <v>156231</v>
      </c>
      <c r="E1222" s="676">
        <v>9</v>
      </c>
      <c r="F1222" s="619">
        <v>10432826</v>
      </c>
      <c r="G1222" s="949">
        <v>10141673</v>
      </c>
      <c r="H1222" s="573"/>
      <c r="I1222" s="487"/>
      <c r="J1222" s="573"/>
      <c r="K1222" s="487"/>
      <c r="L1222" s="952">
        <v>8325950</v>
      </c>
      <c r="M1222" s="573"/>
      <c r="N1222" s="456">
        <f t="shared" si="153"/>
        <v>8325950</v>
      </c>
      <c r="O1222" s="949">
        <v>8586600</v>
      </c>
      <c r="P1222" s="487"/>
      <c r="Q1222" s="274">
        <f t="shared" si="148"/>
        <v>8586600</v>
      </c>
      <c r="R1222" s="574">
        <f t="shared" si="149"/>
        <v>18758776</v>
      </c>
      <c r="S1222" s="275">
        <f t="shared" si="150"/>
        <v>18728273</v>
      </c>
      <c r="T1222" s="575"/>
      <c r="U1222" s="487"/>
      <c r="V1222" s="576"/>
      <c r="W1222" s="573"/>
      <c r="X1222" s="574">
        <f t="shared" si="154"/>
        <v>0</v>
      </c>
      <c r="Y1222" s="487"/>
      <c r="Z1222" s="487"/>
      <c r="AA1222" s="276">
        <f t="shared" si="155"/>
        <v>0</v>
      </c>
      <c r="AB1222" s="573"/>
      <c r="AC1222" s="487"/>
      <c r="AD1222" s="573"/>
      <c r="AE1222" s="487"/>
      <c r="AF1222" s="577">
        <f t="shared" si="151"/>
        <v>18758776</v>
      </c>
      <c r="AG1222" s="275">
        <f t="shared" si="152"/>
        <v>18728273</v>
      </c>
    </row>
    <row r="1223" spans="1:33" s="578" customFormat="1" ht="12" customHeight="1">
      <c r="A1223" s="597" t="s">
        <v>1278</v>
      </c>
      <c r="B1223" s="667" t="s">
        <v>1776</v>
      </c>
      <c r="C1223" s="674" t="s">
        <v>983</v>
      </c>
      <c r="D1223" s="677">
        <v>157553</v>
      </c>
      <c r="E1223" s="676">
        <v>9</v>
      </c>
      <c r="F1223" s="619">
        <v>12168562</v>
      </c>
      <c r="G1223" s="949">
        <v>12356797</v>
      </c>
      <c r="H1223" s="573"/>
      <c r="I1223" s="487"/>
      <c r="J1223" s="573"/>
      <c r="K1223" s="487"/>
      <c r="L1223" s="952">
        <v>8668125</v>
      </c>
      <c r="M1223" s="573"/>
      <c r="N1223" s="456">
        <f t="shared" si="153"/>
        <v>8668125</v>
      </c>
      <c r="O1223" s="949">
        <v>8778300</v>
      </c>
      <c r="P1223" s="487"/>
      <c r="Q1223" s="274">
        <f t="shared" si="148"/>
        <v>8778300</v>
      </c>
      <c r="R1223" s="574">
        <f t="shared" si="149"/>
        <v>20836687</v>
      </c>
      <c r="S1223" s="275">
        <f t="shared" si="150"/>
        <v>21135097</v>
      </c>
      <c r="T1223" s="575"/>
      <c r="U1223" s="487"/>
      <c r="V1223" s="576"/>
      <c r="W1223" s="573"/>
      <c r="X1223" s="574">
        <f t="shared" si="154"/>
        <v>0</v>
      </c>
      <c r="Y1223" s="487"/>
      <c r="Z1223" s="487"/>
      <c r="AA1223" s="276">
        <f t="shared" si="155"/>
        <v>0</v>
      </c>
      <c r="AB1223" s="573"/>
      <c r="AC1223" s="487"/>
      <c r="AD1223" s="573"/>
      <c r="AE1223" s="487"/>
      <c r="AF1223" s="577">
        <f t="shared" si="151"/>
        <v>20836687</v>
      </c>
      <c r="AG1223" s="275">
        <f t="shared" si="152"/>
        <v>21135097</v>
      </c>
    </row>
    <row r="1224" spans="1:33" s="578" customFormat="1" ht="12" customHeight="1">
      <c r="A1224" s="597" t="s">
        <v>1278</v>
      </c>
      <c r="B1224" s="667" t="s">
        <v>1776</v>
      </c>
      <c r="C1224" s="674" t="s">
        <v>984</v>
      </c>
      <c r="D1224" s="675">
        <v>156648</v>
      </c>
      <c r="E1224" s="676">
        <v>9</v>
      </c>
      <c r="F1224" s="619">
        <v>11104219</v>
      </c>
      <c r="G1224" s="949">
        <v>9028125</v>
      </c>
      <c r="H1224" s="573"/>
      <c r="I1224" s="487"/>
      <c r="J1224" s="573"/>
      <c r="K1224" s="487"/>
      <c r="L1224" s="952">
        <v>10245468</v>
      </c>
      <c r="M1224" s="573"/>
      <c r="N1224" s="456">
        <f t="shared" si="153"/>
        <v>10245468</v>
      </c>
      <c r="O1224" s="949">
        <v>12319700</v>
      </c>
      <c r="P1224" s="487"/>
      <c r="Q1224" s="274">
        <f t="shared" si="148"/>
        <v>12319700</v>
      </c>
      <c r="R1224" s="574">
        <f t="shared" si="149"/>
        <v>21349687</v>
      </c>
      <c r="S1224" s="275">
        <f t="shared" si="150"/>
        <v>21347825</v>
      </c>
      <c r="T1224" s="575"/>
      <c r="U1224" s="487"/>
      <c r="V1224" s="576"/>
      <c r="W1224" s="573"/>
      <c r="X1224" s="574">
        <f t="shared" si="154"/>
        <v>0</v>
      </c>
      <c r="Y1224" s="487"/>
      <c r="Z1224" s="487"/>
      <c r="AA1224" s="276">
        <f t="shared" si="155"/>
        <v>0</v>
      </c>
      <c r="AB1224" s="573"/>
      <c r="AC1224" s="487"/>
      <c r="AD1224" s="573"/>
      <c r="AE1224" s="487"/>
      <c r="AF1224" s="577">
        <f t="shared" si="151"/>
        <v>21349687</v>
      </c>
      <c r="AG1224" s="275">
        <f t="shared" si="152"/>
        <v>21347825</v>
      </c>
    </row>
    <row r="1225" spans="1:33" s="578" customFormat="1" ht="12" customHeight="1">
      <c r="A1225" s="597" t="s">
        <v>1278</v>
      </c>
      <c r="B1225" s="667" t="s">
        <v>1776</v>
      </c>
      <c r="C1225" s="678" t="s">
        <v>986</v>
      </c>
      <c r="D1225" s="600">
        <v>157304</v>
      </c>
      <c r="E1225" s="601">
        <v>9</v>
      </c>
      <c r="F1225" s="619">
        <v>9699139</v>
      </c>
      <c r="G1225" s="949">
        <v>9483123</v>
      </c>
      <c r="H1225" s="573"/>
      <c r="I1225" s="487"/>
      <c r="J1225" s="573"/>
      <c r="K1225" s="487"/>
      <c r="L1225" s="952">
        <v>7133350</v>
      </c>
      <c r="M1225" s="573"/>
      <c r="N1225" s="456">
        <f t="shared" si="153"/>
        <v>7133350</v>
      </c>
      <c r="O1225" s="949">
        <v>7698600</v>
      </c>
      <c r="P1225" s="487"/>
      <c r="Q1225" s="274">
        <f t="shared" si="148"/>
        <v>7698600</v>
      </c>
      <c r="R1225" s="574">
        <f t="shared" si="149"/>
        <v>16832489</v>
      </c>
      <c r="S1225" s="275">
        <f t="shared" si="150"/>
        <v>17181723</v>
      </c>
      <c r="T1225" s="575"/>
      <c r="U1225" s="487"/>
      <c r="V1225" s="576"/>
      <c r="W1225" s="573"/>
      <c r="X1225" s="574">
        <f t="shared" si="154"/>
        <v>0</v>
      </c>
      <c r="Y1225" s="487"/>
      <c r="Z1225" s="487"/>
      <c r="AA1225" s="276">
        <f t="shared" si="155"/>
        <v>0</v>
      </c>
      <c r="AB1225" s="573"/>
      <c r="AC1225" s="487"/>
      <c r="AD1225" s="573"/>
      <c r="AE1225" s="487"/>
      <c r="AF1225" s="577">
        <f t="shared" si="151"/>
        <v>16832489</v>
      </c>
      <c r="AG1225" s="275">
        <f t="shared" si="152"/>
        <v>17181723</v>
      </c>
    </row>
    <row r="1226" spans="1:33" s="578" customFormat="1" ht="12" customHeight="1">
      <c r="A1226" s="597" t="s">
        <v>1278</v>
      </c>
      <c r="B1226" s="667" t="s">
        <v>1776</v>
      </c>
      <c r="C1226" s="674" t="s">
        <v>993</v>
      </c>
      <c r="D1226" s="600">
        <v>157331</v>
      </c>
      <c r="E1226" s="601">
        <v>9</v>
      </c>
      <c r="F1226" s="619">
        <v>9099281</v>
      </c>
      <c r="G1226" s="949">
        <v>9997990</v>
      </c>
      <c r="H1226" s="573"/>
      <c r="I1226" s="487"/>
      <c r="J1226" s="573"/>
      <c r="K1226" s="487"/>
      <c r="L1226" s="952">
        <v>7649036</v>
      </c>
      <c r="M1226" s="573"/>
      <c r="N1226" s="456">
        <f t="shared" si="153"/>
        <v>7649036</v>
      </c>
      <c r="O1226" s="949">
        <v>8027600</v>
      </c>
      <c r="P1226" s="487"/>
      <c r="Q1226" s="274">
        <f t="shared" ref="Q1226:Q1289" si="156">SUM(O1226:P1226)</f>
        <v>8027600</v>
      </c>
      <c r="R1226" s="574">
        <f t="shared" ref="R1226:R1289" si="157">SUM(F1226,H1226,J1226,L1226)</f>
        <v>16748317</v>
      </c>
      <c r="S1226" s="275">
        <f t="shared" ref="S1226:S1289" si="158">SUM(G1226,I1226,K1226,O1226)</f>
        <v>18025590</v>
      </c>
      <c r="T1226" s="575"/>
      <c r="U1226" s="487"/>
      <c r="V1226" s="576"/>
      <c r="W1226" s="573"/>
      <c r="X1226" s="574">
        <f t="shared" si="154"/>
        <v>0</v>
      </c>
      <c r="Y1226" s="487"/>
      <c r="Z1226" s="487"/>
      <c r="AA1226" s="276">
        <f t="shared" si="155"/>
        <v>0</v>
      </c>
      <c r="AB1226" s="573"/>
      <c r="AC1226" s="487"/>
      <c r="AD1226" s="573"/>
      <c r="AE1226" s="487"/>
      <c r="AF1226" s="577">
        <f t="shared" ref="AF1226:AF1289" si="159">SUM(R1226,T1226,V1226,AB1226,AD1226)</f>
        <v>16748317</v>
      </c>
      <c r="AG1226" s="275">
        <f t="shared" ref="AG1226:AG1289" si="160">SUM(S1226,U1226,Y1226,AC1226,AE1226)</f>
        <v>18025590</v>
      </c>
    </row>
    <row r="1227" spans="1:33" s="578" customFormat="1" ht="12" customHeight="1">
      <c r="A1227" s="597" t="s">
        <v>1278</v>
      </c>
      <c r="B1227" s="667" t="s">
        <v>1776</v>
      </c>
      <c r="C1227" s="678" t="s">
        <v>987</v>
      </c>
      <c r="D1227" s="679">
        <v>247940</v>
      </c>
      <c r="E1227" s="680">
        <v>9</v>
      </c>
      <c r="F1227" s="619">
        <v>8720584</v>
      </c>
      <c r="G1227" s="949">
        <v>8525232</v>
      </c>
      <c r="H1227" s="573"/>
      <c r="I1227" s="487"/>
      <c r="J1227" s="573"/>
      <c r="K1227" s="487"/>
      <c r="L1227" s="952">
        <v>8350043</v>
      </c>
      <c r="M1227" s="573"/>
      <c r="N1227" s="456">
        <f t="shared" si="153"/>
        <v>8350043</v>
      </c>
      <c r="O1227" s="949">
        <v>9290900</v>
      </c>
      <c r="P1227" s="487"/>
      <c r="Q1227" s="274">
        <f t="shared" si="156"/>
        <v>9290900</v>
      </c>
      <c r="R1227" s="574">
        <f t="shared" si="157"/>
        <v>17070627</v>
      </c>
      <c r="S1227" s="275">
        <f t="shared" si="158"/>
        <v>17816132</v>
      </c>
      <c r="T1227" s="575"/>
      <c r="U1227" s="487"/>
      <c r="V1227" s="576"/>
      <c r="W1227" s="573"/>
      <c r="X1227" s="574">
        <f t="shared" si="154"/>
        <v>0</v>
      </c>
      <c r="Y1227" s="487"/>
      <c r="Z1227" s="487"/>
      <c r="AA1227" s="276">
        <f t="shared" si="155"/>
        <v>0</v>
      </c>
      <c r="AB1227" s="573"/>
      <c r="AC1227" s="487"/>
      <c r="AD1227" s="573"/>
      <c r="AE1227" s="487"/>
      <c r="AF1227" s="577">
        <f t="shared" si="159"/>
        <v>17070627</v>
      </c>
      <c r="AG1227" s="275">
        <f t="shared" si="160"/>
        <v>17816132</v>
      </c>
    </row>
    <row r="1228" spans="1:33" s="578" customFormat="1" ht="12" customHeight="1">
      <c r="A1228" s="597" t="s">
        <v>1278</v>
      </c>
      <c r="B1228" s="667" t="s">
        <v>1776</v>
      </c>
      <c r="C1228" s="681" t="s">
        <v>988</v>
      </c>
      <c r="D1228" s="679">
        <v>157711</v>
      </c>
      <c r="E1228" s="680">
        <v>9</v>
      </c>
      <c r="F1228" s="619">
        <v>14012356</v>
      </c>
      <c r="G1228" s="949">
        <v>13877449</v>
      </c>
      <c r="H1228" s="573"/>
      <c r="I1228" s="487"/>
      <c r="J1228" s="573"/>
      <c r="K1228" s="487"/>
      <c r="L1228" s="952">
        <v>12581461</v>
      </c>
      <c r="M1228" s="573"/>
      <c r="N1228" s="456">
        <f t="shared" si="153"/>
        <v>12581461</v>
      </c>
      <c r="O1228" s="949">
        <v>13877300</v>
      </c>
      <c r="P1228" s="487"/>
      <c r="Q1228" s="274">
        <f t="shared" si="156"/>
        <v>13877300</v>
      </c>
      <c r="R1228" s="574">
        <f t="shared" si="157"/>
        <v>26593817</v>
      </c>
      <c r="S1228" s="275">
        <f t="shared" si="158"/>
        <v>27754749</v>
      </c>
      <c r="T1228" s="575"/>
      <c r="U1228" s="487"/>
      <c r="V1228" s="576"/>
      <c r="W1228" s="573"/>
      <c r="X1228" s="574">
        <f t="shared" si="154"/>
        <v>0</v>
      </c>
      <c r="Y1228" s="487"/>
      <c r="Z1228" s="487"/>
      <c r="AA1228" s="276">
        <f t="shared" si="155"/>
        <v>0</v>
      </c>
      <c r="AB1228" s="573"/>
      <c r="AC1228" s="487"/>
      <c r="AD1228" s="573"/>
      <c r="AE1228" s="487"/>
      <c r="AF1228" s="577">
        <f t="shared" si="159"/>
        <v>26593817</v>
      </c>
      <c r="AG1228" s="275">
        <f t="shared" si="160"/>
        <v>27754749</v>
      </c>
    </row>
    <row r="1229" spans="1:33" s="578" customFormat="1" ht="12" customHeight="1">
      <c r="A1229" s="597" t="s">
        <v>1278</v>
      </c>
      <c r="B1229" s="667" t="s">
        <v>1776</v>
      </c>
      <c r="C1229" s="673" t="s">
        <v>989</v>
      </c>
      <c r="D1229" s="600">
        <v>157739</v>
      </c>
      <c r="E1229" s="601">
        <v>9</v>
      </c>
      <c r="F1229" s="619">
        <v>12109132</v>
      </c>
      <c r="G1229" s="949">
        <v>11865878</v>
      </c>
      <c r="H1229" s="573"/>
      <c r="I1229" s="487"/>
      <c r="J1229" s="573"/>
      <c r="K1229" s="487"/>
      <c r="L1229" s="952">
        <v>7883800</v>
      </c>
      <c r="M1229" s="573"/>
      <c r="N1229" s="456">
        <f t="shared" si="153"/>
        <v>7883800</v>
      </c>
      <c r="O1229" s="949">
        <v>7656000</v>
      </c>
      <c r="P1229" s="487"/>
      <c r="Q1229" s="274">
        <f t="shared" si="156"/>
        <v>7656000</v>
      </c>
      <c r="R1229" s="574">
        <f t="shared" si="157"/>
        <v>19992932</v>
      </c>
      <c r="S1229" s="275">
        <f t="shared" si="158"/>
        <v>19521878</v>
      </c>
      <c r="T1229" s="575"/>
      <c r="U1229" s="487"/>
      <c r="V1229" s="576"/>
      <c r="W1229" s="573"/>
      <c r="X1229" s="574">
        <f t="shared" si="154"/>
        <v>0</v>
      </c>
      <c r="Y1229" s="487"/>
      <c r="Z1229" s="487"/>
      <c r="AA1229" s="276">
        <f t="shared" si="155"/>
        <v>0</v>
      </c>
      <c r="AB1229" s="573"/>
      <c r="AC1229" s="487"/>
      <c r="AD1229" s="573"/>
      <c r="AE1229" s="487"/>
      <c r="AF1229" s="577">
        <f t="shared" si="159"/>
        <v>19992932</v>
      </c>
      <c r="AG1229" s="275">
        <f t="shared" si="160"/>
        <v>19521878</v>
      </c>
    </row>
    <row r="1230" spans="1:33" s="578" customFormat="1" ht="12" customHeight="1">
      <c r="A1230" s="597" t="s">
        <v>1278</v>
      </c>
      <c r="B1230" s="667" t="s">
        <v>1776</v>
      </c>
      <c r="C1230" s="674" t="s">
        <v>990</v>
      </c>
      <c r="D1230" s="675">
        <v>157483</v>
      </c>
      <c r="E1230" s="676">
        <v>9</v>
      </c>
      <c r="F1230" s="619">
        <v>12500476</v>
      </c>
      <c r="G1230" s="949">
        <v>11698247</v>
      </c>
      <c r="H1230" s="573"/>
      <c r="I1230" s="487"/>
      <c r="J1230" s="573"/>
      <c r="K1230" s="487"/>
      <c r="L1230" s="952">
        <v>11485509</v>
      </c>
      <c r="M1230" s="573"/>
      <c r="N1230" s="456">
        <f t="shared" si="153"/>
        <v>11485509</v>
      </c>
      <c r="O1230" s="949">
        <v>11641600</v>
      </c>
      <c r="P1230" s="487"/>
      <c r="Q1230" s="274">
        <f t="shared" si="156"/>
        <v>11641600</v>
      </c>
      <c r="R1230" s="574">
        <f t="shared" si="157"/>
        <v>23985985</v>
      </c>
      <c r="S1230" s="275">
        <f t="shared" si="158"/>
        <v>23339847</v>
      </c>
      <c r="T1230" s="575"/>
      <c r="U1230" s="487"/>
      <c r="V1230" s="576"/>
      <c r="W1230" s="573"/>
      <c r="X1230" s="574">
        <f t="shared" si="154"/>
        <v>0</v>
      </c>
      <c r="Y1230" s="487"/>
      <c r="Z1230" s="487"/>
      <c r="AA1230" s="276">
        <f t="shared" si="155"/>
        <v>0</v>
      </c>
      <c r="AB1230" s="573"/>
      <c r="AC1230" s="487"/>
      <c r="AD1230" s="573"/>
      <c r="AE1230" s="487"/>
      <c r="AF1230" s="577">
        <f t="shared" si="159"/>
        <v>23985985</v>
      </c>
      <c r="AG1230" s="275">
        <f t="shared" si="160"/>
        <v>23339847</v>
      </c>
    </row>
    <row r="1231" spans="1:33" s="578" customFormat="1" ht="12" customHeight="1">
      <c r="A1231" s="597" t="s">
        <v>1278</v>
      </c>
      <c r="B1231" s="667" t="s">
        <v>1776</v>
      </c>
      <c r="C1231" s="673" t="s">
        <v>985</v>
      </c>
      <c r="D1231" s="600">
        <v>156790</v>
      </c>
      <c r="E1231" s="601">
        <v>10</v>
      </c>
      <c r="F1231" s="619">
        <v>14414924</v>
      </c>
      <c r="G1231" s="949">
        <v>13925344</v>
      </c>
      <c r="H1231" s="573"/>
      <c r="I1231" s="487"/>
      <c r="J1231" s="573"/>
      <c r="K1231" s="487"/>
      <c r="L1231" s="952">
        <v>6927900</v>
      </c>
      <c r="M1231" s="573"/>
      <c r="N1231" s="456">
        <f t="shared" si="153"/>
        <v>6927900</v>
      </c>
      <c r="O1231" s="949">
        <v>7211900</v>
      </c>
      <c r="P1231" s="487"/>
      <c r="Q1231" s="274">
        <f t="shared" si="156"/>
        <v>7211900</v>
      </c>
      <c r="R1231" s="574">
        <f t="shared" si="157"/>
        <v>21342824</v>
      </c>
      <c r="S1231" s="275">
        <f t="shared" si="158"/>
        <v>21137244</v>
      </c>
      <c r="T1231" s="575"/>
      <c r="U1231" s="487"/>
      <c r="V1231" s="576"/>
      <c r="W1231" s="573"/>
      <c r="X1231" s="574">
        <f t="shared" si="154"/>
        <v>0</v>
      </c>
      <c r="Y1231" s="487"/>
      <c r="Z1231" s="487"/>
      <c r="AA1231" s="276">
        <f t="shared" si="155"/>
        <v>0</v>
      </c>
      <c r="AB1231" s="573"/>
      <c r="AC1231" s="487"/>
      <c r="AD1231" s="573"/>
      <c r="AE1231" s="487"/>
      <c r="AF1231" s="577">
        <f t="shared" si="159"/>
        <v>21342824</v>
      </c>
      <c r="AG1231" s="275">
        <f t="shared" si="160"/>
        <v>21137244</v>
      </c>
    </row>
    <row r="1232" spans="1:33" s="578" customFormat="1" ht="12" customHeight="1">
      <c r="A1232" s="597" t="s">
        <v>1278</v>
      </c>
      <c r="B1232" s="667" t="s">
        <v>1776</v>
      </c>
      <c r="C1232" s="667" t="s">
        <v>991</v>
      </c>
      <c r="D1232" s="600">
        <v>156851</v>
      </c>
      <c r="E1232" s="601">
        <v>10</v>
      </c>
      <c r="F1232" s="619">
        <v>5835131</v>
      </c>
      <c r="G1232" s="949">
        <v>5807216</v>
      </c>
      <c r="H1232" s="573"/>
      <c r="I1232" s="487"/>
      <c r="J1232" s="573"/>
      <c r="K1232" s="487"/>
      <c r="L1232" s="952">
        <v>3705781</v>
      </c>
      <c r="M1232" s="573"/>
      <c r="N1232" s="456">
        <f t="shared" si="153"/>
        <v>3705781</v>
      </c>
      <c r="O1232" s="949">
        <v>4325500</v>
      </c>
      <c r="P1232" s="487"/>
      <c r="Q1232" s="274">
        <f t="shared" si="156"/>
        <v>4325500</v>
      </c>
      <c r="R1232" s="574">
        <f t="shared" si="157"/>
        <v>9540912</v>
      </c>
      <c r="S1232" s="275">
        <f t="shared" si="158"/>
        <v>10132716</v>
      </c>
      <c r="T1232" s="575"/>
      <c r="U1232" s="487"/>
      <c r="V1232" s="576"/>
      <c r="W1232" s="573"/>
      <c r="X1232" s="574">
        <f t="shared" si="154"/>
        <v>0</v>
      </c>
      <c r="Y1232" s="487"/>
      <c r="Z1232" s="487"/>
      <c r="AA1232" s="276">
        <f t="shared" si="155"/>
        <v>0</v>
      </c>
      <c r="AB1232" s="573"/>
      <c r="AC1232" s="487"/>
      <c r="AD1232" s="573"/>
      <c r="AE1232" s="487"/>
      <c r="AF1232" s="577">
        <f t="shared" si="159"/>
        <v>9540912</v>
      </c>
      <c r="AG1232" s="275">
        <f t="shared" si="160"/>
        <v>10132716</v>
      </c>
    </row>
    <row r="1233" spans="1:33" s="578" customFormat="1" ht="12" customHeight="1">
      <c r="A1233" s="597" t="s">
        <v>1278</v>
      </c>
      <c r="B1233" s="667" t="s">
        <v>1776</v>
      </c>
      <c r="C1233" s="673" t="s">
        <v>992</v>
      </c>
      <c r="D1233" s="600">
        <v>156860</v>
      </c>
      <c r="E1233" s="601">
        <v>10</v>
      </c>
      <c r="F1233" s="619">
        <v>6247493</v>
      </c>
      <c r="G1233" s="949">
        <v>5196560</v>
      </c>
      <c r="H1233" s="573"/>
      <c r="I1233" s="487"/>
      <c r="J1233" s="573"/>
      <c r="K1233" s="487"/>
      <c r="L1233" s="952">
        <v>6778995</v>
      </c>
      <c r="M1233" s="573"/>
      <c r="N1233" s="456">
        <f t="shared" si="153"/>
        <v>6778995</v>
      </c>
      <c r="O1233" s="949">
        <v>7784900</v>
      </c>
      <c r="P1233" s="487"/>
      <c r="Q1233" s="274">
        <f t="shared" si="156"/>
        <v>7784900</v>
      </c>
      <c r="R1233" s="574">
        <f t="shared" si="157"/>
        <v>13026488</v>
      </c>
      <c r="S1233" s="275">
        <f t="shared" si="158"/>
        <v>12981460</v>
      </c>
      <c r="T1233" s="575"/>
      <c r="U1233" s="487"/>
      <c r="V1233" s="576"/>
      <c r="W1233" s="573"/>
      <c r="X1233" s="574">
        <f t="shared" si="154"/>
        <v>0</v>
      </c>
      <c r="Y1233" s="487"/>
      <c r="Z1233" s="487"/>
      <c r="AA1233" s="276">
        <f t="shared" si="155"/>
        <v>0</v>
      </c>
      <c r="AB1233" s="573"/>
      <c r="AC1233" s="487"/>
      <c r="AD1233" s="573"/>
      <c r="AE1233" s="487"/>
      <c r="AF1233" s="577">
        <f t="shared" si="159"/>
        <v>13026488</v>
      </c>
      <c r="AG1233" s="275">
        <f t="shared" si="160"/>
        <v>12981460</v>
      </c>
    </row>
    <row r="1234" spans="1:33" s="578" customFormat="1" ht="12" customHeight="1">
      <c r="A1234" s="597" t="s">
        <v>1278</v>
      </c>
      <c r="B1234" s="667" t="s">
        <v>1776</v>
      </c>
      <c r="C1234" s="673" t="s">
        <v>995</v>
      </c>
      <c r="D1234" s="600">
        <v>156338</v>
      </c>
      <c r="E1234" s="601">
        <v>12</v>
      </c>
      <c r="F1234" s="619">
        <v>8051940</v>
      </c>
      <c r="G1234" s="949">
        <v>8177996</v>
      </c>
      <c r="H1234" s="573"/>
      <c r="I1234" s="487"/>
      <c r="J1234" s="573"/>
      <c r="K1234" s="487"/>
      <c r="L1234" s="952">
        <v>3928981</v>
      </c>
      <c r="M1234" s="573"/>
      <c r="N1234" s="456">
        <f t="shared" si="153"/>
        <v>3928981</v>
      </c>
      <c r="O1234" s="949">
        <v>4477000</v>
      </c>
      <c r="P1234" s="487"/>
      <c r="Q1234" s="274">
        <f t="shared" si="156"/>
        <v>4477000</v>
      </c>
      <c r="R1234" s="574">
        <f t="shared" si="157"/>
        <v>11980921</v>
      </c>
      <c r="S1234" s="275">
        <f t="shared" si="158"/>
        <v>12654996</v>
      </c>
      <c r="T1234" s="575"/>
      <c r="U1234" s="487"/>
      <c r="V1234" s="576"/>
      <c r="W1234" s="573"/>
      <c r="X1234" s="574">
        <f t="shared" si="154"/>
        <v>0</v>
      </c>
      <c r="Y1234" s="487"/>
      <c r="Z1234" s="487"/>
      <c r="AA1234" s="276">
        <f t="shared" si="155"/>
        <v>0</v>
      </c>
      <c r="AB1234" s="573"/>
      <c r="AC1234" s="487"/>
      <c r="AD1234" s="573"/>
      <c r="AE1234" s="487"/>
      <c r="AF1234" s="577">
        <f t="shared" si="159"/>
        <v>11980921</v>
      </c>
      <c r="AG1234" s="275">
        <f t="shared" si="160"/>
        <v>12654996</v>
      </c>
    </row>
    <row r="1235" spans="1:33" s="578" customFormat="1" ht="12" customHeight="1">
      <c r="A1235" s="597" t="s">
        <v>1278</v>
      </c>
      <c r="B1235" s="667" t="s">
        <v>1776</v>
      </c>
      <c r="C1235" s="682" t="s">
        <v>994</v>
      </c>
      <c r="D1235" s="675">
        <v>157438</v>
      </c>
      <c r="E1235" s="601">
        <v>12</v>
      </c>
      <c r="F1235" s="619">
        <v>7989761</v>
      </c>
      <c r="G1235" s="949">
        <v>7974445</v>
      </c>
      <c r="H1235" s="573"/>
      <c r="I1235" s="487"/>
      <c r="J1235" s="573"/>
      <c r="K1235" s="487"/>
      <c r="L1235" s="952">
        <v>5342400</v>
      </c>
      <c r="M1235" s="573"/>
      <c r="N1235" s="456">
        <f t="shared" ref="N1235:N1298" si="161">SUM(L1235:M1235)</f>
        <v>5342400</v>
      </c>
      <c r="O1235" s="949">
        <v>6053200</v>
      </c>
      <c r="P1235" s="487"/>
      <c r="Q1235" s="274">
        <f t="shared" si="156"/>
        <v>6053200</v>
      </c>
      <c r="R1235" s="574">
        <f t="shared" si="157"/>
        <v>13332161</v>
      </c>
      <c r="S1235" s="275">
        <f t="shared" si="158"/>
        <v>14027645</v>
      </c>
      <c r="T1235" s="575"/>
      <c r="U1235" s="487"/>
      <c r="V1235" s="576"/>
      <c r="W1235" s="573"/>
      <c r="X1235" s="574">
        <f t="shared" ref="X1235:X1298" si="162">SUM(V1235:W1235)</f>
        <v>0</v>
      </c>
      <c r="Y1235" s="487"/>
      <c r="Z1235" s="487"/>
      <c r="AA1235" s="276">
        <f t="shared" ref="AA1235:AA1298" si="163">SUM(Y1235:Z1235)</f>
        <v>0</v>
      </c>
      <c r="AB1235" s="573"/>
      <c r="AC1235" s="487"/>
      <c r="AD1235" s="573"/>
      <c r="AE1235" s="487"/>
      <c r="AF1235" s="577">
        <f t="shared" si="159"/>
        <v>13332161</v>
      </c>
      <c r="AG1235" s="275">
        <f t="shared" si="160"/>
        <v>14027645</v>
      </c>
    </row>
    <row r="1236" spans="1:33" s="578" customFormat="1" ht="12" customHeight="1">
      <c r="A1236" s="597" t="s">
        <v>1278</v>
      </c>
      <c r="B1236" s="667" t="s">
        <v>1786</v>
      </c>
      <c r="C1236" s="505" t="s">
        <v>1434</v>
      </c>
      <c r="D1236" s="600"/>
      <c r="E1236" s="601"/>
      <c r="F1236" s="619"/>
      <c r="G1236" s="487"/>
      <c r="H1236" s="573"/>
      <c r="I1236" s="487"/>
      <c r="J1236" s="573"/>
      <c r="K1236" s="487"/>
      <c r="L1236" s="573"/>
      <c r="M1236" s="573"/>
      <c r="N1236" s="456">
        <f t="shared" si="161"/>
        <v>0</v>
      </c>
      <c r="O1236" s="487"/>
      <c r="P1236" s="487"/>
      <c r="Q1236" s="274">
        <f t="shared" si="156"/>
        <v>0</v>
      </c>
      <c r="R1236" s="574">
        <f t="shared" si="157"/>
        <v>0</v>
      </c>
      <c r="S1236" s="275">
        <f t="shared" si="158"/>
        <v>0</v>
      </c>
      <c r="T1236" s="575"/>
      <c r="U1236" s="487"/>
      <c r="V1236" s="576"/>
      <c r="W1236" s="573"/>
      <c r="X1236" s="574">
        <f t="shared" si="162"/>
        <v>0</v>
      </c>
      <c r="Y1236" s="487"/>
      <c r="Z1236" s="487"/>
      <c r="AA1236" s="276">
        <f t="shared" si="163"/>
        <v>0</v>
      </c>
      <c r="AB1236" s="573"/>
      <c r="AC1236" s="487"/>
      <c r="AD1236" s="573"/>
      <c r="AE1236" s="487"/>
      <c r="AF1236" s="577">
        <f t="shared" si="159"/>
        <v>0</v>
      </c>
      <c r="AG1236" s="275">
        <f t="shared" si="160"/>
        <v>0</v>
      </c>
    </row>
    <row r="1237" spans="1:33" s="578" customFormat="1" ht="12" customHeight="1">
      <c r="A1237" s="597" t="s">
        <v>1278</v>
      </c>
      <c r="B1237" s="667" t="s">
        <v>1786</v>
      </c>
      <c r="C1237" s="491" t="s">
        <v>959</v>
      </c>
      <c r="D1237" s="600"/>
      <c r="E1237" s="601"/>
      <c r="F1237" s="573"/>
      <c r="G1237" s="487"/>
      <c r="H1237" s="573"/>
      <c r="I1237" s="487"/>
      <c r="J1237" s="573"/>
      <c r="K1237" s="487"/>
      <c r="L1237" s="573"/>
      <c r="M1237" s="573"/>
      <c r="N1237" s="456">
        <f t="shared" si="161"/>
        <v>0</v>
      </c>
      <c r="O1237" s="487"/>
      <c r="P1237" s="487"/>
      <c r="Q1237" s="274">
        <f t="shared" si="156"/>
        <v>0</v>
      </c>
      <c r="R1237" s="574">
        <f t="shared" si="157"/>
        <v>0</v>
      </c>
      <c r="S1237" s="275">
        <f t="shared" si="158"/>
        <v>0</v>
      </c>
      <c r="T1237" s="575"/>
      <c r="U1237" s="487"/>
      <c r="V1237" s="576"/>
      <c r="W1237" s="573"/>
      <c r="X1237" s="574">
        <f t="shared" si="162"/>
        <v>0</v>
      </c>
      <c r="Y1237" s="487"/>
      <c r="Z1237" s="487"/>
      <c r="AA1237" s="276">
        <f t="shared" si="163"/>
        <v>0</v>
      </c>
      <c r="AB1237" s="573"/>
      <c r="AC1237" s="487"/>
      <c r="AD1237" s="573"/>
      <c r="AE1237" s="487"/>
      <c r="AF1237" s="577">
        <f t="shared" si="159"/>
        <v>0</v>
      </c>
      <c r="AG1237" s="275">
        <f t="shared" si="160"/>
        <v>0</v>
      </c>
    </row>
    <row r="1238" spans="1:33" s="578" customFormat="1" ht="12" customHeight="1">
      <c r="A1238" s="597" t="s">
        <v>1278</v>
      </c>
      <c r="B1238" s="667" t="s">
        <v>1786</v>
      </c>
      <c r="C1238" s="671" t="s">
        <v>996</v>
      </c>
      <c r="D1238" s="600"/>
      <c r="E1238" s="601"/>
      <c r="F1238" s="573"/>
      <c r="G1238" s="487"/>
      <c r="H1238" s="573"/>
      <c r="I1238" s="487"/>
      <c r="J1238" s="573"/>
      <c r="K1238" s="487"/>
      <c r="L1238" s="573"/>
      <c r="M1238" s="573"/>
      <c r="N1238" s="456">
        <f t="shared" si="161"/>
        <v>0</v>
      </c>
      <c r="O1238" s="487"/>
      <c r="P1238" s="487"/>
      <c r="Q1238" s="274">
        <f t="shared" si="156"/>
        <v>0</v>
      </c>
      <c r="R1238" s="574">
        <f t="shared" si="157"/>
        <v>0</v>
      </c>
      <c r="S1238" s="275">
        <f t="shared" si="158"/>
        <v>0</v>
      </c>
      <c r="T1238" s="575"/>
      <c r="U1238" s="487"/>
      <c r="V1238" s="576"/>
      <c r="W1238" s="573"/>
      <c r="X1238" s="574">
        <f t="shared" si="162"/>
        <v>0</v>
      </c>
      <c r="Y1238" s="487"/>
      <c r="Z1238" s="487"/>
      <c r="AA1238" s="276">
        <f t="shared" si="163"/>
        <v>0</v>
      </c>
      <c r="AB1238" s="573"/>
      <c r="AC1238" s="487"/>
      <c r="AD1238" s="573"/>
      <c r="AE1238" s="487"/>
      <c r="AF1238" s="577">
        <f t="shared" si="159"/>
        <v>0</v>
      </c>
      <c r="AG1238" s="275">
        <f t="shared" si="160"/>
        <v>0</v>
      </c>
    </row>
    <row r="1239" spans="1:33" s="578" customFormat="1" ht="12" customHeight="1">
      <c r="A1239" s="597" t="s">
        <v>1278</v>
      </c>
      <c r="B1239" s="667" t="s">
        <v>1786</v>
      </c>
      <c r="C1239" s="671" t="s">
        <v>997</v>
      </c>
      <c r="D1239" s="600"/>
      <c r="E1239" s="601"/>
      <c r="F1239" s="573"/>
      <c r="G1239" s="487"/>
      <c r="H1239" s="573">
        <v>5625900</v>
      </c>
      <c r="I1239" s="954">
        <v>5513500</v>
      </c>
      <c r="J1239" s="573"/>
      <c r="K1239" s="487"/>
      <c r="L1239" s="573"/>
      <c r="M1239" s="573"/>
      <c r="N1239" s="456">
        <f t="shared" si="161"/>
        <v>0</v>
      </c>
      <c r="O1239" s="487"/>
      <c r="P1239" s="487"/>
      <c r="Q1239" s="274">
        <f t="shared" si="156"/>
        <v>0</v>
      </c>
      <c r="R1239" s="574">
        <f t="shared" si="157"/>
        <v>5625900</v>
      </c>
      <c r="S1239" s="275">
        <f t="shared" si="158"/>
        <v>5513500</v>
      </c>
      <c r="T1239" s="575"/>
      <c r="U1239" s="487"/>
      <c r="V1239" s="576"/>
      <c r="W1239" s="573"/>
      <c r="X1239" s="574">
        <f t="shared" si="162"/>
        <v>0</v>
      </c>
      <c r="Y1239" s="487"/>
      <c r="Z1239" s="487"/>
      <c r="AA1239" s="276">
        <f t="shared" si="163"/>
        <v>0</v>
      </c>
      <c r="AB1239" s="573"/>
      <c r="AC1239" s="487"/>
      <c r="AD1239" s="573"/>
      <c r="AE1239" s="487"/>
      <c r="AF1239" s="577">
        <f t="shared" si="159"/>
        <v>5625900</v>
      </c>
      <c r="AG1239" s="275">
        <f t="shared" si="160"/>
        <v>5513500</v>
      </c>
    </row>
    <row r="1240" spans="1:33" s="578" customFormat="1" ht="12" customHeight="1">
      <c r="A1240" s="597" t="s">
        <v>1278</v>
      </c>
      <c r="B1240" s="667" t="s">
        <v>1786</v>
      </c>
      <c r="C1240" s="671" t="s">
        <v>998</v>
      </c>
      <c r="D1240" s="600"/>
      <c r="E1240" s="601"/>
      <c r="F1240" s="573"/>
      <c r="G1240" s="487"/>
      <c r="H1240" s="573">
        <v>5820000</v>
      </c>
      <c r="I1240" s="951">
        <v>5703600</v>
      </c>
      <c r="J1240" s="573"/>
      <c r="K1240" s="487"/>
      <c r="L1240" s="573"/>
      <c r="M1240" s="573"/>
      <c r="N1240" s="456">
        <f t="shared" si="161"/>
        <v>0</v>
      </c>
      <c r="O1240" s="487"/>
      <c r="P1240" s="487"/>
      <c r="Q1240" s="274">
        <f t="shared" si="156"/>
        <v>0</v>
      </c>
      <c r="R1240" s="574">
        <f t="shared" si="157"/>
        <v>5820000</v>
      </c>
      <c r="S1240" s="275">
        <f t="shared" si="158"/>
        <v>5703600</v>
      </c>
      <c r="T1240" s="575"/>
      <c r="U1240" s="487"/>
      <c r="V1240" s="576"/>
      <c r="W1240" s="573"/>
      <c r="X1240" s="574">
        <f t="shared" si="162"/>
        <v>0</v>
      </c>
      <c r="Y1240" s="487"/>
      <c r="Z1240" s="487"/>
      <c r="AA1240" s="276">
        <f t="shared" si="163"/>
        <v>0</v>
      </c>
      <c r="AB1240" s="573"/>
      <c r="AC1240" s="487"/>
      <c r="AD1240" s="573"/>
      <c r="AE1240" s="487"/>
      <c r="AF1240" s="577">
        <f t="shared" si="159"/>
        <v>5820000</v>
      </c>
      <c r="AG1240" s="275">
        <f t="shared" si="160"/>
        <v>5703600</v>
      </c>
    </row>
    <row r="1241" spans="1:33" s="578" customFormat="1" ht="12" customHeight="1">
      <c r="A1241" s="597" t="s">
        <v>1278</v>
      </c>
      <c r="B1241" s="667" t="s">
        <v>1786</v>
      </c>
      <c r="C1241" s="671" t="s">
        <v>999</v>
      </c>
      <c r="D1241" s="600"/>
      <c r="E1241" s="601"/>
      <c r="F1241" s="573"/>
      <c r="G1241" s="487"/>
      <c r="H1241" s="573">
        <v>2910000</v>
      </c>
      <c r="I1241" s="951">
        <v>2766200</v>
      </c>
      <c r="J1241" s="573"/>
      <c r="K1241" s="487"/>
      <c r="L1241" s="573"/>
      <c r="M1241" s="573"/>
      <c r="N1241" s="456">
        <f t="shared" si="161"/>
        <v>0</v>
      </c>
      <c r="O1241" s="487"/>
      <c r="P1241" s="487"/>
      <c r="Q1241" s="274">
        <f t="shared" si="156"/>
        <v>0</v>
      </c>
      <c r="R1241" s="574">
        <f t="shared" si="157"/>
        <v>2910000</v>
      </c>
      <c r="S1241" s="275">
        <f t="shared" si="158"/>
        <v>2766200</v>
      </c>
      <c r="T1241" s="575"/>
      <c r="U1241" s="487"/>
      <c r="V1241" s="576"/>
      <c r="W1241" s="573"/>
      <c r="X1241" s="574">
        <f t="shared" si="162"/>
        <v>0</v>
      </c>
      <c r="Y1241" s="487"/>
      <c r="Z1241" s="487"/>
      <c r="AA1241" s="276">
        <f t="shared" si="163"/>
        <v>0</v>
      </c>
      <c r="AB1241" s="573"/>
      <c r="AC1241" s="487"/>
      <c r="AD1241" s="573"/>
      <c r="AE1241" s="487"/>
      <c r="AF1241" s="577">
        <f t="shared" si="159"/>
        <v>2910000</v>
      </c>
      <c r="AG1241" s="275">
        <f t="shared" si="160"/>
        <v>2766200</v>
      </c>
    </row>
    <row r="1242" spans="1:33" s="578" customFormat="1" ht="12" customHeight="1">
      <c r="A1242" s="597" t="s">
        <v>1278</v>
      </c>
      <c r="B1242" s="667" t="s">
        <v>1786</v>
      </c>
      <c r="C1242" s="671" t="s">
        <v>1000</v>
      </c>
      <c r="D1242" s="600"/>
      <c r="E1242" s="601"/>
      <c r="F1242" s="573"/>
      <c r="G1242" s="487"/>
      <c r="H1242" s="573">
        <v>970000</v>
      </c>
      <c r="I1242" s="951">
        <v>922200</v>
      </c>
      <c r="J1242" s="573"/>
      <c r="K1242" s="487"/>
      <c r="L1242" s="573"/>
      <c r="M1242" s="573"/>
      <c r="N1242" s="456">
        <f t="shared" si="161"/>
        <v>0</v>
      </c>
      <c r="O1242" s="487"/>
      <c r="P1242" s="487"/>
      <c r="Q1242" s="274">
        <f t="shared" si="156"/>
        <v>0</v>
      </c>
      <c r="R1242" s="574">
        <f t="shared" si="157"/>
        <v>970000</v>
      </c>
      <c r="S1242" s="275">
        <f t="shared" si="158"/>
        <v>922200</v>
      </c>
      <c r="T1242" s="575"/>
      <c r="U1242" s="487"/>
      <c r="V1242" s="576"/>
      <c r="W1242" s="573"/>
      <c r="X1242" s="574">
        <f t="shared" si="162"/>
        <v>0</v>
      </c>
      <c r="Y1242" s="487"/>
      <c r="Z1242" s="487"/>
      <c r="AA1242" s="276">
        <f t="shared" si="163"/>
        <v>0</v>
      </c>
      <c r="AB1242" s="573"/>
      <c r="AC1242" s="487"/>
      <c r="AD1242" s="573"/>
      <c r="AE1242" s="487"/>
      <c r="AF1242" s="577">
        <f t="shared" si="159"/>
        <v>970000</v>
      </c>
      <c r="AG1242" s="275">
        <f t="shared" si="160"/>
        <v>922200</v>
      </c>
    </row>
    <row r="1243" spans="1:33" s="578" customFormat="1" ht="12" customHeight="1">
      <c r="A1243" s="597" t="s">
        <v>1278</v>
      </c>
      <c r="B1243" s="667" t="s">
        <v>1786</v>
      </c>
      <c r="C1243" s="671" t="s">
        <v>1001</v>
      </c>
      <c r="D1243" s="600"/>
      <c r="E1243" s="601"/>
      <c r="F1243" s="573"/>
      <c r="G1243" s="487"/>
      <c r="H1243" s="573">
        <v>2302500</v>
      </c>
      <c r="I1243" s="951">
        <v>2188900</v>
      </c>
      <c r="J1243" s="573"/>
      <c r="K1243" s="487"/>
      <c r="L1243" s="573"/>
      <c r="M1243" s="573"/>
      <c r="N1243" s="456">
        <f t="shared" si="161"/>
        <v>0</v>
      </c>
      <c r="O1243" s="487"/>
      <c r="P1243" s="487"/>
      <c r="Q1243" s="274">
        <f t="shared" si="156"/>
        <v>0</v>
      </c>
      <c r="R1243" s="574">
        <f t="shared" si="157"/>
        <v>2302500</v>
      </c>
      <c r="S1243" s="275">
        <f t="shared" si="158"/>
        <v>2188900</v>
      </c>
      <c r="T1243" s="575"/>
      <c r="U1243" s="487"/>
      <c r="V1243" s="576"/>
      <c r="W1243" s="573"/>
      <c r="X1243" s="574">
        <f t="shared" si="162"/>
        <v>0</v>
      </c>
      <c r="Y1243" s="487"/>
      <c r="Z1243" s="487"/>
      <c r="AA1243" s="276">
        <f t="shared" si="163"/>
        <v>0</v>
      </c>
      <c r="AB1243" s="573"/>
      <c r="AC1243" s="487"/>
      <c r="AD1243" s="573"/>
      <c r="AE1243" s="487"/>
      <c r="AF1243" s="577">
        <f t="shared" si="159"/>
        <v>2302500</v>
      </c>
      <c r="AG1243" s="275">
        <f t="shared" si="160"/>
        <v>2188900</v>
      </c>
    </row>
    <row r="1244" spans="1:33" s="578" customFormat="1" ht="12" customHeight="1">
      <c r="A1244" s="597" t="s">
        <v>1278</v>
      </c>
      <c r="B1244" s="667" t="s">
        <v>1786</v>
      </c>
      <c r="C1244" s="671" t="s">
        <v>1986</v>
      </c>
      <c r="D1244" s="600"/>
      <c r="E1244" s="601"/>
      <c r="F1244" s="573"/>
      <c r="G1244" s="487"/>
      <c r="H1244" s="573">
        <v>0</v>
      </c>
      <c r="I1244" s="951">
        <v>2675300</v>
      </c>
      <c r="J1244" s="573"/>
      <c r="K1244" s="487"/>
      <c r="L1244" s="573"/>
      <c r="M1244" s="573"/>
      <c r="N1244" s="456">
        <f t="shared" si="161"/>
        <v>0</v>
      </c>
      <c r="O1244" s="487"/>
      <c r="P1244" s="487"/>
      <c r="Q1244" s="274">
        <f t="shared" si="156"/>
        <v>0</v>
      </c>
      <c r="R1244" s="574">
        <f t="shared" si="157"/>
        <v>0</v>
      </c>
      <c r="S1244" s="275">
        <f t="shared" si="158"/>
        <v>2675300</v>
      </c>
      <c r="T1244" s="575"/>
      <c r="U1244" s="487"/>
      <c r="V1244" s="576"/>
      <c r="W1244" s="573"/>
      <c r="X1244" s="574">
        <f t="shared" si="162"/>
        <v>0</v>
      </c>
      <c r="Y1244" s="487"/>
      <c r="Z1244" s="487"/>
      <c r="AA1244" s="276">
        <f t="shared" si="163"/>
        <v>0</v>
      </c>
      <c r="AB1244" s="573"/>
      <c r="AC1244" s="487"/>
      <c r="AD1244" s="573"/>
      <c r="AE1244" s="487"/>
      <c r="AF1244" s="577">
        <f t="shared" si="159"/>
        <v>0</v>
      </c>
      <c r="AG1244" s="275">
        <f t="shared" si="160"/>
        <v>2675300</v>
      </c>
    </row>
    <row r="1245" spans="1:33" s="578" customFormat="1" ht="12" customHeight="1">
      <c r="A1245" s="597" t="s">
        <v>1278</v>
      </c>
      <c r="B1245" s="667" t="s">
        <v>1821</v>
      </c>
      <c r="C1245" s="492" t="s">
        <v>828</v>
      </c>
      <c r="D1245" s="600"/>
      <c r="E1245" s="601"/>
      <c r="F1245" s="573"/>
      <c r="G1245" s="487"/>
      <c r="H1245" s="573"/>
      <c r="I1245" s="487"/>
      <c r="J1245" s="573"/>
      <c r="K1245" s="487"/>
      <c r="L1245" s="573"/>
      <c r="M1245" s="573"/>
      <c r="N1245" s="456">
        <f t="shared" si="161"/>
        <v>0</v>
      </c>
      <c r="O1245" s="487"/>
      <c r="P1245" s="487"/>
      <c r="Q1245" s="274">
        <f t="shared" si="156"/>
        <v>0</v>
      </c>
      <c r="R1245" s="574">
        <f t="shared" si="157"/>
        <v>0</v>
      </c>
      <c r="S1245" s="275">
        <f t="shared" si="158"/>
        <v>0</v>
      </c>
      <c r="T1245" s="575"/>
      <c r="U1245" s="487"/>
      <c r="V1245" s="576"/>
      <c r="W1245" s="573"/>
      <c r="X1245" s="574">
        <f t="shared" si="162"/>
        <v>0</v>
      </c>
      <c r="Y1245" s="487"/>
      <c r="Z1245" s="487"/>
      <c r="AA1245" s="276">
        <f t="shared" si="163"/>
        <v>0</v>
      </c>
      <c r="AB1245" s="573"/>
      <c r="AC1245" s="487"/>
      <c r="AD1245" s="573"/>
      <c r="AE1245" s="487"/>
      <c r="AF1245" s="577">
        <f t="shared" si="159"/>
        <v>0</v>
      </c>
      <c r="AG1245" s="275">
        <f t="shared" si="160"/>
        <v>0</v>
      </c>
    </row>
    <row r="1246" spans="1:33" s="578" customFormat="1" ht="12" customHeight="1">
      <c r="A1246" s="597" t="s">
        <v>1278</v>
      </c>
      <c r="B1246" s="667" t="s">
        <v>1821</v>
      </c>
      <c r="C1246" s="671" t="s">
        <v>1002</v>
      </c>
      <c r="D1246" s="600"/>
      <c r="E1246" s="601"/>
      <c r="F1246" s="573"/>
      <c r="G1246" s="487"/>
      <c r="H1246" s="576">
        <v>177200</v>
      </c>
      <c r="I1246" s="487">
        <v>0</v>
      </c>
      <c r="J1246" s="573"/>
      <c r="K1246" s="487"/>
      <c r="L1246" s="573"/>
      <c r="M1246" s="573"/>
      <c r="N1246" s="456">
        <f t="shared" si="161"/>
        <v>0</v>
      </c>
      <c r="O1246" s="487"/>
      <c r="P1246" s="487"/>
      <c r="Q1246" s="274">
        <f t="shared" si="156"/>
        <v>0</v>
      </c>
      <c r="R1246" s="574">
        <f t="shared" si="157"/>
        <v>177200</v>
      </c>
      <c r="S1246" s="275">
        <f t="shared" si="158"/>
        <v>0</v>
      </c>
      <c r="T1246" s="575"/>
      <c r="U1246" s="487"/>
      <c r="V1246" s="576"/>
      <c r="W1246" s="573"/>
      <c r="X1246" s="574">
        <f t="shared" si="162"/>
        <v>0</v>
      </c>
      <c r="Y1246" s="487"/>
      <c r="Z1246" s="487"/>
      <c r="AA1246" s="276">
        <f t="shared" si="163"/>
        <v>0</v>
      </c>
      <c r="AB1246" s="573"/>
      <c r="AC1246" s="487"/>
      <c r="AD1246" s="573"/>
      <c r="AE1246" s="487"/>
      <c r="AF1246" s="577">
        <f t="shared" si="159"/>
        <v>177200</v>
      </c>
      <c r="AG1246" s="275">
        <f t="shared" si="160"/>
        <v>0</v>
      </c>
    </row>
    <row r="1247" spans="1:33" s="578" customFormat="1" ht="12" customHeight="1">
      <c r="A1247" s="597" t="s">
        <v>1278</v>
      </c>
      <c r="B1247" s="667" t="s">
        <v>1821</v>
      </c>
      <c r="C1247" s="671" t="s">
        <v>1003</v>
      </c>
      <c r="D1247" s="600"/>
      <c r="E1247" s="601"/>
      <c r="F1247" s="573"/>
      <c r="G1247" s="487"/>
      <c r="H1247" s="576">
        <v>404200</v>
      </c>
      <c r="I1247" s="487">
        <v>341500</v>
      </c>
      <c r="J1247" s="573"/>
      <c r="K1247" s="487"/>
      <c r="L1247" s="573"/>
      <c r="M1247" s="573"/>
      <c r="N1247" s="456">
        <f t="shared" si="161"/>
        <v>0</v>
      </c>
      <c r="O1247" s="487"/>
      <c r="P1247" s="487"/>
      <c r="Q1247" s="274">
        <f t="shared" si="156"/>
        <v>0</v>
      </c>
      <c r="R1247" s="574">
        <f t="shared" si="157"/>
        <v>404200</v>
      </c>
      <c r="S1247" s="275">
        <f t="shared" si="158"/>
        <v>341500</v>
      </c>
      <c r="T1247" s="575"/>
      <c r="U1247" s="487"/>
      <c r="V1247" s="576"/>
      <c r="W1247" s="573"/>
      <c r="X1247" s="574">
        <f t="shared" si="162"/>
        <v>0</v>
      </c>
      <c r="Y1247" s="487"/>
      <c r="Z1247" s="487"/>
      <c r="AA1247" s="276">
        <f t="shared" si="163"/>
        <v>0</v>
      </c>
      <c r="AB1247" s="573"/>
      <c r="AC1247" s="487"/>
      <c r="AD1247" s="573"/>
      <c r="AE1247" s="487"/>
      <c r="AF1247" s="577">
        <f t="shared" si="159"/>
        <v>404200</v>
      </c>
      <c r="AG1247" s="275">
        <f t="shared" si="160"/>
        <v>341500</v>
      </c>
    </row>
    <row r="1248" spans="1:33" s="578" customFormat="1" ht="12" customHeight="1">
      <c r="A1248" s="597" t="s">
        <v>1278</v>
      </c>
      <c r="B1248" s="667" t="s">
        <v>1821</v>
      </c>
      <c r="C1248" s="671" t="s">
        <v>1004</v>
      </c>
      <c r="D1248" s="600"/>
      <c r="E1248" s="601"/>
      <c r="F1248" s="573"/>
      <c r="G1248" s="487"/>
      <c r="H1248" s="576">
        <v>292200</v>
      </c>
      <c r="I1248" s="1211">
        <v>248400</v>
      </c>
      <c r="J1248" s="573"/>
      <c r="K1248" s="487"/>
      <c r="L1248" s="573"/>
      <c r="M1248" s="573"/>
      <c r="N1248" s="456">
        <f t="shared" si="161"/>
        <v>0</v>
      </c>
      <c r="O1248" s="487"/>
      <c r="P1248" s="487"/>
      <c r="Q1248" s="274">
        <f t="shared" si="156"/>
        <v>0</v>
      </c>
      <c r="R1248" s="574">
        <f t="shared" si="157"/>
        <v>292200</v>
      </c>
      <c r="S1248" s="275">
        <f t="shared" si="158"/>
        <v>248400</v>
      </c>
      <c r="T1248" s="575"/>
      <c r="U1248" s="487"/>
      <c r="V1248" s="576"/>
      <c r="W1248" s="573"/>
      <c r="X1248" s="574">
        <f t="shared" si="162"/>
        <v>0</v>
      </c>
      <c r="Y1248" s="487"/>
      <c r="Z1248" s="487"/>
      <c r="AA1248" s="276">
        <f t="shared" si="163"/>
        <v>0</v>
      </c>
      <c r="AB1248" s="573"/>
      <c r="AC1248" s="487"/>
      <c r="AD1248" s="573"/>
      <c r="AE1248" s="487"/>
      <c r="AF1248" s="577">
        <f t="shared" si="159"/>
        <v>292200</v>
      </c>
      <c r="AG1248" s="275">
        <f t="shared" si="160"/>
        <v>248400</v>
      </c>
    </row>
    <row r="1249" spans="1:33" s="578" customFormat="1" ht="12" customHeight="1">
      <c r="A1249" s="597" t="s">
        <v>1278</v>
      </c>
      <c r="B1249" s="667" t="s">
        <v>1821</v>
      </c>
      <c r="C1249" s="671" t="s">
        <v>1005</v>
      </c>
      <c r="D1249" s="600"/>
      <c r="E1249" s="601"/>
      <c r="F1249" s="573"/>
      <c r="G1249" s="487"/>
      <c r="H1249" s="576">
        <v>5480100</v>
      </c>
      <c r="I1249" s="487">
        <v>5586100</v>
      </c>
      <c r="J1249" s="573"/>
      <c r="K1249" s="487"/>
      <c r="L1249" s="573"/>
      <c r="M1249" s="573"/>
      <c r="N1249" s="456">
        <f t="shared" si="161"/>
        <v>0</v>
      </c>
      <c r="O1249" s="487"/>
      <c r="P1249" s="487"/>
      <c r="Q1249" s="274">
        <f t="shared" si="156"/>
        <v>0</v>
      </c>
      <c r="R1249" s="574">
        <f t="shared" si="157"/>
        <v>5480100</v>
      </c>
      <c r="S1249" s="275">
        <f t="shared" si="158"/>
        <v>5586100</v>
      </c>
      <c r="T1249" s="575"/>
      <c r="U1249" s="487"/>
      <c r="V1249" s="576"/>
      <c r="W1249" s="573"/>
      <c r="X1249" s="574">
        <f t="shared" si="162"/>
        <v>0</v>
      </c>
      <c r="Y1249" s="487"/>
      <c r="Z1249" s="487"/>
      <c r="AA1249" s="276">
        <f t="shared" si="163"/>
        <v>0</v>
      </c>
      <c r="AB1249" s="573"/>
      <c r="AC1249" s="487"/>
      <c r="AD1249" s="573"/>
      <c r="AE1249" s="487"/>
      <c r="AF1249" s="577">
        <f t="shared" si="159"/>
        <v>5480100</v>
      </c>
      <c r="AG1249" s="275">
        <f t="shared" si="160"/>
        <v>5586100</v>
      </c>
    </row>
    <row r="1250" spans="1:33" s="578" customFormat="1" ht="12" customHeight="1">
      <c r="A1250" s="597" t="s">
        <v>1278</v>
      </c>
      <c r="B1250" s="667" t="s">
        <v>1821</v>
      </c>
      <c r="C1250" s="671" t="s">
        <v>0</v>
      </c>
      <c r="D1250" s="600"/>
      <c r="E1250" s="601"/>
      <c r="F1250" s="573"/>
      <c r="G1250" s="487"/>
      <c r="H1250" s="576">
        <v>676400</v>
      </c>
      <c r="I1250" s="487">
        <v>250000</v>
      </c>
      <c r="J1250" s="573"/>
      <c r="K1250" s="487"/>
      <c r="L1250" s="573"/>
      <c r="M1250" s="573"/>
      <c r="N1250" s="456">
        <f t="shared" si="161"/>
        <v>0</v>
      </c>
      <c r="O1250" s="487"/>
      <c r="P1250" s="487"/>
      <c r="Q1250" s="274">
        <f t="shared" si="156"/>
        <v>0</v>
      </c>
      <c r="R1250" s="574">
        <f t="shared" si="157"/>
        <v>676400</v>
      </c>
      <c r="S1250" s="275">
        <f t="shared" si="158"/>
        <v>250000</v>
      </c>
      <c r="T1250" s="575"/>
      <c r="U1250" s="487"/>
      <c r="V1250" s="576"/>
      <c r="W1250" s="573"/>
      <c r="X1250" s="574">
        <f t="shared" si="162"/>
        <v>0</v>
      </c>
      <c r="Y1250" s="487"/>
      <c r="Z1250" s="487"/>
      <c r="AA1250" s="276">
        <f t="shared" si="163"/>
        <v>0</v>
      </c>
      <c r="AB1250" s="573"/>
      <c r="AC1250" s="487"/>
      <c r="AD1250" s="573"/>
      <c r="AE1250" s="487"/>
      <c r="AF1250" s="577">
        <f t="shared" si="159"/>
        <v>676400</v>
      </c>
      <c r="AG1250" s="275">
        <f t="shared" si="160"/>
        <v>250000</v>
      </c>
    </row>
    <row r="1251" spans="1:33" s="578" customFormat="1" ht="12" customHeight="1">
      <c r="A1251" s="597" t="s">
        <v>1278</v>
      </c>
      <c r="B1251" s="667" t="s">
        <v>1821</v>
      </c>
      <c r="C1251" s="671" t="s">
        <v>1</v>
      </c>
      <c r="D1251" s="600"/>
      <c r="E1251" s="601"/>
      <c r="F1251" s="573"/>
      <c r="G1251" s="487"/>
      <c r="H1251" s="576">
        <v>677300</v>
      </c>
      <c r="I1251" s="487">
        <v>0</v>
      </c>
      <c r="J1251" s="573"/>
      <c r="K1251" s="487"/>
      <c r="L1251" s="573"/>
      <c r="M1251" s="573"/>
      <c r="N1251" s="456">
        <f t="shared" si="161"/>
        <v>0</v>
      </c>
      <c r="O1251" s="487"/>
      <c r="P1251" s="487"/>
      <c r="Q1251" s="274">
        <f t="shared" si="156"/>
        <v>0</v>
      </c>
      <c r="R1251" s="574">
        <f t="shared" si="157"/>
        <v>677300</v>
      </c>
      <c r="S1251" s="275">
        <f t="shared" si="158"/>
        <v>0</v>
      </c>
      <c r="T1251" s="575"/>
      <c r="U1251" s="487"/>
      <c r="V1251" s="576"/>
      <c r="W1251" s="573"/>
      <c r="X1251" s="574">
        <f t="shared" si="162"/>
        <v>0</v>
      </c>
      <c r="Y1251" s="487"/>
      <c r="Z1251" s="487"/>
      <c r="AA1251" s="276">
        <f t="shared" si="163"/>
        <v>0</v>
      </c>
      <c r="AB1251" s="573"/>
      <c r="AC1251" s="487"/>
      <c r="AD1251" s="573"/>
      <c r="AE1251" s="487"/>
      <c r="AF1251" s="577">
        <f t="shared" si="159"/>
        <v>677300</v>
      </c>
      <c r="AG1251" s="275">
        <f t="shared" si="160"/>
        <v>0</v>
      </c>
    </row>
    <row r="1252" spans="1:33" s="578" customFormat="1" ht="12" customHeight="1">
      <c r="A1252" s="597" t="s">
        <v>1278</v>
      </c>
      <c r="B1252" s="667" t="s">
        <v>1821</v>
      </c>
      <c r="C1252" s="671" t="s">
        <v>3</v>
      </c>
      <c r="D1252" s="600"/>
      <c r="E1252" s="601"/>
      <c r="F1252" s="573"/>
      <c r="G1252" s="487"/>
      <c r="H1252" s="576">
        <v>2615600</v>
      </c>
      <c r="I1252" s="487">
        <v>3102000</v>
      </c>
      <c r="J1252" s="573"/>
      <c r="K1252" s="487"/>
      <c r="L1252" s="573"/>
      <c r="M1252" s="573"/>
      <c r="N1252" s="456">
        <f t="shared" si="161"/>
        <v>0</v>
      </c>
      <c r="O1252" s="487"/>
      <c r="P1252" s="487"/>
      <c r="Q1252" s="274">
        <f t="shared" si="156"/>
        <v>0</v>
      </c>
      <c r="R1252" s="574">
        <f t="shared" si="157"/>
        <v>2615600</v>
      </c>
      <c r="S1252" s="275">
        <f t="shared" si="158"/>
        <v>3102000</v>
      </c>
      <c r="T1252" s="575"/>
      <c r="U1252" s="487"/>
      <c r="V1252" s="576"/>
      <c r="W1252" s="573"/>
      <c r="X1252" s="574">
        <f t="shared" si="162"/>
        <v>0</v>
      </c>
      <c r="Y1252" s="487"/>
      <c r="Z1252" s="487"/>
      <c r="AA1252" s="276">
        <f t="shared" si="163"/>
        <v>0</v>
      </c>
      <c r="AB1252" s="573"/>
      <c r="AC1252" s="487"/>
      <c r="AD1252" s="573"/>
      <c r="AE1252" s="487"/>
      <c r="AF1252" s="577">
        <f t="shared" si="159"/>
        <v>2615600</v>
      </c>
      <c r="AG1252" s="275">
        <f t="shared" si="160"/>
        <v>3102000</v>
      </c>
    </row>
    <row r="1253" spans="1:33" s="578" customFormat="1" ht="12" customHeight="1">
      <c r="A1253" s="597" t="s">
        <v>1278</v>
      </c>
      <c r="B1253" s="667" t="s">
        <v>1821</v>
      </c>
      <c r="C1253" s="671" t="s">
        <v>4</v>
      </c>
      <c r="D1253" s="600"/>
      <c r="E1253" s="601"/>
      <c r="F1253" s="573"/>
      <c r="G1253" s="487"/>
      <c r="H1253" s="576">
        <v>4076300</v>
      </c>
      <c r="I1253" s="487">
        <v>3522200</v>
      </c>
      <c r="J1253" s="573"/>
      <c r="K1253" s="487"/>
      <c r="L1253" s="573"/>
      <c r="M1253" s="573"/>
      <c r="N1253" s="456">
        <f t="shared" si="161"/>
        <v>0</v>
      </c>
      <c r="O1253" s="487"/>
      <c r="P1253" s="487"/>
      <c r="Q1253" s="274">
        <f t="shared" si="156"/>
        <v>0</v>
      </c>
      <c r="R1253" s="574">
        <f t="shared" si="157"/>
        <v>4076300</v>
      </c>
      <c r="S1253" s="275">
        <f t="shared" si="158"/>
        <v>3522200</v>
      </c>
      <c r="T1253" s="575"/>
      <c r="U1253" s="487"/>
      <c r="V1253" s="576"/>
      <c r="W1253" s="573"/>
      <c r="X1253" s="574">
        <f t="shared" si="162"/>
        <v>0</v>
      </c>
      <c r="Y1253" s="487"/>
      <c r="Z1253" s="487"/>
      <c r="AA1253" s="276">
        <f t="shared" si="163"/>
        <v>0</v>
      </c>
      <c r="AB1253" s="573"/>
      <c r="AC1253" s="487"/>
      <c r="AD1253" s="573"/>
      <c r="AE1253" s="487"/>
      <c r="AF1253" s="577">
        <f t="shared" si="159"/>
        <v>4076300</v>
      </c>
      <c r="AG1253" s="275">
        <f t="shared" si="160"/>
        <v>3522200</v>
      </c>
    </row>
    <row r="1254" spans="1:33" s="578" customFormat="1" ht="12" customHeight="1">
      <c r="A1254" s="597" t="s">
        <v>1278</v>
      </c>
      <c r="B1254" s="667" t="s">
        <v>1821</v>
      </c>
      <c r="C1254" s="671" t="s">
        <v>5</v>
      </c>
      <c r="D1254" s="600"/>
      <c r="E1254" s="601"/>
      <c r="F1254" s="573"/>
      <c r="G1254" s="487"/>
      <c r="H1254" s="576">
        <v>2153900</v>
      </c>
      <c r="I1254" s="487">
        <v>1973600</v>
      </c>
      <c r="J1254" s="573"/>
      <c r="K1254" s="487"/>
      <c r="L1254" s="573"/>
      <c r="M1254" s="573"/>
      <c r="N1254" s="456">
        <f t="shared" si="161"/>
        <v>0</v>
      </c>
      <c r="O1254" s="487"/>
      <c r="P1254" s="487"/>
      <c r="Q1254" s="274">
        <f t="shared" si="156"/>
        <v>0</v>
      </c>
      <c r="R1254" s="574">
        <f t="shared" si="157"/>
        <v>2153900</v>
      </c>
      <c r="S1254" s="275">
        <f t="shared" si="158"/>
        <v>1973600</v>
      </c>
      <c r="T1254" s="575"/>
      <c r="U1254" s="487"/>
      <c r="V1254" s="576"/>
      <c r="W1254" s="573"/>
      <c r="X1254" s="574">
        <f t="shared" si="162"/>
        <v>0</v>
      </c>
      <c r="Y1254" s="487"/>
      <c r="Z1254" s="487"/>
      <c r="AA1254" s="276">
        <f t="shared" si="163"/>
        <v>0</v>
      </c>
      <c r="AB1254" s="573"/>
      <c r="AC1254" s="487"/>
      <c r="AD1254" s="573"/>
      <c r="AE1254" s="487"/>
      <c r="AF1254" s="577">
        <f t="shared" si="159"/>
        <v>2153900</v>
      </c>
      <c r="AG1254" s="275">
        <f t="shared" si="160"/>
        <v>1973600</v>
      </c>
    </row>
    <row r="1255" spans="1:33" s="578" customFormat="1" ht="12" customHeight="1">
      <c r="A1255" s="597" t="s">
        <v>1278</v>
      </c>
      <c r="B1255" s="667" t="s">
        <v>1821</v>
      </c>
      <c r="C1255" s="671" t="s">
        <v>6</v>
      </c>
      <c r="D1255" s="600"/>
      <c r="E1255" s="601"/>
      <c r="F1255" s="573"/>
      <c r="G1255" s="487"/>
      <c r="H1255" s="576">
        <v>24225200</v>
      </c>
      <c r="I1255" s="487">
        <v>22585000</v>
      </c>
      <c r="J1255" s="573"/>
      <c r="K1255" s="487"/>
      <c r="L1255" s="573"/>
      <c r="M1255" s="573"/>
      <c r="N1255" s="456">
        <f t="shared" si="161"/>
        <v>0</v>
      </c>
      <c r="O1255" s="487"/>
      <c r="P1255" s="487"/>
      <c r="Q1255" s="274">
        <f t="shared" si="156"/>
        <v>0</v>
      </c>
      <c r="R1255" s="574">
        <f t="shared" si="157"/>
        <v>24225200</v>
      </c>
      <c r="S1255" s="275">
        <f t="shared" si="158"/>
        <v>22585000</v>
      </c>
      <c r="T1255" s="575"/>
      <c r="U1255" s="487"/>
      <c r="V1255" s="576"/>
      <c r="W1255" s="573"/>
      <c r="X1255" s="574">
        <f t="shared" si="162"/>
        <v>0</v>
      </c>
      <c r="Y1255" s="487"/>
      <c r="Z1255" s="487"/>
      <c r="AA1255" s="276">
        <f t="shared" si="163"/>
        <v>0</v>
      </c>
      <c r="AB1255" s="573"/>
      <c r="AC1255" s="487"/>
      <c r="AD1255" s="573"/>
      <c r="AE1255" s="487"/>
      <c r="AF1255" s="577">
        <f t="shared" si="159"/>
        <v>24225200</v>
      </c>
      <c r="AG1255" s="275">
        <f t="shared" si="160"/>
        <v>22585000</v>
      </c>
    </row>
    <row r="1256" spans="1:33" s="578" customFormat="1" ht="12" customHeight="1">
      <c r="A1256" s="597" t="s">
        <v>1278</v>
      </c>
      <c r="B1256" s="667" t="s">
        <v>1821</v>
      </c>
      <c r="C1256" s="671" t="s">
        <v>7</v>
      </c>
      <c r="D1256" s="600"/>
      <c r="E1256" s="601"/>
      <c r="F1256" s="573"/>
      <c r="G1256" s="487"/>
      <c r="H1256" s="576">
        <v>211300</v>
      </c>
      <c r="I1256" s="487">
        <v>170400</v>
      </c>
      <c r="J1256" s="573"/>
      <c r="K1256" s="487"/>
      <c r="L1256" s="573"/>
      <c r="M1256" s="573"/>
      <c r="N1256" s="456">
        <f t="shared" si="161"/>
        <v>0</v>
      </c>
      <c r="O1256" s="487"/>
      <c r="P1256" s="487"/>
      <c r="Q1256" s="274">
        <f t="shared" si="156"/>
        <v>0</v>
      </c>
      <c r="R1256" s="574">
        <f t="shared" si="157"/>
        <v>211300</v>
      </c>
      <c r="S1256" s="275">
        <f t="shared" si="158"/>
        <v>170400</v>
      </c>
      <c r="T1256" s="575"/>
      <c r="U1256" s="487"/>
      <c r="V1256" s="576"/>
      <c r="W1256" s="573"/>
      <c r="X1256" s="574">
        <f t="shared" si="162"/>
        <v>0</v>
      </c>
      <c r="Y1256" s="487"/>
      <c r="Z1256" s="487"/>
      <c r="AA1256" s="276">
        <f t="shared" si="163"/>
        <v>0</v>
      </c>
      <c r="AB1256" s="573"/>
      <c r="AC1256" s="487"/>
      <c r="AD1256" s="573"/>
      <c r="AE1256" s="487"/>
      <c r="AF1256" s="577">
        <f t="shared" si="159"/>
        <v>211300</v>
      </c>
      <c r="AG1256" s="275">
        <f t="shared" si="160"/>
        <v>170400</v>
      </c>
    </row>
    <row r="1257" spans="1:33" s="578" customFormat="1" ht="12" customHeight="1" thickBot="1">
      <c r="A1257" s="597" t="s">
        <v>1278</v>
      </c>
      <c r="B1257" s="667" t="s">
        <v>1821</v>
      </c>
      <c r="C1257" s="671" t="s">
        <v>8</v>
      </c>
      <c r="D1257" s="600"/>
      <c r="E1257" s="601"/>
      <c r="F1257" s="573"/>
      <c r="G1257" s="487"/>
      <c r="H1257" s="591">
        <v>9934900</v>
      </c>
      <c r="I1257" s="471">
        <v>7252800</v>
      </c>
      <c r="J1257" s="573"/>
      <c r="K1257" s="487"/>
      <c r="L1257" s="573"/>
      <c r="M1257" s="573"/>
      <c r="N1257" s="456">
        <f t="shared" si="161"/>
        <v>0</v>
      </c>
      <c r="O1257" s="487"/>
      <c r="P1257" s="487"/>
      <c r="Q1257" s="274">
        <f t="shared" si="156"/>
        <v>0</v>
      </c>
      <c r="R1257" s="574">
        <f t="shared" si="157"/>
        <v>9934900</v>
      </c>
      <c r="S1257" s="275">
        <f t="shared" si="158"/>
        <v>7252800</v>
      </c>
      <c r="T1257" s="575"/>
      <c r="U1257" s="487"/>
      <c r="V1257" s="576"/>
      <c r="W1257" s="573"/>
      <c r="X1257" s="574">
        <f t="shared" si="162"/>
        <v>0</v>
      </c>
      <c r="Y1257" s="487"/>
      <c r="Z1257" s="487"/>
      <c r="AA1257" s="276">
        <f t="shared" si="163"/>
        <v>0</v>
      </c>
      <c r="AB1257" s="573"/>
      <c r="AC1257" s="487"/>
      <c r="AD1257" s="573"/>
      <c r="AE1257" s="487"/>
      <c r="AF1257" s="577">
        <f t="shared" si="159"/>
        <v>9934900</v>
      </c>
      <c r="AG1257" s="275">
        <f t="shared" si="160"/>
        <v>7252800</v>
      </c>
    </row>
    <row r="1258" spans="1:33" s="578" customFormat="1" ht="12" customHeight="1">
      <c r="A1258" s="597" t="s">
        <v>1278</v>
      </c>
      <c r="B1258" s="667" t="s">
        <v>1794</v>
      </c>
      <c r="C1258" s="492" t="s">
        <v>849</v>
      </c>
      <c r="D1258" s="600"/>
      <c r="E1258" s="601"/>
      <c r="F1258" s="573"/>
      <c r="G1258" s="487"/>
      <c r="H1258" s="573"/>
      <c r="I1258" s="487"/>
      <c r="J1258" s="573"/>
      <c r="K1258" s="487"/>
      <c r="L1258" s="573"/>
      <c r="M1258" s="573"/>
      <c r="N1258" s="456">
        <f t="shared" si="161"/>
        <v>0</v>
      </c>
      <c r="O1258" s="487"/>
      <c r="P1258" s="487"/>
      <c r="Q1258" s="274">
        <f t="shared" si="156"/>
        <v>0</v>
      </c>
      <c r="R1258" s="574">
        <f t="shared" si="157"/>
        <v>0</v>
      </c>
      <c r="S1258" s="275">
        <f t="shared" si="158"/>
        <v>0</v>
      </c>
      <c r="T1258" s="575"/>
      <c r="U1258" s="487"/>
      <c r="V1258" s="576"/>
      <c r="W1258" s="573"/>
      <c r="X1258" s="574">
        <f t="shared" si="162"/>
        <v>0</v>
      </c>
      <c r="Y1258" s="487"/>
      <c r="Z1258" s="487"/>
      <c r="AA1258" s="276">
        <f t="shared" si="163"/>
        <v>0</v>
      </c>
      <c r="AB1258" s="573"/>
      <c r="AC1258" s="487"/>
      <c r="AD1258" s="573"/>
      <c r="AE1258" s="487"/>
      <c r="AF1258" s="577">
        <f t="shared" si="159"/>
        <v>0</v>
      </c>
      <c r="AG1258" s="275">
        <f t="shared" si="160"/>
        <v>0</v>
      </c>
    </row>
    <row r="1259" spans="1:33" s="578" customFormat="1" ht="12" customHeight="1">
      <c r="A1259" s="597" t="s">
        <v>1278</v>
      </c>
      <c r="B1259" s="667" t="s">
        <v>1795</v>
      </c>
      <c r="C1259" s="295" t="s">
        <v>957</v>
      </c>
      <c r="D1259" s="600"/>
      <c r="E1259" s="601"/>
      <c r="F1259" s="573"/>
      <c r="G1259" s="487"/>
      <c r="H1259" s="573"/>
      <c r="I1259" s="487"/>
      <c r="J1259" s="573"/>
      <c r="K1259" s="487"/>
      <c r="L1259" s="573"/>
      <c r="M1259" s="573"/>
      <c r="N1259" s="456">
        <f t="shared" si="161"/>
        <v>0</v>
      </c>
      <c r="O1259" s="487"/>
      <c r="P1259" s="487"/>
      <c r="Q1259" s="274">
        <f t="shared" si="156"/>
        <v>0</v>
      </c>
      <c r="R1259" s="574">
        <f t="shared" si="157"/>
        <v>0</v>
      </c>
      <c r="S1259" s="275">
        <f t="shared" si="158"/>
        <v>0</v>
      </c>
      <c r="T1259" s="575"/>
      <c r="U1259" s="487"/>
      <c r="V1259" s="576"/>
      <c r="W1259" s="573"/>
      <c r="X1259" s="574">
        <f t="shared" si="162"/>
        <v>0</v>
      </c>
      <c r="Y1259" s="487"/>
      <c r="Z1259" s="487"/>
      <c r="AA1259" s="276">
        <f t="shared" si="163"/>
        <v>0</v>
      </c>
      <c r="AB1259" s="573"/>
      <c r="AC1259" s="487"/>
      <c r="AD1259" s="573"/>
      <c r="AE1259" s="487"/>
      <c r="AF1259" s="577">
        <f t="shared" si="159"/>
        <v>0</v>
      </c>
      <c r="AG1259" s="275">
        <f t="shared" si="160"/>
        <v>0</v>
      </c>
    </row>
    <row r="1260" spans="1:33" s="578" customFormat="1" ht="12" customHeight="1">
      <c r="A1260" s="597" t="s">
        <v>1278</v>
      </c>
      <c r="B1260" s="667" t="s">
        <v>1795</v>
      </c>
      <c r="C1260" s="671" t="s">
        <v>9</v>
      </c>
      <c r="D1260" s="600"/>
      <c r="E1260" s="601"/>
      <c r="F1260" s="573"/>
      <c r="G1260" s="487"/>
      <c r="H1260" s="573"/>
      <c r="I1260" s="487"/>
      <c r="J1260" s="573"/>
      <c r="K1260" s="487"/>
      <c r="L1260" s="573"/>
      <c r="M1260" s="573"/>
      <c r="N1260" s="456">
        <f t="shared" si="161"/>
        <v>0</v>
      </c>
      <c r="O1260" s="487"/>
      <c r="P1260" s="487"/>
      <c r="Q1260" s="274">
        <f t="shared" si="156"/>
        <v>0</v>
      </c>
      <c r="R1260" s="574">
        <f t="shared" si="157"/>
        <v>0</v>
      </c>
      <c r="S1260" s="275">
        <f t="shared" si="158"/>
        <v>0</v>
      </c>
      <c r="T1260" s="575">
        <v>5759800</v>
      </c>
      <c r="U1260" s="487">
        <v>5336200</v>
      </c>
      <c r="V1260" s="576"/>
      <c r="W1260" s="573"/>
      <c r="X1260" s="574">
        <f t="shared" si="162"/>
        <v>0</v>
      </c>
      <c r="Y1260" s="487"/>
      <c r="Z1260" s="487"/>
      <c r="AA1260" s="276">
        <f t="shared" si="163"/>
        <v>0</v>
      </c>
      <c r="AB1260" s="573"/>
      <c r="AC1260" s="487"/>
      <c r="AD1260" s="573"/>
      <c r="AE1260" s="487"/>
      <c r="AF1260" s="577">
        <f t="shared" si="159"/>
        <v>5759800</v>
      </c>
      <c r="AG1260" s="275">
        <f t="shared" si="160"/>
        <v>5336200</v>
      </c>
    </row>
    <row r="1261" spans="1:33" s="578" customFormat="1" ht="12" customHeight="1">
      <c r="A1261" s="597" t="s">
        <v>1278</v>
      </c>
      <c r="B1261" s="667" t="s">
        <v>1796</v>
      </c>
      <c r="C1261" s="295" t="s">
        <v>956</v>
      </c>
      <c r="D1261" s="600"/>
      <c r="E1261" s="601"/>
      <c r="F1261" s="573"/>
      <c r="G1261" s="487"/>
      <c r="H1261" s="573"/>
      <c r="I1261" s="487"/>
      <c r="J1261" s="573"/>
      <c r="K1261" s="487"/>
      <c r="L1261" s="573"/>
      <c r="M1261" s="573"/>
      <c r="N1261" s="456">
        <f t="shared" si="161"/>
        <v>0</v>
      </c>
      <c r="O1261" s="487"/>
      <c r="P1261" s="487"/>
      <c r="Q1261" s="274">
        <f t="shared" si="156"/>
        <v>0</v>
      </c>
      <c r="R1261" s="574">
        <f t="shared" si="157"/>
        <v>0</v>
      </c>
      <c r="S1261" s="275">
        <f t="shared" si="158"/>
        <v>0</v>
      </c>
      <c r="T1261" s="575"/>
      <c r="U1261" s="487"/>
      <c r="V1261" s="576"/>
      <c r="W1261" s="573"/>
      <c r="X1261" s="574">
        <f t="shared" si="162"/>
        <v>0</v>
      </c>
      <c r="Y1261" s="487"/>
      <c r="Z1261" s="487"/>
      <c r="AA1261" s="276">
        <f t="shared" si="163"/>
        <v>0</v>
      </c>
      <c r="AB1261" s="573"/>
      <c r="AC1261" s="487"/>
      <c r="AD1261" s="573"/>
      <c r="AE1261" s="487"/>
      <c r="AF1261" s="577">
        <f t="shared" si="159"/>
        <v>0</v>
      </c>
      <c r="AG1261" s="275">
        <f t="shared" si="160"/>
        <v>0</v>
      </c>
    </row>
    <row r="1262" spans="1:33" s="578" customFormat="1" ht="12" customHeight="1">
      <c r="A1262" s="597" t="s">
        <v>1278</v>
      </c>
      <c r="B1262" s="667" t="s">
        <v>1796</v>
      </c>
      <c r="C1262" s="671" t="s">
        <v>10</v>
      </c>
      <c r="D1262" s="600"/>
      <c r="E1262" s="601"/>
      <c r="F1262" s="573"/>
      <c r="G1262" s="487"/>
      <c r="H1262" s="573"/>
      <c r="I1262" s="487"/>
      <c r="J1262" s="573"/>
      <c r="K1262" s="487"/>
      <c r="L1262" s="573"/>
      <c r="M1262" s="573"/>
      <c r="N1262" s="456">
        <f t="shared" si="161"/>
        <v>0</v>
      </c>
      <c r="O1262" s="487"/>
      <c r="P1262" s="487"/>
      <c r="Q1262" s="274">
        <f t="shared" si="156"/>
        <v>0</v>
      </c>
      <c r="R1262" s="574">
        <f t="shared" si="157"/>
        <v>0</v>
      </c>
      <c r="S1262" s="275">
        <f t="shared" si="158"/>
        <v>0</v>
      </c>
      <c r="T1262" s="670">
        <v>23066299</v>
      </c>
      <c r="U1262" s="949">
        <v>15281500</v>
      </c>
      <c r="V1262" s="576"/>
      <c r="W1262" s="573"/>
      <c r="X1262" s="574">
        <f t="shared" si="162"/>
        <v>0</v>
      </c>
      <c r="Y1262" s="487"/>
      <c r="Z1262" s="487"/>
      <c r="AA1262" s="276">
        <f t="shared" si="163"/>
        <v>0</v>
      </c>
      <c r="AB1262" s="573"/>
      <c r="AC1262" s="487"/>
      <c r="AD1262" s="573"/>
      <c r="AE1262" s="487"/>
      <c r="AF1262" s="577">
        <f t="shared" si="159"/>
        <v>23066299</v>
      </c>
      <c r="AG1262" s="275">
        <f t="shared" si="160"/>
        <v>15281500</v>
      </c>
    </row>
    <row r="1263" spans="1:33" s="578" customFormat="1" ht="12" customHeight="1">
      <c r="A1263" s="597" t="s">
        <v>1278</v>
      </c>
      <c r="B1263" s="667" t="s">
        <v>1797</v>
      </c>
      <c r="C1263" s="295" t="s">
        <v>955</v>
      </c>
      <c r="D1263" s="600"/>
      <c r="E1263" s="601"/>
      <c r="F1263" s="573"/>
      <c r="G1263" s="487"/>
      <c r="H1263" s="573"/>
      <c r="I1263" s="487"/>
      <c r="J1263" s="573"/>
      <c r="K1263" s="487"/>
      <c r="L1263" s="573"/>
      <c r="M1263" s="573"/>
      <c r="N1263" s="456">
        <f t="shared" si="161"/>
        <v>0</v>
      </c>
      <c r="O1263" s="487"/>
      <c r="P1263" s="487"/>
      <c r="Q1263" s="274">
        <f t="shared" si="156"/>
        <v>0</v>
      </c>
      <c r="R1263" s="574">
        <f t="shared" si="157"/>
        <v>0</v>
      </c>
      <c r="S1263" s="275">
        <f t="shared" si="158"/>
        <v>0</v>
      </c>
      <c r="T1263" s="575"/>
      <c r="U1263" s="487"/>
      <c r="V1263" s="576"/>
      <c r="W1263" s="573"/>
      <c r="X1263" s="574">
        <f t="shared" si="162"/>
        <v>0</v>
      </c>
      <c r="Y1263" s="487"/>
      <c r="Z1263" s="487"/>
      <c r="AA1263" s="276">
        <f t="shared" si="163"/>
        <v>0</v>
      </c>
      <c r="AB1263" s="573"/>
      <c r="AC1263" s="487"/>
      <c r="AD1263" s="573"/>
      <c r="AE1263" s="487"/>
      <c r="AF1263" s="577">
        <f t="shared" si="159"/>
        <v>0</v>
      </c>
      <c r="AG1263" s="275">
        <f t="shared" si="160"/>
        <v>0</v>
      </c>
    </row>
    <row r="1264" spans="1:33" s="578" customFormat="1" ht="12" customHeight="1">
      <c r="A1264" s="597" t="s">
        <v>1278</v>
      </c>
      <c r="B1264" s="667" t="s">
        <v>1797</v>
      </c>
      <c r="C1264" s="671" t="s">
        <v>11</v>
      </c>
      <c r="D1264" s="600"/>
      <c r="E1264" s="601"/>
      <c r="F1264" s="573"/>
      <c r="G1264" s="487"/>
      <c r="H1264" s="573"/>
      <c r="I1264" s="487"/>
      <c r="J1264" s="573"/>
      <c r="K1264" s="487"/>
      <c r="L1264" s="573"/>
      <c r="M1264" s="573"/>
      <c r="N1264" s="456">
        <f t="shared" si="161"/>
        <v>0</v>
      </c>
      <c r="O1264" s="487"/>
      <c r="P1264" s="487"/>
      <c r="Q1264" s="274">
        <f t="shared" si="156"/>
        <v>0</v>
      </c>
      <c r="R1264" s="574">
        <f t="shared" si="157"/>
        <v>0</v>
      </c>
      <c r="S1264" s="275">
        <f t="shared" si="158"/>
        <v>0</v>
      </c>
      <c r="T1264" s="575">
        <v>113000</v>
      </c>
      <c r="U1264" s="487">
        <v>193550</v>
      </c>
      <c r="V1264" s="576"/>
      <c r="W1264" s="573"/>
      <c r="X1264" s="574">
        <f t="shared" si="162"/>
        <v>0</v>
      </c>
      <c r="Y1264" s="487"/>
      <c r="Z1264" s="487"/>
      <c r="AA1264" s="276">
        <f t="shared" si="163"/>
        <v>0</v>
      </c>
      <c r="AB1264" s="573"/>
      <c r="AC1264" s="487"/>
      <c r="AD1264" s="573"/>
      <c r="AE1264" s="487"/>
      <c r="AF1264" s="577">
        <f t="shared" si="159"/>
        <v>113000</v>
      </c>
      <c r="AG1264" s="275">
        <f t="shared" si="160"/>
        <v>193550</v>
      </c>
    </row>
    <row r="1265" spans="1:33" s="578" customFormat="1" ht="12" customHeight="1">
      <c r="A1265" s="597" t="s">
        <v>1278</v>
      </c>
      <c r="B1265" s="667" t="s">
        <v>1821</v>
      </c>
      <c r="C1265" s="671" t="s">
        <v>2</v>
      </c>
      <c r="D1265" s="600"/>
      <c r="E1265" s="601"/>
      <c r="F1265" s="573"/>
      <c r="G1265" s="487"/>
      <c r="H1265" s="576">
        <v>113000</v>
      </c>
      <c r="I1265" s="487">
        <v>92200</v>
      </c>
      <c r="J1265" s="573"/>
      <c r="K1265" s="487"/>
      <c r="L1265" s="589"/>
      <c r="M1265" s="573"/>
      <c r="N1265" s="456">
        <f t="shared" si="161"/>
        <v>0</v>
      </c>
      <c r="O1265" s="487"/>
      <c r="P1265" s="487"/>
      <c r="Q1265" s="274">
        <f t="shared" si="156"/>
        <v>0</v>
      </c>
      <c r="R1265" s="574">
        <f t="shared" si="157"/>
        <v>113000</v>
      </c>
      <c r="S1265" s="275">
        <f t="shared" si="158"/>
        <v>92200</v>
      </c>
      <c r="T1265" s="575"/>
      <c r="U1265" s="487"/>
      <c r="V1265" s="576"/>
      <c r="W1265" s="573"/>
      <c r="X1265" s="574">
        <f t="shared" si="162"/>
        <v>0</v>
      </c>
      <c r="Y1265" s="487"/>
      <c r="Z1265" s="487"/>
      <c r="AA1265" s="276">
        <f t="shared" si="163"/>
        <v>0</v>
      </c>
      <c r="AB1265" s="573"/>
      <c r="AC1265" s="487"/>
      <c r="AD1265" s="573"/>
      <c r="AE1265" s="487"/>
      <c r="AF1265" s="577">
        <f t="shared" si="159"/>
        <v>113000</v>
      </c>
      <c r="AG1265" s="275">
        <f t="shared" si="160"/>
        <v>92200</v>
      </c>
    </row>
    <row r="1266" spans="1:33" s="578" customFormat="1" ht="12" customHeight="1">
      <c r="A1266" s="597" t="s">
        <v>1278</v>
      </c>
      <c r="B1266" s="667" t="s">
        <v>1797</v>
      </c>
      <c r="C1266" s="671" t="s">
        <v>12</v>
      </c>
      <c r="D1266" s="600"/>
      <c r="E1266" s="601"/>
      <c r="F1266" s="573"/>
      <c r="G1266" s="487"/>
      <c r="H1266" s="573">
        <v>58800</v>
      </c>
      <c r="I1266" s="949">
        <v>0</v>
      </c>
      <c r="J1266" s="573"/>
      <c r="K1266" s="487"/>
      <c r="L1266" s="573"/>
      <c r="M1266" s="573"/>
      <c r="N1266" s="456">
        <f t="shared" si="161"/>
        <v>0</v>
      </c>
      <c r="O1266" s="487"/>
      <c r="P1266" s="487"/>
      <c r="Q1266" s="274">
        <f t="shared" si="156"/>
        <v>0</v>
      </c>
      <c r="R1266" s="574">
        <f t="shared" si="157"/>
        <v>58800</v>
      </c>
      <c r="S1266" s="275">
        <f t="shared" si="158"/>
        <v>0</v>
      </c>
      <c r="T1266" s="573">
        <v>58800</v>
      </c>
      <c r="U1266" s="487">
        <v>0</v>
      </c>
      <c r="V1266" s="576"/>
      <c r="W1266" s="573"/>
      <c r="X1266" s="574">
        <f t="shared" si="162"/>
        <v>0</v>
      </c>
      <c r="Y1266" s="487"/>
      <c r="Z1266" s="487"/>
      <c r="AA1266" s="276">
        <f t="shared" si="163"/>
        <v>0</v>
      </c>
      <c r="AB1266" s="573"/>
      <c r="AC1266" s="487"/>
      <c r="AD1266" s="573"/>
      <c r="AE1266" s="487"/>
      <c r="AF1266" s="577">
        <f t="shared" si="159"/>
        <v>117600</v>
      </c>
      <c r="AG1266" s="275">
        <f t="shared" si="160"/>
        <v>0</v>
      </c>
    </row>
    <row r="1267" spans="1:33" s="578" customFormat="1" ht="12" customHeight="1">
      <c r="A1267" s="597" t="s">
        <v>1278</v>
      </c>
      <c r="B1267" s="667" t="s">
        <v>1798</v>
      </c>
      <c r="C1267" s="295" t="s">
        <v>1606</v>
      </c>
      <c r="D1267" s="600"/>
      <c r="E1267" s="601"/>
      <c r="F1267" s="573"/>
      <c r="G1267" s="487"/>
      <c r="H1267" s="573"/>
      <c r="I1267" s="487"/>
      <c r="J1267" s="573"/>
      <c r="K1267" s="487"/>
      <c r="L1267" s="573"/>
      <c r="M1267" s="573"/>
      <c r="N1267" s="456">
        <f t="shared" si="161"/>
        <v>0</v>
      </c>
      <c r="O1267" s="487"/>
      <c r="P1267" s="487"/>
      <c r="Q1267" s="274">
        <f t="shared" si="156"/>
        <v>0</v>
      </c>
      <c r="R1267" s="574">
        <f t="shared" si="157"/>
        <v>0</v>
      </c>
      <c r="S1267" s="275">
        <f t="shared" si="158"/>
        <v>0</v>
      </c>
      <c r="T1267" s="575"/>
      <c r="U1267" s="487"/>
      <c r="V1267" s="576"/>
      <c r="W1267" s="573"/>
      <c r="X1267" s="574">
        <f t="shared" si="162"/>
        <v>0</v>
      </c>
      <c r="Y1267" s="487"/>
      <c r="Z1267" s="487"/>
      <c r="AA1267" s="276">
        <f t="shared" si="163"/>
        <v>0</v>
      </c>
      <c r="AB1267" s="573"/>
      <c r="AC1267" s="487"/>
      <c r="AD1267" s="573"/>
      <c r="AE1267" s="487"/>
      <c r="AF1267" s="577">
        <f t="shared" si="159"/>
        <v>0</v>
      </c>
      <c r="AG1267" s="275">
        <f t="shared" si="160"/>
        <v>0</v>
      </c>
    </row>
    <row r="1268" spans="1:33" s="578" customFormat="1" ht="12" customHeight="1">
      <c r="A1268" s="597" t="s">
        <v>1278</v>
      </c>
      <c r="B1268" s="667" t="s">
        <v>1798</v>
      </c>
      <c r="C1268" s="671" t="s">
        <v>13</v>
      </c>
      <c r="D1268" s="683"/>
      <c r="E1268" s="607"/>
      <c r="F1268" s="573"/>
      <c r="G1268" s="487"/>
      <c r="H1268" s="573"/>
      <c r="I1268" s="487"/>
      <c r="J1268" s="573"/>
      <c r="K1268" s="487"/>
      <c r="L1268" s="573"/>
      <c r="M1268" s="573"/>
      <c r="N1268" s="456">
        <f t="shared" si="161"/>
        <v>0</v>
      </c>
      <c r="O1268" s="487"/>
      <c r="P1268" s="487"/>
      <c r="Q1268" s="274">
        <f t="shared" si="156"/>
        <v>0</v>
      </c>
      <c r="R1268" s="574">
        <f t="shared" si="157"/>
        <v>0</v>
      </c>
      <c r="S1268" s="275">
        <f t="shared" si="158"/>
        <v>0</v>
      </c>
      <c r="T1268" s="575">
        <v>0</v>
      </c>
      <c r="U1268" s="487">
        <v>0</v>
      </c>
      <c r="V1268" s="576"/>
      <c r="W1268" s="573"/>
      <c r="X1268" s="574">
        <f t="shared" si="162"/>
        <v>0</v>
      </c>
      <c r="Y1268" s="487"/>
      <c r="Z1268" s="487"/>
      <c r="AA1268" s="276">
        <f t="shared" si="163"/>
        <v>0</v>
      </c>
      <c r="AB1268" s="573"/>
      <c r="AC1268" s="487"/>
      <c r="AD1268" s="573"/>
      <c r="AE1268" s="487"/>
      <c r="AF1268" s="577">
        <f t="shared" si="159"/>
        <v>0</v>
      </c>
      <c r="AG1268" s="275">
        <f t="shared" si="160"/>
        <v>0</v>
      </c>
    </row>
    <row r="1269" spans="1:33" s="578" customFormat="1" ht="12" customHeight="1">
      <c r="A1269" s="597" t="s">
        <v>1278</v>
      </c>
      <c r="B1269" s="667" t="s">
        <v>1799</v>
      </c>
      <c r="C1269" s="492" t="s">
        <v>853</v>
      </c>
      <c r="D1269" s="600"/>
      <c r="E1269" s="601"/>
      <c r="F1269" s="573"/>
      <c r="G1269" s="487"/>
      <c r="H1269" s="573"/>
      <c r="I1269" s="487"/>
      <c r="J1269" s="573"/>
      <c r="K1269" s="487"/>
      <c r="L1269" s="573"/>
      <c r="M1269" s="573"/>
      <c r="N1269" s="456">
        <f t="shared" si="161"/>
        <v>0</v>
      </c>
      <c r="O1269" s="487"/>
      <c r="P1269" s="487"/>
      <c r="Q1269" s="274">
        <f t="shared" si="156"/>
        <v>0</v>
      </c>
      <c r="R1269" s="574">
        <f t="shared" si="157"/>
        <v>0</v>
      </c>
      <c r="S1269" s="275">
        <f t="shared" si="158"/>
        <v>0</v>
      </c>
      <c r="T1269" s="575"/>
      <c r="U1269" s="487"/>
      <c r="V1269" s="576"/>
      <c r="W1269" s="573"/>
      <c r="X1269" s="574">
        <f t="shared" si="162"/>
        <v>0</v>
      </c>
      <c r="Y1269" s="487"/>
      <c r="Z1269" s="487"/>
      <c r="AA1269" s="276">
        <f t="shared" si="163"/>
        <v>0</v>
      </c>
      <c r="AB1269" s="573"/>
      <c r="AC1269" s="487"/>
      <c r="AD1269" s="573"/>
      <c r="AE1269" s="487"/>
      <c r="AF1269" s="577">
        <f t="shared" si="159"/>
        <v>0</v>
      </c>
      <c r="AG1269" s="275">
        <f t="shared" si="160"/>
        <v>0</v>
      </c>
    </row>
    <row r="1270" spans="1:33" s="578" customFormat="1" ht="12" customHeight="1">
      <c r="A1270" s="597" t="s">
        <v>1278</v>
      </c>
      <c r="B1270" s="667" t="s">
        <v>1800</v>
      </c>
      <c r="C1270" s="492" t="s">
        <v>858</v>
      </c>
      <c r="D1270" s="600"/>
      <c r="E1270" s="601"/>
      <c r="F1270" s="573"/>
      <c r="G1270" s="487"/>
      <c r="H1270" s="573"/>
      <c r="I1270" s="487"/>
      <c r="J1270" s="573"/>
      <c r="K1270" s="487"/>
      <c r="L1270" s="573"/>
      <c r="M1270" s="573"/>
      <c r="N1270" s="456">
        <f t="shared" si="161"/>
        <v>0</v>
      </c>
      <c r="O1270" s="487"/>
      <c r="P1270" s="487"/>
      <c r="Q1270" s="274">
        <f t="shared" si="156"/>
        <v>0</v>
      </c>
      <c r="R1270" s="574">
        <f t="shared" si="157"/>
        <v>0</v>
      </c>
      <c r="S1270" s="275">
        <f t="shared" si="158"/>
        <v>0</v>
      </c>
      <c r="T1270" s="575"/>
      <c r="U1270" s="487"/>
      <c r="V1270" s="576"/>
      <c r="W1270" s="573"/>
      <c r="X1270" s="574">
        <f t="shared" si="162"/>
        <v>0</v>
      </c>
      <c r="Y1270" s="487"/>
      <c r="Z1270" s="487"/>
      <c r="AA1270" s="276">
        <f t="shared" si="163"/>
        <v>0</v>
      </c>
      <c r="AB1270" s="573"/>
      <c r="AC1270" s="487"/>
      <c r="AD1270" s="573"/>
      <c r="AE1270" s="487"/>
      <c r="AF1270" s="577">
        <f t="shared" si="159"/>
        <v>0</v>
      </c>
      <c r="AG1270" s="275">
        <f t="shared" si="160"/>
        <v>0</v>
      </c>
    </row>
    <row r="1271" spans="1:33" s="578" customFormat="1" ht="12" customHeight="1">
      <c r="A1271" s="597" t="s">
        <v>1278</v>
      </c>
      <c r="B1271" s="667" t="s">
        <v>1801</v>
      </c>
      <c r="C1271" s="295" t="s">
        <v>859</v>
      </c>
      <c r="D1271" s="600"/>
      <c r="E1271" s="601"/>
      <c r="F1271" s="573"/>
      <c r="G1271" s="487"/>
      <c r="H1271" s="573"/>
      <c r="I1271" s="487"/>
      <c r="J1271" s="573"/>
      <c r="K1271" s="487"/>
      <c r="L1271" s="573"/>
      <c r="M1271" s="573"/>
      <c r="N1271" s="456">
        <f t="shared" si="161"/>
        <v>0</v>
      </c>
      <c r="O1271" s="487"/>
      <c r="P1271" s="487"/>
      <c r="Q1271" s="274">
        <f t="shared" si="156"/>
        <v>0</v>
      </c>
      <c r="R1271" s="574">
        <f t="shared" si="157"/>
        <v>0</v>
      </c>
      <c r="S1271" s="275">
        <f t="shared" si="158"/>
        <v>0</v>
      </c>
      <c r="T1271" s="575"/>
      <c r="U1271" s="487"/>
      <c r="V1271" s="576"/>
      <c r="W1271" s="573"/>
      <c r="X1271" s="574">
        <f t="shared" si="162"/>
        <v>0</v>
      </c>
      <c r="Y1271" s="487"/>
      <c r="Z1271" s="487"/>
      <c r="AA1271" s="276">
        <f t="shared" si="163"/>
        <v>0</v>
      </c>
      <c r="AB1271" s="573"/>
      <c r="AC1271" s="487"/>
      <c r="AD1271" s="573"/>
      <c r="AE1271" s="487"/>
      <c r="AF1271" s="577">
        <f t="shared" si="159"/>
        <v>0</v>
      </c>
      <c r="AG1271" s="275">
        <f t="shared" si="160"/>
        <v>0</v>
      </c>
    </row>
    <row r="1272" spans="1:33" s="578" customFormat="1" ht="12" customHeight="1">
      <c r="A1272" s="597" t="s">
        <v>1278</v>
      </c>
      <c r="B1272" s="667" t="s">
        <v>1801</v>
      </c>
      <c r="C1272" s="669" t="s">
        <v>703</v>
      </c>
      <c r="D1272" s="600"/>
      <c r="E1272" s="601"/>
      <c r="F1272" s="573"/>
      <c r="G1272" s="487"/>
      <c r="H1272" s="573"/>
      <c r="I1272" s="487"/>
      <c r="J1272" s="573"/>
      <c r="K1272" s="487"/>
      <c r="L1272" s="573"/>
      <c r="M1272" s="573"/>
      <c r="N1272" s="456">
        <f t="shared" si="161"/>
        <v>0</v>
      </c>
      <c r="O1272" s="487"/>
      <c r="P1272" s="487"/>
      <c r="Q1272" s="274">
        <f t="shared" si="156"/>
        <v>0</v>
      </c>
      <c r="R1272" s="574">
        <f t="shared" si="157"/>
        <v>0</v>
      </c>
      <c r="S1272" s="275">
        <f t="shared" si="158"/>
        <v>0</v>
      </c>
      <c r="T1272" s="575">
        <v>179200</v>
      </c>
      <c r="U1272" s="487">
        <v>268800</v>
      </c>
      <c r="V1272" s="576"/>
      <c r="W1272" s="573"/>
      <c r="X1272" s="574">
        <f t="shared" si="162"/>
        <v>0</v>
      </c>
      <c r="Y1272" s="487"/>
      <c r="Z1272" s="487"/>
      <c r="AA1272" s="276">
        <f t="shared" si="163"/>
        <v>0</v>
      </c>
      <c r="AB1272" s="573"/>
      <c r="AC1272" s="487"/>
      <c r="AD1272" s="573"/>
      <c r="AE1272" s="487"/>
      <c r="AF1272" s="577">
        <f t="shared" si="159"/>
        <v>179200</v>
      </c>
      <c r="AG1272" s="275">
        <f t="shared" si="160"/>
        <v>268800</v>
      </c>
    </row>
    <row r="1273" spans="1:33" s="578" customFormat="1" ht="12" customHeight="1">
      <c r="A1273" s="597" t="s">
        <v>1278</v>
      </c>
      <c r="B1273" s="667" t="s">
        <v>1801</v>
      </c>
      <c r="C1273" s="669" t="s">
        <v>704</v>
      </c>
      <c r="D1273" s="600"/>
      <c r="E1273" s="601"/>
      <c r="F1273" s="573"/>
      <c r="G1273" s="487"/>
      <c r="H1273" s="573"/>
      <c r="I1273" s="487"/>
      <c r="J1273" s="573"/>
      <c r="K1273" s="487"/>
      <c r="L1273" s="573"/>
      <c r="M1273" s="573"/>
      <c r="N1273" s="456">
        <f t="shared" si="161"/>
        <v>0</v>
      </c>
      <c r="O1273" s="487"/>
      <c r="P1273" s="487"/>
      <c r="Q1273" s="274">
        <f t="shared" si="156"/>
        <v>0</v>
      </c>
      <c r="R1273" s="574">
        <f t="shared" si="157"/>
        <v>0</v>
      </c>
      <c r="S1273" s="275">
        <f t="shared" si="158"/>
        <v>0</v>
      </c>
      <c r="T1273" s="575">
        <v>419200</v>
      </c>
      <c r="U1273" s="487">
        <v>222700</v>
      </c>
      <c r="V1273" s="576"/>
      <c r="W1273" s="573"/>
      <c r="X1273" s="574">
        <f t="shared" si="162"/>
        <v>0</v>
      </c>
      <c r="Y1273" s="487"/>
      <c r="Z1273" s="487"/>
      <c r="AA1273" s="276">
        <f t="shared" si="163"/>
        <v>0</v>
      </c>
      <c r="AB1273" s="573"/>
      <c r="AC1273" s="487"/>
      <c r="AD1273" s="573"/>
      <c r="AE1273" s="487"/>
      <c r="AF1273" s="577">
        <f t="shared" si="159"/>
        <v>419200</v>
      </c>
      <c r="AG1273" s="275">
        <f t="shared" si="160"/>
        <v>222700</v>
      </c>
    </row>
    <row r="1274" spans="1:33" s="578" customFormat="1" ht="12" customHeight="1">
      <c r="A1274" s="597" t="s">
        <v>1278</v>
      </c>
      <c r="B1274" s="667" t="s">
        <v>1802</v>
      </c>
      <c r="C1274" s="295" t="s">
        <v>861</v>
      </c>
      <c r="D1274" s="600"/>
      <c r="E1274" s="601"/>
      <c r="F1274" s="573"/>
      <c r="G1274" s="487"/>
      <c r="H1274" s="573"/>
      <c r="I1274" s="487"/>
      <c r="J1274" s="573"/>
      <c r="K1274" s="487"/>
      <c r="L1274" s="573"/>
      <c r="M1274" s="573"/>
      <c r="N1274" s="456">
        <f t="shared" si="161"/>
        <v>0</v>
      </c>
      <c r="O1274" s="487"/>
      <c r="P1274" s="487"/>
      <c r="Q1274" s="274">
        <f t="shared" si="156"/>
        <v>0</v>
      </c>
      <c r="R1274" s="574">
        <f t="shared" si="157"/>
        <v>0</v>
      </c>
      <c r="S1274" s="275">
        <f t="shared" si="158"/>
        <v>0</v>
      </c>
      <c r="T1274" s="575"/>
      <c r="U1274" s="487"/>
      <c r="V1274" s="576"/>
      <c r="W1274" s="573"/>
      <c r="X1274" s="574">
        <f t="shared" si="162"/>
        <v>0</v>
      </c>
      <c r="Y1274" s="487"/>
      <c r="Z1274" s="487"/>
      <c r="AA1274" s="276">
        <f t="shared" si="163"/>
        <v>0</v>
      </c>
      <c r="AB1274" s="573"/>
      <c r="AC1274" s="487"/>
      <c r="AD1274" s="573"/>
      <c r="AE1274" s="487"/>
      <c r="AF1274" s="577">
        <f t="shared" si="159"/>
        <v>0</v>
      </c>
      <c r="AG1274" s="275">
        <f t="shared" si="160"/>
        <v>0</v>
      </c>
    </row>
    <row r="1275" spans="1:33" s="578" customFormat="1" ht="12" customHeight="1">
      <c r="A1275" s="597" t="s">
        <v>1278</v>
      </c>
      <c r="B1275" s="667" t="s">
        <v>1802</v>
      </c>
      <c r="C1275" s="669" t="s">
        <v>14</v>
      </c>
      <c r="D1275" s="600"/>
      <c r="E1275" s="601"/>
      <c r="F1275" s="573"/>
      <c r="G1275" s="487"/>
      <c r="H1275" s="573"/>
      <c r="I1275" s="487"/>
      <c r="J1275" s="573"/>
      <c r="K1275" s="487"/>
      <c r="L1275" s="573"/>
      <c r="M1275" s="573"/>
      <c r="N1275" s="456">
        <f t="shared" si="161"/>
        <v>0</v>
      </c>
      <c r="O1275" s="487"/>
      <c r="P1275" s="487"/>
      <c r="Q1275" s="274">
        <f t="shared" si="156"/>
        <v>0</v>
      </c>
      <c r="R1275" s="574">
        <f t="shared" si="157"/>
        <v>0</v>
      </c>
      <c r="S1275" s="275">
        <f t="shared" si="158"/>
        <v>0</v>
      </c>
      <c r="T1275" s="575">
        <v>3046400</v>
      </c>
      <c r="U1275" s="487">
        <v>3180800</v>
      </c>
      <c r="V1275" s="576"/>
      <c r="W1275" s="573"/>
      <c r="X1275" s="574">
        <f t="shared" si="162"/>
        <v>0</v>
      </c>
      <c r="Y1275" s="487"/>
      <c r="Z1275" s="487"/>
      <c r="AA1275" s="276">
        <f t="shared" si="163"/>
        <v>0</v>
      </c>
      <c r="AB1275" s="573"/>
      <c r="AC1275" s="487"/>
      <c r="AD1275" s="573"/>
      <c r="AE1275" s="487"/>
      <c r="AF1275" s="577">
        <f t="shared" si="159"/>
        <v>3046400</v>
      </c>
      <c r="AG1275" s="275">
        <f t="shared" si="160"/>
        <v>3180800</v>
      </c>
    </row>
    <row r="1276" spans="1:33" s="578" customFormat="1" ht="12" customHeight="1">
      <c r="A1276" s="597" t="s">
        <v>1278</v>
      </c>
      <c r="B1276" s="667" t="s">
        <v>1802</v>
      </c>
      <c r="C1276" s="669" t="s">
        <v>526</v>
      </c>
      <c r="D1276" s="600"/>
      <c r="E1276" s="601"/>
      <c r="F1276" s="573"/>
      <c r="G1276" s="487"/>
      <c r="H1276" s="573"/>
      <c r="I1276" s="487"/>
      <c r="J1276" s="573"/>
      <c r="K1276" s="487"/>
      <c r="L1276" s="573"/>
      <c r="M1276" s="573"/>
      <c r="N1276" s="456">
        <f t="shared" si="161"/>
        <v>0</v>
      </c>
      <c r="O1276" s="487"/>
      <c r="P1276" s="487"/>
      <c r="Q1276" s="274">
        <f t="shared" si="156"/>
        <v>0</v>
      </c>
      <c r="R1276" s="574">
        <f t="shared" si="157"/>
        <v>0</v>
      </c>
      <c r="S1276" s="275">
        <f t="shared" si="158"/>
        <v>0</v>
      </c>
      <c r="T1276" s="575">
        <v>157200</v>
      </c>
      <c r="U1276" s="487">
        <v>144100</v>
      </c>
      <c r="V1276" s="576"/>
      <c r="W1276" s="573"/>
      <c r="X1276" s="574">
        <f t="shared" si="162"/>
        <v>0</v>
      </c>
      <c r="Y1276" s="487"/>
      <c r="Z1276" s="487"/>
      <c r="AA1276" s="276">
        <f t="shared" si="163"/>
        <v>0</v>
      </c>
      <c r="AB1276" s="573"/>
      <c r="AC1276" s="487"/>
      <c r="AD1276" s="573"/>
      <c r="AE1276" s="487"/>
      <c r="AF1276" s="577">
        <f t="shared" si="159"/>
        <v>157200</v>
      </c>
      <c r="AG1276" s="275">
        <f t="shared" si="160"/>
        <v>144100</v>
      </c>
    </row>
    <row r="1277" spans="1:33" s="578" customFormat="1" ht="12" customHeight="1">
      <c r="A1277" s="597" t="s">
        <v>1278</v>
      </c>
      <c r="B1277" s="667" t="s">
        <v>1803</v>
      </c>
      <c r="C1277" s="295" t="s">
        <v>15</v>
      </c>
      <c r="D1277" s="600"/>
      <c r="E1277" s="601"/>
      <c r="F1277" s="573"/>
      <c r="G1277" s="487"/>
      <c r="H1277" s="573"/>
      <c r="I1277" s="487"/>
      <c r="J1277" s="573"/>
      <c r="K1277" s="487"/>
      <c r="L1277" s="573"/>
      <c r="M1277" s="573"/>
      <c r="N1277" s="456">
        <f t="shared" si="161"/>
        <v>0</v>
      </c>
      <c r="O1277" s="487"/>
      <c r="P1277" s="487"/>
      <c r="Q1277" s="274">
        <f t="shared" si="156"/>
        <v>0</v>
      </c>
      <c r="R1277" s="574">
        <f t="shared" si="157"/>
        <v>0</v>
      </c>
      <c r="S1277" s="275">
        <f t="shared" si="158"/>
        <v>0</v>
      </c>
      <c r="T1277" s="575">
        <v>222900</v>
      </c>
      <c r="U1277" s="487">
        <v>170400</v>
      </c>
      <c r="V1277" s="576"/>
      <c r="W1277" s="573"/>
      <c r="X1277" s="574">
        <f t="shared" si="162"/>
        <v>0</v>
      </c>
      <c r="Y1277" s="487"/>
      <c r="Z1277" s="487"/>
      <c r="AA1277" s="276">
        <f t="shared" si="163"/>
        <v>0</v>
      </c>
      <c r="AB1277" s="573"/>
      <c r="AC1277" s="487"/>
      <c r="AD1277" s="573"/>
      <c r="AE1277" s="487"/>
      <c r="AF1277" s="577">
        <f t="shared" si="159"/>
        <v>222900</v>
      </c>
      <c r="AG1277" s="275">
        <f t="shared" si="160"/>
        <v>170400</v>
      </c>
    </row>
    <row r="1278" spans="1:33" s="578" customFormat="1" ht="12" customHeight="1">
      <c r="A1278" s="597" t="s">
        <v>1278</v>
      </c>
      <c r="B1278" s="667" t="s">
        <v>1804</v>
      </c>
      <c r="C1278" s="492" t="s">
        <v>418</v>
      </c>
      <c r="D1278" s="600"/>
      <c r="E1278" s="601"/>
      <c r="F1278" s="573"/>
      <c r="G1278" s="487"/>
      <c r="H1278" s="573"/>
      <c r="I1278" s="487"/>
      <c r="J1278" s="573"/>
      <c r="K1278" s="487"/>
      <c r="L1278" s="573"/>
      <c r="M1278" s="573"/>
      <c r="N1278" s="456">
        <f t="shared" si="161"/>
        <v>0</v>
      </c>
      <c r="O1278" s="487"/>
      <c r="P1278" s="487"/>
      <c r="Q1278" s="274">
        <f t="shared" si="156"/>
        <v>0</v>
      </c>
      <c r="R1278" s="574">
        <f t="shared" si="157"/>
        <v>0</v>
      </c>
      <c r="S1278" s="275">
        <f t="shared" si="158"/>
        <v>0</v>
      </c>
      <c r="T1278" s="575"/>
      <c r="U1278" s="487"/>
      <c r="V1278" s="576"/>
      <c r="W1278" s="573"/>
      <c r="X1278" s="574">
        <f t="shared" si="162"/>
        <v>0</v>
      </c>
      <c r="Y1278" s="487"/>
      <c r="Z1278" s="487"/>
      <c r="AA1278" s="276">
        <f t="shared" si="163"/>
        <v>0</v>
      </c>
      <c r="AB1278" s="573"/>
      <c r="AC1278" s="487"/>
      <c r="AD1278" s="573"/>
      <c r="AE1278" s="487"/>
      <c r="AF1278" s="577">
        <f t="shared" si="159"/>
        <v>0</v>
      </c>
      <c r="AG1278" s="275">
        <f t="shared" si="160"/>
        <v>0</v>
      </c>
    </row>
    <row r="1279" spans="1:33" s="578" customFormat="1" ht="12" customHeight="1">
      <c r="A1279" s="597" t="s">
        <v>1278</v>
      </c>
      <c r="B1279" s="667" t="s">
        <v>1805</v>
      </c>
      <c r="C1279" s="493" t="s">
        <v>419</v>
      </c>
      <c r="D1279" s="600"/>
      <c r="E1279" s="601"/>
      <c r="F1279" s="573"/>
      <c r="G1279" s="487"/>
      <c r="H1279" s="573"/>
      <c r="I1279" s="487"/>
      <c r="J1279" s="573"/>
      <c r="K1279" s="487"/>
      <c r="L1279" s="573"/>
      <c r="M1279" s="573"/>
      <c r="N1279" s="456">
        <f t="shared" si="161"/>
        <v>0</v>
      </c>
      <c r="O1279" s="487"/>
      <c r="P1279" s="487"/>
      <c r="Q1279" s="274">
        <f t="shared" si="156"/>
        <v>0</v>
      </c>
      <c r="R1279" s="574">
        <f t="shared" si="157"/>
        <v>0</v>
      </c>
      <c r="S1279" s="275">
        <f t="shared" si="158"/>
        <v>0</v>
      </c>
      <c r="T1279" s="575"/>
      <c r="U1279" s="487"/>
      <c r="V1279" s="576"/>
      <c r="W1279" s="573"/>
      <c r="X1279" s="574">
        <f t="shared" si="162"/>
        <v>0</v>
      </c>
      <c r="Y1279" s="487"/>
      <c r="Z1279" s="487"/>
      <c r="AA1279" s="276">
        <f t="shared" si="163"/>
        <v>0</v>
      </c>
      <c r="AB1279" s="573"/>
      <c r="AC1279" s="487"/>
      <c r="AD1279" s="573"/>
      <c r="AE1279" s="487"/>
      <c r="AF1279" s="577">
        <f t="shared" si="159"/>
        <v>0</v>
      </c>
      <c r="AG1279" s="275">
        <f t="shared" si="160"/>
        <v>0</v>
      </c>
    </row>
    <row r="1280" spans="1:33" s="578" customFormat="1" ht="12" customHeight="1">
      <c r="A1280" s="597" t="s">
        <v>1278</v>
      </c>
      <c r="B1280" s="684" t="s">
        <v>1510</v>
      </c>
      <c r="C1280" s="494" t="s">
        <v>16</v>
      </c>
      <c r="D1280" s="685"/>
      <c r="E1280" s="686"/>
      <c r="F1280" s="573"/>
      <c r="G1280" s="487"/>
      <c r="H1280" s="573"/>
      <c r="I1280" s="487"/>
      <c r="J1280" s="573"/>
      <c r="K1280" s="487"/>
      <c r="L1280" s="573"/>
      <c r="M1280" s="573"/>
      <c r="N1280" s="456">
        <f t="shared" si="161"/>
        <v>0</v>
      </c>
      <c r="O1280" s="487"/>
      <c r="P1280" s="487"/>
      <c r="Q1280" s="274">
        <f t="shared" si="156"/>
        <v>0</v>
      </c>
      <c r="R1280" s="574">
        <f t="shared" si="157"/>
        <v>0</v>
      </c>
      <c r="S1280" s="275">
        <f t="shared" si="158"/>
        <v>0</v>
      </c>
      <c r="T1280" s="575"/>
      <c r="U1280" s="487"/>
      <c r="V1280" s="576"/>
      <c r="W1280" s="573"/>
      <c r="X1280" s="574">
        <f t="shared" si="162"/>
        <v>0</v>
      </c>
      <c r="Y1280" s="487"/>
      <c r="Z1280" s="487"/>
      <c r="AA1280" s="276">
        <f t="shared" si="163"/>
        <v>0</v>
      </c>
      <c r="AB1280" s="573"/>
      <c r="AC1280" s="487"/>
      <c r="AD1280" s="573"/>
      <c r="AE1280" s="487"/>
      <c r="AF1280" s="577">
        <f t="shared" si="159"/>
        <v>0</v>
      </c>
      <c r="AG1280" s="275">
        <f t="shared" si="160"/>
        <v>0</v>
      </c>
    </row>
    <row r="1281" spans="1:33" s="578" customFormat="1" ht="12" customHeight="1">
      <c r="A1281" s="597" t="s">
        <v>1278</v>
      </c>
      <c r="B1281" s="684" t="s">
        <v>1510</v>
      </c>
      <c r="C1281" s="610" t="s">
        <v>421</v>
      </c>
      <c r="D1281" s="685"/>
      <c r="E1281" s="686"/>
      <c r="F1281" s="573"/>
      <c r="G1281" s="487"/>
      <c r="H1281" s="573"/>
      <c r="I1281" s="487"/>
      <c r="J1281" s="573"/>
      <c r="K1281" s="487"/>
      <c r="L1281" s="573"/>
      <c r="M1281" s="573"/>
      <c r="N1281" s="456">
        <f t="shared" si="161"/>
        <v>0</v>
      </c>
      <c r="O1281" s="487"/>
      <c r="P1281" s="487"/>
      <c r="Q1281" s="274">
        <f t="shared" si="156"/>
        <v>0</v>
      </c>
      <c r="R1281" s="574">
        <f t="shared" si="157"/>
        <v>0</v>
      </c>
      <c r="S1281" s="275">
        <f t="shared" si="158"/>
        <v>0</v>
      </c>
      <c r="T1281" s="575"/>
      <c r="U1281" s="487"/>
      <c r="V1281" s="576"/>
      <c r="W1281" s="573"/>
      <c r="X1281" s="574">
        <f t="shared" si="162"/>
        <v>0</v>
      </c>
      <c r="Y1281" s="487"/>
      <c r="Z1281" s="487"/>
      <c r="AA1281" s="276">
        <f t="shared" si="163"/>
        <v>0</v>
      </c>
      <c r="AB1281" s="573"/>
      <c r="AC1281" s="487"/>
      <c r="AD1281" s="573"/>
      <c r="AE1281" s="487"/>
      <c r="AF1281" s="577">
        <f t="shared" si="159"/>
        <v>0</v>
      </c>
      <c r="AG1281" s="275">
        <f t="shared" si="160"/>
        <v>0</v>
      </c>
    </row>
    <row r="1282" spans="1:33" s="578" customFormat="1" ht="12" customHeight="1">
      <c r="A1282" s="597" t="s">
        <v>1278</v>
      </c>
      <c r="B1282" s="684" t="s">
        <v>1511</v>
      </c>
      <c r="C1282" s="610" t="s">
        <v>1883</v>
      </c>
      <c r="D1282" s="685"/>
      <c r="E1282" s="686"/>
      <c r="F1282" s="573"/>
      <c r="G1282" s="487"/>
      <c r="H1282" s="573"/>
      <c r="I1282" s="487"/>
      <c r="J1282" s="573"/>
      <c r="K1282" s="487"/>
      <c r="L1282" s="573"/>
      <c r="M1282" s="573"/>
      <c r="N1282" s="456">
        <f t="shared" si="161"/>
        <v>0</v>
      </c>
      <c r="O1282" s="487"/>
      <c r="P1282" s="487"/>
      <c r="Q1282" s="274">
        <f t="shared" si="156"/>
        <v>0</v>
      </c>
      <c r="R1282" s="574">
        <f t="shared" si="157"/>
        <v>0</v>
      </c>
      <c r="S1282" s="275">
        <f t="shared" si="158"/>
        <v>0</v>
      </c>
      <c r="T1282" s="575"/>
      <c r="U1282" s="487"/>
      <c r="V1282" s="576"/>
      <c r="W1282" s="573"/>
      <c r="X1282" s="574">
        <f t="shared" si="162"/>
        <v>0</v>
      </c>
      <c r="Y1282" s="487"/>
      <c r="Z1282" s="487"/>
      <c r="AA1282" s="276">
        <f t="shared" si="163"/>
        <v>0</v>
      </c>
      <c r="AB1282" s="573"/>
      <c r="AC1282" s="487"/>
      <c r="AD1282" s="573"/>
      <c r="AE1282" s="487"/>
      <c r="AF1282" s="577">
        <f t="shared" si="159"/>
        <v>0</v>
      </c>
      <c r="AG1282" s="275">
        <f t="shared" si="160"/>
        <v>0</v>
      </c>
    </row>
    <row r="1283" spans="1:33" s="578" customFormat="1" ht="12" customHeight="1">
      <c r="A1283" s="597" t="s">
        <v>1278</v>
      </c>
      <c r="B1283" s="684" t="s">
        <v>1412</v>
      </c>
      <c r="C1283" s="610" t="s">
        <v>1761</v>
      </c>
      <c r="D1283" s="685"/>
      <c r="E1283" s="686"/>
      <c r="F1283" s="573"/>
      <c r="G1283" s="487"/>
      <c r="H1283" s="573"/>
      <c r="I1283" s="487"/>
      <c r="J1283" s="573"/>
      <c r="K1283" s="487"/>
      <c r="L1283" s="573"/>
      <c r="M1283" s="573"/>
      <c r="N1283" s="456">
        <f t="shared" si="161"/>
        <v>0</v>
      </c>
      <c r="O1283" s="487"/>
      <c r="P1283" s="487"/>
      <c r="Q1283" s="274">
        <f t="shared" si="156"/>
        <v>0</v>
      </c>
      <c r="R1283" s="574">
        <f t="shared" si="157"/>
        <v>0</v>
      </c>
      <c r="S1283" s="275">
        <f t="shared" si="158"/>
        <v>0</v>
      </c>
      <c r="T1283" s="575">
        <v>71354000</v>
      </c>
      <c r="U1283" s="487">
        <v>71910200</v>
      </c>
      <c r="V1283" s="576"/>
      <c r="W1283" s="573"/>
      <c r="X1283" s="574">
        <f t="shared" si="162"/>
        <v>0</v>
      </c>
      <c r="Y1283" s="487"/>
      <c r="Z1283" s="487"/>
      <c r="AA1283" s="276">
        <f t="shared" si="163"/>
        <v>0</v>
      </c>
      <c r="AB1283" s="573"/>
      <c r="AC1283" s="487"/>
      <c r="AD1283" s="573"/>
      <c r="AE1283" s="487"/>
      <c r="AF1283" s="577">
        <f t="shared" si="159"/>
        <v>71354000</v>
      </c>
      <c r="AG1283" s="275">
        <f t="shared" si="160"/>
        <v>71910200</v>
      </c>
    </row>
    <row r="1284" spans="1:33" s="578" customFormat="1" ht="12" customHeight="1">
      <c r="A1284" s="597" t="s">
        <v>1278</v>
      </c>
      <c r="B1284" s="684" t="s">
        <v>1413</v>
      </c>
      <c r="C1284" s="610" t="s">
        <v>422</v>
      </c>
      <c r="D1284" s="685"/>
      <c r="E1284" s="686"/>
      <c r="F1284" s="573"/>
      <c r="G1284" s="487"/>
      <c r="H1284" s="573"/>
      <c r="I1284" s="487"/>
      <c r="J1284" s="573"/>
      <c r="K1284" s="487"/>
      <c r="L1284" s="573"/>
      <c r="M1284" s="573"/>
      <c r="N1284" s="456">
        <f t="shared" si="161"/>
        <v>0</v>
      </c>
      <c r="O1284" s="487"/>
      <c r="P1284" s="487"/>
      <c r="Q1284" s="274">
        <f t="shared" si="156"/>
        <v>0</v>
      </c>
      <c r="R1284" s="574">
        <f t="shared" si="157"/>
        <v>0</v>
      </c>
      <c r="S1284" s="275">
        <f t="shared" si="158"/>
        <v>0</v>
      </c>
      <c r="T1284" s="575"/>
      <c r="U1284" s="487"/>
      <c r="V1284" s="576"/>
      <c r="W1284" s="573"/>
      <c r="X1284" s="574">
        <f t="shared" si="162"/>
        <v>0</v>
      </c>
      <c r="Y1284" s="487"/>
      <c r="Z1284" s="487"/>
      <c r="AA1284" s="276">
        <f t="shared" si="163"/>
        <v>0</v>
      </c>
      <c r="AB1284" s="573"/>
      <c r="AC1284" s="487"/>
      <c r="AD1284" s="573"/>
      <c r="AE1284" s="487"/>
      <c r="AF1284" s="577">
        <f t="shared" si="159"/>
        <v>0</v>
      </c>
      <c r="AG1284" s="275">
        <f t="shared" si="160"/>
        <v>0</v>
      </c>
    </row>
    <row r="1285" spans="1:33" s="578" customFormat="1" ht="12" customHeight="1">
      <c r="A1285" s="597" t="s">
        <v>1278</v>
      </c>
      <c r="B1285" s="684" t="s">
        <v>1582</v>
      </c>
      <c r="C1285" s="610" t="s">
        <v>1883</v>
      </c>
      <c r="D1285" s="685"/>
      <c r="E1285" s="686"/>
      <c r="F1285" s="573"/>
      <c r="G1285" s="487"/>
      <c r="H1285" s="573"/>
      <c r="I1285" s="487"/>
      <c r="J1285" s="573"/>
      <c r="K1285" s="487"/>
      <c r="L1285" s="573"/>
      <c r="M1285" s="573"/>
      <c r="N1285" s="456">
        <f t="shared" si="161"/>
        <v>0</v>
      </c>
      <c r="O1285" s="487"/>
      <c r="P1285" s="487"/>
      <c r="Q1285" s="274">
        <f t="shared" si="156"/>
        <v>0</v>
      </c>
      <c r="R1285" s="574">
        <f t="shared" si="157"/>
        <v>0</v>
      </c>
      <c r="S1285" s="275">
        <f t="shared" si="158"/>
        <v>0</v>
      </c>
      <c r="T1285" s="575"/>
      <c r="U1285" s="487"/>
      <c r="V1285" s="576"/>
      <c r="W1285" s="573"/>
      <c r="X1285" s="574">
        <f t="shared" si="162"/>
        <v>0</v>
      </c>
      <c r="Y1285" s="487"/>
      <c r="Z1285" s="487"/>
      <c r="AA1285" s="276">
        <f t="shared" si="163"/>
        <v>0</v>
      </c>
      <c r="AB1285" s="573"/>
      <c r="AC1285" s="487"/>
      <c r="AD1285" s="573"/>
      <c r="AE1285" s="487"/>
      <c r="AF1285" s="577">
        <f t="shared" si="159"/>
        <v>0</v>
      </c>
      <c r="AG1285" s="275">
        <f t="shared" si="160"/>
        <v>0</v>
      </c>
    </row>
    <row r="1286" spans="1:33" s="578" customFormat="1" ht="12" customHeight="1">
      <c r="A1286" s="597" t="s">
        <v>1278</v>
      </c>
      <c r="B1286" s="684" t="s">
        <v>1583</v>
      </c>
      <c r="C1286" s="610" t="s">
        <v>1761</v>
      </c>
      <c r="D1286" s="685"/>
      <c r="E1286" s="686"/>
      <c r="F1286" s="573"/>
      <c r="G1286" s="487"/>
      <c r="H1286" s="573"/>
      <c r="I1286" s="487"/>
      <c r="J1286" s="573"/>
      <c r="K1286" s="487"/>
      <c r="L1286" s="573"/>
      <c r="M1286" s="573"/>
      <c r="N1286" s="456">
        <f t="shared" si="161"/>
        <v>0</v>
      </c>
      <c r="O1286" s="487"/>
      <c r="P1286" s="487"/>
      <c r="Q1286" s="274">
        <f t="shared" si="156"/>
        <v>0</v>
      </c>
      <c r="R1286" s="574">
        <f t="shared" si="157"/>
        <v>0</v>
      </c>
      <c r="S1286" s="275">
        <f t="shared" si="158"/>
        <v>0</v>
      </c>
      <c r="T1286" s="575">
        <v>16635500</v>
      </c>
      <c r="U1286" s="487">
        <v>16688000</v>
      </c>
      <c r="V1286" s="576"/>
      <c r="W1286" s="573"/>
      <c r="X1286" s="574">
        <f t="shared" si="162"/>
        <v>0</v>
      </c>
      <c r="Y1286" s="487"/>
      <c r="Z1286" s="487"/>
      <c r="AA1286" s="276">
        <f t="shared" si="163"/>
        <v>0</v>
      </c>
      <c r="AB1286" s="573"/>
      <c r="AC1286" s="487"/>
      <c r="AD1286" s="573"/>
      <c r="AE1286" s="487"/>
      <c r="AF1286" s="577">
        <f t="shared" si="159"/>
        <v>16635500</v>
      </c>
      <c r="AG1286" s="275">
        <f t="shared" si="160"/>
        <v>16688000</v>
      </c>
    </row>
    <row r="1287" spans="1:33" s="578" customFormat="1" ht="12" customHeight="1">
      <c r="A1287" s="597" t="s">
        <v>1278</v>
      </c>
      <c r="B1287" s="667" t="s">
        <v>1805</v>
      </c>
      <c r="C1287" s="494" t="s">
        <v>17</v>
      </c>
      <c r="D1287" s="600"/>
      <c r="E1287" s="601"/>
      <c r="F1287" s="573"/>
      <c r="G1287" s="487"/>
      <c r="H1287" s="573"/>
      <c r="I1287" s="487"/>
      <c r="J1287" s="573"/>
      <c r="K1287" s="487"/>
      <c r="L1287" s="573"/>
      <c r="M1287" s="573"/>
      <c r="N1287" s="456">
        <f t="shared" si="161"/>
        <v>0</v>
      </c>
      <c r="O1287" s="487"/>
      <c r="P1287" s="487"/>
      <c r="Q1287" s="274">
        <f t="shared" si="156"/>
        <v>0</v>
      </c>
      <c r="R1287" s="574">
        <f t="shared" si="157"/>
        <v>0</v>
      </c>
      <c r="S1287" s="275">
        <f t="shared" si="158"/>
        <v>0</v>
      </c>
      <c r="T1287" s="575"/>
      <c r="U1287" s="487"/>
      <c r="V1287" s="576"/>
      <c r="W1287" s="573"/>
      <c r="X1287" s="574">
        <f t="shared" si="162"/>
        <v>0</v>
      </c>
      <c r="Y1287" s="487"/>
      <c r="Z1287" s="487"/>
      <c r="AA1287" s="276">
        <f t="shared" si="163"/>
        <v>0</v>
      </c>
      <c r="AB1287" s="573"/>
      <c r="AC1287" s="487"/>
      <c r="AD1287" s="573"/>
      <c r="AE1287" s="487"/>
      <c r="AF1287" s="577">
        <f t="shared" si="159"/>
        <v>0</v>
      </c>
      <c r="AG1287" s="275">
        <f t="shared" si="160"/>
        <v>0</v>
      </c>
    </row>
    <row r="1288" spans="1:33" s="578" customFormat="1" ht="12" customHeight="1">
      <c r="A1288" s="597" t="s">
        <v>1278</v>
      </c>
      <c r="B1288" s="684" t="s">
        <v>1510</v>
      </c>
      <c r="C1288" s="610" t="s">
        <v>421</v>
      </c>
      <c r="D1288" s="685"/>
      <c r="E1288" s="686"/>
      <c r="F1288" s="573"/>
      <c r="G1288" s="487"/>
      <c r="H1288" s="573"/>
      <c r="I1288" s="487"/>
      <c r="J1288" s="573"/>
      <c r="K1288" s="487"/>
      <c r="L1288" s="573"/>
      <c r="M1288" s="573"/>
      <c r="N1288" s="456">
        <f t="shared" si="161"/>
        <v>0</v>
      </c>
      <c r="O1288" s="487"/>
      <c r="P1288" s="487"/>
      <c r="Q1288" s="274">
        <f t="shared" si="156"/>
        <v>0</v>
      </c>
      <c r="R1288" s="574">
        <f t="shared" si="157"/>
        <v>0</v>
      </c>
      <c r="S1288" s="275">
        <f t="shared" si="158"/>
        <v>0</v>
      </c>
      <c r="T1288" s="575"/>
      <c r="U1288" s="487"/>
      <c r="V1288" s="576"/>
      <c r="W1288" s="573"/>
      <c r="X1288" s="574">
        <f t="shared" si="162"/>
        <v>0</v>
      </c>
      <c r="Y1288" s="487"/>
      <c r="Z1288" s="487"/>
      <c r="AA1288" s="276">
        <f t="shared" si="163"/>
        <v>0</v>
      </c>
      <c r="AB1288" s="573"/>
      <c r="AC1288" s="487"/>
      <c r="AD1288" s="573"/>
      <c r="AE1288" s="487"/>
      <c r="AF1288" s="577">
        <f t="shared" si="159"/>
        <v>0</v>
      </c>
      <c r="AG1288" s="275">
        <f t="shared" si="160"/>
        <v>0</v>
      </c>
    </row>
    <row r="1289" spans="1:33" s="578" customFormat="1" ht="12" customHeight="1">
      <c r="A1289" s="597" t="s">
        <v>1278</v>
      </c>
      <c r="B1289" s="684" t="s">
        <v>1511</v>
      </c>
      <c r="C1289" s="610" t="s">
        <v>1883</v>
      </c>
      <c r="D1289" s="685"/>
      <c r="E1289" s="686"/>
      <c r="F1289" s="573"/>
      <c r="G1289" s="487"/>
      <c r="H1289" s="573"/>
      <c r="I1289" s="487"/>
      <c r="J1289" s="573"/>
      <c r="K1289" s="487"/>
      <c r="L1289" s="573"/>
      <c r="M1289" s="573"/>
      <c r="N1289" s="456">
        <f t="shared" si="161"/>
        <v>0</v>
      </c>
      <c r="O1289" s="487"/>
      <c r="P1289" s="487"/>
      <c r="Q1289" s="274">
        <f t="shared" si="156"/>
        <v>0</v>
      </c>
      <c r="R1289" s="574">
        <f t="shared" si="157"/>
        <v>0</v>
      </c>
      <c r="S1289" s="275">
        <f t="shared" si="158"/>
        <v>0</v>
      </c>
      <c r="T1289" s="575">
        <v>46790800</v>
      </c>
      <c r="U1289" s="487">
        <v>45021600</v>
      </c>
      <c r="V1289" s="576"/>
      <c r="W1289" s="573"/>
      <c r="X1289" s="574">
        <f t="shared" si="162"/>
        <v>0</v>
      </c>
      <c r="Y1289" s="487"/>
      <c r="Z1289" s="487"/>
      <c r="AA1289" s="276">
        <f t="shared" si="163"/>
        <v>0</v>
      </c>
      <c r="AB1289" s="573"/>
      <c r="AC1289" s="487"/>
      <c r="AD1289" s="573"/>
      <c r="AE1289" s="487"/>
      <c r="AF1289" s="577">
        <f t="shared" si="159"/>
        <v>46790800</v>
      </c>
      <c r="AG1289" s="275">
        <f t="shared" si="160"/>
        <v>45021600</v>
      </c>
    </row>
    <row r="1290" spans="1:33" s="578" customFormat="1" ht="12" customHeight="1">
      <c r="A1290" s="597" t="s">
        <v>1278</v>
      </c>
      <c r="B1290" s="684" t="s">
        <v>1412</v>
      </c>
      <c r="C1290" s="610" t="s">
        <v>1761</v>
      </c>
      <c r="D1290" s="685"/>
      <c r="E1290" s="686"/>
      <c r="F1290" s="573"/>
      <c r="G1290" s="487"/>
      <c r="H1290" s="573"/>
      <c r="I1290" s="487"/>
      <c r="J1290" s="573"/>
      <c r="K1290" s="487"/>
      <c r="L1290" s="573"/>
      <c r="M1290" s="573"/>
      <c r="N1290" s="456">
        <f t="shared" si="161"/>
        <v>0</v>
      </c>
      <c r="O1290" s="487"/>
      <c r="P1290" s="487"/>
      <c r="Q1290" s="274">
        <f t="shared" ref="Q1290:Q1353" si="164">SUM(O1290:P1290)</f>
        <v>0</v>
      </c>
      <c r="R1290" s="574">
        <f t="shared" ref="R1290:R1353" si="165">SUM(F1290,H1290,J1290,L1290)</f>
        <v>0</v>
      </c>
      <c r="S1290" s="275">
        <f t="shared" ref="S1290:S1353" si="166">SUM(G1290,I1290,K1290,O1290)</f>
        <v>0</v>
      </c>
      <c r="T1290" s="575"/>
      <c r="U1290" s="487"/>
      <c r="V1290" s="576"/>
      <c r="W1290" s="573"/>
      <c r="X1290" s="574">
        <f t="shared" si="162"/>
        <v>0</v>
      </c>
      <c r="Y1290" s="487"/>
      <c r="Z1290" s="487"/>
      <c r="AA1290" s="276">
        <f t="shared" si="163"/>
        <v>0</v>
      </c>
      <c r="AB1290" s="573"/>
      <c r="AC1290" s="487"/>
      <c r="AD1290" s="573"/>
      <c r="AE1290" s="487"/>
      <c r="AF1290" s="577">
        <f t="shared" ref="AF1290:AF1353" si="167">SUM(R1290,T1290,V1290,AB1290,AD1290)</f>
        <v>0</v>
      </c>
      <c r="AG1290" s="275">
        <f t="shared" ref="AG1290:AG1353" si="168">SUM(S1290,U1290,Y1290,AC1290,AE1290)</f>
        <v>0</v>
      </c>
    </row>
    <row r="1291" spans="1:33" s="578" customFormat="1" ht="12" customHeight="1">
      <c r="A1291" s="597" t="s">
        <v>1278</v>
      </c>
      <c r="B1291" s="684" t="s">
        <v>1413</v>
      </c>
      <c r="C1291" s="610" t="s">
        <v>422</v>
      </c>
      <c r="D1291" s="685"/>
      <c r="E1291" s="686"/>
      <c r="F1291" s="573"/>
      <c r="G1291" s="487"/>
      <c r="H1291" s="573"/>
      <c r="I1291" s="487"/>
      <c r="J1291" s="573"/>
      <c r="K1291" s="487"/>
      <c r="L1291" s="573"/>
      <c r="M1291" s="573"/>
      <c r="N1291" s="456">
        <f t="shared" si="161"/>
        <v>0</v>
      </c>
      <c r="O1291" s="487"/>
      <c r="P1291" s="487"/>
      <c r="Q1291" s="274">
        <f t="shared" si="164"/>
        <v>0</v>
      </c>
      <c r="R1291" s="574">
        <f t="shared" si="165"/>
        <v>0</v>
      </c>
      <c r="S1291" s="275">
        <f t="shared" si="166"/>
        <v>0</v>
      </c>
      <c r="T1291" s="575"/>
      <c r="U1291" s="487"/>
      <c r="V1291" s="576"/>
      <c r="W1291" s="573"/>
      <c r="X1291" s="574">
        <f t="shared" si="162"/>
        <v>0</v>
      </c>
      <c r="Y1291" s="487"/>
      <c r="Z1291" s="487"/>
      <c r="AA1291" s="276">
        <f t="shared" si="163"/>
        <v>0</v>
      </c>
      <c r="AB1291" s="573"/>
      <c r="AC1291" s="487"/>
      <c r="AD1291" s="573"/>
      <c r="AE1291" s="487"/>
      <c r="AF1291" s="577">
        <f t="shared" si="167"/>
        <v>0</v>
      </c>
      <c r="AG1291" s="275">
        <f t="shared" si="168"/>
        <v>0</v>
      </c>
    </row>
    <row r="1292" spans="1:33" s="578" customFormat="1" ht="12" customHeight="1">
      <c r="A1292" s="597" t="s">
        <v>1278</v>
      </c>
      <c r="B1292" s="684" t="s">
        <v>1582</v>
      </c>
      <c r="C1292" s="610" t="s">
        <v>1883</v>
      </c>
      <c r="D1292" s="685"/>
      <c r="E1292" s="686"/>
      <c r="F1292" s="573"/>
      <c r="G1292" s="487"/>
      <c r="H1292" s="573"/>
      <c r="I1292" s="487"/>
      <c r="J1292" s="573"/>
      <c r="K1292" s="487"/>
      <c r="L1292" s="573"/>
      <c r="M1292" s="573"/>
      <c r="N1292" s="456">
        <f t="shared" si="161"/>
        <v>0</v>
      </c>
      <c r="O1292" s="487"/>
      <c r="P1292" s="487"/>
      <c r="Q1292" s="274">
        <f t="shared" si="164"/>
        <v>0</v>
      </c>
      <c r="R1292" s="574">
        <f t="shared" si="165"/>
        <v>0</v>
      </c>
      <c r="S1292" s="275">
        <f t="shared" si="166"/>
        <v>0</v>
      </c>
      <c r="T1292" s="575">
        <v>14426100</v>
      </c>
      <c r="U1292" s="487">
        <v>14374800</v>
      </c>
      <c r="V1292" s="576"/>
      <c r="W1292" s="573"/>
      <c r="X1292" s="574">
        <f t="shared" si="162"/>
        <v>0</v>
      </c>
      <c r="Y1292" s="487"/>
      <c r="Z1292" s="487"/>
      <c r="AA1292" s="276">
        <f t="shared" si="163"/>
        <v>0</v>
      </c>
      <c r="AB1292" s="573"/>
      <c r="AC1292" s="487"/>
      <c r="AD1292" s="573"/>
      <c r="AE1292" s="487"/>
      <c r="AF1292" s="577">
        <f t="shared" si="167"/>
        <v>14426100</v>
      </c>
      <c r="AG1292" s="275">
        <f t="shared" si="168"/>
        <v>14374800</v>
      </c>
    </row>
    <row r="1293" spans="1:33" s="578" customFormat="1" ht="12" customHeight="1">
      <c r="A1293" s="597" t="s">
        <v>1278</v>
      </c>
      <c r="B1293" s="684" t="s">
        <v>1583</v>
      </c>
      <c r="C1293" s="610" t="s">
        <v>1761</v>
      </c>
      <c r="D1293" s="685"/>
      <c r="E1293" s="686"/>
      <c r="F1293" s="573"/>
      <c r="G1293" s="487"/>
      <c r="H1293" s="573"/>
      <c r="I1293" s="487"/>
      <c r="J1293" s="573"/>
      <c r="K1293" s="487"/>
      <c r="L1293" s="573"/>
      <c r="M1293" s="573"/>
      <c r="N1293" s="456">
        <f t="shared" si="161"/>
        <v>0</v>
      </c>
      <c r="O1293" s="487"/>
      <c r="P1293" s="487"/>
      <c r="Q1293" s="274">
        <f t="shared" si="164"/>
        <v>0</v>
      </c>
      <c r="R1293" s="574">
        <f t="shared" si="165"/>
        <v>0</v>
      </c>
      <c r="S1293" s="275">
        <f t="shared" si="166"/>
        <v>0</v>
      </c>
      <c r="T1293" s="575"/>
      <c r="U1293" s="487"/>
      <c r="V1293" s="576"/>
      <c r="W1293" s="573"/>
      <c r="X1293" s="574">
        <f t="shared" si="162"/>
        <v>0</v>
      </c>
      <c r="Y1293" s="487"/>
      <c r="Z1293" s="487"/>
      <c r="AA1293" s="276">
        <f t="shared" si="163"/>
        <v>0</v>
      </c>
      <c r="AB1293" s="573"/>
      <c r="AC1293" s="487"/>
      <c r="AD1293" s="573"/>
      <c r="AE1293" s="487"/>
      <c r="AF1293" s="577">
        <f t="shared" si="167"/>
        <v>0</v>
      </c>
      <c r="AG1293" s="275">
        <f t="shared" si="168"/>
        <v>0</v>
      </c>
    </row>
    <row r="1294" spans="1:33" s="578" customFormat="1" ht="12" customHeight="1">
      <c r="A1294" s="597" t="s">
        <v>1278</v>
      </c>
      <c r="B1294" s="684" t="s">
        <v>1806</v>
      </c>
      <c r="C1294" s="469" t="s">
        <v>193</v>
      </c>
      <c r="D1294" s="685"/>
      <c r="E1294" s="686"/>
      <c r="F1294" s="573"/>
      <c r="G1294" s="487"/>
      <c r="H1294" s="573"/>
      <c r="I1294" s="487"/>
      <c r="J1294" s="573"/>
      <c r="K1294" s="487"/>
      <c r="L1294" s="573"/>
      <c r="M1294" s="573"/>
      <c r="N1294" s="456">
        <f t="shared" si="161"/>
        <v>0</v>
      </c>
      <c r="O1294" s="487"/>
      <c r="P1294" s="487"/>
      <c r="Q1294" s="274">
        <f t="shared" si="164"/>
        <v>0</v>
      </c>
      <c r="R1294" s="574">
        <f t="shared" si="165"/>
        <v>0</v>
      </c>
      <c r="S1294" s="275">
        <f t="shared" si="166"/>
        <v>0</v>
      </c>
      <c r="T1294" s="575"/>
      <c r="U1294" s="487"/>
      <c r="V1294" s="576"/>
      <c r="W1294" s="573"/>
      <c r="X1294" s="574">
        <f t="shared" si="162"/>
        <v>0</v>
      </c>
      <c r="Y1294" s="487"/>
      <c r="Z1294" s="487"/>
      <c r="AA1294" s="276">
        <f t="shared" si="163"/>
        <v>0</v>
      </c>
      <c r="AB1294" s="573"/>
      <c r="AC1294" s="487"/>
      <c r="AD1294" s="573"/>
      <c r="AE1294" s="487"/>
      <c r="AF1294" s="577">
        <f t="shared" si="167"/>
        <v>0</v>
      </c>
      <c r="AG1294" s="275">
        <f t="shared" si="168"/>
        <v>0</v>
      </c>
    </row>
    <row r="1295" spans="1:33" s="578" customFormat="1" ht="12" customHeight="1">
      <c r="A1295" s="597" t="s">
        <v>1278</v>
      </c>
      <c r="B1295" s="667" t="s">
        <v>1806</v>
      </c>
      <c r="C1295" s="495" t="s">
        <v>18</v>
      </c>
      <c r="D1295" s="600"/>
      <c r="E1295" s="601"/>
      <c r="F1295" s="573"/>
      <c r="G1295" s="487"/>
      <c r="H1295" s="573"/>
      <c r="I1295" s="487"/>
      <c r="J1295" s="573"/>
      <c r="K1295" s="487"/>
      <c r="L1295" s="573"/>
      <c r="M1295" s="573"/>
      <c r="N1295" s="456">
        <f t="shared" si="161"/>
        <v>0</v>
      </c>
      <c r="O1295" s="487"/>
      <c r="P1295" s="487"/>
      <c r="Q1295" s="274">
        <f t="shared" si="164"/>
        <v>0</v>
      </c>
      <c r="R1295" s="574">
        <f t="shared" si="165"/>
        <v>0</v>
      </c>
      <c r="S1295" s="275">
        <f t="shared" si="166"/>
        <v>0</v>
      </c>
      <c r="T1295" s="575">
        <v>9600</v>
      </c>
      <c r="U1295" s="487">
        <v>9600</v>
      </c>
      <c r="V1295" s="576"/>
      <c r="W1295" s="573"/>
      <c r="X1295" s="574">
        <f t="shared" si="162"/>
        <v>0</v>
      </c>
      <c r="Y1295" s="487"/>
      <c r="Z1295" s="487"/>
      <c r="AA1295" s="276">
        <f t="shared" si="163"/>
        <v>0</v>
      </c>
      <c r="AB1295" s="573"/>
      <c r="AC1295" s="487"/>
      <c r="AD1295" s="573"/>
      <c r="AE1295" s="487"/>
      <c r="AF1295" s="577">
        <f t="shared" si="167"/>
        <v>9600</v>
      </c>
      <c r="AG1295" s="275">
        <f t="shared" si="168"/>
        <v>9600</v>
      </c>
    </row>
    <row r="1296" spans="1:33" s="578" customFormat="1" ht="12" customHeight="1">
      <c r="A1296" s="597" t="s">
        <v>1278</v>
      </c>
      <c r="B1296" s="684" t="s">
        <v>1764</v>
      </c>
      <c r="C1296" s="610" t="s">
        <v>1883</v>
      </c>
      <c r="D1296" s="685"/>
      <c r="E1296" s="686"/>
      <c r="F1296" s="573"/>
      <c r="G1296" s="487"/>
      <c r="H1296" s="573"/>
      <c r="I1296" s="487"/>
      <c r="J1296" s="573"/>
      <c r="K1296" s="487"/>
      <c r="L1296" s="573"/>
      <c r="M1296" s="573"/>
      <c r="N1296" s="456">
        <f t="shared" si="161"/>
        <v>0</v>
      </c>
      <c r="O1296" s="487"/>
      <c r="P1296" s="487"/>
      <c r="Q1296" s="274">
        <f t="shared" si="164"/>
        <v>0</v>
      </c>
      <c r="R1296" s="574">
        <f t="shared" si="165"/>
        <v>0</v>
      </c>
      <c r="S1296" s="275">
        <f t="shared" si="166"/>
        <v>0</v>
      </c>
      <c r="T1296" s="575"/>
      <c r="U1296" s="487"/>
      <c r="V1296" s="576"/>
      <c r="W1296" s="573"/>
      <c r="X1296" s="574">
        <f t="shared" si="162"/>
        <v>0</v>
      </c>
      <c r="Y1296" s="487"/>
      <c r="Z1296" s="487"/>
      <c r="AA1296" s="276">
        <f t="shared" si="163"/>
        <v>0</v>
      </c>
      <c r="AB1296" s="573"/>
      <c r="AC1296" s="487"/>
      <c r="AD1296" s="573"/>
      <c r="AE1296" s="487"/>
      <c r="AF1296" s="577">
        <f t="shared" si="167"/>
        <v>0</v>
      </c>
      <c r="AG1296" s="275">
        <f t="shared" si="168"/>
        <v>0</v>
      </c>
    </row>
    <row r="1297" spans="1:33" s="578" customFormat="1" ht="12" customHeight="1">
      <c r="A1297" s="597" t="s">
        <v>1278</v>
      </c>
      <c r="B1297" s="684" t="s">
        <v>1765</v>
      </c>
      <c r="C1297" s="610" t="s">
        <v>1761</v>
      </c>
      <c r="D1297" s="685"/>
      <c r="E1297" s="686"/>
      <c r="F1297" s="573"/>
      <c r="G1297" s="487"/>
      <c r="H1297" s="573"/>
      <c r="I1297" s="487"/>
      <c r="J1297" s="573"/>
      <c r="K1297" s="487"/>
      <c r="L1297" s="573"/>
      <c r="M1297" s="573"/>
      <c r="N1297" s="456">
        <f t="shared" si="161"/>
        <v>0</v>
      </c>
      <c r="O1297" s="487"/>
      <c r="P1297" s="487"/>
      <c r="Q1297" s="274">
        <f t="shared" si="164"/>
        <v>0</v>
      </c>
      <c r="R1297" s="574">
        <f t="shared" si="165"/>
        <v>0</v>
      </c>
      <c r="S1297" s="275">
        <f t="shared" si="166"/>
        <v>0</v>
      </c>
      <c r="T1297" s="575"/>
      <c r="U1297" s="487"/>
      <c r="V1297" s="576"/>
      <c r="W1297" s="573"/>
      <c r="X1297" s="574">
        <f t="shared" si="162"/>
        <v>0</v>
      </c>
      <c r="Y1297" s="487"/>
      <c r="Z1297" s="487"/>
      <c r="AA1297" s="276">
        <f t="shared" si="163"/>
        <v>0</v>
      </c>
      <c r="AB1297" s="573"/>
      <c r="AC1297" s="487"/>
      <c r="AD1297" s="573"/>
      <c r="AE1297" s="487"/>
      <c r="AF1297" s="577">
        <f t="shared" si="167"/>
        <v>0</v>
      </c>
      <c r="AG1297" s="275">
        <f t="shared" si="168"/>
        <v>0</v>
      </c>
    </row>
    <row r="1298" spans="1:33" s="578" customFormat="1" ht="12" customHeight="1">
      <c r="A1298" s="597" t="s">
        <v>1278</v>
      </c>
      <c r="B1298" s="667" t="s">
        <v>1807</v>
      </c>
      <c r="C1298" s="493" t="s">
        <v>1879</v>
      </c>
      <c r="D1298" s="600"/>
      <c r="E1298" s="601"/>
      <c r="F1298" s="573"/>
      <c r="G1298" s="487"/>
      <c r="H1298" s="573"/>
      <c r="I1298" s="487"/>
      <c r="J1298" s="573"/>
      <c r="K1298" s="487"/>
      <c r="L1298" s="573"/>
      <c r="M1298" s="573"/>
      <c r="N1298" s="456">
        <f t="shared" si="161"/>
        <v>0</v>
      </c>
      <c r="O1298" s="487"/>
      <c r="P1298" s="487"/>
      <c r="Q1298" s="274">
        <f t="shared" si="164"/>
        <v>0</v>
      </c>
      <c r="R1298" s="574">
        <f t="shared" si="165"/>
        <v>0</v>
      </c>
      <c r="S1298" s="275">
        <f t="shared" si="166"/>
        <v>0</v>
      </c>
      <c r="T1298" s="575"/>
      <c r="U1298" s="487"/>
      <c r="V1298" s="576"/>
      <c r="W1298" s="573"/>
      <c r="X1298" s="574">
        <f t="shared" si="162"/>
        <v>0</v>
      </c>
      <c r="Y1298" s="487"/>
      <c r="Z1298" s="487"/>
      <c r="AA1298" s="276">
        <f t="shared" si="163"/>
        <v>0</v>
      </c>
      <c r="AB1298" s="573"/>
      <c r="AC1298" s="487"/>
      <c r="AD1298" s="573"/>
      <c r="AE1298" s="487"/>
      <c r="AF1298" s="577">
        <f t="shared" si="167"/>
        <v>0</v>
      </c>
      <c r="AG1298" s="275">
        <f t="shared" si="168"/>
        <v>0</v>
      </c>
    </row>
    <row r="1299" spans="1:33" s="578" customFormat="1" ht="12" customHeight="1">
      <c r="A1299" s="597" t="s">
        <v>1278</v>
      </c>
      <c r="B1299" s="667" t="s">
        <v>1807</v>
      </c>
      <c r="C1299" s="494" t="s">
        <v>19</v>
      </c>
      <c r="D1299" s="685"/>
      <c r="E1299" s="686"/>
      <c r="F1299" s="573"/>
      <c r="G1299" s="487"/>
      <c r="H1299" s="573"/>
      <c r="I1299" s="487"/>
      <c r="J1299" s="573"/>
      <c r="K1299" s="487"/>
      <c r="L1299" s="573"/>
      <c r="M1299" s="573"/>
      <c r="N1299" s="456">
        <f t="shared" ref="N1299:N1362" si="169">SUM(L1299:M1299)</f>
        <v>0</v>
      </c>
      <c r="O1299" s="487"/>
      <c r="P1299" s="487"/>
      <c r="Q1299" s="274">
        <f t="shared" si="164"/>
        <v>0</v>
      </c>
      <c r="R1299" s="574">
        <f t="shared" si="165"/>
        <v>0</v>
      </c>
      <c r="S1299" s="275">
        <f t="shared" si="166"/>
        <v>0</v>
      </c>
      <c r="T1299" s="575"/>
      <c r="U1299" s="487"/>
      <c r="V1299" s="576"/>
      <c r="W1299" s="573"/>
      <c r="X1299" s="574">
        <f t="shared" ref="X1299:X1362" si="170">SUM(V1299:W1299)</f>
        <v>0</v>
      </c>
      <c r="Y1299" s="487"/>
      <c r="Z1299" s="487"/>
      <c r="AA1299" s="276">
        <f t="shared" ref="AA1299:AA1362" si="171">SUM(Y1299:Z1299)</f>
        <v>0</v>
      </c>
      <c r="AB1299" s="573"/>
      <c r="AC1299" s="487"/>
      <c r="AD1299" s="573"/>
      <c r="AE1299" s="487"/>
      <c r="AF1299" s="577">
        <f t="shared" si="167"/>
        <v>0</v>
      </c>
      <c r="AG1299" s="275">
        <f t="shared" si="168"/>
        <v>0</v>
      </c>
    </row>
    <row r="1300" spans="1:33" s="578" customFormat="1" ht="12" customHeight="1">
      <c r="A1300" s="597" t="s">
        <v>1278</v>
      </c>
      <c r="B1300" s="667" t="s">
        <v>1766</v>
      </c>
      <c r="C1300" s="610" t="s">
        <v>1883</v>
      </c>
      <c r="D1300" s="685"/>
      <c r="E1300" s="686"/>
      <c r="F1300" s="573"/>
      <c r="G1300" s="487"/>
      <c r="H1300" s="573"/>
      <c r="I1300" s="487"/>
      <c r="J1300" s="573"/>
      <c r="K1300" s="487"/>
      <c r="L1300" s="573"/>
      <c r="M1300" s="573"/>
      <c r="N1300" s="456">
        <f t="shared" si="169"/>
        <v>0</v>
      </c>
      <c r="O1300" s="487"/>
      <c r="P1300" s="487"/>
      <c r="Q1300" s="274">
        <f t="shared" si="164"/>
        <v>0</v>
      </c>
      <c r="R1300" s="574">
        <f t="shared" si="165"/>
        <v>0</v>
      </c>
      <c r="S1300" s="275">
        <f t="shared" si="166"/>
        <v>0</v>
      </c>
      <c r="T1300" s="575">
        <v>32038200</v>
      </c>
      <c r="U1300" s="487">
        <v>32764600</v>
      </c>
      <c r="V1300" s="576"/>
      <c r="W1300" s="573"/>
      <c r="X1300" s="574">
        <f t="shared" si="170"/>
        <v>0</v>
      </c>
      <c r="Y1300" s="487"/>
      <c r="Z1300" s="487"/>
      <c r="AA1300" s="276">
        <f t="shared" si="171"/>
        <v>0</v>
      </c>
      <c r="AB1300" s="573"/>
      <c r="AC1300" s="487"/>
      <c r="AD1300" s="573"/>
      <c r="AE1300" s="487"/>
      <c r="AF1300" s="577">
        <f t="shared" si="167"/>
        <v>32038200</v>
      </c>
      <c r="AG1300" s="275">
        <f t="shared" si="168"/>
        <v>32764600</v>
      </c>
    </row>
    <row r="1301" spans="1:33" s="578" customFormat="1" ht="12" customHeight="1">
      <c r="A1301" s="597" t="s">
        <v>1278</v>
      </c>
      <c r="B1301" s="684" t="s">
        <v>1767</v>
      </c>
      <c r="C1301" s="610" t="s">
        <v>1761</v>
      </c>
      <c r="D1301" s="685"/>
      <c r="E1301" s="686"/>
      <c r="F1301" s="573"/>
      <c r="G1301" s="487"/>
      <c r="H1301" s="573"/>
      <c r="I1301" s="487"/>
      <c r="J1301" s="573"/>
      <c r="K1301" s="487"/>
      <c r="L1301" s="573"/>
      <c r="M1301" s="573"/>
      <c r="N1301" s="456">
        <f t="shared" si="169"/>
        <v>0</v>
      </c>
      <c r="O1301" s="487"/>
      <c r="P1301" s="487"/>
      <c r="Q1301" s="274">
        <f t="shared" si="164"/>
        <v>0</v>
      </c>
      <c r="R1301" s="574">
        <f t="shared" si="165"/>
        <v>0</v>
      </c>
      <c r="S1301" s="275">
        <f t="shared" si="166"/>
        <v>0</v>
      </c>
      <c r="T1301" s="575">
        <v>1024300</v>
      </c>
      <c r="U1301" s="487">
        <v>854400</v>
      </c>
      <c r="V1301" s="576"/>
      <c r="W1301" s="573"/>
      <c r="X1301" s="574">
        <f t="shared" si="170"/>
        <v>0</v>
      </c>
      <c r="Y1301" s="487"/>
      <c r="Z1301" s="487"/>
      <c r="AA1301" s="276">
        <f t="shared" si="171"/>
        <v>0</v>
      </c>
      <c r="AB1301" s="573"/>
      <c r="AC1301" s="487"/>
      <c r="AD1301" s="573"/>
      <c r="AE1301" s="487"/>
      <c r="AF1301" s="577">
        <f t="shared" si="167"/>
        <v>1024300</v>
      </c>
      <c r="AG1301" s="275">
        <f t="shared" si="168"/>
        <v>854400</v>
      </c>
    </row>
    <row r="1302" spans="1:33" s="578" customFormat="1" ht="12" customHeight="1">
      <c r="A1302" s="687" t="s">
        <v>1273</v>
      </c>
      <c r="B1302" s="687" t="s">
        <v>1776</v>
      </c>
      <c r="C1302" s="688" t="s">
        <v>1024</v>
      </c>
      <c r="D1302" s="689">
        <v>159391</v>
      </c>
      <c r="E1302" s="690">
        <v>1</v>
      </c>
      <c r="F1302" s="461">
        <f>230011720-23069994+12655775-1695450-14272+26147+75000-4058</f>
        <v>217984868</v>
      </c>
      <c r="G1302" s="487">
        <f>239689736-24923402</f>
        <v>214766334</v>
      </c>
      <c r="H1302" s="573"/>
      <c r="I1302" s="487"/>
      <c r="J1302" s="573"/>
      <c r="K1302" s="487"/>
      <c r="L1302" s="573">
        <v>148175360</v>
      </c>
      <c r="M1302" s="573"/>
      <c r="N1302" s="456">
        <f t="shared" si="169"/>
        <v>148175360</v>
      </c>
      <c r="O1302" s="487">
        <f>182023867-7647891</f>
        <v>174375976</v>
      </c>
      <c r="P1302" s="487"/>
      <c r="Q1302" s="274">
        <f t="shared" si="164"/>
        <v>174375976</v>
      </c>
      <c r="R1302" s="574">
        <f t="shared" si="165"/>
        <v>366160228</v>
      </c>
      <c r="S1302" s="275">
        <f t="shared" si="166"/>
        <v>389142310</v>
      </c>
      <c r="T1302" s="575"/>
      <c r="U1302" s="487"/>
      <c r="V1302" s="576"/>
      <c r="W1302" s="573"/>
      <c r="X1302" s="574">
        <f t="shared" si="170"/>
        <v>0</v>
      </c>
      <c r="Y1302" s="487"/>
      <c r="Z1302" s="487"/>
      <c r="AA1302" s="276">
        <f t="shared" si="171"/>
        <v>0</v>
      </c>
      <c r="AB1302" s="573"/>
      <c r="AC1302" s="487"/>
      <c r="AD1302" s="573"/>
      <c r="AE1302" s="487"/>
      <c r="AF1302" s="577">
        <f t="shared" si="167"/>
        <v>366160228</v>
      </c>
      <c r="AG1302" s="275">
        <f t="shared" si="168"/>
        <v>389142310</v>
      </c>
    </row>
    <row r="1303" spans="1:33" s="578" customFormat="1" ht="12" customHeight="1">
      <c r="A1303" s="687" t="s">
        <v>1273</v>
      </c>
      <c r="B1303" s="687" t="s">
        <v>1792</v>
      </c>
      <c r="C1303" s="506" t="s">
        <v>2039</v>
      </c>
      <c r="D1303" s="689">
        <v>159391</v>
      </c>
      <c r="E1303" s="690">
        <v>1</v>
      </c>
      <c r="F1303" s="461"/>
      <c r="G1303" s="487"/>
      <c r="H1303" s="573"/>
      <c r="I1303" s="487"/>
      <c r="J1303" s="573"/>
      <c r="K1303" s="487"/>
      <c r="L1303" s="573"/>
      <c r="M1303" s="573"/>
      <c r="N1303" s="456">
        <f t="shared" si="169"/>
        <v>0</v>
      </c>
      <c r="O1303" s="487"/>
      <c r="P1303" s="487"/>
      <c r="Q1303" s="274">
        <f t="shared" si="164"/>
        <v>0</v>
      </c>
      <c r="R1303" s="574">
        <f t="shared" si="165"/>
        <v>0</v>
      </c>
      <c r="S1303" s="275">
        <f t="shared" si="166"/>
        <v>0</v>
      </c>
      <c r="T1303" s="575"/>
      <c r="U1303" s="487"/>
      <c r="V1303" s="576"/>
      <c r="W1303" s="573"/>
      <c r="X1303" s="574">
        <f t="shared" si="170"/>
        <v>0</v>
      </c>
      <c r="Y1303" s="487"/>
      <c r="Z1303" s="487"/>
      <c r="AA1303" s="276">
        <f t="shared" si="171"/>
        <v>0</v>
      </c>
      <c r="AB1303" s="573"/>
      <c r="AC1303" s="487"/>
      <c r="AD1303" s="573"/>
      <c r="AE1303" s="487"/>
      <c r="AF1303" s="577">
        <f t="shared" si="167"/>
        <v>0</v>
      </c>
      <c r="AG1303" s="275">
        <f t="shared" si="168"/>
        <v>0</v>
      </c>
    </row>
    <row r="1304" spans="1:33" s="578" customFormat="1" ht="12" customHeight="1">
      <c r="A1304" s="687" t="s">
        <v>1273</v>
      </c>
      <c r="B1304" s="687" t="s">
        <v>1792</v>
      </c>
      <c r="C1304" s="691" t="s">
        <v>1025</v>
      </c>
      <c r="D1304" s="689">
        <v>159391</v>
      </c>
      <c r="E1304" s="690">
        <v>1</v>
      </c>
      <c r="F1304" s="573">
        <f>9432233+452061</f>
        <v>9884294</v>
      </c>
      <c r="G1304" s="487">
        <v>10104018</v>
      </c>
      <c r="H1304" s="573"/>
      <c r="I1304" s="487"/>
      <c r="J1304" s="573"/>
      <c r="K1304" s="487"/>
      <c r="L1304" s="573">
        <v>9640712</v>
      </c>
      <c r="M1304" s="573"/>
      <c r="N1304" s="456">
        <f t="shared" si="169"/>
        <v>9640712</v>
      </c>
      <c r="O1304" s="487">
        <v>10040012</v>
      </c>
      <c r="P1304" s="487"/>
      <c r="Q1304" s="274">
        <f t="shared" si="164"/>
        <v>10040012</v>
      </c>
      <c r="R1304" s="574">
        <f t="shared" si="165"/>
        <v>19525006</v>
      </c>
      <c r="S1304" s="275">
        <f t="shared" si="166"/>
        <v>20144030</v>
      </c>
      <c r="T1304" s="575"/>
      <c r="U1304" s="487"/>
      <c r="V1304" s="576"/>
      <c r="W1304" s="573"/>
      <c r="X1304" s="574">
        <f t="shared" si="170"/>
        <v>0</v>
      </c>
      <c r="Y1304" s="487"/>
      <c r="Z1304" s="487"/>
      <c r="AA1304" s="276">
        <f t="shared" si="171"/>
        <v>0</v>
      </c>
      <c r="AB1304" s="573"/>
      <c r="AC1304" s="487"/>
      <c r="AD1304" s="573"/>
      <c r="AE1304" s="487"/>
      <c r="AF1304" s="577">
        <f t="shared" si="167"/>
        <v>19525006</v>
      </c>
      <c r="AG1304" s="275">
        <f t="shared" si="168"/>
        <v>20144030</v>
      </c>
    </row>
    <row r="1305" spans="1:33" s="578" customFormat="1" ht="12" customHeight="1">
      <c r="A1305" s="687" t="s">
        <v>1273</v>
      </c>
      <c r="B1305" s="687" t="s">
        <v>1793</v>
      </c>
      <c r="C1305" s="506" t="s">
        <v>1429</v>
      </c>
      <c r="D1305" s="689">
        <v>159391</v>
      </c>
      <c r="E1305" s="690">
        <v>1</v>
      </c>
      <c r="F1305" s="573"/>
      <c r="G1305" s="487"/>
      <c r="H1305" s="573"/>
      <c r="I1305" s="487"/>
      <c r="J1305" s="573"/>
      <c r="K1305" s="487"/>
      <c r="L1305" s="573"/>
      <c r="M1305" s="573"/>
      <c r="N1305" s="456">
        <f t="shared" si="169"/>
        <v>0</v>
      </c>
      <c r="O1305" s="487"/>
      <c r="P1305" s="487"/>
      <c r="Q1305" s="274">
        <f t="shared" si="164"/>
        <v>0</v>
      </c>
      <c r="R1305" s="574">
        <f t="shared" si="165"/>
        <v>0</v>
      </c>
      <c r="S1305" s="275">
        <f t="shared" si="166"/>
        <v>0</v>
      </c>
      <c r="T1305" s="575"/>
      <c r="U1305" s="487"/>
      <c r="V1305" s="576"/>
      <c r="W1305" s="573"/>
      <c r="X1305" s="574">
        <f t="shared" si="170"/>
        <v>0</v>
      </c>
      <c r="Y1305" s="487"/>
      <c r="Z1305" s="487"/>
      <c r="AA1305" s="276">
        <f t="shared" si="171"/>
        <v>0</v>
      </c>
      <c r="AB1305" s="573"/>
      <c r="AC1305" s="487"/>
      <c r="AD1305" s="573"/>
      <c r="AE1305" s="487"/>
      <c r="AF1305" s="577">
        <f t="shared" si="167"/>
        <v>0</v>
      </c>
      <c r="AG1305" s="275">
        <f t="shared" si="168"/>
        <v>0</v>
      </c>
    </row>
    <row r="1306" spans="1:33" s="578" customFormat="1" ht="12" customHeight="1">
      <c r="A1306" s="687" t="s">
        <v>1273</v>
      </c>
      <c r="B1306" s="687" t="s">
        <v>1793</v>
      </c>
      <c r="C1306" s="691" t="s">
        <v>1026</v>
      </c>
      <c r="D1306" s="689">
        <v>159391</v>
      </c>
      <c r="E1306" s="690">
        <v>1</v>
      </c>
      <c r="F1306" s="573"/>
      <c r="G1306" s="487"/>
      <c r="H1306" s="573"/>
      <c r="I1306" s="487"/>
      <c r="J1306" s="573"/>
      <c r="K1306" s="487"/>
      <c r="L1306" s="573"/>
      <c r="M1306" s="573"/>
      <c r="N1306" s="456">
        <f t="shared" si="169"/>
        <v>0</v>
      </c>
      <c r="O1306" s="487"/>
      <c r="P1306" s="487"/>
      <c r="Q1306" s="274">
        <f t="shared" si="164"/>
        <v>0</v>
      </c>
      <c r="R1306" s="574">
        <f t="shared" si="165"/>
        <v>0</v>
      </c>
      <c r="S1306" s="275">
        <f t="shared" si="166"/>
        <v>0</v>
      </c>
      <c r="T1306" s="575"/>
      <c r="U1306" s="487"/>
      <c r="V1306" s="576"/>
      <c r="W1306" s="573"/>
      <c r="X1306" s="574">
        <f t="shared" si="170"/>
        <v>0</v>
      </c>
      <c r="Y1306" s="487"/>
      <c r="Z1306" s="487"/>
      <c r="AA1306" s="276">
        <f t="shared" si="171"/>
        <v>0</v>
      </c>
      <c r="AB1306" s="573">
        <f>23069994+1695450</f>
        <v>24765444</v>
      </c>
      <c r="AC1306" s="487">
        <f>24923402</f>
        <v>24923402</v>
      </c>
      <c r="AD1306" s="573">
        <v>7117712</v>
      </c>
      <c r="AE1306" s="487">
        <v>7647891</v>
      </c>
      <c r="AF1306" s="577">
        <f t="shared" si="167"/>
        <v>31883156</v>
      </c>
      <c r="AG1306" s="275">
        <f t="shared" si="168"/>
        <v>32571293</v>
      </c>
    </row>
    <row r="1307" spans="1:33" s="578" customFormat="1" ht="12" customHeight="1">
      <c r="A1307" s="687" t="s">
        <v>1273</v>
      </c>
      <c r="B1307" s="687" t="s">
        <v>1788</v>
      </c>
      <c r="C1307" s="506" t="s">
        <v>1027</v>
      </c>
      <c r="D1307" s="689">
        <v>159391</v>
      </c>
      <c r="E1307" s="690">
        <v>1</v>
      </c>
      <c r="F1307" s="573"/>
      <c r="G1307" s="487"/>
      <c r="H1307" s="573"/>
      <c r="I1307" s="487"/>
      <c r="J1307" s="573"/>
      <c r="K1307" s="487"/>
      <c r="L1307" s="573"/>
      <c r="M1307" s="573"/>
      <c r="N1307" s="456">
        <f t="shared" si="169"/>
        <v>0</v>
      </c>
      <c r="O1307" s="487"/>
      <c r="P1307" s="487"/>
      <c r="Q1307" s="274">
        <f t="shared" si="164"/>
        <v>0</v>
      </c>
      <c r="R1307" s="574">
        <f t="shared" si="165"/>
        <v>0</v>
      </c>
      <c r="S1307" s="275">
        <f t="shared" si="166"/>
        <v>0</v>
      </c>
      <c r="T1307" s="575"/>
      <c r="U1307" s="487"/>
      <c r="V1307" s="576"/>
      <c r="W1307" s="573"/>
      <c r="X1307" s="574">
        <f t="shared" si="170"/>
        <v>0</v>
      </c>
      <c r="Y1307" s="487"/>
      <c r="Z1307" s="487"/>
      <c r="AA1307" s="276">
        <f t="shared" si="171"/>
        <v>0</v>
      </c>
      <c r="AB1307" s="573"/>
      <c r="AC1307" s="487"/>
      <c r="AD1307" s="573"/>
      <c r="AE1307" s="487"/>
      <c r="AF1307" s="577">
        <f t="shared" si="167"/>
        <v>0</v>
      </c>
      <c r="AG1307" s="275">
        <f t="shared" si="168"/>
        <v>0</v>
      </c>
    </row>
    <row r="1308" spans="1:33" s="578" customFormat="1" ht="12" customHeight="1">
      <c r="A1308" s="687" t="s">
        <v>1273</v>
      </c>
      <c r="B1308" s="687" t="s">
        <v>1788</v>
      </c>
      <c r="C1308" s="691" t="s">
        <v>1769</v>
      </c>
      <c r="D1308" s="689">
        <v>159391</v>
      </c>
      <c r="E1308" s="690">
        <v>1</v>
      </c>
      <c r="F1308" s="573"/>
      <c r="G1308" s="487"/>
      <c r="H1308" s="573">
        <v>31751245</v>
      </c>
      <c r="I1308" s="487">
        <f>32057012</f>
        <v>32057012</v>
      </c>
      <c r="J1308" s="573"/>
      <c r="K1308" s="487"/>
      <c r="L1308" s="573"/>
      <c r="M1308" s="573"/>
      <c r="N1308" s="456">
        <f t="shared" si="169"/>
        <v>0</v>
      </c>
      <c r="O1308" s="487"/>
      <c r="P1308" s="487"/>
      <c r="Q1308" s="274">
        <f t="shared" si="164"/>
        <v>0</v>
      </c>
      <c r="R1308" s="574">
        <f t="shared" si="165"/>
        <v>31751245</v>
      </c>
      <c r="S1308" s="275">
        <f t="shared" si="166"/>
        <v>32057012</v>
      </c>
      <c r="T1308" s="575"/>
      <c r="U1308" s="487"/>
      <c r="V1308" s="576"/>
      <c r="W1308" s="573"/>
      <c r="X1308" s="574">
        <f t="shared" si="170"/>
        <v>0</v>
      </c>
      <c r="Y1308" s="487"/>
      <c r="Z1308" s="487"/>
      <c r="AA1308" s="276">
        <f t="shared" si="171"/>
        <v>0</v>
      </c>
      <c r="AB1308" s="573"/>
      <c r="AC1308" s="487"/>
      <c r="AD1308" s="573"/>
      <c r="AE1308" s="487"/>
      <c r="AF1308" s="577">
        <f t="shared" si="167"/>
        <v>31751245</v>
      </c>
      <c r="AG1308" s="275">
        <f t="shared" si="168"/>
        <v>32057012</v>
      </c>
    </row>
    <row r="1309" spans="1:33" s="578" customFormat="1" ht="12" customHeight="1">
      <c r="A1309" s="687" t="s">
        <v>1273</v>
      </c>
      <c r="B1309" s="687" t="s">
        <v>1789</v>
      </c>
      <c r="C1309" s="691" t="s">
        <v>1768</v>
      </c>
      <c r="D1309" s="689">
        <v>159391</v>
      </c>
      <c r="E1309" s="690">
        <v>1</v>
      </c>
      <c r="F1309" s="573"/>
      <c r="G1309" s="487"/>
      <c r="H1309" s="573">
        <v>42461226</v>
      </c>
      <c r="I1309" s="487">
        <f>41030283</f>
        <v>41030283</v>
      </c>
      <c r="J1309" s="573"/>
      <c r="K1309" s="487"/>
      <c r="L1309" s="573"/>
      <c r="M1309" s="573"/>
      <c r="N1309" s="456">
        <f t="shared" si="169"/>
        <v>0</v>
      </c>
      <c r="O1309" s="487"/>
      <c r="P1309" s="487"/>
      <c r="Q1309" s="274">
        <f t="shared" si="164"/>
        <v>0</v>
      </c>
      <c r="R1309" s="574">
        <f t="shared" si="165"/>
        <v>42461226</v>
      </c>
      <c r="S1309" s="275">
        <f t="shared" si="166"/>
        <v>41030283</v>
      </c>
      <c r="T1309" s="575"/>
      <c r="U1309" s="487"/>
      <c r="V1309" s="576"/>
      <c r="W1309" s="573"/>
      <c r="X1309" s="574">
        <f t="shared" si="170"/>
        <v>0</v>
      </c>
      <c r="Y1309" s="487"/>
      <c r="Z1309" s="487"/>
      <c r="AA1309" s="276">
        <f t="shared" si="171"/>
        <v>0</v>
      </c>
      <c r="AB1309" s="573"/>
      <c r="AC1309" s="487"/>
      <c r="AD1309" s="573"/>
      <c r="AE1309" s="487"/>
      <c r="AF1309" s="577">
        <f t="shared" si="167"/>
        <v>42461226</v>
      </c>
      <c r="AG1309" s="275">
        <f t="shared" si="168"/>
        <v>41030283</v>
      </c>
    </row>
    <row r="1310" spans="1:33" s="578" customFormat="1" ht="12" customHeight="1">
      <c r="A1310" s="687" t="s">
        <v>1273</v>
      </c>
      <c r="B1310" s="687" t="s">
        <v>1788</v>
      </c>
      <c r="C1310" s="691" t="s">
        <v>1028</v>
      </c>
      <c r="D1310" s="689">
        <v>159391</v>
      </c>
      <c r="E1310" s="690">
        <v>1</v>
      </c>
      <c r="F1310" s="573"/>
      <c r="G1310" s="487"/>
      <c r="H1310" s="573">
        <v>17726084</v>
      </c>
      <c r="I1310" s="487">
        <f>16258618+424285</f>
        <v>16682903</v>
      </c>
      <c r="J1310" s="573"/>
      <c r="K1310" s="487"/>
      <c r="L1310" s="573"/>
      <c r="M1310" s="573"/>
      <c r="N1310" s="456">
        <f t="shared" si="169"/>
        <v>0</v>
      </c>
      <c r="O1310" s="487"/>
      <c r="P1310" s="487"/>
      <c r="Q1310" s="274">
        <f t="shared" si="164"/>
        <v>0</v>
      </c>
      <c r="R1310" s="574">
        <f t="shared" si="165"/>
        <v>17726084</v>
      </c>
      <c r="S1310" s="275">
        <f t="shared" si="166"/>
        <v>16682903</v>
      </c>
      <c r="T1310" s="575"/>
      <c r="U1310" s="487"/>
      <c r="V1310" s="576"/>
      <c r="W1310" s="573"/>
      <c r="X1310" s="574">
        <f t="shared" si="170"/>
        <v>0</v>
      </c>
      <c r="Y1310" s="487"/>
      <c r="Z1310" s="487"/>
      <c r="AA1310" s="276">
        <f t="shared" si="171"/>
        <v>0</v>
      </c>
      <c r="AB1310" s="573"/>
      <c r="AC1310" s="487"/>
      <c r="AD1310" s="573"/>
      <c r="AE1310" s="487"/>
      <c r="AF1310" s="577">
        <f t="shared" si="167"/>
        <v>17726084</v>
      </c>
      <c r="AG1310" s="275">
        <f t="shared" si="168"/>
        <v>16682903</v>
      </c>
    </row>
    <row r="1311" spans="1:33" s="578" customFormat="1" ht="12" customHeight="1">
      <c r="A1311" s="687" t="s">
        <v>1273</v>
      </c>
      <c r="B1311" s="687" t="s">
        <v>1776</v>
      </c>
      <c r="C1311" s="688" t="s">
        <v>1029</v>
      </c>
      <c r="D1311" s="689">
        <v>160658</v>
      </c>
      <c r="E1311" s="690">
        <v>2</v>
      </c>
      <c r="F1311" s="461">
        <f>87576552-20649</f>
        <v>87555903</v>
      </c>
      <c r="G1311" s="487">
        <v>90623158</v>
      </c>
      <c r="H1311" s="573"/>
      <c r="I1311" s="487"/>
      <c r="J1311" s="573"/>
      <c r="K1311" s="487"/>
      <c r="L1311" s="573">
        <v>43365300</v>
      </c>
      <c r="M1311" s="573"/>
      <c r="N1311" s="456">
        <f t="shared" si="169"/>
        <v>43365300</v>
      </c>
      <c r="O1311" s="487">
        <v>54659717</v>
      </c>
      <c r="P1311" s="487"/>
      <c r="Q1311" s="274">
        <f t="shared" si="164"/>
        <v>54659717</v>
      </c>
      <c r="R1311" s="574">
        <f t="shared" si="165"/>
        <v>130921203</v>
      </c>
      <c r="S1311" s="275">
        <f t="shared" si="166"/>
        <v>145282875</v>
      </c>
      <c r="T1311" s="575"/>
      <c r="U1311" s="487"/>
      <c r="V1311" s="576"/>
      <c r="W1311" s="573"/>
      <c r="X1311" s="574">
        <f t="shared" si="170"/>
        <v>0</v>
      </c>
      <c r="Y1311" s="487"/>
      <c r="Z1311" s="487"/>
      <c r="AA1311" s="276">
        <f t="shared" si="171"/>
        <v>0</v>
      </c>
      <c r="AB1311" s="573"/>
      <c r="AC1311" s="487"/>
      <c r="AD1311" s="573"/>
      <c r="AE1311" s="487"/>
      <c r="AF1311" s="577">
        <f t="shared" si="167"/>
        <v>130921203</v>
      </c>
      <c r="AG1311" s="275">
        <f t="shared" si="168"/>
        <v>145282875</v>
      </c>
    </row>
    <row r="1312" spans="1:33" s="578" customFormat="1" ht="12" customHeight="1">
      <c r="A1312" s="687" t="s">
        <v>1273</v>
      </c>
      <c r="B1312" s="687" t="s">
        <v>1776</v>
      </c>
      <c r="C1312" s="688" t="s">
        <v>1030</v>
      </c>
      <c r="D1312" s="689">
        <v>159939</v>
      </c>
      <c r="E1312" s="690">
        <v>2</v>
      </c>
      <c r="F1312" s="461">
        <f>73799826+38000</f>
        <v>73837826</v>
      </c>
      <c r="G1312" s="487">
        <v>70887320</v>
      </c>
      <c r="H1312" s="573"/>
      <c r="I1312" s="487"/>
      <c r="J1312" s="573"/>
      <c r="K1312" s="487"/>
      <c r="L1312" s="573">
        <v>46261927</v>
      </c>
      <c r="M1312" s="573"/>
      <c r="N1312" s="456">
        <f t="shared" si="169"/>
        <v>46261927</v>
      </c>
      <c r="O1312" s="487">
        <v>55849870</v>
      </c>
      <c r="P1312" s="487"/>
      <c r="Q1312" s="274">
        <f t="shared" si="164"/>
        <v>55849870</v>
      </c>
      <c r="R1312" s="574">
        <f t="shared" si="165"/>
        <v>120099753</v>
      </c>
      <c r="S1312" s="275">
        <f t="shared" si="166"/>
        <v>126737190</v>
      </c>
      <c r="T1312" s="575"/>
      <c r="U1312" s="487"/>
      <c r="V1312" s="576"/>
      <c r="W1312" s="573"/>
      <c r="X1312" s="574">
        <f t="shared" si="170"/>
        <v>0</v>
      </c>
      <c r="Y1312" s="487"/>
      <c r="Z1312" s="487"/>
      <c r="AA1312" s="276">
        <f t="shared" si="171"/>
        <v>0</v>
      </c>
      <c r="AB1312" s="573"/>
      <c r="AC1312" s="487"/>
      <c r="AD1312" s="573"/>
      <c r="AE1312" s="487"/>
      <c r="AF1312" s="577">
        <f t="shared" si="167"/>
        <v>120099753</v>
      </c>
      <c r="AG1312" s="275">
        <f t="shared" si="168"/>
        <v>126737190</v>
      </c>
    </row>
    <row r="1313" spans="1:33" s="578" customFormat="1" ht="12" customHeight="1">
      <c r="A1313" s="687" t="s">
        <v>1273</v>
      </c>
      <c r="B1313" s="687" t="s">
        <v>1776</v>
      </c>
      <c r="C1313" s="692" t="s">
        <v>1031</v>
      </c>
      <c r="D1313" s="693">
        <v>159647</v>
      </c>
      <c r="E1313" s="694">
        <v>2</v>
      </c>
      <c r="F1313" s="461">
        <f>59840859-18195</f>
        <v>59822664</v>
      </c>
      <c r="G1313" s="487">
        <v>60205177</v>
      </c>
      <c r="H1313" s="573"/>
      <c r="I1313" s="487"/>
      <c r="J1313" s="573"/>
      <c r="K1313" s="487"/>
      <c r="L1313" s="573">
        <v>31167000</v>
      </c>
      <c r="M1313" s="573"/>
      <c r="N1313" s="456">
        <f t="shared" si="169"/>
        <v>31167000</v>
      </c>
      <c r="O1313" s="487">
        <v>36089000</v>
      </c>
      <c r="P1313" s="487"/>
      <c r="Q1313" s="274">
        <f t="shared" si="164"/>
        <v>36089000</v>
      </c>
      <c r="R1313" s="574">
        <f t="shared" si="165"/>
        <v>90989664</v>
      </c>
      <c r="S1313" s="275">
        <f t="shared" si="166"/>
        <v>96294177</v>
      </c>
      <c r="T1313" s="575"/>
      <c r="U1313" s="487"/>
      <c r="V1313" s="576"/>
      <c r="W1313" s="573"/>
      <c r="X1313" s="574">
        <f t="shared" si="170"/>
        <v>0</v>
      </c>
      <c r="Y1313" s="487"/>
      <c r="Z1313" s="487"/>
      <c r="AA1313" s="276">
        <f t="shared" si="171"/>
        <v>0</v>
      </c>
      <c r="AB1313" s="573"/>
      <c r="AC1313" s="487"/>
      <c r="AD1313" s="573"/>
      <c r="AE1313" s="487"/>
      <c r="AF1313" s="577">
        <f t="shared" si="167"/>
        <v>90989664</v>
      </c>
      <c r="AG1313" s="275">
        <f t="shared" si="168"/>
        <v>96294177</v>
      </c>
    </row>
    <row r="1314" spans="1:33" s="578" customFormat="1" ht="12" customHeight="1">
      <c r="A1314" s="687" t="s">
        <v>1273</v>
      </c>
      <c r="B1314" s="687" t="s">
        <v>1776</v>
      </c>
      <c r="C1314" s="688" t="s">
        <v>1032</v>
      </c>
      <c r="D1314" s="689">
        <v>160621</v>
      </c>
      <c r="E1314" s="690">
        <v>3</v>
      </c>
      <c r="F1314" s="573">
        <v>55161490</v>
      </c>
      <c r="G1314" s="487">
        <v>53318959</v>
      </c>
      <c r="H1314" s="573"/>
      <c r="I1314" s="487"/>
      <c r="J1314" s="573"/>
      <c r="K1314" s="487"/>
      <c r="L1314" s="573">
        <v>30045375</v>
      </c>
      <c r="M1314" s="573"/>
      <c r="N1314" s="456">
        <f t="shared" si="169"/>
        <v>30045375</v>
      </c>
      <c r="O1314" s="487">
        <v>32343375</v>
      </c>
      <c r="P1314" s="487"/>
      <c r="Q1314" s="274">
        <f t="shared" si="164"/>
        <v>32343375</v>
      </c>
      <c r="R1314" s="574">
        <f t="shared" si="165"/>
        <v>85206865</v>
      </c>
      <c r="S1314" s="275">
        <f t="shared" si="166"/>
        <v>85662334</v>
      </c>
      <c r="T1314" s="575"/>
      <c r="U1314" s="487"/>
      <c r="V1314" s="576"/>
      <c r="W1314" s="573"/>
      <c r="X1314" s="574">
        <f t="shared" si="170"/>
        <v>0</v>
      </c>
      <c r="Y1314" s="487"/>
      <c r="Z1314" s="487"/>
      <c r="AA1314" s="276">
        <f t="shared" si="171"/>
        <v>0</v>
      </c>
      <c r="AB1314" s="573"/>
      <c r="AC1314" s="487"/>
      <c r="AD1314" s="573"/>
      <c r="AE1314" s="487"/>
      <c r="AF1314" s="577">
        <f t="shared" si="167"/>
        <v>85206865</v>
      </c>
      <c r="AG1314" s="275">
        <f t="shared" si="168"/>
        <v>85662334</v>
      </c>
    </row>
    <row r="1315" spans="1:33" s="578" customFormat="1" ht="12" customHeight="1">
      <c r="A1315" s="687" t="s">
        <v>1273</v>
      </c>
      <c r="B1315" s="687" t="s">
        <v>1792</v>
      </c>
      <c r="C1315" s="506" t="s">
        <v>2039</v>
      </c>
      <c r="D1315" s="689">
        <v>160621</v>
      </c>
      <c r="E1315" s="690">
        <v>3</v>
      </c>
      <c r="F1315" s="461"/>
      <c r="G1315" s="487"/>
      <c r="H1315" s="573"/>
      <c r="I1315" s="487"/>
      <c r="J1315" s="573"/>
      <c r="K1315" s="487"/>
      <c r="L1315" s="573"/>
      <c r="M1315" s="573"/>
      <c r="N1315" s="456">
        <f t="shared" si="169"/>
        <v>0</v>
      </c>
      <c r="O1315" s="487"/>
      <c r="P1315" s="487"/>
      <c r="Q1315" s="274">
        <f t="shared" si="164"/>
        <v>0</v>
      </c>
      <c r="R1315" s="574">
        <f t="shared" si="165"/>
        <v>0</v>
      </c>
      <c r="S1315" s="275">
        <f t="shared" si="166"/>
        <v>0</v>
      </c>
      <c r="T1315" s="575"/>
      <c r="U1315" s="487"/>
      <c r="V1315" s="576"/>
      <c r="W1315" s="573"/>
      <c r="X1315" s="574">
        <f t="shared" si="170"/>
        <v>0</v>
      </c>
      <c r="Y1315" s="487"/>
      <c r="Z1315" s="487"/>
      <c r="AA1315" s="276">
        <f t="shared" si="171"/>
        <v>0</v>
      </c>
      <c r="AB1315" s="573"/>
      <c r="AC1315" s="487"/>
      <c r="AD1315" s="573"/>
      <c r="AE1315" s="487"/>
      <c r="AF1315" s="577">
        <f t="shared" si="167"/>
        <v>0</v>
      </c>
      <c r="AG1315" s="275">
        <f t="shared" si="168"/>
        <v>0</v>
      </c>
    </row>
    <row r="1316" spans="1:33" s="578" customFormat="1" ht="12" customHeight="1">
      <c r="A1316" s="687" t="s">
        <v>1273</v>
      </c>
      <c r="B1316" s="687" t="s">
        <v>1792</v>
      </c>
      <c r="C1316" s="691" t="s">
        <v>254</v>
      </c>
      <c r="D1316" s="689">
        <v>160621</v>
      </c>
      <c r="E1316" s="690">
        <v>3</v>
      </c>
      <c r="F1316" s="573">
        <v>7415649</v>
      </c>
      <c r="G1316" s="487">
        <v>7302321</v>
      </c>
      <c r="H1316" s="573"/>
      <c r="I1316" s="487"/>
      <c r="J1316" s="573"/>
      <c r="K1316" s="487"/>
      <c r="L1316" s="573">
        <v>3338400</v>
      </c>
      <c r="M1316" s="573"/>
      <c r="N1316" s="456">
        <f t="shared" si="169"/>
        <v>3338400</v>
      </c>
      <c r="O1316" s="487">
        <v>3446170</v>
      </c>
      <c r="P1316" s="487"/>
      <c r="Q1316" s="274">
        <f t="shared" si="164"/>
        <v>3446170</v>
      </c>
      <c r="R1316" s="574">
        <f t="shared" si="165"/>
        <v>10754049</v>
      </c>
      <c r="S1316" s="275">
        <f t="shared" si="166"/>
        <v>10748491</v>
      </c>
      <c r="T1316" s="575"/>
      <c r="U1316" s="487"/>
      <c r="V1316" s="576"/>
      <c r="W1316" s="573"/>
      <c r="X1316" s="574">
        <f t="shared" si="170"/>
        <v>0</v>
      </c>
      <c r="Y1316" s="487"/>
      <c r="Z1316" s="487"/>
      <c r="AA1316" s="276">
        <f t="shared" si="171"/>
        <v>0</v>
      </c>
      <c r="AB1316" s="573"/>
      <c r="AC1316" s="487"/>
      <c r="AD1316" s="573"/>
      <c r="AE1316" s="487"/>
      <c r="AF1316" s="577">
        <f t="shared" si="167"/>
        <v>10754049</v>
      </c>
      <c r="AG1316" s="275">
        <f t="shared" si="168"/>
        <v>10748491</v>
      </c>
    </row>
    <row r="1317" spans="1:33" s="578" customFormat="1" ht="12" customHeight="1">
      <c r="A1317" s="687" t="s">
        <v>1273</v>
      </c>
      <c r="B1317" s="687" t="s">
        <v>1788</v>
      </c>
      <c r="C1317" s="506" t="s">
        <v>1027</v>
      </c>
      <c r="D1317" s="689">
        <v>160621</v>
      </c>
      <c r="E1317" s="690">
        <v>3</v>
      </c>
      <c r="F1317" s="573"/>
      <c r="G1317" s="487"/>
      <c r="H1317" s="573"/>
      <c r="I1317" s="487"/>
      <c r="J1317" s="573"/>
      <c r="K1317" s="487"/>
      <c r="L1317" s="573"/>
      <c r="M1317" s="573"/>
      <c r="N1317" s="456">
        <f t="shared" si="169"/>
        <v>0</v>
      </c>
      <c r="O1317" s="487"/>
      <c r="P1317" s="487"/>
      <c r="Q1317" s="274">
        <f t="shared" si="164"/>
        <v>0</v>
      </c>
      <c r="R1317" s="574">
        <f t="shared" si="165"/>
        <v>0</v>
      </c>
      <c r="S1317" s="275">
        <f t="shared" si="166"/>
        <v>0</v>
      </c>
      <c r="T1317" s="575"/>
      <c r="U1317" s="487"/>
      <c r="V1317" s="576"/>
      <c r="W1317" s="573"/>
      <c r="X1317" s="574">
        <f t="shared" si="170"/>
        <v>0</v>
      </c>
      <c r="Y1317" s="487"/>
      <c r="Z1317" s="487"/>
      <c r="AA1317" s="276">
        <f t="shared" si="171"/>
        <v>0</v>
      </c>
      <c r="AB1317" s="573"/>
      <c r="AC1317" s="487"/>
      <c r="AD1317" s="573"/>
      <c r="AE1317" s="487"/>
      <c r="AF1317" s="577">
        <f t="shared" si="167"/>
        <v>0</v>
      </c>
      <c r="AG1317" s="275">
        <f t="shared" si="168"/>
        <v>0</v>
      </c>
    </row>
    <row r="1318" spans="1:33" s="578" customFormat="1" ht="12" customHeight="1">
      <c r="A1318" s="687" t="s">
        <v>1273</v>
      </c>
      <c r="B1318" s="687" t="s">
        <v>1788</v>
      </c>
      <c r="C1318" s="691" t="s">
        <v>1033</v>
      </c>
      <c r="D1318" s="689">
        <v>160621</v>
      </c>
      <c r="E1318" s="690">
        <v>3</v>
      </c>
      <c r="F1318" s="573"/>
      <c r="G1318" s="487"/>
      <c r="H1318" s="461">
        <f>5996589-225000</f>
        <v>5771589</v>
      </c>
      <c r="I1318" s="487">
        <v>5648740</v>
      </c>
      <c r="J1318" s="573"/>
      <c r="K1318" s="487"/>
      <c r="L1318" s="573"/>
      <c r="M1318" s="573"/>
      <c r="N1318" s="456">
        <f t="shared" si="169"/>
        <v>0</v>
      </c>
      <c r="O1318" s="487"/>
      <c r="P1318" s="487"/>
      <c r="Q1318" s="274">
        <f t="shared" si="164"/>
        <v>0</v>
      </c>
      <c r="R1318" s="574">
        <f t="shared" si="165"/>
        <v>5771589</v>
      </c>
      <c r="S1318" s="275">
        <f t="shared" si="166"/>
        <v>5648740</v>
      </c>
      <c r="T1318" s="575"/>
      <c r="U1318" s="487"/>
      <c r="V1318" s="576"/>
      <c r="W1318" s="573"/>
      <c r="X1318" s="574">
        <f t="shared" si="170"/>
        <v>0</v>
      </c>
      <c r="Y1318" s="487"/>
      <c r="Z1318" s="487"/>
      <c r="AA1318" s="276">
        <f t="shared" si="171"/>
        <v>0</v>
      </c>
      <c r="AB1318" s="573"/>
      <c r="AC1318" s="487"/>
      <c r="AD1318" s="573"/>
      <c r="AE1318" s="487"/>
      <c r="AF1318" s="577">
        <f t="shared" si="167"/>
        <v>5771589</v>
      </c>
      <c r="AG1318" s="275">
        <f t="shared" si="168"/>
        <v>5648740</v>
      </c>
    </row>
    <row r="1319" spans="1:33" s="578" customFormat="1" ht="12" customHeight="1">
      <c r="A1319" s="687" t="s">
        <v>1273</v>
      </c>
      <c r="B1319" s="687" t="s">
        <v>1776</v>
      </c>
      <c r="C1319" s="688" t="s">
        <v>1034</v>
      </c>
      <c r="D1319" s="689">
        <v>159993</v>
      </c>
      <c r="E1319" s="690">
        <v>3</v>
      </c>
      <c r="F1319" s="573">
        <v>57182526</v>
      </c>
      <c r="G1319" s="487">
        <v>55547962</v>
      </c>
      <c r="H1319" s="573"/>
      <c r="I1319" s="487"/>
      <c r="J1319" s="573"/>
      <c r="K1319" s="487"/>
      <c r="L1319" s="573">
        <v>27202946</v>
      </c>
      <c r="M1319" s="573"/>
      <c r="N1319" s="456">
        <f t="shared" si="169"/>
        <v>27202946</v>
      </c>
      <c r="O1319" s="487">
        <v>33011710</v>
      </c>
      <c r="P1319" s="487"/>
      <c r="Q1319" s="274">
        <f t="shared" si="164"/>
        <v>33011710</v>
      </c>
      <c r="R1319" s="574">
        <f t="shared" si="165"/>
        <v>84385472</v>
      </c>
      <c r="S1319" s="275">
        <f t="shared" si="166"/>
        <v>88559672</v>
      </c>
      <c r="T1319" s="575"/>
      <c r="U1319" s="487"/>
      <c r="V1319" s="576"/>
      <c r="W1319" s="573"/>
      <c r="X1319" s="574">
        <f t="shared" si="170"/>
        <v>0</v>
      </c>
      <c r="Y1319" s="487"/>
      <c r="Z1319" s="487"/>
      <c r="AA1319" s="276">
        <f t="shared" si="171"/>
        <v>0</v>
      </c>
      <c r="AB1319" s="573"/>
      <c r="AC1319" s="487"/>
      <c r="AD1319" s="573"/>
      <c r="AE1319" s="487"/>
      <c r="AF1319" s="577">
        <f t="shared" si="167"/>
        <v>84385472</v>
      </c>
      <c r="AG1319" s="275">
        <f t="shared" si="168"/>
        <v>88559672</v>
      </c>
    </row>
    <row r="1320" spans="1:33" s="578" customFormat="1" ht="12" customHeight="1">
      <c r="A1320" s="688" t="s">
        <v>1273</v>
      </c>
      <c r="B1320" s="687" t="s">
        <v>1776</v>
      </c>
      <c r="C1320" s="692" t="s">
        <v>1035</v>
      </c>
      <c r="D1320" s="689">
        <v>160612</v>
      </c>
      <c r="E1320" s="690">
        <v>3</v>
      </c>
      <c r="F1320" s="461">
        <f>74042306-20919</f>
        <v>74021387</v>
      </c>
      <c r="G1320" s="487">
        <v>75936330</v>
      </c>
      <c r="H1320" s="573"/>
      <c r="I1320" s="487"/>
      <c r="J1320" s="573"/>
      <c r="K1320" s="487"/>
      <c r="L1320" s="573">
        <v>39469020</v>
      </c>
      <c r="M1320" s="573"/>
      <c r="N1320" s="456">
        <f t="shared" si="169"/>
        <v>39469020</v>
      </c>
      <c r="O1320" s="487">
        <v>45659429</v>
      </c>
      <c r="P1320" s="487"/>
      <c r="Q1320" s="274">
        <f t="shared" si="164"/>
        <v>45659429</v>
      </c>
      <c r="R1320" s="574">
        <f t="shared" si="165"/>
        <v>113490407</v>
      </c>
      <c r="S1320" s="275">
        <f t="shared" si="166"/>
        <v>121595759</v>
      </c>
      <c r="T1320" s="575"/>
      <c r="U1320" s="487"/>
      <c r="V1320" s="576"/>
      <c r="W1320" s="573"/>
      <c r="X1320" s="574">
        <f t="shared" si="170"/>
        <v>0</v>
      </c>
      <c r="Y1320" s="487"/>
      <c r="Z1320" s="487"/>
      <c r="AA1320" s="276">
        <f t="shared" si="171"/>
        <v>0</v>
      </c>
      <c r="AB1320" s="573"/>
      <c r="AC1320" s="487"/>
      <c r="AD1320" s="573"/>
      <c r="AE1320" s="487"/>
      <c r="AF1320" s="577">
        <f t="shared" si="167"/>
        <v>113490407</v>
      </c>
      <c r="AG1320" s="275">
        <f t="shared" si="168"/>
        <v>121595759</v>
      </c>
    </row>
    <row r="1321" spans="1:33" s="578" customFormat="1" ht="12" customHeight="1">
      <c r="A1321" s="687" t="s">
        <v>1273</v>
      </c>
      <c r="B1321" s="687" t="s">
        <v>1776</v>
      </c>
      <c r="C1321" s="688" t="s">
        <v>1036</v>
      </c>
      <c r="D1321" s="689">
        <v>159009</v>
      </c>
      <c r="E1321" s="690">
        <v>4</v>
      </c>
      <c r="F1321" s="461">
        <f>31694727-14882</f>
        <v>31679845</v>
      </c>
      <c r="G1321" s="487">
        <v>30499749</v>
      </c>
      <c r="H1321" s="573"/>
      <c r="I1321" s="487"/>
      <c r="J1321" s="573"/>
      <c r="K1321" s="487"/>
      <c r="L1321" s="573">
        <v>21938194</v>
      </c>
      <c r="M1321" s="573"/>
      <c r="N1321" s="456">
        <f t="shared" si="169"/>
        <v>21938194</v>
      </c>
      <c r="O1321" s="487">
        <v>28038015</v>
      </c>
      <c r="P1321" s="487"/>
      <c r="Q1321" s="274">
        <f t="shared" si="164"/>
        <v>28038015</v>
      </c>
      <c r="R1321" s="574">
        <f t="shared" si="165"/>
        <v>53618039</v>
      </c>
      <c r="S1321" s="275">
        <f t="shared" si="166"/>
        <v>58537764</v>
      </c>
      <c r="T1321" s="575"/>
      <c r="U1321" s="487"/>
      <c r="V1321" s="576"/>
      <c r="W1321" s="573"/>
      <c r="X1321" s="574">
        <f t="shared" si="170"/>
        <v>0</v>
      </c>
      <c r="Y1321" s="487"/>
      <c r="Z1321" s="487"/>
      <c r="AA1321" s="276">
        <f t="shared" si="171"/>
        <v>0</v>
      </c>
      <c r="AB1321" s="573"/>
      <c r="AC1321" s="487"/>
      <c r="AD1321" s="573"/>
      <c r="AE1321" s="487"/>
      <c r="AF1321" s="577">
        <f t="shared" si="167"/>
        <v>53618039</v>
      </c>
      <c r="AG1321" s="275">
        <f t="shared" si="168"/>
        <v>58537764</v>
      </c>
    </row>
    <row r="1322" spans="1:33" s="578" customFormat="1" ht="12" customHeight="1">
      <c r="A1322" s="687" t="s">
        <v>1273</v>
      </c>
      <c r="B1322" s="687" t="s">
        <v>1776</v>
      </c>
      <c r="C1322" s="688" t="s">
        <v>1037</v>
      </c>
      <c r="D1322" s="689">
        <v>159416</v>
      </c>
      <c r="E1322" s="690">
        <v>4</v>
      </c>
      <c r="F1322" s="461">
        <f>18261837+89400</f>
        <v>18351237</v>
      </c>
      <c r="G1322" s="487">
        <v>18267455</v>
      </c>
      <c r="H1322" s="573"/>
      <c r="I1322" s="487"/>
      <c r="J1322" s="573"/>
      <c r="K1322" s="487"/>
      <c r="L1322" s="573">
        <v>13350966</v>
      </c>
      <c r="M1322" s="573"/>
      <c r="N1322" s="456">
        <f t="shared" si="169"/>
        <v>13350966</v>
      </c>
      <c r="O1322" s="487">
        <v>13872574</v>
      </c>
      <c r="P1322" s="487"/>
      <c r="Q1322" s="274">
        <f t="shared" si="164"/>
        <v>13872574</v>
      </c>
      <c r="R1322" s="574">
        <f t="shared" si="165"/>
        <v>31702203</v>
      </c>
      <c r="S1322" s="275">
        <f t="shared" si="166"/>
        <v>32140029</v>
      </c>
      <c r="T1322" s="575"/>
      <c r="U1322" s="487"/>
      <c r="V1322" s="576"/>
      <c r="W1322" s="573"/>
      <c r="X1322" s="574">
        <f t="shared" si="170"/>
        <v>0</v>
      </c>
      <c r="Y1322" s="487"/>
      <c r="Z1322" s="487"/>
      <c r="AA1322" s="276">
        <f t="shared" si="171"/>
        <v>0</v>
      </c>
      <c r="AB1322" s="573"/>
      <c r="AC1322" s="487"/>
      <c r="AD1322" s="573"/>
      <c r="AE1322" s="487"/>
      <c r="AF1322" s="577">
        <f t="shared" si="167"/>
        <v>31702203</v>
      </c>
      <c r="AG1322" s="275">
        <f t="shared" si="168"/>
        <v>32140029</v>
      </c>
    </row>
    <row r="1323" spans="1:33" s="578" customFormat="1" ht="12" customHeight="1">
      <c r="A1323" s="688" t="s">
        <v>1273</v>
      </c>
      <c r="B1323" s="687" t="s">
        <v>1776</v>
      </c>
      <c r="C1323" s="688" t="s">
        <v>1038</v>
      </c>
      <c r="D1323" s="689">
        <v>159717</v>
      </c>
      <c r="E1323" s="690">
        <v>4</v>
      </c>
      <c r="F1323" s="573">
        <v>43247275</v>
      </c>
      <c r="G1323" s="487">
        <v>43526694</v>
      </c>
      <c r="H1323" s="573"/>
      <c r="I1323" s="487"/>
      <c r="J1323" s="573"/>
      <c r="K1323" s="487"/>
      <c r="L1323" s="573">
        <v>24055645</v>
      </c>
      <c r="M1323" s="573"/>
      <c r="N1323" s="456">
        <f t="shared" si="169"/>
        <v>24055645</v>
      </c>
      <c r="O1323" s="487">
        <v>31831837</v>
      </c>
      <c r="P1323" s="487"/>
      <c r="Q1323" s="274">
        <f t="shared" si="164"/>
        <v>31831837</v>
      </c>
      <c r="R1323" s="574">
        <f t="shared" si="165"/>
        <v>67302920</v>
      </c>
      <c r="S1323" s="275">
        <f t="shared" si="166"/>
        <v>75358531</v>
      </c>
      <c r="T1323" s="575"/>
      <c r="U1323" s="487"/>
      <c r="V1323" s="576"/>
      <c r="W1323" s="573"/>
      <c r="X1323" s="574">
        <f t="shared" si="170"/>
        <v>0</v>
      </c>
      <c r="Y1323" s="487"/>
      <c r="Z1323" s="487"/>
      <c r="AA1323" s="276">
        <f t="shared" si="171"/>
        <v>0</v>
      </c>
      <c r="AB1323" s="573"/>
      <c r="AC1323" s="487"/>
      <c r="AD1323" s="573"/>
      <c r="AE1323" s="487"/>
      <c r="AF1323" s="577">
        <f t="shared" si="167"/>
        <v>67302920</v>
      </c>
      <c r="AG1323" s="275">
        <f t="shared" si="168"/>
        <v>75358531</v>
      </c>
    </row>
    <row r="1324" spans="1:33" s="578" customFormat="1" ht="12" customHeight="1">
      <c r="A1324" s="688" t="s">
        <v>1273</v>
      </c>
      <c r="B1324" s="687" t="s">
        <v>1776</v>
      </c>
      <c r="C1324" s="688" t="s">
        <v>1039</v>
      </c>
      <c r="D1324" s="689">
        <v>160038</v>
      </c>
      <c r="E1324" s="690">
        <v>4</v>
      </c>
      <c r="F1324" s="573">
        <v>49332713</v>
      </c>
      <c r="G1324" s="487">
        <v>47529856</v>
      </c>
      <c r="H1324" s="573"/>
      <c r="I1324" s="487"/>
      <c r="J1324" s="573"/>
      <c r="K1324" s="487"/>
      <c r="L1324" s="573">
        <v>27451474</v>
      </c>
      <c r="M1324" s="573"/>
      <c r="N1324" s="456">
        <f t="shared" si="169"/>
        <v>27451474</v>
      </c>
      <c r="O1324" s="487">
        <v>29736205</v>
      </c>
      <c r="P1324" s="487"/>
      <c r="Q1324" s="274">
        <f t="shared" si="164"/>
        <v>29736205</v>
      </c>
      <c r="R1324" s="574">
        <f t="shared" si="165"/>
        <v>76784187</v>
      </c>
      <c r="S1324" s="275">
        <f t="shared" si="166"/>
        <v>77266061</v>
      </c>
      <c r="T1324" s="575"/>
      <c r="U1324" s="487"/>
      <c r="V1324" s="576"/>
      <c r="W1324" s="573"/>
      <c r="X1324" s="574">
        <f t="shared" si="170"/>
        <v>0</v>
      </c>
      <c r="Y1324" s="487"/>
      <c r="Z1324" s="487"/>
      <c r="AA1324" s="276">
        <f t="shared" si="171"/>
        <v>0</v>
      </c>
      <c r="AB1324" s="573"/>
      <c r="AC1324" s="487"/>
      <c r="AD1324" s="573"/>
      <c r="AE1324" s="487"/>
      <c r="AF1324" s="577">
        <f t="shared" si="167"/>
        <v>76784187</v>
      </c>
      <c r="AG1324" s="275">
        <f t="shared" si="168"/>
        <v>77266061</v>
      </c>
    </row>
    <row r="1325" spans="1:33" s="578" customFormat="1" ht="12" customHeight="1">
      <c r="A1325" s="687" t="s">
        <v>1273</v>
      </c>
      <c r="B1325" s="687" t="s">
        <v>1776</v>
      </c>
      <c r="C1325" s="692" t="s">
        <v>1040</v>
      </c>
      <c r="D1325" s="689">
        <v>159966</v>
      </c>
      <c r="E1325" s="690">
        <v>4</v>
      </c>
      <c r="F1325" s="573">
        <v>35821191</v>
      </c>
      <c r="G1325" s="487">
        <v>34491698</v>
      </c>
      <c r="H1325" s="573"/>
      <c r="I1325" s="487"/>
      <c r="J1325" s="573"/>
      <c r="K1325" s="487"/>
      <c r="L1325" s="573">
        <v>19120904</v>
      </c>
      <c r="M1325" s="573"/>
      <c r="N1325" s="456">
        <f t="shared" si="169"/>
        <v>19120904</v>
      </c>
      <c r="O1325" s="487">
        <v>20109701</v>
      </c>
      <c r="P1325" s="487"/>
      <c r="Q1325" s="274">
        <f t="shared" si="164"/>
        <v>20109701</v>
      </c>
      <c r="R1325" s="574">
        <f t="shared" si="165"/>
        <v>54942095</v>
      </c>
      <c r="S1325" s="275">
        <f t="shared" si="166"/>
        <v>54601399</v>
      </c>
      <c r="T1325" s="575"/>
      <c r="U1325" s="487"/>
      <c r="V1325" s="576"/>
      <c r="W1325" s="573"/>
      <c r="X1325" s="574">
        <f t="shared" si="170"/>
        <v>0</v>
      </c>
      <c r="Y1325" s="487"/>
      <c r="Z1325" s="487"/>
      <c r="AA1325" s="276">
        <f t="shared" si="171"/>
        <v>0</v>
      </c>
      <c r="AB1325" s="573"/>
      <c r="AC1325" s="487"/>
      <c r="AD1325" s="573"/>
      <c r="AE1325" s="487"/>
      <c r="AF1325" s="577">
        <f t="shared" si="167"/>
        <v>54942095</v>
      </c>
      <c r="AG1325" s="275">
        <f t="shared" si="168"/>
        <v>54601399</v>
      </c>
    </row>
    <row r="1326" spans="1:33" s="578" customFormat="1" ht="12" customHeight="1">
      <c r="A1326" s="687" t="s">
        <v>1273</v>
      </c>
      <c r="B1326" s="687" t="s">
        <v>1776</v>
      </c>
      <c r="C1326" s="692" t="s">
        <v>1041</v>
      </c>
      <c r="D1326" s="689">
        <v>160630</v>
      </c>
      <c r="E1326" s="690">
        <v>5</v>
      </c>
      <c r="F1326" s="573">
        <v>16576070</v>
      </c>
      <c r="G1326" s="487">
        <v>15572008</v>
      </c>
      <c r="H1326" s="573"/>
      <c r="I1326" s="487"/>
      <c r="J1326" s="573"/>
      <c r="K1326" s="487"/>
      <c r="L1326" s="573">
        <v>5570255</v>
      </c>
      <c r="M1326" s="573"/>
      <c r="N1326" s="456">
        <f t="shared" si="169"/>
        <v>5570255</v>
      </c>
      <c r="O1326" s="487">
        <f>5283651</f>
        <v>5283651</v>
      </c>
      <c r="P1326" s="487"/>
      <c r="Q1326" s="274">
        <f t="shared" si="164"/>
        <v>5283651</v>
      </c>
      <c r="R1326" s="574">
        <f t="shared" si="165"/>
        <v>22146325</v>
      </c>
      <c r="S1326" s="275">
        <f t="shared" si="166"/>
        <v>20855659</v>
      </c>
      <c r="T1326" s="575"/>
      <c r="U1326" s="487"/>
      <c r="V1326" s="576"/>
      <c r="W1326" s="573"/>
      <c r="X1326" s="574">
        <f t="shared" si="170"/>
        <v>0</v>
      </c>
      <c r="Y1326" s="487"/>
      <c r="Z1326" s="487"/>
      <c r="AA1326" s="276">
        <f t="shared" si="171"/>
        <v>0</v>
      </c>
      <c r="AB1326" s="573"/>
      <c r="AC1326" s="487"/>
      <c r="AD1326" s="573"/>
      <c r="AE1326" s="487"/>
      <c r="AF1326" s="577">
        <f t="shared" si="167"/>
        <v>22146325</v>
      </c>
      <c r="AG1326" s="275">
        <f t="shared" si="168"/>
        <v>20855659</v>
      </c>
    </row>
    <row r="1327" spans="1:33" s="578" customFormat="1" ht="12" customHeight="1">
      <c r="A1327" s="687" t="s">
        <v>1273</v>
      </c>
      <c r="B1327" s="687" t="s">
        <v>1776</v>
      </c>
      <c r="C1327" s="692" t="s">
        <v>1042</v>
      </c>
      <c r="D1327" s="693">
        <v>159382</v>
      </c>
      <c r="E1327" s="694">
        <v>7</v>
      </c>
      <c r="F1327" s="461">
        <f>11023948-59779</f>
        <v>10964169</v>
      </c>
      <c r="G1327" s="487">
        <v>12421305</v>
      </c>
      <c r="H1327" s="573"/>
      <c r="I1327" s="487"/>
      <c r="J1327" s="573"/>
      <c r="K1327" s="487"/>
      <c r="L1327" s="573">
        <v>7608478</v>
      </c>
      <c r="M1327" s="573"/>
      <c r="N1327" s="456">
        <f t="shared" si="169"/>
        <v>7608478</v>
      </c>
      <c r="O1327" s="487">
        <v>8503124</v>
      </c>
      <c r="P1327" s="487"/>
      <c r="Q1327" s="274">
        <f t="shared" si="164"/>
        <v>8503124</v>
      </c>
      <c r="R1327" s="574">
        <f t="shared" si="165"/>
        <v>18572647</v>
      </c>
      <c r="S1327" s="275">
        <f t="shared" si="166"/>
        <v>20924429</v>
      </c>
      <c r="T1327" s="575"/>
      <c r="U1327" s="487"/>
      <c r="V1327" s="576"/>
      <c r="W1327" s="573"/>
      <c r="X1327" s="574">
        <f t="shared" si="170"/>
        <v>0</v>
      </c>
      <c r="Y1327" s="487"/>
      <c r="Z1327" s="487"/>
      <c r="AA1327" s="276">
        <f t="shared" si="171"/>
        <v>0</v>
      </c>
      <c r="AB1327" s="573"/>
      <c r="AC1327" s="487"/>
      <c r="AD1327" s="573"/>
      <c r="AE1327" s="487"/>
      <c r="AF1327" s="577">
        <f t="shared" si="167"/>
        <v>18572647</v>
      </c>
      <c r="AG1327" s="275">
        <f t="shared" si="168"/>
        <v>20924429</v>
      </c>
    </row>
    <row r="1328" spans="1:33" s="578" customFormat="1" ht="12" customHeight="1">
      <c r="A1328" s="687" t="s">
        <v>1273</v>
      </c>
      <c r="B1328" s="687" t="s">
        <v>1776</v>
      </c>
      <c r="C1328" s="688" t="s">
        <v>1043</v>
      </c>
      <c r="D1328" s="689">
        <v>158662</v>
      </c>
      <c r="E1328" s="690">
        <v>8</v>
      </c>
      <c r="F1328" s="573">
        <v>40297923</v>
      </c>
      <c r="G1328" s="487">
        <v>43419869</v>
      </c>
      <c r="H1328" s="573"/>
      <c r="I1328" s="487"/>
      <c r="J1328" s="573"/>
      <c r="K1328" s="487"/>
      <c r="L1328" s="573">
        <v>25305103</v>
      </c>
      <c r="M1328" s="573"/>
      <c r="N1328" s="456">
        <f t="shared" si="169"/>
        <v>25305103</v>
      </c>
      <c r="O1328" s="487">
        <v>25931278</v>
      </c>
      <c r="P1328" s="487"/>
      <c r="Q1328" s="274">
        <f t="shared" si="164"/>
        <v>25931278</v>
      </c>
      <c r="R1328" s="574">
        <f t="shared" si="165"/>
        <v>65603026</v>
      </c>
      <c r="S1328" s="275">
        <f t="shared" si="166"/>
        <v>69351147</v>
      </c>
      <c r="T1328" s="575"/>
      <c r="U1328" s="487"/>
      <c r="V1328" s="576"/>
      <c r="W1328" s="573"/>
      <c r="X1328" s="574">
        <f t="shared" si="170"/>
        <v>0</v>
      </c>
      <c r="Y1328" s="487"/>
      <c r="Z1328" s="487"/>
      <c r="AA1328" s="276">
        <f t="shared" si="171"/>
        <v>0</v>
      </c>
      <c r="AB1328" s="573"/>
      <c r="AC1328" s="487"/>
      <c r="AD1328" s="573"/>
      <c r="AE1328" s="487"/>
      <c r="AF1328" s="577">
        <f t="shared" si="167"/>
        <v>65603026</v>
      </c>
      <c r="AG1328" s="275">
        <f t="shared" si="168"/>
        <v>69351147</v>
      </c>
    </row>
    <row r="1329" spans="1:33" s="578" customFormat="1" ht="12" customHeight="1">
      <c r="A1329" s="687" t="s">
        <v>1273</v>
      </c>
      <c r="B1329" s="687" t="s">
        <v>1776</v>
      </c>
      <c r="C1329" s="688" t="s">
        <v>1044</v>
      </c>
      <c r="D1329" s="689">
        <v>437103</v>
      </c>
      <c r="E1329" s="690">
        <v>9</v>
      </c>
      <c r="F1329" s="573">
        <v>19377497</v>
      </c>
      <c r="G1329" s="487">
        <v>21178461</v>
      </c>
      <c r="H1329" s="573"/>
      <c r="I1329" s="487"/>
      <c r="J1329" s="573"/>
      <c r="K1329" s="487"/>
      <c r="L1329" s="573">
        <v>9505516</v>
      </c>
      <c r="M1329" s="573"/>
      <c r="N1329" s="456">
        <f t="shared" si="169"/>
        <v>9505516</v>
      </c>
      <c r="O1329" s="487">
        <v>12712863</v>
      </c>
      <c r="P1329" s="487"/>
      <c r="Q1329" s="274">
        <f t="shared" si="164"/>
        <v>12712863</v>
      </c>
      <c r="R1329" s="574">
        <f t="shared" si="165"/>
        <v>28883013</v>
      </c>
      <c r="S1329" s="275">
        <f t="shared" si="166"/>
        <v>33891324</v>
      </c>
      <c r="T1329" s="575"/>
      <c r="U1329" s="487"/>
      <c r="V1329" s="576"/>
      <c r="W1329" s="573"/>
      <c r="X1329" s="574">
        <f t="shared" si="170"/>
        <v>0</v>
      </c>
      <c r="Y1329" s="487"/>
      <c r="Z1329" s="487"/>
      <c r="AA1329" s="276">
        <f t="shared" si="171"/>
        <v>0</v>
      </c>
      <c r="AB1329" s="573"/>
      <c r="AC1329" s="487"/>
      <c r="AD1329" s="573"/>
      <c r="AE1329" s="487"/>
      <c r="AF1329" s="577">
        <f t="shared" si="167"/>
        <v>28883013</v>
      </c>
      <c r="AG1329" s="275">
        <f t="shared" si="168"/>
        <v>33891324</v>
      </c>
    </row>
    <row r="1330" spans="1:33" s="578" customFormat="1" ht="12" customHeight="1">
      <c r="A1330" s="687" t="s">
        <v>1273</v>
      </c>
      <c r="B1330" s="687" t="s">
        <v>1776</v>
      </c>
      <c r="C1330" s="688" t="s">
        <v>1045</v>
      </c>
      <c r="D1330" s="689">
        <v>158431</v>
      </c>
      <c r="E1330" s="690">
        <v>9</v>
      </c>
      <c r="F1330" s="573">
        <v>14053966</v>
      </c>
      <c r="G1330" s="487">
        <v>15766690</v>
      </c>
      <c r="H1330" s="573"/>
      <c r="I1330" s="487"/>
      <c r="J1330" s="573"/>
      <c r="K1330" s="487"/>
      <c r="L1330" s="573">
        <v>7559435</v>
      </c>
      <c r="M1330" s="573"/>
      <c r="N1330" s="456">
        <f t="shared" si="169"/>
        <v>7559435</v>
      </c>
      <c r="O1330" s="487">
        <v>9290692</v>
      </c>
      <c r="P1330" s="487"/>
      <c r="Q1330" s="274">
        <f t="shared" si="164"/>
        <v>9290692</v>
      </c>
      <c r="R1330" s="574">
        <f t="shared" si="165"/>
        <v>21613401</v>
      </c>
      <c r="S1330" s="275">
        <f t="shared" si="166"/>
        <v>25057382</v>
      </c>
      <c r="T1330" s="575"/>
      <c r="U1330" s="487"/>
      <c r="V1330" s="576"/>
      <c r="W1330" s="573"/>
      <c r="X1330" s="574">
        <f t="shared" si="170"/>
        <v>0</v>
      </c>
      <c r="Y1330" s="487"/>
      <c r="Z1330" s="487"/>
      <c r="AA1330" s="276">
        <f t="shared" si="171"/>
        <v>0</v>
      </c>
      <c r="AB1330" s="573"/>
      <c r="AC1330" s="487"/>
      <c r="AD1330" s="573"/>
      <c r="AE1330" s="487"/>
      <c r="AF1330" s="577">
        <f t="shared" si="167"/>
        <v>21613401</v>
      </c>
      <c r="AG1330" s="275">
        <f t="shared" si="168"/>
        <v>25057382</v>
      </c>
    </row>
    <row r="1331" spans="1:33" s="578" customFormat="1" ht="12" customHeight="1">
      <c r="A1331" s="687" t="s">
        <v>1273</v>
      </c>
      <c r="B1331" s="687" t="s">
        <v>1776</v>
      </c>
      <c r="C1331" s="688" t="s">
        <v>1046</v>
      </c>
      <c r="D1331" s="689">
        <v>159407</v>
      </c>
      <c r="E1331" s="690">
        <v>9</v>
      </c>
      <c r="F1331" s="461">
        <f>8970472+74365</f>
        <v>9044837</v>
      </c>
      <c r="G1331" s="487">
        <v>8589941</v>
      </c>
      <c r="H1331" s="573"/>
      <c r="I1331" s="487"/>
      <c r="J1331" s="573"/>
      <c r="K1331" s="487"/>
      <c r="L1331" s="573">
        <v>4943088</v>
      </c>
      <c r="M1331" s="573"/>
      <c r="N1331" s="456">
        <f t="shared" si="169"/>
        <v>4943088</v>
      </c>
      <c r="O1331" s="487">
        <v>5851271</v>
      </c>
      <c r="P1331" s="487"/>
      <c r="Q1331" s="274">
        <f t="shared" si="164"/>
        <v>5851271</v>
      </c>
      <c r="R1331" s="574">
        <f t="shared" si="165"/>
        <v>13987925</v>
      </c>
      <c r="S1331" s="275">
        <f t="shared" si="166"/>
        <v>14441212</v>
      </c>
      <c r="T1331" s="575"/>
      <c r="U1331" s="487"/>
      <c r="V1331" s="576"/>
      <c r="W1331" s="573"/>
      <c r="X1331" s="574">
        <f t="shared" si="170"/>
        <v>0</v>
      </c>
      <c r="Y1331" s="487"/>
      <c r="Z1331" s="487"/>
      <c r="AA1331" s="276">
        <f t="shared" si="171"/>
        <v>0</v>
      </c>
      <c r="AB1331" s="573"/>
      <c r="AC1331" s="487"/>
      <c r="AD1331" s="573"/>
      <c r="AE1331" s="487"/>
      <c r="AF1331" s="577">
        <f t="shared" si="167"/>
        <v>13987925</v>
      </c>
      <c r="AG1331" s="275">
        <f t="shared" si="168"/>
        <v>14441212</v>
      </c>
    </row>
    <row r="1332" spans="1:33" s="578" customFormat="1" ht="12" customHeight="1">
      <c r="A1332" s="687" t="s">
        <v>1273</v>
      </c>
      <c r="B1332" s="687" t="s">
        <v>1776</v>
      </c>
      <c r="C1332" s="692" t="s">
        <v>1048</v>
      </c>
      <c r="D1332" s="693">
        <v>440624</v>
      </c>
      <c r="E1332" s="690">
        <v>10</v>
      </c>
      <c r="F1332" s="573">
        <v>3918751</v>
      </c>
      <c r="G1332" s="487">
        <v>4447768</v>
      </c>
      <c r="H1332" s="573"/>
      <c r="I1332" s="487"/>
      <c r="J1332" s="573"/>
      <c r="K1332" s="487"/>
      <c r="L1332" s="573">
        <v>1862500</v>
      </c>
      <c r="M1332" s="573"/>
      <c r="N1332" s="456">
        <f t="shared" si="169"/>
        <v>1862500</v>
      </c>
      <c r="O1332" s="487">
        <v>2234380</v>
      </c>
      <c r="P1332" s="487"/>
      <c r="Q1332" s="274">
        <f t="shared" si="164"/>
        <v>2234380</v>
      </c>
      <c r="R1332" s="574">
        <f t="shared" si="165"/>
        <v>5781251</v>
      </c>
      <c r="S1332" s="275">
        <f t="shared" si="166"/>
        <v>6682148</v>
      </c>
      <c r="T1332" s="575"/>
      <c r="U1332" s="487"/>
      <c r="V1332" s="576"/>
      <c r="W1332" s="573"/>
      <c r="X1332" s="574">
        <f t="shared" si="170"/>
        <v>0</v>
      </c>
      <c r="Y1332" s="487"/>
      <c r="Z1332" s="487"/>
      <c r="AA1332" s="276">
        <f t="shared" si="171"/>
        <v>0</v>
      </c>
      <c r="AB1332" s="573"/>
      <c r="AC1332" s="487"/>
      <c r="AD1332" s="573"/>
      <c r="AE1332" s="487"/>
      <c r="AF1332" s="577">
        <f t="shared" si="167"/>
        <v>5781251</v>
      </c>
      <c r="AG1332" s="275">
        <f t="shared" si="168"/>
        <v>6682148</v>
      </c>
    </row>
    <row r="1333" spans="1:33" s="578" customFormat="1" ht="12" customHeight="1">
      <c r="A1333" s="687" t="s">
        <v>1273</v>
      </c>
      <c r="B1333" s="687" t="s">
        <v>1776</v>
      </c>
      <c r="C1333" s="688" t="s">
        <v>1049</v>
      </c>
      <c r="D1333" s="689">
        <v>158884</v>
      </c>
      <c r="E1333" s="690">
        <v>10</v>
      </c>
      <c r="F1333" s="573">
        <v>5445110</v>
      </c>
      <c r="G1333" s="487">
        <v>5421435</v>
      </c>
      <c r="H1333" s="573"/>
      <c r="I1333" s="487"/>
      <c r="J1333" s="573"/>
      <c r="K1333" s="487"/>
      <c r="L1333" s="573">
        <v>2964512</v>
      </c>
      <c r="M1333" s="573"/>
      <c r="N1333" s="456">
        <f t="shared" si="169"/>
        <v>2964512</v>
      </c>
      <c r="O1333" s="487">
        <v>2944421</v>
      </c>
      <c r="P1333" s="487"/>
      <c r="Q1333" s="274">
        <f t="shared" si="164"/>
        <v>2944421</v>
      </c>
      <c r="R1333" s="574">
        <f t="shared" si="165"/>
        <v>8409622</v>
      </c>
      <c r="S1333" s="275">
        <f t="shared" si="166"/>
        <v>8365856</v>
      </c>
      <c r="T1333" s="575"/>
      <c r="U1333" s="487"/>
      <c r="V1333" s="576"/>
      <c r="W1333" s="573"/>
      <c r="X1333" s="574">
        <f t="shared" si="170"/>
        <v>0</v>
      </c>
      <c r="Y1333" s="487"/>
      <c r="Z1333" s="487"/>
      <c r="AA1333" s="276">
        <f t="shared" si="171"/>
        <v>0</v>
      </c>
      <c r="AB1333" s="573"/>
      <c r="AC1333" s="487"/>
      <c r="AD1333" s="573"/>
      <c r="AE1333" s="487"/>
      <c r="AF1333" s="577">
        <f t="shared" si="167"/>
        <v>8409622</v>
      </c>
      <c r="AG1333" s="275">
        <f t="shared" si="168"/>
        <v>8365856</v>
      </c>
    </row>
    <row r="1334" spans="1:33" s="578" customFormat="1" ht="12" customHeight="1">
      <c r="A1334" s="687" t="s">
        <v>1273</v>
      </c>
      <c r="B1334" s="687" t="s">
        <v>1776</v>
      </c>
      <c r="C1334" s="688" t="s">
        <v>1050</v>
      </c>
      <c r="D1334" s="689">
        <v>436304</v>
      </c>
      <c r="E1334" s="690">
        <v>10</v>
      </c>
      <c r="F1334" s="573">
        <v>2874958</v>
      </c>
      <c r="G1334" s="487">
        <v>3243601</v>
      </c>
      <c r="H1334" s="573"/>
      <c r="I1334" s="487"/>
      <c r="J1334" s="573"/>
      <c r="K1334" s="487"/>
      <c r="L1334" s="573">
        <v>1481365</v>
      </c>
      <c r="M1334" s="573"/>
      <c r="N1334" s="456">
        <f t="shared" si="169"/>
        <v>1481365</v>
      </c>
      <c r="O1334" s="487">
        <v>1666584</v>
      </c>
      <c r="P1334" s="487"/>
      <c r="Q1334" s="274">
        <f t="shared" si="164"/>
        <v>1666584</v>
      </c>
      <c r="R1334" s="574">
        <f t="shared" si="165"/>
        <v>4356323</v>
      </c>
      <c r="S1334" s="275">
        <f t="shared" si="166"/>
        <v>4910185</v>
      </c>
      <c r="T1334" s="575"/>
      <c r="U1334" s="487"/>
      <c r="V1334" s="576"/>
      <c r="W1334" s="573"/>
      <c r="X1334" s="574">
        <f t="shared" si="170"/>
        <v>0</v>
      </c>
      <c r="Y1334" s="487"/>
      <c r="Z1334" s="487"/>
      <c r="AA1334" s="276">
        <f t="shared" si="171"/>
        <v>0</v>
      </c>
      <c r="AB1334" s="573"/>
      <c r="AC1334" s="487"/>
      <c r="AD1334" s="573"/>
      <c r="AE1334" s="487"/>
      <c r="AF1334" s="577">
        <f t="shared" si="167"/>
        <v>4356323</v>
      </c>
      <c r="AG1334" s="275">
        <f t="shared" si="168"/>
        <v>4910185</v>
      </c>
    </row>
    <row r="1335" spans="1:33" s="578" customFormat="1" ht="12" customHeight="1">
      <c r="A1335" s="688" t="s">
        <v>1273</v>
      </c>
      <c r="B1335" s="687" t="s">
        <v>1776</v>
      </c>
      <c r="C1335" s="688" t="s">
        <v>1051</v>
      </c>
      <c r="D1335" s="689">
        <v>434061</v>
      </c>
      <c r="E1335" s="690">
        <v>10</v>
      </c>
      <c r="F1335" s="573">
        <v>5765403</v>
      </c>
      <c r="G1335" s="487">
        <v>7640598</v>
      </c>
      <c r="H1335" s="573"/>
      <c r="I1335" s="487"/>
      <c r="J1335" s="573"/>
      <c r="K1335" s="487"/>
      <c r="L1335" s="573">
        <v>4044508</v>
      </c>
      <c r="M1335" s="573"/>
      <c r="N1335" s="456">
        <f t="shared" si="169"/>
        <v>4044508</v>
      </c>
      <c r="O1335" s="487">
        <v>4776442</v>
      </c>
      <c r="P1335" s="487"/>
      <c r="Q1335" s="274">
        <f t="shared" si="164"/>
        <v>4776442</v>
      </c>
      <c r="R1335" s="574">
        <f t="shared" si="165"/>
        <v>9809911</v>
      </c>
      <c r="S1335" s="275">
        <f t="shared" si="166"/>
        <v>12417040</v>
      </c>
      <c r="T1335" s="575"/>
      <c r="U1335" s="487"/>
      <c r="V1335" s="576"/>
      <c r="W1335" s="573"/>
      <c r="X1335" s="574">
        <f t="shared" si="170"/>
        <v>0</v>
      </c>
      <c r="Y1335" s="487"/>
      <c r="Z1335" s="487"/>
      <c r="AA1335" s="276">
        <f t="shared" si="171"/>
        <v>0</v>
      </c>
      <c r="AB1335" s="573"/>
      <c r="AC1335" s="487"/>
      <c r="AD1335" s="573"/>
      <c r="AE1335" s="487"/>
      <c r="AF1335" s="577">
        <f t="shared" si="167"/>
        <v>9809911</v>
      </c>
      <c r="AG1335" s="275">
        <f t="shared" si="168"/>
        <v>12417040</v>
      </c>
    </row>
    <row r="1336" spans="1:33" s="578" customFormat="1" ht="12" customHeight="1">
      <c r="A1336" s="687" t="s">
        <v>1273</v>
      </c>
      <c r="B1336" s="687" t="s">
        <v>1776</v>
      </c>
      <c r="C1336" s="695" t="s">
        <v>1047</v>
      </c>
      <c r="D1336" s="689">
        <v>160649</v>
      </c>
      <c r="E1336" s="1027">
        <v>10</v>
      </c>
      <c r="F1336" s="573">
        <v>8857441</v>
      </c>
      <c r="G1336" s="487">
        <v>8552639</v>
      </c>
      <c r="H1336" s="573"/>
      <c r="I1336" s="487"/>
      <c r="J1336" s="573"/>
      <c r="K1336" s="487"/>
      <c r="L1336" s="573">
        <v>4145184</v>
      </c>
      <c r="M1336" s="573"/>
      <c r="N1336" s="456">
        <f t="shared" si="169"/>
        <v>4145184</v>
      </c>
      <c r="O1336" s="487">
        <v>4145184</v>
      </c>
      <c r="P1336" s="487"/>
      <c r="Q1336" s="274">
        <f t="shared" si="164"/>
        <v>4145184</v>
      </c>
      <c r="R1336" s="574">
        <f t="shared" si="165"/>
        <v>13002625</v>
      </c>
      <c r="S1336" s="275">
        <f t="shared" si="166"/>
        <v>12697823</v>
      </c>
      <c r="T1336" s="575"/>
      <c r="U1336" s="487"/>
      <c r="V1336" s="576"/>
      <c r="W1336" s="573"/>
      <c r="X1336" s="574">
        <f t="shared" si="170"/>
        <v>0</v>
      </c>
      <c r="Y1336" s="487"/>
      <c r="Z1336" s="487"/>
      <c r="AA1336" s="276">
        <f t="shared" si="171"/>
        <v>0</v>
      </c>
      <c r="AB1336" s="573"/>
      <c r="AC1336" s="487"/>
      <c r="AD1336" s="573"/>
      <c r="AE1336" s="487"/>
      <c r="AF1336" s="577">
        <f t="shared" si="167"/>
        <v>13002625</v>
      </c>
      <c r="AG1336" s="275">
        <f t="shared" si="168"/>
        <v>12697823</v>
      </c>
    </row>
    <row r="1337" spans="1:33" s="578" customFormat="1" ht="12" customHeight="1">
      <c r="A1337" s="687" t="s">
        <v>1273</v>
      </c>
      <c r="B1337" s="687" t="s">
        <v>1776</v>
      </c>
      <c r="C1337" s="692" t="s">
        <v>1052</v>
      </c>
      <c r="D1337" s="696">
        <v>160579</v>
      </c>
      <c r="E1337" s="690">
        <v>12</v>
      </c>
      <c r="F1337" s="573">
        <v>8299283</v>
      </c>
      <c r="G1337" s="487">
        <v>8474404</v>
      </c>
      <c r="H1337" s="573"/>
      <c r="I1337" s="487"/>
      <c r="J1337" s="573"/>
      <c r="K1337" s="487"/>
      <c r="L1337" s="573">
        <v>2892276</v>
      </c>
      <c r="M1337" s="573"/>
      <c r="N1337" s="456">
        <f t="shared" si="169"/>
        <v>2892276</v>
      </c>
      <c r="O1337" s="487">
        <v>3004240</v>
      </c>
      <c r="P1337" s="487"/>
      <c r="Q1337" s="274">
        <f t="shared" si="164"/>
        <v>3004240</v>
      </c>
      <c r="R1337" s="574">
        <f t="shared" si="165"/>
        <v>11191559</v>
      </c>
      <c r="S1337" s="275">
        <f t="shared" si="166"/>
        <v>11478644</v>
      </c>
      <c r="T1337" s="575"/>
      <c r="U1337" s="487"/>
      <c r="V1337" s="576"/>
      <c r="W1337" s="573"/>
      <c r="X1337" s="574">
        <f t="shared" si="170"/>
        <v>0</v>
      </c>
      <c r="Y1337" s="487"/>
      <c r="Z1337" s="487"/>
      <c r="AA1337" s="276">
        <f t="shared" si="171"/>
        <v>0</v>
      </c>
      <c r="AB1337" s="573"/>
      <c r="AC1337" s="487"/>
      <c r="AD1337" s="573"/>
      <c r="AE1337" s="487"/>
      <c r="AF1337" s="577">
        <f t="shared" si="167"/>
        <v>11191559</v>
      </c>
      <c r="AG1337" s="275">
        <f t="shared" si="168"/>
        <v>11478644</v>
      </c>
    </row>
    <row r="1338" spans="1:33" s="578" customFormat="1" ht="12" customHeight="1">
      <c r="A1338" s="687" t="s">
        <v>1273</v>
      </c>
      <c r="B1338" s="687" t="s">
        <v>1776</v>
      </c>
      <c r="C1338" s="692" t="s">
        <v>1053</v>
      </c>
      <c r="D1338" s="696">
        <v>160481</v>
      </c>
      <c r="E1338" s="690">
        <v>13</v>
      </c>
      <c r="F1338" s="573">
        <v>4991063</v>
      </c>
      <c r="G1338" s="487">
        <v>4973890</v>
      </c>
      <c r="H1338" s="573"/>
      <c r="I1338" s="487"/>
      <c r="J1338" s="573"/>
      <c r="K1338" s="487"/>
      <c r="L1338" s="573">
        <v>1600000</v>
      </c>
      <c r="M1338" s="573"/>
      <c r="N1338" s="456">
        <f t="shared" si="169"/>
        <v>1600000</v>
      </c>
      <c r="O1338" s="487">
        <v>1674715</v>
      </c>
      <c r="P1338" s="487"/>
      <c r="Q1338" s="274">
        <f t="shared" si="164"/>
        <v>1674715</v>
      </c>
      <c r="R1338" s="574">
        <f t="shared" si="165"/>
        <v>6591063</v>
      </c>
      <c r="S1338" s="275">
        <f t="shared" si="166"/>
        <v>6648605</v>
      </c>
      <c r="T1338" s="575"/>
      <c r="U1338" s="487"/>
      <c r="V1338" s="576"/>
      <c r="W1338" s="573"/>
      <c r="X1338" s="574">
        <f t="shared" si="170"/>
        <v>0</v>
      </c>
      <c r="Y1338" s="487"/>
      <c r="Z1338" s="487"/>
      <c r="AA1338" s="276">
        <f t="shared" si="171"/>
        <v>0</v>
      </c>
      <c r="AB1338" s="573"/>
      <c r="AC1338" s="487"/>
      <c r="AD1338" s="573"/>
      <c r="AE1338" s="487"/>
      <c r="AF1338" s="577">
        <f t="shared" si="167"/>
        <v>6591063</v>
      </c>
      <c r="AG1338" s="275">
        <f t="shared" si="168"/>
        <v>6648605</v>
      </c>
    </row>
    <row r="1339" spans="1:33" s="578" customFormat="1" ht="12" customHeight="1">
      <c r="A1339" s="687" t="s">
        <v>1273</v>
      </c>
      <c r="B1339" s="687" t="s">
        <v>1776</v>
      </c>
      <c r="C1339" s="688" t="s">
        <v>1054</v>
      </c>
      <c r="D1339" s="689">
        <v>160560</v>
      </c>
      <c r="E1339" s="690">
        <v>14</v>
      </c>
      <c r="F1339" s="573"/>
      <c r="G1339" s="487"/>
      <c r="H1339" s="573"/>
      <c r="I1339" s="487"/>
      <c r="J1339" s="573"/>
      <c r="K1339" s="487"/>
      <c r="L1339" s="573"/>
      <c r="M1339" s="573"/>
      <c r="N1339" s="456">
        <f t="shared" si="169"/>
        <v>0</v>
      </c>
      <c r="O1339" s="487"/>
      <c r="P1339" s="487"/>
      <c r="Q1339" s="274">
        <f t="shared" si="164"/>
        <v>0</v>
      </c>
      <c r="R1339" s="574">
        <f t="shared" si="165"/>
        <v>0</v>
      </c>
      <c r="S1339" s="275">
        <f t="shared" si="166"/>
        <v>0</v>
      </c>
      <c r="T1339" s="575"/>
      <c r="U1339" s="487"/>
      <c r="V1339" s="576"/>
      <c r="W1339" s="573"/>
      <c r="X1339" s="574">
        <f t="shared" si="170"/>
        <v>0</v>
      </c>
      <c r="Y1339" s="487"/>
      <c r="Z1339" s="487"/>
      <c r="AA1339" s="276">
        <f t="shared" si="171"/>
        <v>0</v>
      </c>
      <c r="AB1339" s="573"/>
      <c r="AC1339" s="487"/>
      <c r="AD1339" s="573"/>
      <c r="AE1339" s="487"/>
      <c r="AF1339" s="577">
        <f t="shared" si="167"/>
        <v>0</v>
      </c>
      <c r="AG1339" s="275">
        <f t="shared" si="168"/>
        <v>0</v>
      </c>
    </row>
    <row r="1340" spans="1:33" s="578" customFormat="1" ht="12" customHeight="1">
      <c r="A1340" s="687" t="s">
        <v>1273</v>
      </c>
      <c r="B1340" s="687" t="s">
        <v>1776</v>
      </c>
      <c r="C1340" s="688" t="s">
        <v>1055</v>
      </c>
      <c r="D1340" s="696">
        <v>158088</v>
      </c>
      <c r="E1340" s="690">
        <v>14</v>
      </c>
      <c r="F1340" s="573"/>
      <c r="G1340" s="487"/>
      <c r="H1340" s="573"/>
      <c r="I1340" s="487"/>
      <c r="J1340" s="573"/>
      <c r="K1340" s="487"/>
      <c r="L1340" s="573"/>
      <c r="M1340" s="573"/>
      <c r="N1340" s="456">
        <f t="shared" si="169"/>
        <v>0</v>
      </c>
      <c r="O1340" s="487"/>
      <c r="P1340" s="487"/>
      <c r="Q1340" s="274">
        <f t="shared" si="164"/>
        <v>0</v>
      </c>
      <c r="R1340" s="574">
        <f t="shared" si="165"/>
        <v>0</v>
      </c>
      <c r="S1340" s="275">
        <f t="shared" si="166"/>
        <v>0</v>
      </c>
      <c r="T1340" s="575"/>
      <c r="U1340" s="487"/>
      <c r="V1340" s="576"/>
      <c r="W1340" s="573"/>
      <c r="X1340" s="574">
        <f t="shared" si="170"/>
        <v>0</v>
      </c>
      <c r="Y1340" s="487"/>
      <c r="Z1340" s="487"/>
      <c r="AA1340" s="276">
        <f t="shared" si="171"/>
        <v>0</v>
      </c>
      <c r="AB1340" s="573"/>
      <c r="AC1340" s="487"/>
      <c r="AD1340" s="573"/>
      <c r="AE1340" s="487"/>
      <c r="AF1340" s="577">
        <f t="shared" si="167"/>
        <v>0</v>
      </c>
      <c r="AG1340" s="275">
        <f t="shared" si="168"/>
        <v>0</v>
      </c>
    </row>
    <row r="1341" spans="1:33" s="578" customFormat="1" ht="12" customHeight="1">
      <c r="A1341" s="687" t="s">
        <v>1273</v>
      </c>
      <c r="B1341" s="687" t="s">
        <v>1776</v>
      </c>
      <c r="C1341" s="688" t="s">
        <v>1056</v>
      </c>
      <c r="D1341" s="696">
        <v>158219</v>
      </c>
      <c r="E1341" s="690">
        <v>14</v>
      </c>
      <c r="F1341" s="573"/>
      <c r="G1341" s="487"/>
      <c r="H1341" s="573"/>
      <c r="I1341" s="487"/>
      <c r="J1341" s="573"/>
      <c r="K1341" s="487"/>
      <c r="L1341" s="573"/>
      <c r="M1341" s="573"/>
      <c r="N1341" s="456">
        <f t="shared" si="169"/>
        <v>0</v>
      </c>
      <c r="O1341" s="487"/>
      <c r="P1341" s="487"/>
      <c r="Q1341" s="274">
        <f t="shared" si="164"/>
        <v>0</v>
      </c>
      <c r="R1341" s="574">
        <f t="shared" si="165"/>
        <v>0</v>
      </c>
      <c r="S1341" s="275">
        <f t="shared" si="166"/>
        <v>0</v>
      </c>
      <c r="T1341" s="575"/>
      <c r="U1341" s="487"/>
      <c r="V1341" s="576"/>
      <c r="W1341" s="573"/>
      <c r="X1341" s="574">
        <f t="shared" si="170"/>
        <v>0</v>
      </c>
      <c r="Y1341" s="487"/>
      <c r="Z1341" s="487"/>
      <c r="AA1341" s="276">
        <f t="shared" si="171"/>
        <v>0</v>
      </c>
      <c r="AB1341" s="573"/>
      <c r="AC1341" s="487"/>
      <c r="AD1341" s="573"/>
      <c r="AE1341" s="487"/>
      <c r="AF1341" s="577">
        <f t="shared" si="167"/>
        <v>0</v>
      </c>
      <c r="AG1341" s="275">
        <f t="shared" si="168"/>
        <v>0</v>
      </c>
    </row>
    <row r="1342" spans="1:33" s="578" customFormat="1" ht="12" customHeight="1">
      <c r="A1342" s="687" t="s">
        <v>1273</v>
      </c>
      <c r="B1342" s="687" t="s">
        <v>1776</v>
      </c>
      <c r="C1342" s="688" t="s">
        <v>1057</v>
      </c>
      <c r="D1342" s="696">
        <v>158237</v>
      </c>
      <c r="E1342" s="690">
        <v>14</v>
      </c>
      <c r="F1342" s="573"/>
      <c r="G1342" s="487"/>
      <c r="H1342" s="573"/>
      <c r="I1342" s="487"/>
      <c r="J1342" s="573"/>
      <c r="K1342" s="487"/>
      <c r="L1342" s="573"/>
      <c r="M1342" s="573"/>
      <c r="N1342" s="456">
        <f t="shared" si="169"/>
        <v>0</v>
      </c>
      <c r="O1342" s="487"/>
      <c r="P1342" s="487"/>
      <c r="Q1342" s="274">
        <f t="shared" si="164"/>
        <v>0</v>
      </c>
      <c r="R1342" s="574">
        <f t="shared" si="165"/>
        <v>0</v>
      </c>
      <c r="S1342" s="275">
        <f t="shared" si="166"/>
        <v>0</v>
      </c>
      <c r="T1342" s="575"/>
      <c r="U1342" s="487"/>
      <c r="V1342" s="576"/>
      <c r="W1342" s="573"/>
      <c r="X1342" s="574">
        <f t="shared" si="170"/>
        <v>0</v>
      </c>
      <c r="Y1342" s="487"/>
      <c r="Z1342" s="487"/>
      <c r="AA1342" s="276">
        <f t="shared" si="171"/>
        <v>0</v>
      </c>
      <c r="AB1342" s="573"/>
      <c r="AC1342" s="487"/>
      <c r="AD1342" s="573"/>
      <c r="AE1342" s="487"/>
      <c r="AF1342" s="577">
        <f t="shared" si="167"/>
        <v>0</v>
      </c>
      <c r="AG1342" s="275">
        <f t="shared" si="168"/>
        <v>0</v>
      </c>
    </row>
    <row r="1343" spans="1:33" s="578" customFormat="1" ht="12" customHeight="1">
      <c r="A1343" s="687" t="s">
        <v>1273</v>
      </c>
      <c r="B1343" s="687" t="s">
        <v>1776</v>
      </c>
      <c r="C1343" s="688" t="s">
        <v>1058</v>
      </c>
      <c r="D1343" s="696">
        <v>158307</v>
      </c>
      <c r="E1343" s="690">
        <v>14</v>
      </c>
      <c r="F1343" s="573"/>
      <c r="G1343" s="487"/>
      <c r="H1343" s="573"/>
      <c r="I1343" s="487"/>
      <c r="J1343" s="573"/>
      <c r="K1343" s="487"/>
      <c r="L1343" s="573"/>
      <c r="M1343" s="573"/>
      <c r="N1343" s="456">
        <f t="shared" si="169"/>
        <v>0</v>
      </c>
      <c r="O1343" s="487"/>
      <c r="P1343" s="487"/>
      <c r="Q1343" s="274">
        <f t="shared" si="164"/>
        <v>0</v>
      </c>
      <c r="R1343" s="574">
        <f t="shared" si="165"/>
        <v>0</v>
      </c>
      <c r="S1343" s="275">
        <f t="shared" si="166"/>
        <v>0</v>
      </c>
      <c r="T1343" s="575"/>
      <c r="U1343" s="487"/>
      <c r="V1343" s="576"/>
      <c r="W1343" s="573"/>
      <c r="X1343" s="574">
        <f t="shared" si="170"/>
        <v>0</v>
      </c>
      <c r="Y1343" s="487"/>
      <c r="Z1343" s="487"/>
      <c r="AA1343" s="276">
        <f t="shared" si="171"/>
        <v>0</v>
      </c>
      <c r="AB1343" s="573"/>
      <c r="AC1343" s="487"/>
      <c r="AD1343" s="573"/>
      <c r="AE1343" s="487"/>
      <c r="AF1343" s="577">
        <f t="shared" si="167"/>
        <v>0</v>
      </c>
      <c r="AG1343" s="275">
        <f t="shared" si="168"/>
        <v>0</v>
      </c>
    </row>
    <row r="1344" spans="1:33" s="578" customFormat="1" ht="12" customHeight="1">
      <c r="A1344" s="687" t="s">
        <v>1273</v>
      </c>
      <c r="B1344" s="687" t="s">
        <v>1776</v>
      </c>
      <c r="C1344" s="688" t="s">
        <v>1059</v>
      </c>
      <c r="D1344" s="696">
        <v>158352</v>
      </c>
      <c r="E1344" s="690">
        <v>14</v>
      </c>
      <c r="F1344" s="573"/>
      <c r="G1344" s="487"/>
      <c r="H1344" s="573"/>
      <c r="I1344" s="487"/>
      <c r="J1344" s="573"/>
      <c r="K1344" s="487"/>
      <c r="L1344" s="573"/>
      <c r="M1344" s="573"/>
      <c r="N1344" s="456">
        <f t="shared" si="169"/>
        <v>0</v>
      </c>
      <c r="O1344" s="487"/>
      <c r="P1344" s="487"/>
      <c r="Q1344" s="274">
        <f t="shared" si="164"/>
        <v>0</v>
      </c>
      <c r="R1344" s="574">
        <f t="shared" si="165"/>
        <v>0</v>
      </c>
      <c r="S1344" s="275">
        <f t="shared" si="166"/>
        <v>0</v>
      </c>
      <c r="T1344" s="575"/>
      <c r="U1344" s="487"/>
      <c r="V1344" s="576"/>
      <c r="W1344" s="573"/>
      <c r="X1344" s="574">
        <f t="shared" si="170"/>
        <v>0</v>
      </c>
      <c r="Y1344" s="487"/>
      <c r="Z1344" s="487"/>
      <c r="AA1344" s="276">
        <f t="shared" si="171"/>
        <v>0</v>
      </c>
      <c r="AB1344" s="573"/>
      <c r="AC1344" s="487"/>
      <c r="AD1344" s="573"/>
      <c r="AE1344" s="487"/>
      <c r="AF1344" s="577">
        <f t="shared" si="167"/>
        <v>0</v>
      </c>
      <c r="AG1344" s="275">
        <f t="shared" si="168"/>
        <v>0</v>
      </c>
    </row>
    <row r="1345" spans="1:33" s="578" customFormat="1" ht="12" customHeight="1">
      <c r="A1345" s="687" t="s">
        <v>1273</v>
      </c>
      <c r="B1345" s="687" t="s">
        <v>1776</v>
      </c>
      <c r="C1345" s="688" t="s">
        <v>1060</v>
      </c>
      <c r="D1345" s="696">
        <v>160816</v>
      </c>
      <c r="E1345" s="690">
        <v>14</v>
      </c>
      <c r="F1345" s="573"/>
      <c r="G1345" s="487"/>
      <c r="H1345" s="573"/>
      <c r="I1345" s="487"/>
      <c r="J1345" s="573"/>
      <c r="K1345" s="487"/>
      <c r="L1345" s="573"/>
      <c r="M1345" s="573"/>
      <c r="N1345" s="456">
        <f t="shared" si="169"/>
        <v>0</v>
      </c>
      <c r="O1345" s="487"/>
      <c r="P1345" s="487"/>
      <c r="Q1345" s="274">
        <f t="shared" si="164"/>
        <v>0</v>
      </c>
      <c r="R1345" s="574">
        <f t="shared" si="165"/>
        <v>0</v>
      </c>
      <c r="S1345" s="275">
        <f t="shared" si="166"/>
        <v>0</v>
      </c>
      <c r="T1345" s="575"/>
      <c r="U1345" s="487"/>
      <c r="V1345" s="576"/>
      <c r="W1345" s="573"/>
      <c r="X1345" s="574">
        <f t="shared" si="170"/>
        <v>0</v>
      </c>
      <c r="Y1345" s="487"/>
      <c r="Z1345" s="487"/>
      <c r="AA1345" s="276">
        <f t="shared" si="171"/>
        <v>0</v>
      </c>
      <c r="AB1345" s="573"/>
      <c r="AC1345" s="487"/>
      <c r="AD1345" s="573"/>
      <c r="AE1345" s="487"/>
      <c r="AF1345" s="577">
        <f t="shared" si="167"/>
        <v>0</v>
      </c>
      <c r="AG1345" s="275">
        <f t="shared" si="168"/>
        <v>0</v>
      </c>
    </row>
    <row r="1346" spans="1:33" s="578" customFormat="1" ht="12" customHeight="1">
      <c r="A1346" s="687" t="s">
        <v>1273</v>
      </c>
      <c r="B1346" s="687" t="s">
        <v>1776</v>
      </c>
      <c r="C1346" s="688" t="s">
        <v>1061</v>
      </c>
      <c r="D1346" s="696">
        <v>158769</v>
      </c>
      <c r="E1346" s="690">
        <v>14</v>
      </c>
      <c r="F1346" s="573"/>
      <c r="G1346" s="487"/>
      <c r="H1346" s="573"/>
      <c r="I1346" s="487"/>
      <c r="J1346" s="573"/>
      <c r="K1346" s="487"/>
      <c r="L1346" s="573"/>
      <c r="M1346" s="573"/>
      <c r="N1346" s="456">
        <f t="shared" si="169"/>
        <v>0</v>
      </c>
      <c r="O1346" s="487"/>
      <c r="P1346" s="487"/>
      <c r="Q1346" s="274">
        <f t="shared" si="164"/>
        <v>0</v>
      </c>
      <c r="R1346" s="574">
        <f t="shared" si="165"/>
        <v>0</v>
      </c>
      <c r="S1346" s="275">
        <f t="shared" si="166"/>
        <v>0</v>
      </c>
      <c r="T1346" s="575"/>
      <c r="U1346" s="487"/>
      <c r="V1346" s="576"/>
      <c r="W1346" s="573"/>
      <c r="X1346" s="574">
        <f t="shared" si="170"/>
        <v>0</v>
      </c>
      <c r="Y1346" s="487"/>
      <c r="Z1346" s="487"/>
      <c r="AA1346" s="276">
        <f t="shared" si="171"/>
        <v>0</v>
      </c>
      <c r="AB1346" s="573"/>
      <c r="AC1346" s="487"/>
      <c r="AD1346" s="573"/>
      <c r="AE1346" s="487"/>
      <c r="AF1346" s="577">
        <f t="shared" si="167"/>
        <v>0</v>
      </c>
      <c r="AG1346" s="275">
        <f t="shared" si="168"/>
        <v>0</v>
      </c>
    </row>
    <row r="1347" spans="1:33" s="578" customFormat="1" ht="12" customHeight="1">
      <c r="A1347" s="687" t="s">
        <v>1273</v>
      </c>
      <c r="B1347" s="687" t="s">
        <v>1776</v>
      </c>
      <c r="C1347" s="688" t="s">
        <v>1062</v>
      </c>
      <c r="D1347" s="696">
        <v>158893</v>
      </c>
      <c r="E1347" s="690">
        <v>14</v>
      </c>
      <c r="F1347" s="573"/>
      <c r="G1347" s="487"/>
      <c r="H1347" s="573"/>
      <c r="I1347" s="487"/>
      <c r="J1347" s="573"/>
      <c r="K1347" s="487"/>
      <c r="L1347" s="573"/>
      <c r="M1347" s="573"/>
      <c r="N1347" s="456">
        <f t="shared" si="169"/>
        <v>0</v>
      </c>
      <c r="O1347" s="487"/>
      <c r="P1347" s="487"/>
      <c r="Q1347" s="274">
        <f t="shared" si="164"/>
        <v>0</v>
      </c>
      <c r="R1347" s="574">
        <f t="shared" si="165"/>
        <v>0</v>
      </c>
      <c r="S1347" s="275">
        <f t="shared" si="166"/>
        <v>0</v>
      </c>
      <c r="T1347" s="575"/>
      <c r="U1347" s="487"/>
      <c r="V1347" s="576"/>
      <c r="W1347" s="573"/>
      <c r="X1347" s="574">
        <f t="shared" si="170"/>
        <v>0</v>
      </c>
      <c r="Y1347" s="487"/>
      <c r="Z1347" s="487"/>
      <c r="AA1347" s="276">
        <f t="shared" si="171"/>
        <v>0</v>
      </c>
      <c r="AB1347" s="573"/>
      <c r="AC1347" s="487"/>
      <c r="AD1347" s="573"/>
      <c r="AE1347" s="487"/>
      <c r="AF1347" s="577">
        <f t="shared" si="167"/>
        <v>0</v>
      </c>
      <c r="AG1347" s="275">
        <f t="shared" si="168"/>
        <v>0</v>
      </c>
    </row>
    <row r="1348" spans="1:33" s="578" customFormat="1" ht="12" customHeight="1">
      <c r="A1348" s="687" t="s">
        <v>1273</v>
      </c>
      <c r="B1348" s="687" t="s">
        <v>1776</v>
      </c>
      <c r="C1348" s="688" t="s">
        <v>1063</v>
      </c>
      <c r="D1348" s="696">
        <v>158936</v>
      </c>
      <c r="E1348" s="690">
        <v>14</v>
      </c>
      <c r="F1348" s="573"/>
      <c r="G1348" s="487"/>
      <c r="H1348" s="573"/>
      <c r="I1348" s="487"/>
      <c r="J1348" s="573"/>
      <c r="K1348" s="487"/>
      <c r="L1348" s="573"/>
      <c r="M1348" s="573"/>
      <c r="N1348" s="456">
        <f t="shared" si="169"/>
        <v>0</v>
      </c>
      <c r="O1348" s="487"/>
      <c r="P1348" s="487"/>
      <c r="Q1348" s="274">
        <f t="shared" si="164"/>
        <v>0</v>
      </c>
      <c r="R1348" s="574">
        <f t="shared" si="165"/>
        <v>0</v>
      </c>
      <c r="S1348" s="275">
        <f t="shared" si="166"/>
        <v>0</v>
      </c>
      <c r="T1348" s="575"/>
      <c r="U1348" s="487"/>
      <c r="V1348" s="576"/>
      <c r="W1348" s="573"/>
      <c r="X1348" s="574">
        <f t="shared" si="170"/>
        <v>0</v>
      </c>
      <c r="Y1348" s="487"/>
      <c r="Z1348" s="487"/>
      <c r="AA1348" s="276">
        <f t="shared" si="171"/>
        <v>0</v>
      </c>
      <c r="AB1348" s="573"/>
      <c r="AC1348" s="487"/>
      <c r="AD1348" s="573"/>
      <c r="AE1348" s="487"/>
      <c r="AF1348" s="577">
        <f t="shared" si="167"/>
        <v>0</v>
      </c>
      <c r="AG1348" s="275">
        <f t="shared" si="168"/>
        <v>0</v>
      </c>
    </row>
    <row r="1349" spans="1:33" s="578" customFormat="1" ht="12" customHeight="1">
      <c r="A1349" s="687" t="s">
        <v>1273</v>
      </c>
      <c r="B1349" s="687" t="s">
        <v>1776</v>
      </c>
      <c r="C1349" s="688" t="s">
        <v>1064</v>
      </c>
      <c r="D1349" s="696">
        <v>158945</v>
      </c>
      <c r="E1349" s="690">
        <v>14</v>
      </c>
      <c r="F1349" s="573"/>
      <c r="G1349" s="487"/>
      <c r="H1349" s="573"/>
      <c r="I1349" s="487"/>
      <c r="J1349" s="573"/>
      <c r="K1349" s="487"/>
      <c r="L1349" s="573"/>
      <c r="M1349" s="573"/>
      <c r="N1349" s="456">
        <f t="shared" si="169"/>
        <v>0</v>
      </c>
      <c r="O1349" s="487"/>
      <c r="P1349" s="487"/>
      <c r="Q1349" s="274">
        <f t="shared" si="164"/>
        <v>0</v>
      </c>
      <c r="R1349" s="574">
        <f t="shared" si="165"/>
        <v>0</v>
      </c>
      <c r="S1349" s="275">
        <f t="shared" si="166"/>
        <v>0</v>
      </c>
      <c r="T1349" s="575"/>
      <c r="U1349" s="487"/>
      <c r="V1349" s="576"/>
      <c r="W1349" s="573"/>
      <c r="X1349" s="574">
        <f t="shared" si="170"/>
        <v>0</v>
      </c>
      <c r="Y1349" s="487"/>
      <c r="Z1349" s="487"/>
      <c r="AA1349" s="276">
        <f t="shared" si="171"/>
        <v>0</v>
      </c>
      <c r="AB1349" s="573"/>
      <c r="AC1349" s="487"/>
      <c r="AD1349" s="573"/>
      <c r="AE1349" s="487"/>
      <c r="AF1349" s="577">
        <f t="shared" si="167"/>
        <v>0</v>
      </c>
      <c r="AG1349" s="275">
        <f t="shared" si="168"/>
        <v>0</v>
      </c>
    </row>
    <row r="1350" spans="1:33" s="578" customFormat="1" ht="12" customHeight="1">
      <c r="A1350" s="687" t="s">
        <v>1273</v>
      </c>
      <c r="B1350" s="687" t="s">
        <v>1776</v>
      </c>
      <c r="C1350" s="688" t="s">
        <v>1065</v>
      </c>
      <c r="D1350" s="696">
        <v>159018</v>
      </c>
      <c r="E1350" s="690">
        <v>14</v>
      </c>
      <c r="F1350" s="573"/>
      <c r="G1350" s="487"/>
      <c r="H1350" s="573"/>
      <c r="I1350" s="487"/>
      <c r="J1350" s="573"/>
      <c r="K1350" s="487"/>
      <c r="L1350" s="573"/>
      <c r="M1350" s="573"/>
      <c r="N1350" s="456">
        <f t="shared" si="169"/>
        <v>0</v>
      </c>
      <c r="O1350" s="487"/>
      <c r="P1350" s="487"/>
      <c r="Q1350" s="274">
        <f t="shared" si="164"/>
        <v>0</v>
      </c>
      <c r="R1350" s="574">
        <f t="shared" si="165"/>
        <v>0</v>
      </c>
      <c r="S1350" s="275">
        <f t="shared" si="166"/>
        <v>0</v>
      </c>
      <c r="T1350" s="575"/>
      <c r="U1350" s="487"/>
      <c r="V1350" s="576"/>
      <c r="W1350" s="573"/>
      <c r="X1350" s="574">
        <f t="shared" si="170"/>
        <v>0</v>
      </c>
      <c r="Y1350" s="487"/>
      <c r="Z1350" s="487"/>
      <c r="AA1350" s="276">
        <f t="shared" si="171"/>
        <v>0</v>
      </c>
      <c r="AB1350" s="573"/>
      <c r="AC1350" s="487"/>
      <c r="AD1350" s="573"/>
      <c r="AE1350" s="487"/>
      <c r="AF1350" s="577">
        <f t="shared" si="167"/>
        <v>0</v>
      </c>
      <c r="AG1350" s="275">
        <f t="shared" si="168"/>
        <v>0</v>
      </c>
    </row>
    <row r="1351" spans="1:33" s="578" customFormat="1" ht="12" customHeight="1">
      <c r="A1351" s="687" t="s">
        <v>1273</v>
      </c>
      <c r="B1351" s="687" t="s">
        <v>1776</v>
      </c>
      <c r="C1351" s="688" t="s">
        <v>1066</v>
      </c>
      <c r="D1351" s="696">
        <v>159045</v>
      </c>
      <c r="E1351" s="690">
        <v>14</v>
      </c>
      <c r="F1351" s="573"/>
      <c r="G1351" s="487"/>
      <c r="H1351" s="573"/>
      <c r="I1351" s="487"/>
      <c r="J1351" s="573"/>
      <c r="K1351" s="487"/>
      <c r="L1351" s="573"/>
      <c r="M1351" s="573"/>
      <c r="N1351" s="456">
        <f t="shared" si="169"/>
        <v>0</v>
      </c>
      <c r="O1351" s="487"/>
      <c r="P1351" s="487"/>
      <c r="Q1351" s="274">
        <f t="shared" si="164"/>
        <v>0</v>
      </c>
      <c r="R1351" s="574">
        <f t="shared" si="165"/>
        <v>0</v>
      </c>
      <c r="S1351" s="275">
        <f t="shared" si="166"/>
        <v>0</v>
      </c>
      <c r="T1351" s="575"/>
      <c r="U1351" s="487"/>
      <c r="V1351" s="576"/>
      <c r="W1351" s="573"/>
      <c r="X1351" s="574">
        <f t="shared" si="170"/>
        <v>0</v>
      </c>
      <c r="Y1351" s="487"/>
      <c r="Z1351" s="487"/>
      <c r="AA1351" s="276">
        <f t="shared" si="171"/>
        <v>0</v>
      </c>
      <c r="AB1351" s="573"/>
      <c r="AC1351" s="487"/>
      <c r="AD1351" s="573"/>
      <c r="AE1351" s="487"/>
      <c r="AF1351" s="577">
        <f t="shared" si="167"/>
        <v>0</v>
      </c>
      <c r="AG1351" s="275">
        <f t="shared" si="168"/>
        <v>0</v>
      </c>
    </row>
    <row r="1352" spans="1:33" s="578" customFormat="1" ht="12" customHeight="1">
      <c r="A1352" s="687" t="s">
        <v>1273</v>
      </c>
      <c r="B1352" s="687" t="s">
        <v>1776</v>
      </c>
      <c r="C1352" s="688" t="s">
        <v>1067</v>
      </c>
      <c r="D1352" s="696">
        <v>159090</v>
      </c>
      <c r="E1352" s="690">
        <v>14</v>
      </c>
      <c r="F1352" s="573"/>
      <c r="G1352" s="487"/>
      <c r="H1352" s="573"/>
      <c r="I1352" s="487"/>
      <c r="J1352" s="573"/>
      <c r="K1352" s="487"/>
      <c r="L1352" s="573"/>
      <c r="M1352" s="573"/>
      <c r="N1352" s="456">
        <f t="shared" si="169"/>
        <v>0</v>
      </c>
      <c r="O1352" s="487"/>
      <c r="P1352" s="487"/>
      <c r="Q1352" s="274">
        <f t="shared" si="164"/>
        <v>0</v>
      </c>
      <c r="R1352" s="574">
        <f t="shared" si="165"/>
        <v>0</v>
      </c>
      <c r="S1352" s="275">
        <f t="shared" si="166"/>
        <v>0</v>
      </c>
      <c r="T1352" s="575"/>
      <c r="U1352" s="487"/>
      <c r="V1352" s="576"/>
      <c r="W1352" s="573"/>
      <c r="X1352" s="574">
        <f t="shared" si="170"/>
        <v>0</v>
      </c>
      <c r="Y1352" s="487"/>
      <c r="Z1352" s="487"/>
      <c r="AA1352" s="276">
        <f t="shared" si="171"/>
        <v>0</v>
      </c>
      <c r="AB1352" s="573"/>
      <c r="AC1352" s="487"/>
      <c r="AD1352" s="573"/>
      <c r="AE1352" s="487"/>
      <c r="AF1352" s="577">
        <f t="shared" si="167"/>
        <v>0</v>
      </c>
      <c r="AG1352" s="275">
        <f t="shared" si="168"/>
        <v>0</v>
      </c>
    </row>
    <row r="1353" spans="1:33" s="578" customFormat="1" ht="12" customHeight="1">
      <c r="A1353" s="687" t="s">
        <v>1273</v>
      </c>
      <c r="B1353" s="687" t="s">
        <v>1776</v>
      </c>
      <c r="C1353" s="688" t="s">
        <v>1068</v>
      </c>
      <c r="D1353" s="696">
        <v>159258</v>
      </c>
      <c r="E1353" s="690">
        <v>14</v>
      </c>
      <c r="F1353" s="573"/>
      <c r="G1353" s="487"/>
      <c r="H1353" s="573"/>
      <c r="I1353" s="487"/>
      <c r="J1353" s="573"/>
      <c r="K1353" s="487"/>
      <c r="L1353" s="573"/>
      <c r="M1353" s="573"/>
      <c r="N1353" s="456">
        <f t="shared" si="169"/>
        <v>0</v>
      </c>
      <c r="O1353" s="487"/>
      <c r="P1353" s="487"/>
      <c r="Q1353" s="274">
        <f t="shared" si="164"/>
        <v>0</v>
      </c>
      <c r="R1353" s="574">
        <f t="shared" si="165"/>
        <v>0</v>
      </c>
      <c r="S1353" s="275">
        <f t="shared" si="166"/>
        <v>0</v>
      </c>
      <c r="T1353" s="575"/>
      <c r="U1353" s="487"/>
      <c r="V1353" s="576"/>
      <c r="W1353" s="573"/>
      <c r="X1353" s="574">
        <f t="shared" si="170"/>
        <v>0</v>
      </c>
      <c r="Y1353" s="487"/>
      <c r="Z1353" s="487"/>
      <c r="AA1353" s="276">
        <f t="shared" si="171"/>
        <v>0</v>
      </c>
      <c r="AB1353" s="573"/>
      <c r="AC1353" s="487"/>
      <c r="AD1353" s="573"/>
      <c r="AE1353" s="487"/>
      <c r="AF1353" s="577">
        <f t="shared" si="167"/>
        <v>0</v>
      </c>
      <c r="AG1353" s="275">
        <f t="shared" si="168"/>
        <v>0</v>
      </c>
    </row>
    <row r="1354" spans="1:33" s="578" customFormat="1" ht="12" customHeight="1">
      <c r="A1354" s="687" t="s">
        <v>1273</v>
      </c>
      <c r="B1354" s="687" t="s">
        <v>1776</v>
      </c>
      <c r="C1354" s="688" t="s">
        <v>1069</v>
      </c>
      <c r="D1354" s="696">
        <v>160214</v>
      </c>
      <c r="E1354" s="690">
        <v>14</v>
      </c>
      <c r="F1354" s="573"/>
      <c r="G1354" s="487"/>
      <c r="H1354" s="573"/>
      <c r="I1354" s="487"/>
      <c r="J1354" s="573"/>
      <c r="K1354" s="487"/>
      <c r="L1354" s="573"/>
      <c r="M1354" s="573"/>
      <c r="N1354" s="456">
        <f t="shared" si="169"/>
        <v>0</v>
      </c>
      <c r="O1354" s="487"/>
      <c r="P1354" s="487"/>
      <c r="Q1354" s="274">
        <f t="shared" ref="Q1354:Q1417" si="172">SUM(O1354:P1354)</f>
        <v>0</v>
      </c>
      <c r="R1354" s="574">
        <f t="shared" ref="R1354:R1417" si="173">SUM(F1354,H1354,J1354,L1354)</f>
        <v>0</v>
      </c>
      <c r="S1354" s="275">
        <f t="shared" ref="S1354:S1417" si="174">SUM(G1354,I1354,K1354,O1354)</f>
        <v>0</v>
      </c>
      <c r="T1354" s="575"/>
      <c r="U1354" s="487"/>
      <c r="V1354" s="576"/>
      <c r="W1354" s="573"/>
      <c r="X1354" s="574">
        <f t="shared" si="170"/>
        <v>0</v>
      </c>
      <c r="Y1354" s="487"/>
      <c r="Z1354" s="487"/>
      <c r="AA1354" s="276">
        <f t="shared" si="171"/>
        <v>0</v>
      </c>
      <c r="AB1354" s="573"/>
      <c r="AC1354" s="487"/>
      <c r="AD1354" s="573"/>
      <c r="AE1354" s="487"/>
      <c r="AF1354" s="577">
        <f t="shared" ref="AF1354:AF1417" si="175">SUM(R1354,T1354,V1354,AB1354,AD1354)</f>
        <v>0</v>
      </c>
      <c r="AG1354" s="275">
        <f t="shared" ref="AG1354:AG1417" si="176">SUM(S1354,U1354,Y1354,AC1354,AE1354)</f>
        <v>0</v>
      </c>
    </row>
    <row r="1355" spans="1:33" s="578" customFormat="1" ht="12" customHeight="1">
      <c r="A1355" s="687" t="s">
        <v>1273</v>
      </c>
      <c r="B1355" s="687" t="s">
        <v>1776</v>
      </c>
      <c r="C1355" s="688" t="s">
        <v>1070</v>
      </c>
      <c r="D1355" s="696">
        <v>159443</v>
      </c>
      <c r="E1355" s="690">
        <v>14</v>
      </c>
      <c r="F1355" s="573"/>
      <c r="G1355" s="487"/>
      <c r="H1355" s="573"/>
      <c r="I1355" s="487"/>
      <c r="J1355" s="573"/>
      <c r="K1355" s="487"/>
      <c r="L1355" s="573"/>
      <c r="M1355" s="573"/>
      <c r="N1355" s="456">
        <f t="shared" si="169"/>
        <v>0</v>
      </c>
      <c r="O1355" s="487"/>
      <c r="P1355" s="487"/>
      <c r="Q1355" s="274">
        <f t="shared" si="172"/>
        <v>0</v>
      </c>
      <c r="R1355" s="574">
        <f t="shared" si="173"/>
        <v>0</v>
      </c>
      <c r="S1355" s="275">
        <f t="shared" si="174"/>
        <v>0</v>
      </c>
      <c r="T1355" s="575"/>
      <c r="U1355" s="487"/>
      <c r="V1355" s="576"/>
      <c r="W1355" s="573"/>
      <c r="X1355" s="574">
        <f t="shared" si="170"/>
        <v>0</v>
      </c>
      <c r="Y1355" s="487"/>
      <c r="Z1355" s="487"/>
      <c r="AA1355" s="276">
        <f t="shared" si="171"/>
        <v>0</v>
      </c>
      <c r="AB1355" s="573"/>
      <c r="AC1355" s="487"/>
      <c r="AD1355" s="573"/>
      <c r="AE1355" s="487"/>
      <c r="AF1355" s="577">
        <f t="shared" si="175"/>
        <v>0</v>
      </c>
      <c r="AG1355" s="275">
        <f t="shared" si="176"/>
        <v>0</v>
      </c>
    </row>
    <row r="1356" spans="1:33" s="578" customFormat="1" ht="12" customHeight="1">
      <c r="A1356" s="687" t="s">
        <v>1273</v>
      </c>
      <c r="B1356" s="687" t="s">
        <v>1776</v>
      </c>
      <c r="C1356" s="688" t="s">
        <v>1071</v>
      </c>
      <c r="D1356" s="696">
        <v>160719</v>
      </c>
      <c r="E1356" s="690">
        <v>14</v>
      </c>
      <c r="F1356" s="573"/>
      <c r="G1356" s="487"/>
      <c r="H1356" s="573"/>
      <c r="I1356" s="487"/>
      <c r="J1356" s="573"/>
      <c r="K1356" s="487"/>
      <c r="L1356" s="573"/>
      <c r="M1356" s="573"/>
      <c r="N1356" s="456">
        <f t="shared" si="169"/>
        <v>0</v>
      </c>
      <c r="O1356" s="487"/>
      <c r="P1356" s="487"/>
      <c r="Q1356" s="274">
        <f t="shared" si="172"/>
        <v>0</v>
      </c>
      <c r="R1356" s="574">
        <f t="shared" si="173"/>
        <v>0</v>
      </c>
      <c r="S1356" s="275">
        <f t="shared" si="174"/>
        <v>0</v>
      </c>
      <c r="T1356" s="575"/>
      <c r="U1356" s="487"/>
      <c r="V1356" s="576"/>
      <c r="W1356" s="573"/>
      <c r="X1356" s="574">
        <f t="shared" si="170"/>
        <v>0</v>
      </c>
      <c r="Y1356" s="487"/>
      <c r="Z1356" s="487"/>
      <c r="AA1356" s="276">
        <f t="shared" si="171"/>
        <v>0</v>
      </c>
      <c r="AB1356" s="573"/>
      <c r="AC1356" s="487"/>
      <c r="AD1356" s="573"/>
      <c r="AE1356" s="487"/>
      <c r="AF1356" s="577">
        <f t="shared" si="175"/>
        <v>0</v>
      </c>
      <c r="AG1356" s="275">
        <f t="shared" si="176"/>
        <v>0</v>
      </c>
    </row>
    <row r="1357" spans="1:33" s="578" customFormat="1" ht="12" customHeight="1">
      <c r="A1357" s="687" t="s">
        <v>1273</v>
      </c>
      <c r="B1357" s="687" t="s">
        <v>1776</v>
      </c>
      <c r="C1357" s="688" t="s">
        <v>1072</v>
      </c>
      <c r="D1357" s="696">
        <v>160843</v>
      </c>
      <c r="E1357" s="690">
        <v>14</v>
      </c>
      <c r="F1357" s="573"/>
      <c r="G1357" s="487"/>
      <c r="H1357" s="573"/>
      <c r="I1357" s="487"/>
      <c r="J1357" s="573"/>
      <c r="K1357" s="487"/>
      <c r="L1357" s="573"/>
      <c r="M1357" s="573"/>
      <c r="N1357" s="456">
        <f t="shared" si="169"/>
        <v>0</v>
      </c>
      <c r="O1357" s="487"/>
      <c r="P1357" s="487"/>
      <c r="Q1357" s="274">
        <f t="shared" si="172"/>
        <v>0</v>
      </c>
      <c r="R1357" s="574">
        <f t="shared" si="173"/>
        <v>0</v>
      </c>
      <c r="S1357" s="275">
        <f t="shared" si="174"/>
        <v>0</v>
      </c>
      <c r="T1357" s="575"/>
      <c r="U1357" s="487"/>
      <c r="V1357" s="576"/>
      <c r="W1357" s="573"/>
      <c r="X1357" s="574">
        <f t="shared" si="170"/>
        <v>0</v>
      </c>
      <c r="Y1357" s="487"/>
      <c r="Z1357" s="487"/>
      <c r="AA1357" s="276">
        <f t="shared" si="171"/>
        <v>0</v>
      </c>
      <c r="AB1357" s="573"/>
      <c r="AC1357" s="487"/>
      <c r="AD1357" s="573"/>
      <c r="AE1357" s="487"/>
      <c r="AF1357" s="577">
        <f t="shared" si="175"/>
        <v>0</v>
      </c>
      <c r="AG1357" s="275">
        <f t="shared" si="176"/>
        <v>0</v>
      </c>
    </row>
    <row r="1358" spans="1:33" s="578" customFormat="1" ht="12" customHeight="1">
      <c r="A1358" s="687" t="s">
        <v>1273</v>
      </c>
      <c r="B1358" s="687" t="s">
        <v>1776</v>
      </c>
      <c r="C1358" s="688" t="s">
        <v>1073</v>
      </c>
      <c r="D1358" s="696">
        <v>159692</v>
      </c>
      <c r="E1358" s="690">
        <v>14</v>
      </c>
      <c r="F1358" s="573"/>
      <c r="G1358" s="487"/>
      <c r="H1358" s="573"/>
      <c r="I1358" s="487"/>
      <c r="J1358" s="573"/>
      <c r="K1358" s="487"/>
      <c r="L1358" s="573"/>
      <c r="M1358" s="573"/>
      <c r="N1358" s="456">
        <f t="shared" si="169"/>
        <v>0</v>
      </c>
      <c r="O1358" s="487"/>
      <c r="P1358" s="487"/>
      <c r="Q1358" s="274">
        <f t="shared" si="172"/>
        <v>0</v>
      </c>
      <c r="R1358" s="574">
        <f t="shared" si="173"/>
        <v>0</v>
      </c>
      <c r="S1358" s="275">
        <f t="shared" si="174"/>
        <v>0</v>
      </c>
      <c r="T1358" s="575"/>
      <c r="U1358" s="487"/>
      <c r="V1358" s="576"/>
      <c r="W1358" s="573"/>
      <c r="X1358" s="574">
        <f t="shared" si="170"/>
        <v>0</v>
      </c>
      <c r="Y1358" s="487"/>
      <c r="Z1358" s="487"/>
      <c r="AA1358" s="276">
        <f t="shared" si="171"/>
        <v>0</v>
      </c>
      <c r="AB1358" s="573"/>
      <c r="AC1358" s="487"/>
      <c r="AD1358" s="573"/>
      <c r="AE1358" s="487"/>
      <c r="AF1358" s="577">
        <f t="shared" si="175"/>
        <v>0</v>
      </c>
      <c r="AG1358" s="275">
        <f t="shared" si="176"/>
        <v>0</v>
      </c>
    </row>
    <row r="1359" spans="1:33" s="578" customFormat="1" ht="12" customHeight="1">
      <c r="A1359" s="687" t="s">
        <v>1273</v>
      </c>
      <c r="B1359" s="687" t="s">
        <v>1776</v>
      </c>
      <c r="C1359" s="688" t="s">
        <v>1074</v>
      </c>
      <c r="D1359" s="696">
        <v>159249</v>
      </c>
      <c r="E1359" s="690">
        <v>14</v>
      </c>
      <c r="F1359" s="573"/>
      <c r="G1359" s="487"/>
      <c r="H1359" s="573"/>
      <c r="I1359" s="487"/>
      <c r="J1359" s="573"/>
      <c r="K1359" s="487"/>
      <c r="L1359" s="573"/>
      <c r="M1359" s="573"/>
      <c r="N1359" s="456">
        <f t="shared" si="169"/>
        <v>0</v>
      </c>
      <c r="O1359" s="487"/>
      <c r="P1359" s="487"/>
      <c r="Q1359" s="274">
        <f t="shared" si="172"/>
        <v>0</v>
      </c>
      <c r="R1359" s="574">
        <f t="shared" si="173"/>
        <v>0</v>
      </c>
      <c r="S1359" s="275">
        <f t="shared" si="174"/>
        <v>0</v>
      </c>
      <c r="T1359" s="575"/>
      <c r="U1359" s="487"/>
      <c r="V1359" s="576"/>
      <c r="W1359" s="573"/>
      <c r="X1359" s="574">
        <f t="shared" si="170"/>
        <v>0</v>
      </c>
      <c r="Y1359" s="487"/>
      <c r="Z1359" s="487"/>
      <c r="AA1359" s="276">
        <f t="shared" si="171"/>
        <v>0</v>
      </c>
      <c r="AB1359" s="573"/>
      <c r="AC1359" s="487"/>
      <c r="AD1359" s="573"/>
      <c r="AE1359" s="487"/>
      <c r="AF1359" s="577">
        <f t="shared" si="175"/>
        <v>0</v>
      </c>
      <c r="AG1359" s="275">
        <f t="shared" si="176"/>
        <v>0</v>
      </c>
    </row>
    <row r="1360" spans="1:33" s="578" customFormat="1" ht="12" customHeight="1">
      <c r="A1360" s="687" t="s">
        <v>1273</v>
      </c>
      <c r="B1360" s="687" t="s">
        <v>1776</v>
      </c>
      <c r="C1360" s="688" t="s">
        <v>1075</v>
      </c>
      <c r="D1360" s="696">
        <v>159823</v>
      </c>
      <c r="E1360" s="690">
        <v>14</v>
      </c>
      <c r="F1360" s="573"/>
      <c r="G1360" s="487"/>
      <c r="H1360" s="573"/>
      <c r="I1360" s="487"/>
      <c r="J1360" s="573"/>
      <c r="K1360" s="487"/>
      <c r="L1360" s="573"/>
      <c r="M1360" s="573"/>
      <c r="N1360" s="456">
        <f t="shared" si="169"/>
        <v>0</v>
      </c>
      <c r="O1360" s="487"/>
      <c r="P1360" s="487"/>
      <c r="Q1360" s="274">
        <f t="shared" si="172"/>
        <v>0</v>
      </c>
      <c r="R1360" s="574">
        <f t="shared" si="173"/>
        <v>0</v>
      </c>
      <c r="S1360" s="275">
        <f t="shared" si="174"/>
        <v>0</v>
      </c>
      <c r="T1360" s="575"/>
      <c r="U1360" s="487"/>
      <c r="V1360" s="576"/>
      <c r="W1360" s="573"/>
      <c r="X1360" s="574">
        <f t="shared" si="170"/>
        <v>0</v>
      </c>
      <c r="Y1360" s="487"/>
      <c r="Z1360" s="487"/>
      <c r="AA1360" s="276">
        <f t="shared" si="171"/>
        <v>0</v>
      </c>
      <c r="AB1360" s="573"/>
      <c r="AC1360" s="487"/>
      <c r="AD1360" s="573"/>
      <c r="AE1360" s="487"/>
      <c r="AF1360" s="577">
        <f t="shared" si="175"/>
        <v>0</v>
      </c>
      <c r="AG1360" s="275">
        <f t="shared" si="176"/>
        <v>0</v>
      </c>
    </row>
    <row r="1361" spans="1:33" s="578" customFormat="1" ht="12" customHeight="1">
      <c r="A1361" s="687" t="s">
        <v>1273</v>
      </c>
      <c r="B1361" s="687" t="s">
        <v>1776</v>
      </c>
      <c r="C1361" s="688" t="s">
        <v>1076</v>
      </c>
      <c r="D1361" s="696">
        <v>159984</v>
      </c>
      <c r="E1361" s="690">
        <v>14</v>
      </c>
      <c r="F1361" s="573"/>
      <c r="G1361" s="487"/>
      <c r="H1361" s="573"/>
      <c r="I1361" s="487"/>
      <c r="J1361" s="573"/>
      <c r="K1361" s="487"/>
      <c r="L1361" s="573"/>
      <c r="M1361" s="573"/>
      <c r="N1361" s="456">
        <f t="shared" si="169"/>
        <v>0</v>
      </c>
      <c r="O1361" s="487"/>
      <c r="P1361" s="487"/>
      <c r="Q1361" s="274">
        <f t="shared" si="172"/>
        <v>0</v>
      </c>
      <c r="R1361" s="574">
        <f t="shared" si="173"/>
        <v>0</v>
      </c>
      <c r="S1361" s="275">
        <f t="shared" si="174"/>
        <v>0</v>
      </c>
      <c r="T1361" s="575"/>
      <c r="U1361" s="487"/>
      <c r="V1361" s="576"/>
      <c r="W1361" s="573"/>
      <c r="X1361" s="574">
        <f t="shared" si="170"/>
        <v>0</v>
      </c>
      <c r="Y1361" s="487"/>
      <c r="Z1361" s="487"/>
      <c r="AA1361" s="276">
        <f t="shared" si="171"/>
        <v>0</v>
      </c>
      <c r="AB1361" s="573"/>
      <c r="AC1361" s="487"/>
      <c r="AD1361" s="573"/>
      <c r="AE1361" s="487"/>
      <c r="AF1361" s="577">
        <f t="shared" si="175"/>
        <v>0</v>
      </c>
      <c r="AG1361" s="275">
        <f t="shared" si="176"/>
        <v>0</v>
      </c>
    </row>
    <row r="1362" spans="1:33" s="578" customFormat="1" ht="12" customHeight="1">
      <c r="A1362" s="687" t="s">
        <v>1273</v>
      </c>
      <c r="B1362" s="687" t="s">
        <v>1776</v>
      </c>
      <c r="C1362" s="688" t="s">
        <v>1077</v>
      </c>
      <c r="D1362" s="696">
        <v>160001</v>
      </c>
      <c r="E1362" s="690">
        <v>14</v>
      </c>
      <c r="F1362" s="573"/>
      <c r="G1362" s="487"/>
      <c r="H1362" s="573"/>
      <c r="I1362" s="487"/>
      <c r="J1362" s="573"/>
      <c r="K1362" s="487"/>
      <c r="L1362" s="573"/>
      <c r="M1362" s="573"/>
      <c r="N1362" s="456">
        <f t="shared" si="169"/>
        <v>0</v>
      </c>
      <c r="O1362" s="487"/>
      <c r="P1362" s="487"/>
      <c r="Q1362" s="274">
        <f t="shared" si="172"/>
        <v>0</v>
      </c>
      <c r="R1362" s="574">
        <f t="shared" si="173"/>
        <v>0</v>
      </c>
      <c r="S1362" s="275">
        <f t="shared" si="174"/>
        <v>0</v>
      </c>
      <c r="T1362" s="575"/>
      <c r="U1362" s="487"/>
      <c r="V1362" s="576"/>
      <c r="W1362" s="573"/>
      <c r="X1362" s="574">
        <f t="shared" si="170"/>
        <v>0</v>
      </c>
      <c r="Y1362" s="487"/>
      <c r="Z1362" s="487"/>
      <c r="AA1362" s="276">
        <f t="shared" si="171"/>
        <v>0</v>
      </c>
      <c r="AB1362" s="573"/>
      <c r="AC1362" s="487"/>
      <c r="AD1362" s="573"/>
      <c r="AE1362" s="487"/>
      <c r="AF1362" s="577">
        <f t="shared" si="175"/>
        <v>0</v>
      </c>
      <c r="AG1362" s="275">
        <f t="shared" si="176"/>
        <v>0</v>
      </c>
    </row>
    <row r="1363" spans="1:33" s="578" customFormat="1" ht="12" customHeight="1">
      <c r="A1363" s="687" t="s">
        <v>1273</v>
      </c>
      <c r="B1363" s="687" t="s">
        <v>1776</v>
      </c>
      <c r="C1363" s="688" t="s">
        <v>1078</v>
      </c>
      <c r="D1363" s="696">
        <v>160010</v>
      </c>
      <c r="E1363" s="690">
        <v>14</v>
      </c>
      <c r="F1363" s="573"/>
      <c r="G1363" s="487"/>
      <c r="H1363" s="573"/>
      <c r="I1363" s="487"/>
      <c r="J1363" s="573"/>
      <c r="K1363" s="487"/>
      <c r="L1363" s="573"/>
      <c r="M1363" s="573"/>
      <c r="N1363" s="456">
        <f t="shared" ref="N1363:N1426" si="177">SUM(L1363:M1363)</f>
        <v>0</v>
      </c>
      <c r="O1363" s="487"/>
      <c r="P1363" s="487"/>
      <c r="Q1363" s="274">
        <f t="shared" si="172"/>
        <v>0</v>
      </c>
      <c r="R1363" s="574">
        <f t="shared" si="173"/>
        <v>0</v>
      </c>
      <c r="S1363" s="275">
        <f t="shared" si="174"/>
        <v>0</v>
      </c>
      <c r="T1363" s="575"/>
      <c r="U1363" s="487"/>
      <c r="V1363" s="576"/>
      <c r="W1363" s="573"/>
      <c r="X1363" s="574">
        <f t="shared" ref="X1363:X1426" si="178">SUM(V1363:W1363)</f>
        <v>0</v>
      </c>
      <c r="Y1363" s="487"/>
      <c r="Z1363" s="487"/>
      <c r="AA1363" s="276">
        <f t="shared" ref="AA1363:AA1426" si="179">SUM(Y1363:Z1363)</f>
        <v>0</v>
      </c>
      <c r="AB1363" s="573"/>
      <c r="AC1363" s="487"/>
      <c r="AD1363" s="573"/>
      <c r="AE1363" s="487"/>
      <c r="AF1363" s="577">
        <f t="shared" si="175"/>
        <v>0</v>
      </c>
      <c r="AG1363" s="275">
        <f t="shared" si="176"/>
        <v>0</v>
      </c>
    </row>
    <row r="1364" spans="1:33" s="578" customFormat="1" ht="12" customHeight="1">
      <c r="A1364" s="687" t="s">
        <v>1273</v>
      </c>
      <c r="B1364" s="687" t="s">
        <v>1776</v>
      </c>
      <c r="C1364" s="688" t="s">
        <v>1079</v>
      </c>
      <c r="D1364" s="696">
        <v>160047</v>
      </c>
      <c r="E1364" s="690">
        <v>14</v>
      </c>
      <c r="F1364" s="573"/>
      <c r="G1364" s="487"/>
      <c r="H1364" s="573"/>
      <c r="I1364" s="487"/>
      <c r="J1364" s="573"/>
      <c r="K1364" s="487"/>
      <c r="L1364" s="573"/>
      <c r="M1364" s="573"/>
      <c r="N1364" s="456">
        <f t="shared" si="177"/>
        <v>0</v>
      </c>
      <c r="O1364" s="487"/>
      <c r="P1364" s="487"/>
      <c r="Q1364" s="274">
        <f t="shared" si="172"/>
        <v>0</v>
      </c>
      <c r="R1364" s="574">
        <f t="shared" si="173"/>
        <v>0</v>
      </c>
      <c r="S1364" s="275">
        <f t="shared" si="174"/>
        <v>0</v>
      </c>
      <c r="T1364" s="575"/>
      <c r="U1364" s="487"/>
      <c r="V1364" s="576"/>
      <c r="W1364" s="573"/>
      <c r="X1364" s="574">
        <f t="shared" si="178"/>
        <v>0</v>
      </c>
      <c r="Y1364" s="487"/>
      <c r="Z1364" s="487"/>
      <c r="AA1364" s="276">
        <f t="shared" si="179"/>
        <v>0</v>
      </c>
      <c r="AB1364" s="573"/>
      <c r="AC1364" s="487"/>
      <c r="AD1364" s="573"/>
      <c r="AE1364" s="487"/>
      <c r="AF1364" s="577">
        <f t="shared" si="175"/>
        <v>0</v>
      </c>
      <c r="AG1364" s="275">
        <f t="shared" si="176"/>
        <v>0</v>
      </c>
    </row>
    <row r="1365" spans="1:33" s="578" customFormat="1" ht="12" customHeight="1">
      <c r="A1365" s="687" t="s">
        <v>1273</v>
      </c>
      <c r="B1365" s="687" t="s">
        <v>1776</v>
      </c>
      <c r="C1365" s="688" t="s">
        <v>1080</v>
      </c>
      <c r="D1365" s="696">
        <v>160311</v>
      </c>
      <c r="E1365" s="690">
        <v>14</v>
      </c>
      <c r="F1365" s="573"/>
      <c r="G1365" s="487"/>
      <c r="H1365" s="573"/>
      <c r="I1365" s="487"/>
      <c r="J1365" s="573"/>
      <c r="K1365" s="487"/>
      <c r="L1365" s="573"/>
      <c r="M1365" s="573"/>
      <c r="N1365" s="456">
        <f t="shared" si="177"/>
        <v>0</v>
      </c>
      <c r="O1365" s="487"/>
      <c r="P1365" s="487"/>
      <c r="Q1365" s="274">
        <f t="shared" si="172"/>
        <v>0</v>
      </c>
      <c r="R1365" s="574">
        <f t="shared" si="173"/>
        <v>0</v>
      </c>
      <c r="S1365" s="275">
        <f t="shared" si="174"/>
        <v>0</v>
      </c>
      <c r="T1365" s="575"/>
      <c r="U1365" s="487"/>
      <c r="V1365" s="576"/>
      <c r="W1365" s="573"/>
      <c r="X1365" s="574">
        <f t="shared" si="178"/>
        <v>0</v>
      </c>
      <c r="Y1365" s="487"/>
      <c r="Z1365" s="487"/>
      <c r="AA1365" s="276">
        <f t="shared" si="179"/>
        <v>0</v>
      </c>
      <c r="AB1365" s="573"/>
      <c r="AC1365" s="487"/>
      <c r="AD1365" s="573"/>
      <c r="AE1365" s="487"/>
      <c r="AF1365" s="577">
        <f t="shared" si="175"/>
        <v>0</v>
      </c>
      <c r="AG1365" s="275">
        <f t="shared" si="176"/>
        <v>0</v>
      </c>
    </row>
    <row r="1366" spans="1:33" s="578" customFormat="1" ht="12" customHeight="1">
      <c r="A1366" s="687" t="s">
        <v>1273</v>
      </c>
      <c r="B1366" s="687" t="s">
        <v>1776</v>
      </c>
      <c r="C1366" s="688" t="s">
        <v>1081</v>
      </c>
      <c r="D1366" s="696">
        <v>160366</v>
      </c>
      <c r="E1366" s="690">
        <v>14</v>
      </c>
      <c r="F1366" s="573"/>
      <c r="G1366" s="487"/>
      <c r="H1366" s="573"/>
      <c r="I1366" s="487"/>
      <c r="J1366" s="573"/>
      <c r="K1366" s="487"/>
      <c r="L1366" s="573"/>
      <c r="M1366" s="573"/>
      <c r="N1366" s="456">
        <f t="shared" si="177"/>
        <v>0</v>
      </c>
      <c r="O1366" s="487"/>
      <c r="P1366" s="487"/>
      <c r="Q1366" s="274">
        <f t="shared" si="172"/>
        <v>0</v>
      </c>
      <c r="R1366" s="574">
        <f t="shared" si="173"/>
        <v>0</v>
      </c>
      <c r="S1366" s="275">
        <f t="shared" si="174"/>
        <v>0</v>
      </c>
      <c r="T1366" s="575"/>
      <c r="U1366" s="487"/>
      <c r="V1366" s="576"/>
      <c r="W1366" s="573"/>
      <c r="X1366" s="574">
        <f t="shared" si="178"/>
        <v>0</v>
      </c>
      <c r="Y1366" s="487"/>
      <c r="Z1366" s="487"/>
      <c r="AA1366" s="276">
        <f t="shared" si="179"/>
        <v>0</v>
      </c>
      <c r="AB1366" s="573"/>
      <c r="AC1366" s="487"/>
      <c r="AD1366" s="573"/>
      <c r="AE1366" s="487"/>
      <c r="AF1366" s="577">
        <f t="shared" si="175"/>
        <v>0</v>
      </c>
      <c r="AG1366" s="275">
        <f t="shared" si="176"/>
        <v>0</v>
      </c>
    </row>
    <row r="1367" spans="1:33" s="578" customFormat="1" ht="12" customHeight="1">
      <c r="A1367" s="687" t="s">
        <v>1273</v>
      </c>
      <c r="B1367" s="687" t="s">
        <v>1776</v>
      </c>
      <c r="C1367" s="688" t="s">
        <v>1082</v>
      </c>
      <c r="D1367" s="696">
        <v>160384</v>
      </c>
      <c r="E1367" s="690">
        <v>14</v>
      </c>
      <c r="F1367" s="573"/>
      <c r="G1367" s="487"/>
      <c r="H1367" s="573"/>
      <c r="I1367" s="487"/>
      <c r="J1367" s="573"/>
      <c r="K1367" s="487"/>
      <c r="L1367" s="573"/>
      <c r="M1367" s="573"/>
      <c r="N1367" s="456">
        <f t="shared" si="177"/>
        <v>0</v>
      </c>
      <c r="O1367" s="487"/>
      <c r="P1367" s="487"/>
      <c r="Q1367" s="274">
        <f t="shared" si="172"/>
        <v>0</v>
      </c>
      <c r="R1367" s="574">
        <f t="shared" si="173"/>
        <v>0</v>
      </c>
      <c r="S1367" s="275">
        <f t="shared" si="174"/>
        <v>0</v>
      </c>
      <c r="T1367" s="575"/>
      <c r="U1367" s="487"/>
      <c r="V1367" s="576"/>
      <c r="W1367" s="573"/>
      <c r="X1367" s="574">
        <f t="shared" si="178"/>
        <v>0</v>
      </c>
      <c r="Y1367" s="487"/>
      <c r="Z1367" s="487"/>
      <c r="AA1367" s="276">
        <f t="shared" si="179"/>
        <v>0</v>
      </c>
      <c r="AB1367" s="573"/>
      <c r="AC1367" s="487"/>
      <c r="AD1367" s="573"/>
      <c r="AE1367" s="487"/>
      <c r="AF1367" s="577">
        <f t="shared" si="175"/>
        <v>0</v>
      </c>
      <c r="AG1367" s="275">
        <f t="shared" si="176"/>
        <v>0</v>
      </c>
    </row>
    <row r="1368" spans="1:33" s="578" customFormat="1" ht="12" customHeight="1">
      <c r="A1368" s="687" t="s">
        <v>1273</v>
      </c>
      <c r="B1368" s="687" t="s">
        <v>1776</v>
      </c>
      <c r="C1368" s="688" t="s">
        <v>1083</v>
      </c>
      <c r="D1368" s="696">
        <v>158583</v>
      </c>
      <c r="E1368" s="690">
        <v>14</v>
      </c>
      <c r="F1368" s="573"/>
      <c r="G1368" s="487"/>
      <c r="H1368" s="573"/>
      <c r="I1368" s="487"/>
      <c r="J1368" s="573"/>
      <c r="K1368" s="487"/>
      <c r="L1368" s="573"/>
      <c r="M1368" s="573"/>
      <c r="N1368" s="456">
        <f t="shared" si="177"/>
        <v>0</v>
      </c>
      <c r="O1368" s="487"/>
      <c r="P1368" s="487"/>
      <c r="Q1368" s="274">
        <f t="shared" si="172"/>
        <v>0</v>
      </c>
      <c r="R1368" s="574">
        <f t="shared" si="173"/>
        <v>0</v>
      </c>
      <c r="S1368" s="275">
        <f t="shared" si="174"/>
        <v>0</v>
      </c>
      <c r="T1368" s="575"/>
      <c r="U1368" s="487"/>
      <c r="V1368" s="576"/>
      <c r="W1368" s="573"/>
      <c r="X1368" s="574">
        <f t="shared" si="178"/>
        <v>0</v>
      </c>
      <c r="Y1368" s="487"/>
      <c r="Z1368" s="487"/>
      <c r="AA1368" s="276">
        <f t="shared" si="179"/>
        <v>0</v>
      </c>
      <c r="AB1368" s="573"/>
      <c r="AC1368" s="487"/>
      <c r="AD1368" s="573"/>
      <c r="AE1368" s="487"/>
      <c r="AF1368" s="577">
        <f t="shared" si="175"/>
        <v>0</v>
      </c>
      <c r="AG1368" s="275">
        <f t="shared" si="176"/>
        <v>0</v>
      </c>
    </row>
    <row r="1369" spans="1:33" s="578" customFormat="1" ht="12" customHeight="1">
      <c r="A1369" s="687" t="s">
        <v>1273</v>
      </c>
      <c r="B1369" s="687" t="s">
        <v>1776</v>
      </c>
      <c r="C1369" s="688" t="s">
        <v>1084</v>
      </c>
      <c r="D1369" s="696">
        <v>160427</v>
      </c>
      <c r="E1369" s="690">
        <v>14</v>
      </c>
      <c r="F1369" s="573"/>
      <c r="G1369" s="487"/>
      <c r="H1369" s="573"/>
      <c r="I1369" s="487"/>
      <c r="J1369" s="573"/>
      <c r="K1369" s="487"/>
      <c r="L1369" s="573"/>
      <c r="M1369" s="573"/>
      <c r="N1369" s="456">
        <f t="shared" si="177"/>
        <v>0</v>
      </c>
      <c r="O1369" s="487"/>
      <c r="P1369" s="487"/>
      <c r="Q1369" s="274">
        <f t="shared" si="172"/>
        <v>0</v>
      </c>
      <c r="R1369" s="574">
        <f t="shared" si="173"/>
        <v>0</v>
      </c>
      <c r="S1369" s="275">
        <f t="shared" si="174"/>
        <v>0</v>
      </c>
      <c r="T1369" s="575"/>
      <c r="U1369" s="487"/>
      <c r="V1369" s="576"/>
      <c r="W1369" s="573"/>
      <c r="X1369" s="574">
        <f t="shared" si="178"/>
        <v>0</v>
      </c>
      <c r="Y1369" s="487"/>
      <c r="Z1369" s="487"/>
      <c r="AA1369" s="276">
        <f t="shared" si="179"/>
        <v>0</v>
      </c>
      <c r="AB1369" s="573"/>
      <c r="AC1369" s="487"/>
      <c r="AD1369" s="573"/>
      <c r="AE1369" s="487"/>
      <c r="AF1369" s="577">
        <f t="shared" si="175"/>
        <v>0</v>
      </c>
      <c r="AG1369" s="275">
        <f t="shared" si="176"/>
        <v>0</v>
      </c>
    </row>
    <row r="1370" spans="1:33" s="578" customFormat="1" ht="12" customHeight="1">
      <c r="A1370" s="687" t="s">
        <v>1273</v>
      </c>
      <c r="B1370" s="687" t="s">
        <v>1776</v>
      </c>
      <c r="C1370" s="688" t="s">
        <v>1085</v>
      </c>
      <c r="D1370" s="696">
        <v>160436</v>
      </c>
      <c r="E1370" s="690">
        <v>14</v>
      </c>
      <c r="F1370" s="573"/>
      <c r="G1370" s="487"/>
      <c r="H1370" s="573"/>
      <c r="I1370" s="487"/>
      <c r="J1370" s="573"/>
      <c r="K1370" s="487"/>
      <c r="L1370" s="573"/>
      <c r="M1370" s="573"/>
      <c r="N1370" s="456">
        <f t="shared" si="177"/>
        <v>0</v>
      </c>
      <c r="O1370" s="487"/>
      <c r="P1370" s="487"/>
      <c r="Q1370" s="274">
        <f t="shared" si="172"/>
        <v>0</v>
      </c>
      <c r="R1370" s="574">
        <f t="shared" si="173"/>
        <v>0</v>
      </c>
      <c r="S1370" s="275">
        <f t="shared" si="174"/>
        <v>0</v>
      </c>
      <c r="T1370" s="575"/>
      <c r="U1370" s="487"/>
      <c r="V1370" s="576"/>
      <c r="W1370" s="573"/>
      <c r="X1370" s="574">
        <f t="shared" si="178"/>
        <v>0</v>
      </c>
      <c r="Y1370" s="487"/>
      <c r="Z1370" s="487"/>
      <c r="AA1370" s="276">
        <f t="shared" si="179"/>
        <v>0</v>
      </c>
      <c r="AB1370" s="573"/>
      <c r="AC1370" s="487"/>
      <c r="AD1370" s="573"/>
      <c r="AE1370" s="487"/>
      <c r="AF1370" s="577">
        <f t="shared" si="175"/>
        <v>0</v>
      </c>
      <c r="AG1370" s="275">
        <f t="shared" si="176"/>
        <v>0</v>
      </c>
    </row>
    <row r="1371" spans="1:33" s="578" customFormat="1" ht="12" customHeight="1">
      <c r="A1371" s="687" t="s">
        <v>1273</v>
      </c>
      <c r="B1371" s="687" t="s">
        <v>1776</v>
      </c>
      <c r="C1371" s="688" t="s">
        <v>1086</v>
      </c>
      <c r="D1371" s="696">
        <v>160454</v>
      </c>
      <c r="E1371" s="690">
        <v>14</v>
      </c>
      <c r="F1371" s="573"/>
      <c r="G1371" s="487"/>
      <c r="H1371" s="573"/>
      <c r="I1371" s="487"/>
      <c r="J1371" s="573"/>
      <c r="K1371" s="487"/>
      <c r="L1371" s="573"/>
      <c r="M1371" s="573"/>
      <c r="N1371" s="456">
        <f t="shared" si="177"/>
        <v>0</v>
      </c>
      <c r="O1371" s="487"/>
      <c r="P1371" s="487"/>
      <c r="Q1371" s="274">
        <f t="shared" si="172"/>
        <v>0</v>
      </c>
      <c r="R1371" s="574">
        <f t="shared" si="173"/>
        <v>0</v>
      </c>
      <c r="S1371" s="275">
        <f t="shared" si="174"/>
        <v>0</v>
      </c>
      <c r="T1371" s="575"/>
      <c r="U1371" s="487"/>
      <c r="V1371" s="576"/>
      <c r="W1371" s="573"/>
      <c r="X1371" s="574">
        <f t="shared" si="178"/>
        <v>0</v>
      </c>
      <c r="Y1371" s="487"/>
      <c r="Z1371" s="487"/>
      <c r="AA1371" s="276">
        <f t="shared" si="179"/>
        <v>0</v>
      </c>
      <c r="AB1371" s="573"/>
      <c r="AC1371" s="487"/>
      <c r="AD1371" s="573"/>
      <c r="AE1371" s="487"/>
      <c r="AF1371" s="577">
        <f t="shared" si="175"/>
        <v>0</v>
      </c>
      <c r="AG1371" s="275">
        <f t="shared" si="176"/>
        <v>0</v>
      </c>
    </row>
    <row r="1372" spans="1:33" s="578" customFormat="1" ht="12" customHeight="1">
      <c r="A1372" s="687" t="s">
        <v>1273</v>
      </c>
      <c r="B1372" s="687" t="s">
        <v>1776</v>
      </c>
      <c r="C1372" s="688" t="s">
        <v>1087</v>
      </c>
      <c r="D1372" s="696">
        <v>160667</v>
      </c>
      <c r="E1372" s="690">
        <v>14</v>
      </c>
      <c r="F1372" s="573"/>
      <c r="G1372" s="487"/>
      <c r="H1372" s="573"/>
      <c r="I1372" s="487"/>
      <c r="J1372" s="573"/>
      <c r="K1372" s="487"/>
      <c r="L1372" s="573"/>
      <c r="M1372" s="573"/>
      <c r="N1372" s="456">
        <f t="shared" si="177"/>
        <v>0</v>
      </c>
      <c r="O1372" s="487"/>
      <c r="P1372" s="487"/>
      <c r="Q1372" s="274">
        <f t="shared" si="172"/>
        <v>0</v>
      </c>
      <c r="R1372" s="574">
        <f t="shared" si="173"/>
        <v>0</v>
      </c>
      <c r="S1372" s="275">
        <f t="shared" si="174"/>
        <v>0</v>
      </c>
      <c r="T1372" s="575"/>
      <c r="U1372" s="487"/>
      <c r="V1372" s="576"/>
      <c r="W1372" s="573"/>
      <c r="X1372" s="574">
        <f t="shared" si="178"/>
        <v>0</v>
      </c>
      <c r="Y1372" s="487"/>
      <c r="Z1372" s="487"/>
      <c r="AA1372" s="276">
        <f t="shared" si="179"/>
        <v>0</v>
      </c>
      <c r="AB1372" s="573"/>
      <c r="AC1372" s="487"/>
      <c r="AD1372" s="573"/>
      <c r="AE1372" s="487"/>
      <c r="AF1372" s="577">
        <f t="shared" si="175"/>
        <v>0</v>
      </c>
      <c r="AG1372" s="275">
        <f t="shared" si="176"/>
        <v>0</v>
      </c>
    </row>
    <row r="1373" spans="1:33" s="578" customFormat="1" ht="12" customHeight="1">
      <c r="A1373" s="687" t="s">
        <v>1273</v>
      </c>
      <c r="B1373" s="687" t="s">
        <v>1776</v>
      </c>
      <c r="C1373" s="688" t="s">
        <v>1088</v>
      </c>
      <c r="D1373" s="696">
        <v>160676</v>
      </c>
      <c r="E1373" s="690">
        <v>14</v>
      </c>
      <c r="F1373" s="573"/>
      <c r="G1373" s="487"/>
      <c r="H1373" s="573"/>
      <c r="I1373" s="487"/>
      <c r="J1373" s="573"/>
      <c r="K1373" s="487"/>
      <c r="L1373" s="573"/>
      <c r="M1373" s="573"/>
      <c r="N1373" s="456">
        <f t="shared" si="177"/>
        <v>0</v>
      </c>
      <c r="O1373" s="487"/>
      <c r="P1373" s="487"/>
      <c r="Q1373" s="274">
        <f t="shared" si="172"/>
        <v>0</v>
      </c>
      <c r="R1373" s="574">
        <f t="shared" si="173"/>
        <v>0</v>
      </c>
      <c r="S1373" s="275">
        <f t="shared" si="174"/>
        <v>0</v>
      </c>
      <c r="T1373" s="575"/>
      <c r="U1373" s="487"/>
      <c r="V1373" s="576"/>
      <c r="W1373" s="573"/>
      <c r="X1373" s="574">
        <f t="shared" si="178"/>
        <v>0</v>
      </c>
      <c r="Y1373" s="487"/>
      <c r="Z1373" s="487"/>
      <c r="AA1373" s="276">
        <f t="shared" si="179"/>
        <v>0</v>
      </c>
      <c r="AB1373" s="573"/>
      <c r="AC1373" s="487"/>
      <c r="AD1373" s="573"/>
      <c r="AE1373" s="487"/>
      <c r="AF1373" s="577">
        <f t="shared" si="175"/>
        <v>0</v>
      </c>
      <c r="AG1373" s="275">
        <f t="shared" si="176"/>
        <v>0</v>
      </c>
    </row>
    <row r="1374" spans="1:33" s="578" customFormat="1" ht="12" customHeight="1">
      <c r="A1374" s="687" t="s">
        <v>1273</v>
      </c>
      <c r="B1374" s="687" t="s">
        <v>1776</v>
      </c>
      <c r="C1374" s="688" t="s">
        <v>1089</v>
      </c>
      <c r="D1374" s="696">
        <v>160685</v>
      </c>
      <c r="E1374" s="690">
        <v>14</v>
      </c>
      <c r="F1374" s="573"/>
      <c r="G1374" s="487"/>
      <c r="H1374" s="573"/>
      <c r="I1374" s="487"/>
      <c r="J1374" s="573"/>
      <c r="K1374" s="487"/>
      <c r="L1374" s="573"/>
      <c r="M1374" s="573"/>
      <c r="N1374" s="456">
        <f t="shared" si="177"/>
        <v>0</v>
      </c>
      <c r="O1374" s="487"/>
      <c r="P1374" s="487"/>
      <c r="Q1374" s="274">
        <f t="shared" si="172"/>
        <v>0</v>
      </c>
      <c r="R1374" s="574">
        <f t="shared" si="173"/>
        <v>0</v>
      </c>
      <c r="S1374" s="275">
        <f t="shared" si="174"/>
        <v>0</v>
      </c>
      <c r="T1374" s="575"/>
      <c r="U1374" s="487"/>
      <c r="V1374" s="576"/>
      <c r="W1374" s="573"/>
      <c r="X1374" s="574">
        <f t="shared" si="178"/>
        <v>0</v>
      </c>
      <c r="Y1374" s="487"/>
      <c r="Z1374" s="487"/>
      <c r="AA1374" s="276">
        <f t="shared" si="179"/>
        <v>0</v>
      </c>
      <c r="AB1374" s="573"/>
      <c r="AC1374" s="487"/>
      <c r="AD1374" s="573"/>
      <c r="AE1374" s="487"/>
      <c r="AF1374" s="577">
        <f t="shared" si="175"/>
        <v>0</v>
      </c>
      <c r="AG1374" s="275">
        <f t="shared" si="176"/>
        <v>0</v>
      </c>
    </row>
    <row r="1375" spans="1:33" s="578" customFormat="1" ht="12" customHeight="1">
      <c r="A1375" s="687" t="s">
        <v>1273</v>
      </c>
      <c r="B1375" s="687" t="s">
        <v>1776</v>
      </c>
      <c r="C1375" s="688" t="s">
        <v>1090</v>
      </c>
      <c r="D1375" s="696">
        <v>160694</v>
      </c>
      <c r="E1375" s="690">
        <v>14</v>
      </c>
      <c r="F1375" s="573"/>
      <c r="G1375" s="487"/>
      <c r="H1375" s="573"/>
      <c r="I1375" s="487"/>
      <c r="J1375" s="573"/>
      <c r="K1375" s="487"/>
      <c r="L1375" s="573"/>
      <c r="M1375" s="573"/>
      <c r="N1375" s="456">
        <f t="shared" si="177"/>
        <v>0</v>
      </c>
      <c r="O1375" s="487"/>
      <c r="P1375" s="487"/>
      <c r="Q1375" s="274">
        <f t="shared" si="172"/>
        <v>0</v>
      </c>
      <c r="R1375" s="574">
        <f t="shared" si="173"/>
        <v>0</v>
      </c>
      <c r="S1375" s="275">
        <f t="shared" si="174"/>
        <v>0</v>
      </c>
      <c r="T1375" s="575"/>
      <c r="U1375" s="487"/>
      <c r="V1375" s="576"/>
      <c r="W1375" s="573"/>
      <c r="X1375" s="574">
        <f t="shared" si="178"/>
        <v>0</v>
      </c>
      <c r="Y1375" s="487"/>
      <c r="Z1375" s="487"/>
      <c r="AA1375" s="276">
        <f t="shared" si="179"/>
        <v>0</v>
      </c>
      <c r="AB1375" s="573"/>
      <c r="AC1375" s="487"/>
      <c r="AD1375" s="573"/>
      <c r="AE1375" s="487"/>
      <c r="AF1375" s="577">
        <f t="shared" si="175"/>
        <v>0</v>
      </c>
      <c r="AG1375" s="275">
        <f t="shared" si="176"/>
        <v>0</v>
      </c>
    </row>
    <row r="1376" spans="1:33" s="578" customFormat="1" ht="12" customHeight="1">
      <c r="A1376" s="687" t="s">
        <v>1273</v>
      </c>
      <c r="B1376" s="687" t="s">
        <v>1776</v>
      </c>
      <c r="C1376" s="688" t="s">
        <v>1091</v>
      </c>
      <c r="D1376" s="696">
        <v>159267</v>
      </c>
      <c r="E1376" s="690">
        <v>14</v>
      </c>
      <c r="F1376" s="573"/>
      <c r="G1376" s="487"/>
      <c r="H1376" s="573"/>
      <c r="I1376" s="487"/>
      <c r="J1376" s="573"/>
      <c r="K1376" s="487"/>
      <c r="L1376" s="573"/>
      <c r="M1376" s="573"/>
      <c r="N1376" s="456">
        <f t="shared" si="177"/>
        <v>0</v>
      </c>
      <c r="O1376" s="487"/>
      <c r="P1376" s="487"/>
      <c r="Q1376" s="274">
        <f t="shared" si="172"/>
        <v>0</v>
      </c>
      <c r="R1376" s="574">
        <f t="shared" si="173"/>
        <v>0</v>
      </c>
      <c r="S1376" s="275">
        <f t="shared" si="174"/>
        <v>0</v>
      </c>
      <c r="T1376" s="575"/>
      <c r="U1376" s="487"/>
      <c r="V1376" s="576"/>
      <c r="W1376" s="573"/>
      <c r="X1376" s="574">
        <f t="shared" si="178"/>
        <v>0</v>
      </c>
      <c r="Y1376" s="487"/>
      <c r="Z1376" s="487"/>
      <c r="AA1376" s="276">
        <f t="shared" si="179"/>
        <v>0</v>
      </c>
      <c r="AB1376" s="573"/>
      <c r="AC1376" s="487"/>
      <c r="AD1376" s="573"/>
      <c r="AE1376" s="487"/>
      <c r="AF1376" s="577">
        <f t="shared" si="175"/>
        <v>0</v>
      </c>
      <c r="AG1376" s="275">
        <f t="shared" si="176"/>
        <v>0</v>
      </c>
    </row>
    <row r="1377" spans="1:33" s="578" customFormat="1" ht="12" customHeight="1">
      <c r="A1377" s="687" t="s">
        <v>1273</v>
      </c>
      <c r="B1377" s="687" t="s">
        <v>1776</v>
      </c>
      <c r="C1377" s="688" t="s">
        <v>1092</v>
      </c>
      <c r="D1377" s="696">
        <v>160870</v>
      </c>
      <c r="E1377" s="690">
        <v>14</v>
      </c>
      <c r="F1377" s="573"/>
      <c r="G1377" s="487"/>
      <c r="H1377" s="573"/>
      <c r="I1377" s="487"/>
      <c r="J1377" s="573"/>
      <c r="K1377" s="487"/>
      <c r="L1377" s="573"/>
      <c r="M1377" s="573"/>
      <c r="N1377" s="456">
        <f t="shared" si="177"/>
        <v>0</v>
      </c>
      <c r="O1377" s="487"/>
      <c r="P1377" s="487"/>
      <c r="Q1377" s="274">
        <f t="shared" si="172"/>
        <v>0</v>
      </c>
      <c r="R1377" s="574">
        <f t="shared" si="173"/>
        <v>0</v>
      </c>
      <c r="S1377" s="275">
        <f t="shared" si="174"/>
        <v>0</v>
      </c>
      <c r="T1377" s="575"/>
      <c r="U1377" s="487"/>
      <c r="V1377" s="576"/>
      <c r="W1377" s="573"/>
      <c r="X1377" s="574">
        <f t="shared" si="178"/>
        <v>0</v>
      </c>
      <c r="Y1377" s="487"/>
      <c r="Z1377" s="487"/>
      <c r="AA1377" s="276">
        <f t="shared" si="179"/>
        <v>0</v>
      </c>
      <c r="AB1377" s="573"/>
      <c r="AC1377" s="487"/>
      <c r="AD1377" s="573"/>
      <c r="AE1377" s="487"/>
      <c r="AF1377" s="577">
        <f t="shared" si="175"/>
        <v>0</v>
      </c>
      <c r="AG1377" s="275">
        <f t="shared" si="176"/>
        <v>0</v>
      </c>
    </row>
    <row r="1378" spans="1:33" s="578" customFormat="1" ht="12" customHeight="1">
      <c r="A1378" s="687" t="s">
        <v>1273</v>
      </c>
      <c r="B1378" s="687" t="s">
        <v>1776</v>
      </c>
      <c r="C1378" s="688" t="s">
        <v>1093</v>
      </c>
      <c r="D1378" s="696">
        <v>160913</v>
      </c>
      <c r="E1378" s="690">
        <v>14</v>
      </c>
      <c r="F1378" s="573"/>
      <c r="G1378" s="487"/>
      <c r="H1378" s="573"/>
      <c r="I1378" s="487"/>
      <c r="J1378" s="573"/>
      <c r="K1378" s="487"/>
      <c r="L1378" s="573"/>
      <c r="M1378" s="573"/>
      <c r="N1378" s="456">
        <f t="shared" si="177"/>
        <v>0</v>
      </c>
      <c r="O1378" s="487"/>
      <c r="P1378" s="487"/>
      <c r="Q1378" s="274">
        <f t="shared" si="172"/>
        <v>0</v>
      </c>
      <c r="R1378" s="574">
        <f t="shared" si="173"/>
        <v>0</v>
      </c>
      <c r="S1378" s="275">
        <f t="shared" si="174"/>
        <v>0</v>
      </c>
      <c r="T1378" s="575"/>
      <c r="U1378" s="487"/>
      <c r="V1378" s="576"/>
      <c r="W1378" s="573"/>
      <c r="X1378" s="574">
        <f t="shared" si="178"/>
        <v>0</v>
      </c>
      <c r="Y1378" s="487"/>
      <c r="Z1378" s="487"/>
      <c r="AA1378" s="276">
        <f t="shared" si="179"/>
        <v>0</v>
      </c>
      <c r="AB1378" s="573"/>
      <c r="AC1378" s="487"/>
      <c r="AD1378" s="573"/>
      <c r="AE1378" s="487"/>
      <c r="AF1378" s="577">
        <f t="shared" si="175"/>
        <v>0</v>
      </c>
      <c r="AG1378" s="275">
        <f t="shared" si="176"/>
        <v>0</v>
      </c>
    </row>
    <row r="1379" spans="1:33" s="578" customFormat="1" ht="12" customHeight="1">
      <c r="A1379" s="687" t="s">
        <v>1273</v>
      </c>
      <c r="B1379" s="687" t="s">
        <v>1776</v>
      </c>
      <c r="C1379" s="688" t="s">
        <v>1094</v>
      </c>
      <c r="D1379" s="689"/>
      <c r="E1379" s="690">
        <v>14</v>
      </c>
      <c r="F1379" s="461">
        <f>79795169-20012</f>
        <v>79775157</v>
      </c>
      <c r="G1379" s="487">
        <v>79489015</v>
      </c>
      <c r="H1379" s="573"/>
      <c r="I1379" s="487"/>
      <c r="J1379" s="573"/>
      <c r="K1379" s="487"/>
      <c r="L1379" s="573">
        <v>14232522</v>
      </c>
      <c r="M1379" s="573"/>
      <c r="N1379" s="456">
        <f t="shared" si="177"/>
        <v>14232522</v>
      </c>
      <c r="O1379" s="487">
        <v>13850833</v>
      </c>
      <c r="P1379" s="487"/>
      <c r="Q1379" s="274">
        <f t="shared" si="172"/>
        <v>13850833</v>
      </c>
      <c r="R1379" s="574">
        <f t="shared" si="173"/>
        <v>94007679</v>
      </c>
      <c r="S1379" s="275">
        <f t="shared" si="174"/>
        <v>93339848</v>
      </c>
      <c r="T1379" s="575"/>
      <c r="U1379" s="487"/>
      <c r="V1379" s="576"/>
      <c r="W1379" s="573"/>
      <c r="X1379" s="574">
        <f t="shared" si="178"/>
        <v>0</v>
      </c>
      <c r="Y1379" s="487"/>
      <c r="Z1379" s="487"/>
      <c r="AA1379" s="276">
        <f t="shared" si="179"/>
        <v>0</v>
      </c>
      <c r="AB1379" s="573"/>
      <c r="AC1379" s="487"/>
      <c r="AD1379" s="573"/>
      <c r="AE1379" s="487"/>
      <c r="AF1379" s="577">
        <f t="shared" si="175"/>
        <v>94007679</v>
      </c>
      <c r="AG1379" s="275">
        <f t="shared" si="176"/>
        <v>93339848</v>
      </c>
    </row>
    <row r="1380" spans="1:33" s="578" customFormat="1" ht="12" customHeight="1">
      <c r="A1380" s="687" t="s">
        <v>1273</v>
      </c>
      <c r="B1380" s="687" t="s">
        <v>1819</v>
      </c>
      <c r="C1380" s="688" t="s">
        <v>1095</v>
      </c>
      <c r="D1380" s="689">
        <v>159373</v>
      </c>
      <c r="E1380" s="690">
        <v>15</v>
      </c>
      <c r="F1380" s="573"/>
      <c r="G1380" s="487"/>
      <c r="H1380" s="573"/>
      <c r="I1380" s="487"/>
      <c r="J1380" s="573"/>
      <c r="K1380" s="487"/>
      <c r="L1380" s="573"/>
      <c r="M1380" s="573"/>
      <c r="N1380" s="456">
        <f t="shared" si="177"/>
        <v>0</v>
      </c>
      <c r="O1380" s="487"/>
      <c r="P1380" s="487"/>
      <c r="Q1380" s="274">
        <f t="shared" si="172"/>
        <v>0</v>
      </c>
      <c r="R1380" s="574">
        <f t="shared" si="173"/>
        <v>0</v>
      </c>
      <c r="S1380" s="275">
        <f t="shared" si="174"/>
        <v>0</v>
      </c>
      <c r="T1380" s="575"/>
      <c r="U1380" s="487"/>
      <c r="V1380" s="576"/>
      <c r="W1380" s="573"/>
      <c r="X1380" s="574">
        <f t="shared" si="178"/>
        <v>0</v>
      </c>
      <c r="Y1380" s="487"/>
      <c r="Z1380" s="487"/>
      <c r="AA1380" s="276">
        <f t="shared" si="179"/>
        <v>0</v>
      </c>
      <c r="AB1380" s="461">
        <f>48898225+33496</f>
        <v>48931721</v>
      </c>
      <c r="AC1380" s="487">
        <f>135297368</f>
        <v>135297368</v>
      </c>
      <c r="AD1380" s="573">
        <v>17423872</v>
      </c>
      <c r="AE1380" s="487">
        <v>18854747</v>
      </c>
      <c r="AF1380" s="577">
        <f t="shared" si="175"/>
        <v>66355593</v>
      </c>
      <c r="AG1380" s="275">
        <f t="shared" si="176"/>
        <v>154152115</v>
      </c>
    </row>
    <row r="1381" spans="1:33" s="578" customFormat="1" ht="12" customHeight="1">
      <c r="A1381" s="687" t="s">
        <v>1273</v>
      </c>
      <c r="B1381" s="687" t="s">
        <v>1819</v>
      </c>
      <c r="C1381" s="692" t="s">
        <v>1096</v>
      </c>
      <c r="D1381" s="693">
        <v>435000</v>
      </c>
      <c r="E1381" s="694">
        <v>15</v>
      </c>
      <c r="F1381" s="573"/>
      <c r="G1381" s="487"/>
      <c r="H1381" s="573"/>
      <c r="I1381" s="487"/>
      <c r="J1381" s="573"/>
      <c r="K1381" s="487"/>
      <c r="L1381" s="573"/>
      <c r="M1381" s="573"/>
      <c r="N1381" s="456">
        <f t="shared" si="177"/>
        <v>0</v>
      </c>
      <c r="O1381" s="487"/>
      <c r="P1381" s="487"/>
      <c r="Q1381" s="274">
        <f t="shared" si="172"/>
        <v>0</v>
      </c>
      <c r="R1381" s="574">
        <f t="shared" si="173"/>
        <v>0</v>
      </c>
      <c r="S1381" s="275">
        <f t="shared" si="174"/>
        <v>0</v>
      </c>
      <c r="T1381" s="575"/>
      <c r="U1381" s="487"/>
      <c r="V1381" s="576"/>
      <c r="W1381" s="573"/>
      <c r="X1381" s="574">
        <f t="shared" si="178"/>
        <v>0</v>
      </c>
      <c r="Y1381" s="487"/>
      <c r="Z1381" s="487"/>
      <c r="AA1381" s="276">
        <f t="shared" si="179"/>
        <v>0</v>
      </c>
      <c r="AB1381" s="461">
        <f>74785471+8937781</f>
        <v>83723252</v>
      </c>
      <c r="AC1381" s="487">
        <f>83404987</f>
        <v>83404987</v>
      </c>
      <c r="AD1381" s="573">
        <v>5740704</v>
      </c>
      <c r="AE1381" s="487">
        <v>5939688</v>
      </c>
      <c r="AF1381" s="577">
        <f t="shared" si="175"/>
        <v>89463956</v>
      </c>
      <c r="AG1381" s="275">
        <f t="shared" si="176"/>
        <v>89344675</v>
      </c>
    </row>
    <row r="1382" spans="1:33" s="578" customFormat="1" ht="12" customHeight="1">
      <c r="A1382" s="687" t="s">
        <v>1273</v>
      </c>
      <c r="B1382" s="687" t="s">
        <v>1785</v>
      </c>
      <c r="C1382" s="507" t="s">
        <v>1753</v>
      </c>
      <c r="D1382" s="696"/>
      <c r="E1382" s="697"/>
      <c r="F1382" s="573"/>
      <c r="G1382" s="487"/>
      <c r="H1382" s="573"/>
      <c r="I1382" s="487"/>
      <c r="J1382" s="573"/>
      <c r="K1382" s="487"/>
      <c r="L1382" s="573"/>
      <c r="M1382" s="573"/>
      <c r="N1382" s="456">
        <f t="shared" si="177"/>
        <v>0</v>
      </c>
      <c r="O1382" s="487"/>
      <c r="P1382" s="487"/>
      <c r="Q1382" s="274">
        <f t="shared" si="172"/>
        <v>0</v>
      </c>
      <c r="R1382" s="574">
        <f t="shared" si="173"/>
        <v>0</v>
      </c>
      <c r="S1382" s="275">
        <f t="shared" si="174"/>
        <v>0</v>
      </c>
      <c r="T1382" s="575"/>
      <c r="U1382" s="487"/>
      <c r="V1382" s="576"/>
      <c r="W1382" s="573"/>
      <c r="X1382" s="574">
        <f t="shared" si="178"/>
        <v>0</v>
      </c>
      <c r="Y1382" s="487"/>
      <c r="Z1382" s="487"/>
      <c r="AA1382" s="276">
        <f t="shared" si="179"/>
        <v>0</v>
      </c>
      <c r="AB1382" s="573"/>
      <c r="AC1382" s="487"/>
      <c r="AD1382" s="573"/>
      <c r="AE1382" s="487"/>
      <c r="AF1382" s="577">
        <f t="shared" si="175"/>
        <v>0</v>
      </c>
      <c r="AG1382" s="275">
        <f t="shared" si="176"/>
        <v>0</v>
      </c>
    </row>
    <row r="1383" spans="1:33" s="578" customFormat="1" ht="12" customHeight="1" thickBot="1">
      <c r="A1383" s="687" t="s">
        <v>1273</v>
      </c>
      <c r="B1383" s="687" t="s">
        <v>1786</v>
      </c>
      <c r="C1383" s="506" t="s">
        <v>1891</v>
      </c>
      <c r="D1383" s="696"/>
      <c r="E1383" s="697"/>
      <c r="F1383" s="573"/>
      <c r="G1383" s="487"/>
      <c r="H1383" s="573"/>
      <c r="I1383" s="487"/>
      <c r="J1383" s="573"/>
      <c r="K1383" s="487"/>
      <c r="L1383" s="573"/>
      <c r="M1383" s="573"/>
      <c r="N1383" s="456">
        <f t="shared" si="177"/>
        <v>0</v>
      </c>
      <c r="O1383" s="487"/>
      <c r="P1383" s="487"/>
      <c r="Q1383" s="274">
        <f t="shared" si="172"/>
        <v>0</v>
      </c>
      <c r="R1383" s="574">
        <f t="shared" si="173"/>
        <v>0</v>
      </c>
      <c r="S1383" s="275">
        <f t="shared" si="174"/>
        <v>0</v>
      </c>
      <c r="T1383" s="575"/>
      <c r="U1383" s="487"/>
      <c r="V1383" s="576"/>
      <c r="W1383" s="573"/>
      <c r="X1383" s="574">
        <f t="shared" si="178"/>
        <v>0</v>
      </c>
      <c r="Y1383" s="487"/>
      <c r="Z1383" s="487"/>
      <c r="AA1383" s="276">
        <f t="shared" si="179"/>
        <v>0</v>
      </c>
      <c r="AB1383" s="573"/>
      <c r="AC1383" s="487"/>
      <c r="AD1383" s="573"/>
      <c r="AE1383" s="487"/>
      <c r="AF1383" s="577">
        <f t="shared" si="175"/>
        <v>0</v>
      </c>
      <c r="AG1383" s="275">
        <f t="shared" si="176"/>
        <v>0</v>
      </c>
    </row>
    <row r="1384" spans="1:33" s="578" customFormat="1" ht="12" customHeight="1">
      <c r="A1384" s="687" t="s">
        <v>1273</v>
      </c>
      <c r="B1384" s="687" t="s">
        <v>1786</v>
      </c>
      <c r="C1384" s="698" t="s">
        <v>1097</v>
      </c>
      <c r="D1384" s="696"/>
      <c r="E1384" s="697"/>
      <c r="F1384" s="573"/>
      <c r="G1384" s="487"/>
      <c r="H1384" s="587">
        <v>1000168</v>
      </c>
      <c r="I1384" s="499">
        <f>461495+2500+520000+38673</f>
        <v>1022668</v>
      </c>
      <c r="J1384" s="573"/>
      <c r="K1384" s="487"/>
      <c r="L1384" s="573"/>
      <c r="M1384" s="573"/>
      <c r="N1384" s="456">
        <f t="shared" si="177"/>
        <v>0</v>
      </c>
      <c r="O1384" s="487"/>
      <c r="P1384" s="487"/>
      <c r="Q1384" s="274">
        <f t="shared" si="172"/>
        <v>0</v>
      </c>
      <c r="R1384" s="574">
        <f t="shared" si="173"/>
        <v>1000168</v>
      </c>
      <c r="S1384" s="275">
        <f t="shared" si="174"/>
        <v>1022668</v>
      </c>
      <c r="T1384" s="575"/>
      <c r="U1384" s="487"/>
      <c r="V1384" s="576"/>
      <c r="W1384" s="573"/>
      <c r="X1384" s="574">
        <f t="shared" si="178"/>
        <v>0</v>
      </c>
      <c r="Y1384" s="487"/>
      <c r="Z1384" s="487"/>
      <c r="AA1384" s="276">
        <f t="shared" si="179"/>
        <v>0</v>
      </c>
      <c r="AB1384" s="573"/>
      <c r="AC1384" s="487"/>
      <c r="AD1384" s="573"/>
      <c r="AE1384" s="487"/>
      <c r="AF1384" s="577">
        <f t="shared" si="175"/>
        <v>1000168</v>
      </c>
      <c r="AG1384" s="275">
        <f t="shared" si="176"/>
        <v>1022668</v>
      </c>
    </row>
    <row r="1385" spans="1:33" s="578" customFormat="1" ht="12" customHeight="1">
      <c r="A1385" s="687" t="s">
        <v>1273</v>
      </c>
      <c r="B1385" s="687" t="s">
        <v>1791</v>
      </c>
      <c r="C1385" s="508" t="s">
        <v>1881</v>
      </c>
      <c r="D1385" s="696"/>
      <c r="E1385" s="697"/>
      <c r="F1385" s="573"/>
      <c r="G1385" s="487"/>
      <c r="H1385" s="576"/>
      <c r="I1385" s="487"/>
      <c r="J1385" s="573"/>
      <c r="K1385" s="487"/>
      <c r="L1385" s="573"/>
      <c r="M1385" s="573"/>
      <c r="N1385" s="456">
        <f t="shared" si="177"/>
        <v>0</v>
      </c>
      <c r="O1385" s="487"/>
      <c r="P1385" s="487"/>
      <c r="Q1385" s="274">
        <f t="shared" si="172"/>
        <v>0</v>
      </c>
      <c r="R1385" s="574">
        <f t="shared" si="173"/>
        <v>0</v>
      </c>
      <c r="S1385" s="275">
        <f t="shared" si="174"/>
        <v>0</v>
      </c>
      <c r="T1385" s="575"/>
      <c r="U1385" s="487"/>
      <c r="V1385" s="576"/>
      <c r="W1385" s="573"/>
      <c r="X1385" s="574">
        <f t="shared" si="178"/>
        <v>0</v>
      </c>
      <c r="Y1385" s="487"/>
      <c r="Z1385" s="487"/>
      <c r="AA1385" s="276">
        <f t="shared" si="179"/>
        <v>0</v>
      </c>
      <c r="AB1385" s="573"/>
      <c r="AC1385" s="487"/>
      <c r="AD1385" s="573"/>
      <c r="AE1385" s="487"/>
      <c r="AF1385" s="577">
        <f t="shared" si="175"/>
        <v>0</v>
      </c>
      <c r="AG1385" s="275">
        <f t="shared" si="176"/>
        <v>0</v>
      </c>
    </row>
    <row r="1386" spans="1:33" s="578" customFormat="1" ht="12" customHeight="1">
      <c r="A1386" s="687" t="s">
        <v>1273</v>
      </c>
      <c r="B1386" s="687" t="s">
        <v>1791</v>
      </c>
      <c r="C1386" s="691" t="s">
        <v>1098</v>
      </c>
      <c r="D1386" s="696"/>
      <c r="E1386" s="697"/>
      <c r="F1386" s="573"/>
      <c r="G1386" s="487"/>
      <c r="H1386" s="576"/>
      <c r="I1386" s="487"/>
      <c r="J1386" s="573"/>
      <c r="K1386" s="487"/>
      <c r="L1386" s="573"/>
      <c r="M1386" s="573"/>
      <c r="N1386" s="456">
        <f t="shared" si="177"/>
        <v>0</v>
      </c>
      <c r="O1386" s="487"/>
      <c r="P1386" s="487"/>
      <c r="Q1386" s="274">
        <f t="shared" si="172"/>
        <v>0</v>
      </c>
      <c r="R1386" s="574">
        <f t="shared" si="173"/>
        <v>0</v>
      </c>
      <c r="S1386" s="275">
        <f t="shared" si="174"/>
        <v>0</v>
      </c>
      <c r="T1386" s="575"/>
      <c r="U1386" s="487"/>
      <c r="V1386" s="576"/>
      <c r="W1386" s="573"/>
      <c r="X1386" s="574">
        <f t="shared" si="178"/>
        <v>0</v>
      </c>
      <c r="Y1386" s="487"/>
      <c r="Z1386" s="487"/>
      <c r="AA1386" s="276">
        <f t="shared" si="179"/>
        <v>0</v>
      </c>
      <c r="AB1386" s="573"/>
      <c r="AC1386" s="487"/>
      <c r="AD1386" s="573"/>
      <c r="AE1386" s="487"/>
      <c r="AF1386" s="577">
        <f t="shared" si="175"/>
        <v>0</v>
      </c>
      <c r="AG1386" s="275">
        <f t="shared" si="176"/>
        <v>0</v>
      </c>
    </row>
    <row r="1387" spans="1:33" s="578" customFormat="1" ht="12" customHeight="1">
      <c r="A1387" s="687" t="s">
        <v>1273</v>
      </c>
      <c r="B1387" s="687" t="s">
        <v>1791</v>
      </c>
      <c r="C1387" s="691" t="s">
        <v>1099</v>
      </c>
      <c r="D1387" s="699"/>
      <c r="E1387" s="690"/>
      <c r="F1387" s="573"/>
      <c r="G1387" s="487"/>
      <c r="H1387" s="509">
        <f>3266419+3300</f>
        <v>3269719</v>
      </c>
      <c r="I1387" s="487">
        <f>3249933</f>
        <v>3249933</v>
      </c>
      <c r="J1387" s="573"/>
      <c r="K1387" s="487"/>
      <c r="L1387" s="573"/>
      <c r="M1387" s="573"/>
      <c r="N1387" s="456">
        <f t="shared" si="177"/>
        <v>0</v>
      </c>
      <c r="O1387" s="487"/>
      <c r="P1387" s="487"/>
      <c r="Q1387" s="274">
        <f t="shared" si="172"/>
        <v>0</v>
      </c>
      <c r="R1387" s="574">
        <f t="shared" si="173"/>
        <v>3269719</v>
      </c>
      <c r="S1387" s="275">
        <f t="shared" si="174"/>
        <v>3249933</v>
      </c>
      <c r="T1387" s="575"/>
      <c r="U1387" s="487"/>
      <c r="V1387" s="576"/>
      <c r="W1387" s="573"/>
      <c r="X1387" s="574">
        <f t="shared" si="178"/>
        <v>0</v>
      </c>
      <c r="Y1387" s="487"/>
      <c r="Z1387" s="487"/>
      <c r="AA1387" s="276">
        <f t="shared" si="179"/>
        <v>0</v>
      </c>
      <c r="AB1387" s="573"/>
      <c r="AC1387" s="487"/>
      <c r="AD1387" s="573"/>
      <c r="AE1387" s="487"/>
      <c r="AF1387" s="577">
        <f t="shared" si="175"/>
        <v>3269719</v>
      </c>
      <c r="AG1387" s="275">
        <f t="shared" si="176"/>
        <v>3249933</v>
      </c>
    </row>
    <row r="1388" spans="1:33" s="578" customFormat="1" ht="12" customHeight="1">
      <c r="A1388" s="688" t="s">
        <v>1273</v>
      </c>
      <c r="B1388" s="687" t="s">
        <v>1791</v>
      </c>
      <c r="C1388" s="691" t="s">
        <v>1100</v>
      </c>
      <c r="D1388" s="699"/>
      <c r="E1388" s="690"/>
      <c r="F1388" s="573"/>
      <c r="G1388" s="487"/>
      <c r="H1388" s="576">
        <v>16300216</v>
      </c>
      <c r="I1388" s="487">
        <f>16325053</f>
        <v>16325053</v>
      </c>
      <c r="J1388" s="573"/>
      <c r="K1388" s="487"/>
      <c r="L1388" s="573"/>
      <c r="M1388" s="573"/>
      <c r="N1388" s="456">
        <f t="shared" si="177"/>
        <v>0</v>
      </c>
      <c r="O1388" s="487"/>
      <c r="P1388" s="487"/>
      <c r="Q1388" s="274">
        <f t="shared" si="172"/>
        <v>0</v>
      </c>
      <c r="R1388" s="574">
        <f t="shared" si="173"/>
        <v>16300216</v>
      </c>
      <c r="S1388" s="275">
        <f t="shared" si="174"/>
        <v>16325053</v>
      </c>
      <c r="T1388" s="575"/>
      <c r="U1388" s="487"/>
      <c r="V1388" s="576"/>
      <c r="W1388" s="573"/>
      <c r="X1388" s="574">
        <f t="shared" si="178"/>
        <v>0</v>
      </c>
      <c r="Y1388" s="487"/>
      <c r="Z1388" s="487"/>
      <c r="AA1388" s="276">
        <f t="shared" si="179"/>
        <v>0</v>
      </c>
      <c r="AB1388" s="573"/>
      <c r="AC1388" s="487"/>
      <c r="AD1388" s="573"/>
      <c r="AE1388" s="487"/>
      <c r="AF1388" s="577">
        <f t="shared" si="175"/>
        <v>16300216</v>
      </c>
      <c r="AG1388" s="275">
        <f t="shared" si="176"/>
        <v>16325053</v>
      </c>
    </row>
    <row r="1389" spans="1:33" s="578" customFormat="1" ht="12" customHeight="1">
      <c r="A1389" s="687" t="s">
        <v>1273</v>
      </c>
      <c r="B1389" s="687" t="s">
        <v>1821</v>
      </c>
      <c r="C1389" s="507" t="s">
        <v>828</v>
      </c>
      <c r="D1389" s="696"/>
      <c r="E1389" s="697"/>
      <c r="F1389" s="573"/>
      <c r="G1389" s="487"/>
      <c r="H1389" s="576"/>
      <c r="I1389" s="487"/>
      <c r="J1389" s="573"/>
      <c r="K1389" s="487"/>
      <c r="L1389" s="573"/>
      <c r="M1389" s="573"/>
      <c r="N1389" s="456">
        <f t="shared" si="177"/>
        <v>0</v>
      </c>
      <c r="O1389" s="487"/>
      <c r="P1389" s="487"/>
      <c r="Q1389" s="274">
        <f t="shared" si="172"/>
        <v>0</v>
      </c>
      <c r="R1389" s="574">
        <f t="shared" si="173"/>
        <v>0</v>
      </c>
      <c r="S1389" s="275">
        <f t="shared" si="174"/>
        <v>0</v>
      </c>
      <c r="T1389" s="575"/>
      <c r="U1389" s="487"/>
      <c r="V1389" s="576"/>
      <c r="W1389" s="573"/>
      <c r="X1389" s="574">
        <f t="shared" si="178"/>
        <v>0</v>
      </c>
      <c r="Y1389" s="487"/>
      <c r="Z1389" s="487"/>
      <c r="AA1389" s="276">
        <f t="shared" si="179"/>
        <v>0</v>
      </c>
      <c r="AB1389" s="573"/>
      <c r="AC1389" s="487"/>
      <c r="AD1389" s="573"/>
      <c r="AE1389" s="487"/>
      <c r="AF1389" s="577">
        <f t="shared" si="175"/>
        <v>0</v>
      </c>
      <c r="AG1389" s="275">
        <f t="shared" si="176"/>
        <v>0</v>
      </c>
    </row>
    <row r="1390" spans="1:33" s="578" customFormat="1" ht="12" customHeight="1">
      <c r="A1390" s="687" t="s">
        <v>1273</v>
      </c>
      <c r="B1390" s="687" t="s">
        <v>1821</v>
      </c>
      <c r="C1390" s="691" t="s">
        <v>1101</v>
      </c>
      <c r="D1390" s="696"/>
      <c r="E1390" s="697"/>
      <c r="F1390" s="573"/>
      <c r="G1390" s="487"/>
      <c r="H1390" s="509">
        <f>16683092+1500000+500000</f>
        <v>18683092</v>
      </c>
      <c r="I1390" s="487">
        <f>250000+1500000-75000+15183092+1317440</f>
        <v>18175532</v>
      </c>
      <c r="J1390" s="573"/>
      <c r="K1390" s="487"/>
      <c r="L1390" s="573"/>
      <c r="M1390" s="573"/>
      <c r="N1390" s="456">
        <f t="shared" si="177"/>
        <v>0</v>
      </c>
      <c r="O1390" s="487"/>
      <c r="P1390" s="487"/>
      <c r="Q1390" s="274">
        <f t="shared" si="172"/>
        <v>0</v>
      </c>
      <c r="R1390" s="574">
        <f t="shared" si="173"/>
        <v>18683092</v>
      </c>
      <c r="S1390" s="275">
        <f t="shared" si="174"/>
        <v>18175532</v>
      </c>
      <c r="T1390" s="575"/>
      <c r="U1390" s="487"/>
      <c r="V1390" s="576"/>
      <c r="W1390" s="573"/>
      <c r="X1390" s="574">
        <f t="shared" si="178"/>
        <v>0</v>
      </c>
      <c r="Y1390" s="487"/>
      <c r="Z1390" s="487"/>
      <c r="AA1390" s="276">
        <f t="shared" si="179"/>
        <v>0</v>
      </c>
      <c r="AB1390" s="573"/>
      <c r="AC1390" s="487"/>
      <c r="AD1390" s="573"/>
      <c r="AE1390" s="487"/>
      <c r="AF1390" s="577">
        <f t="shared" si="175"/>
        <v>18683092</v>
      </c>
      <c r="AG1390" s="275">
        <f t="shared" si="176"/>
        <v>18175532</v>
      </c>
    </row>
    <row r="1391" spans="1:33" s="578" customFormat="1" ht="12" customHeight="1">
      <c r="A1391" s="687" t="s">
        <v>1273</v>
      </c>
      <c r="B1391" s="687" t="s">
        <v>1821</v>
      </c>
      <c r="C1391" s="698" t="s">
        <v>1102</v>
      </c>
      <c r="D1391" s="696"/>
      <c r="E1391" s="697"/>
      <c r="F1391" s="573"/>
      <c r="G1391" s="487"/>
      <c r="H1391" s="576">
        <v>1482793</v>
      </c>
      <c r="I1391" s="487">
        <f>1145996-3000</f>
        <v>1142996</v>
      </c>
      <c r="J1391" s="573"/>
      <c r="K1391" s="487"/>
      <c r="L1391" s="573"/>
      <c r="M1391" s="573"/>
      <c r="N1391" s="456">
        <f t="shared" si="177"/>
        <v>0</v>
      </c>
      <c r="O1391" s="487"/>
      <c r="P1391" s="487"/>
      <c r="Q1391" s="274">
        <f t="shared" si="172"/>
        <v>0</v>
      </c>
      <c r="R1391" s="574">
        <f t="shared" si="173"/>
        <v>1482793</v>
      </c>
      <c r="S1391" s="275">
        <f t="shared" si="174"/>
        <v>1142996</v>
      </c>
      <c r="T1391" s="575"/>
      <c r="U1391" s="487"/>
      <c r="V1391" s="576"/>
      <c r="W1391" s="573"/>
      <c r="X1391" s="574">
        <f t="shared" si="178"/>
        <v>0</v>
      </c>
      <c r="Y1391" s="487"/>
      <c r="Z1391" s="487"/>
      <c r="AA1391" s="276">
        <f t="shared" si="179"/>
        <v>0</v>
      </c>
      <c r="AB1391" s="573"/>
      <c r="AC1391" s="487"/>
      <c r="AD1391" s="573"/>
      <c r="AE1391" s="487"/>
      <c r="AF1391" s="577">
        <f t="shared" si="175"/>
        <v>1482793</v>
      </c>
      <c r="AG1391" s="275">
        <f t="shared" si="176"/>
        <v>1142996</v>
      </c>
    </row>
    <row r="1392" spans="1:33" s="578" customFormat="1" ht="12" customHeight="1">
      <c r="A1392" s="687" t="s">
        <v>1273</v>
      </c>
      <c r="B1392" s="687" t="s">
        <v>1821</v>
      </c>
      <c r="C1392" s="698" t="s">
        <v>1103</v>
      </c>
      <c r="D1392" s="696"/>
      <c r="E1392" s="697"/>
      <c r="F1392" s="573"/>
      <c r="G1392" s="487"/>
      <c r="H1392" s="576">
        <f>2737601+337167</f>
        <v>3074768</v>
      </c>
      <c r="I1392" s="487">
        <f>2737601</f>
        <v>2737601</v>
      </c>
      <c r="J1392" s="573"/>
      <c r="K1392" s="487"/>
      <c r="L1392" s="573"/>
      <c r="M1392" s="573"/>
      <c r="N1392" s="456">
        <f t="shared" si="177"/>
        <v>0</v>
      </c>
      <c r="O1392" s="487"/>
      <c r="P1392" s="487"/>
      <c r="Q1392" s="274">
        <f t="shared" si="172"/>
        <v>0</v>
      </c>
      <c r="R1392" s="574">
        <f t="shared" si="173"/>
        <v>3074768</v>
      </c>
      <c r="S1392" s="275">
        <f t="shared" si="174"/>
        <v>2737601</v>
      </c>
      <c r="T1392" s="575"/>
      <c r="U1392" s="487"/>
      <c r="V1392" s="576"/>
      <c r="W1392" s="573"/>
      <c r="X1392" s="574">
        <f t="shared" si="178"/>
        <v>0</v>
      </c>
      <c r="Y1392" s="487"/>
      <c r="Z1392" s="487"/>
      <c r="AA1392" s="276">
        <f t="shared" si="179"/>
        <v>0</v>
      </c>
      <c r="AB1392" s="573"/>
      <c r="AC1392" s="487"/>
      <c r="AD1392" s="573"/>
      <c r="AE1392" s="487"/>
      <c r="AF1392" s="577">
        <f t="shared" si="175"/>
        <v>3074768</v>
      </c>
      <c r="AG1392" s="275">
        <f t="shared" si="176"/>
        <v>2737601</v>
      </c>
    </row>
    <row r="1393" spans="1:33" s="578" customFormat="1" ht="12" customHeight="1">
      <c r="A1393" s="687" t="s">
        <v>1273</v>
      </c>
      <c r="B1393" s="687" t="s">
        <v>1821</v>
      </c>
      <c r="C1393" s="698" t="s">
        <v>1104</v>
      </c>
      <c r="D1393" s="696"/>
      <c r="E1393" s="697"/>
      <c r="F1393" s="573"/>
      <c r="G1393" s="487"/>
      <c r="H1393" s="576">
        <v>3086214</v>
      </c>
      <c r="I1393" s="487">
        <f>3066214-275959</f>
        <v>2790255</v>
      </c>
      <c r="J1393" s="573"/>
      <c r="K1393" s="487"/>
      <c r="L1393" s="573"/>
      <c r="M1393" s="573"/>
      <c r="N1393" s="456">
        <f t="shared" si="177"/>
        <v>0</v>
      </c>
      <c r="O1393" s="487"/>
      <c r="P1393" s="487"/>
      <c r="Q1393" s="274">
        <f t="shared" si="172"/>
        <v>0</v>
      </c>
      <c r="R1393" s="574">
        <f t="shared" si="173"/>
        <v>3086214</v>
      </c>
      <c r="S1393" s="275">
        <f t="shared" si="174"/>
        <v>2790255</v>
      </c>
      <c r="T1393" s="575"/>
      <c r="U1393" s="487"/>
      <c r="V1393" s="576"/>
      <c r="W1393" s="573"/>
      <c r="X1393" s="574">
        <f t="shared" si="178"/>
        <v>0</v>
      </c>
      <c r="Y1393" s="487"/>
      <c r="Z1393" s="487"/>
      <c r="AA1393" s="276">
        <f t="shared" si="179"/>
        <v>0</v>
      </c>
      <c r="AB1393" s="573"/>
      <c r="AC1393" s="487"/>
      <c r="AD1393" s="573"/>
      <c r="AE1393" s="487"/>
      <c r="AF1393" s="577">
        <f t="shared" si="175"/>
        <v>3086214</v>
      </c>
      <c r="AG1393" s="275">
        <f t="shared" si="176"/>
        <v>2790255</v>
      </c>
    </row>
    <row r="1394" spans="1:33" s="578" customFormat="1" ht="12" customHeight="1">
      <c r="A1394" s="687" t="s">
        <v>1273</v>
      </c>
      <c r="B1394" s="687" t="s">
        <v>1821</v>
      </c>
      <c r="C1394" s="698" t="s">
        <v>1105</v>
      </c>
      <c r="D1394" s="696"/>
      <c r="E1394" s="697"/>
      <c r="F1394" s="573"/>
      <c r="G1394" s="487"/>
      <c r="H1394" s="576">
        <f>1751646+200000</f>
        <v>1951646</v>
      </c>
      <c r="I1394" s="487">
        <f>200000+1751646-175648</f>
        <v>1775998</v>
      </c>
      <c r="J1394" s="573"/>
      <c r="K1394" s="487"/>
      <c r="L1394" s="573"/>
      <c r="M1394" s="573"/>
      <c r="N1394" s="456">
        <f t="shared" si="177"/>
        <v>0</v>
      </c>
      <c r="O1394" s="487"/>
      <c r="P1394" s="487"/>
      <c r="Q1394" s="274">
        <f t="shared" si="172"/>
        <v>0</v>
      </c>
      <c r="R1394" s="574">
        <f t="shared" si="173"/>
        <v>1951646</v>
      </c>
      <c r="S1394" s="275">
        <f t="shared" si="174"/>
        <v>1775998</v>
      </c>
      <c r="T1394" s="575"/>
      <c r="U1394" s="487"/>
      <c r="V1394" s="576"/>
      <c r="W1394" s="573"/>
      <c r="X1394" s="574">
        <f t="shared" si="178"/>
        <v>0</v>
      </c>
      <c r="Y1394" s="487"/>
      <c r="Z1394" s="487"/>
      <c r="AA1394" s="276">
        <f t="shared" si="179"/>
        <v>0</v>
      </c>
      <c r="AB1394" s="573"/>
      <c r="AC1394" s="487"/>
      <c r="AD1394" s="573"/>
      <c r="AE1394" s="487"/>
      <c r="AF1394" s="577">
        <f t="shared" si="175"/>
        <v>1951646</v>
      </c>
      <c r="AG1394" s="275">
        <f t="shared" si="176"/>
        <v>1775998</v>
      </c>
    </row>
    <row r="1395" spans="1:33" s="578" customFormat="1" ht="12" customHeight="1">
      <c r="A1395" s="687" t="s">
        <v>1273</v>
      </c>
      <c r="B1395" s="687" t="s">
        <v>1821</v>
      </c>
      <c r="C1395" s="698" t="s">
        <v>1106</v>
      </c>
      <c r="D1395" s="696"/>
      <c r="E1395" s="697"/>
      <c r="F1395" s="573"/>
      <c r="G1395" s="487"/>
      <c r="H1395" s="509">
        <f>3200000+2680000+8240000</f>
        <v>14120000</v>
      </c>
      <c r="I1395" s="487">
        <f>3200000+2680000</f>
        <v>5880000</v>
      </c>
      <c r="J1395" s="573"/>
      <c r="K1395" s="487"/>
      <c r="L1395" s="573"/>
      <c r="M1395" s="573"/>
      <c r="N1395" s="456">
        <f t="shared" si="177"/>
        <v>0</v>
      </c>
      <c r="O1395" s="487"/>
      <c r="P1395" s="487"/>
      <c r="Q1395" s="274">
        <f t="shared" si="172"/>
        <v>0</v>
      </c>
      <c r="R1395" s="574">
        <f t="shared" si="173"/>
        <v>14120000</v>
      </c>
      <c r="S1395" s="275">
        <f t="shared" si="174"/>
        <v>5880000</v>
      </c>
      <c r="T1395" s="575"/>
      <c r="U1395" s="487"/>
      <c r="V1395" s="576"/>
      <c r="W1395" s="573"/>
      <c r="X1395" s="574">
        <f t="shared" si="178"/>
        <v>0</v>
      </c>
      <c r="Y1395" s="487"/>
      <c r="Z1395" s="487"/>
      <c r="AA1395" s="276">
        <f t="shared" si="179"/>
        <v>0</v>
      </c>
      <c r="AB1395" s="573"/>
      <c r="AC1395" s="487"/>
      <c r="AD1395" s="573"/>
      <c r="AE1395" s="487"/>
      <c r="AF1395" s="577">
        <f t="shared" si="175"/>
        <v>14120000</v>
      </c>
      <c r="AG1395" s="275">
        <f t="shared" si="176"/>
        <v>5880000</v>
      </c>
    </row>
    <row r="1396" spans="1:33" s="578" customFormat="1" ht="12" customHeight="1">
      <c r="A1396" s="687" t="s">
        <v>1273</v>
      </c>
      <c r="B1396" s="687" t="s">
        <v>1821</v>
      </c>
      <c r="C1396" s="698" t="s">
        <v>1107</v>
      </c>
      <c r="D1396" s="696"/>
      <c r="E1396" s="697"/>
      <c r="F1396" s="573"/>
      <c r="G1396" s="487"/>
      <c r="H1396" s="509">
        <v>380000</v>
      </c>
      <c r="I1396" s="487">
        <v>1000000</v>
      </c>
      <c r="J1396" s="573"/>
      <c r="K1396" s="487"/>
      <c r="L1396" s="573"/>
      <c r="M1396" s="573"/>
      <c r="N1396" s="456">
        <f t="shared" si="177"/>
        <v>0</v>
      </c>
      <c r="O1396" s="487"/>
      <c r="P1396" s="487"/>
      <c r="Q1396" s="274">
        <f t="shared" si="172"/>
        <v>0</v>
      </c>
      <c r="R1396" s="574">
        <f t="shared" si="173"/>
        <v>380000</v>
      </c>
      <c r="S1396" s="275">
        <f t="shared" si="174"/>
        <v>1000000</v>
      </c>
      <c r="T1396" s="575"/>
      <c r="U1396" s="487"/>
      <c r="V1396" s="576"/>
      <c r="W1396" s="573"/>
      <c r="X1396" s="574">
        <f t="shared" si="178"/>
        <v>0</v>
      </c>
      <c r="Y1396" s="487"/>
      <c r="Z1396" s="487"/>
      <c r="AA1396" s="276">
        <f t="shared" si="179"/>
        <v>0</v>
      </c>
      <c r="AB1396" s="573"/>
      <c r="AC1396" s="487"/>
      <c r="AD1396" s="573"/>
      <c r="AE1396" s="487"/>
      <c r="AF1396" s="577">
        <f t="shared" si="175"/>
        <v>380000</v>
      </c>
      <c r="AG1396" s="275">
        <f t="shared" si="176"/>
        <v>1000000</v>
      </c>
    </row>
    <row r="1397" spans="1:33" s="578" customFormat="1" ht="12" customHeight="1">
      <c r="A1397" s="687" t="s">
        <v>1273</v>
      </c>
      <c r="B1397" s="687" t="s">
        <v>1821</v>
      </c>
      <c r="C1397" s="698" t="s">
        <v>1108</v>
      </c>
      <c r="D1397" s="696"/>
      <c r="E1397" s="697"/>
      <c r="F1397" s="573"/>
      <c r="G1397" s="487"/>
      <c r="H1397" s="509">
        <f>1500000+2500000-312500-1503300</f>
        <v>2184200</v>
      </c>
      <c r="I1397" s="487">
        <f>312500-15625</f>
        <v>296875</v>
      </c>
      <c r="J1397" s="573"/>
      <c r="K1397" s="487"/>
      <c r="L1397" s="573"/>
      <c r="M1397" s="573"/>
      <c r="N1397" s="456">
        <f t="shared" si="177"/>
        <v>0</v>
      </c>
      <c r="O1397" s="487"/>
      <c r="P1397" s="487"/>
      <c r="Q1397" s="274">
        <f t="shared" si="172"/>
        <v>0</v>
      </c>
      <c r="R1397" s="574">
        <f t="shared" si="173"/>
        <v>2184200</v>
      </c>
      <c r="S1397" s="275">
        <f t="shared" si="174"/>
        <v>296875</v>
      </c>
      <c r="T1397" s="575"/>
      <c r="U1397" s="487"/>
      <c r="V1397" s="576"/>
      <c r="W1397" s="573"/>
      <c r="X1397" s="574">
        <f t="shared" si="178"/>
        <v>0</v>
      </c>
      <c r="Y1397" s="487"/>
      <c r="Z1397" s="487"/>
      <c r="AA1397" s="276">
        <f t="shared" si="179"/>
        <v>0</v>
      </c>
      <c r="AB1397" s="573"/>
      <c r="AC1397" s="487"/>
      <c r="AD1397" s="573"/>
      <c r="AE1397" s="487"/>
      <c r="AF1397" s="577">
        <f t="shared" si="175"/>
        <v>2184200</v>
      </c>
      <c r="AG1397" s="275">
        <f t="shared" si="176"/>
        <v>296875</v>
      </c>
    </row>
    <row r="1398" spans="1:33" s="578" customFormat="1" ht="12" customHeight="1">
      <c r="A1398" s="687" t="s">
        <v>1273</v>
      </c>
      <c r="B1398" s="687" t="s">
        <v>1821</v>
      </c>
      <c r="C1398" s="698" t="s">
        <v>1109</v>
      </c>
      <c r="D1398" s="696"/>
      <c r="E1398" s="697"/>
      <c r="F1398" s="573"/>
      <c r="G1398" s="487"/>
      <c r="H1398" s="576">
        <v>7152400</v>
      </c>
      <c r="I1398" s="487">
        <f>5152400</f>
        <v>5152400</v>
      </c>
      <c r="J1398" s="573"/>
      <c r="K1398" s="487"/>
      <c r="L1398" s="573"/>
      <c r="M1398" s="573"/>
      <c r="N1398" s="456">
        <f t="shared" si="177"/>
        <v>0</v>
      </c>
      <c r="O1398" s="487"/>
      <c r="P1398" s="487"/>
      <c r="Q1398" s="274">
        <f t="shared" si="172"/>
        <v>0</v>
      </c>
      <c r="R1398" s="574">
        <f t="shared" si="173"/>
        <v>7152400</v>
      </c>
      <c r="S1398" s="275">
        <f t="shared" si="174"/>
        <v>5152400</v>
      </c>
      <c r="T1398" s="575"/>
      <c r="U1398" s="487"/>
      <c r="V1398" s="576"/>
      <c r="W1398" s="573"/>
      <c r="X1398" s="574">
        <f t="shared" si="178"/>
        <v>0</v>
      </c>
      <c r="Y1398" s="487"/>
      <c r="Z1398" s="487"/>
      <c r="AA1398" s="276">
        <f t="shared" si="179"/>
        <v>0</v>
      </c>
      <c r="AB1398" s="573"/>
      <c r="AC1398" s="487"/>
      <c r="AD1398" s="573"/>
      <c r="AE1398" s="487"/>
      <c r="AF1398" s="577">
        <f t="shared" si="175"/>
        <v>7152400</v>
      </c>
      <c r="AG1398" s="275">
        <f t="shared" si="176"/>
        <v>5152400</v>
      </c>
    </row>
    <row r="1399" spans="1:33" s="578" customFormat="1" ht="12" customHeight="1">
      <c r="A1399" s="687" t="s">
        <v>1273</v>
      </c>
      <c r="B1399" s="687" t="s">
        <v>1821</v>
      </c>
      <c r="C1399" s="698" t="s">
        <v>1110</v>
      </c>
      <c r="D1399" s="696"/>
      <c r="E1399" s="697"/>
      <c r="F1399" s="573"/>
      <c r="G1399" s="487"/>
      <c r="H1399" s="576">
        <v>0</v>
      </c>
      <c r="I1399" s="487">
        <v>3284898</v>
      </c>
      <c r="J1399" s="573"/>
      <c r="K1399" s="487"/>
      <c r="L1399" s="573"/>
      <c r="M1399" s="573"/>
      <c r="N1399" s="456">
        <f t="shared" si="177"/>
        <v>0</v>
      </c>
      <c r="O1399" s="487"/>
      <c r="P1399" s="487"/>
      <c r="Q1399" s="274">
        <f t="shared" si="172"/>
        <v>0</v>
      </c>
      <c r="R1399" s="574">
        <f t="shared" si="173"/>
        <v>0</v>
      </c>
      <c r="S1399" s="275">
        <f t="shared" si="174"/>
        <v>3284898</v>
      </c>
      <c r="T1399" s="575"/>
      <c r="U1399" s="487"/>
      <c r="V1399" s="576"/>
      <c r="W1399" s="573"/>
      <c r="X1399" s="574">
        <f t="shared" si="178"/>
        <v>0</v>
      </c>
      <c r="Y1399" s="487"/>
      <c r="Z1399" s="487"/>
      <c r="AA1399" s="276">
        <f t="shared" si="179"/>
        <v>0</v>
      </c>
      <c r="AB1399" s="573"/>
      <c r="AC1399" s="487"/>
      <c r="AD1399" s="573"/>
      <c r="AE1399" s="487"/>
      <c r="AF1399" s="577">
        <f t="shared" si="175"/>
        <v>0</v>
      </c>
      <c r="AG1399" s="275">
        <f t="shared" si="176"/>
        <v>3284898</v>
      </c>
    </row>
    <row r="1400" spans="1:33" s="578" customFormat="1" ht="12" customHeight="1">
      <c r="A1400" s="687" t="s">
        <v>1273</v>
      </c>
      <c r="B1400" s="687" t="s">
        <v>1821</v>
      </c>
      <c r="C1400" s="698" t="s">
        <v>1111</v>
      </c>
      <c r="D1400" s="696"/>
      <c r="E1400" s="697"/>
      <c r="F1400" s="573"/>
      <c r="G1400" s="487"/>
      <c r="H1400" s="576">
        <v>4250000</v>
      </c>
      <c r="I1400" s="487">
        <v>4000000</v>
      </c>
      <c r="J1400" s="573"/>
      <c r="K1400" s="487"/>
      <c r="L1400" s="573"/>
      <c r="M1400" s="573"/>
      <c r="N1400" s="456">
        <f t="shared" si="177"/>
        <v>0</v>
      </c>
      <c r="O1400" s="487"/>
      <c r="P1400" s="487"/>
      <c r="Q1400" s="274">
        <f t="shared" si="172"/>
        <v>0</v>
      </c>
      <c r="R1400" s="574">
        <f t="shared" si="173"/>
        <v>4250000</v>
      </c>
      <c r="S1400" s="275">
        <f t="shared" si="174"/>
        <v>4000000</v>
      </c>
      <c r="T1400" s="575"/>
      <c r="U1400" s="487"/>
      <c r="V1400" s="576"/>
      <c r="W1400" s="573"/>
      <c r="X1400" s="574">
        <f t="shared" si="178"/>
        <v>0</v>
      </c>
      <c r="Y1400" s="487"/>
      <c r="Z1400" s="487"/>
      <c r="AA1400" s="276">
        <f t="shared" si="179"/>
        <v>0</v>
      </c>
      <c r="AB1400" s="573"/>
      <c r="AC1400" s="487"/>
      <c r="AD1400" s="573"/>
      <c r="AE1400" s="487"/>
      <c r="AF1400" s="577">
        <f t="shared" si="175"/>
        <v>4250000</v>
      </c>
      <c r="AG1400" s="275">
        <f t="shared" si="176"/>
        <v>4000000</v>
      </c>
    </row>
    <row r="1401" spans="1:33" s="578" customFormat="1" ht="12" customHeight="1" thickBot="1">
      <c r="A1401" s="687" t="s">
        <v>1273</v>
      </c>
      <c r="B1401" s="687" t="s">
        <v>1821</v>
      </c>
      <c r="C1401" s="698" t="s">
        <v>1112</v>
      </c>
      <c r="D1401" s="696"/>
      <c r="E1401" s="697"/>
      <c r="F1401" s="573"/>
      <c r="G1401" s="487"/>
      <c r="H1401" s="591">
        <v>500000</v>
      </c>
      <c r="I1401" s="471">
        <f>2000+7200+464800+8000-3067.72</f>
        <v>478932.28</v>
      </c>
      <c r="J1401" s="573"/>
      <c r="K1401" s="487"/>
      <c r="L1401" s="573"/>
      <c r="M1401" s="573"/>
      <c r="N1401" s="456">
        <f t="shared" si="177"/>
        <v>0</v>
      </c>
      <c r="O1401" s="487"/>
      <c r="P1401" s="487"/>
      <c r="Q1401" s="274">
        <f t="shared" si="172"/>
        <v>0</v>
      </c>
      <c r="R1401" s="574">
        <f t="shared" si="173"/>
        <v>500000</v>
      </c>
      <c r="S1401" s="275">
        <f t="shared" si="174"/>
        <v>478932.28</v>
      </c>
      <c r="T1401" s="575"/>
      <c r="U1401" s="487"/>
      <c r="V1401" s="576"/>
      <c r="W1401" s="573"/>
      <c r="X1401" s="574">
        <f t="shared" si="178"/>
        <v>0</v>
      </c>
      <c r="Y1401" s="487"/>
      <c r="Z1401" s="487"/>
      <c r="AA1401" s="276">
        <f t="shared" si="179"/>
        <v>0</v>
      </c>
      <c r="AB1401" s="573"/>
      <c r="AC1401" s="487"/>
      <c r="AD1401" s="573"/>
      <c r="AE1401" s="487"/>
      <c r="AF1401" s="577">
        <f t="shared" si="175"/>
        <v>500000</v>
      </c>
      <c r="AG1401" s="275">
        <f t="shared" si="176"/>
        <v>478932.28</v>
      </c>
    </row>
    <row r="1402" spans="1:33" s="578" customFormat="1" ht="12" customHeight="1">
      <c r="A1402" s="687" t="s">
        <v>1273</v>
      </c>
      <c r="B1402" s="687" t="s">
        <v>1794</v>
      </c>
      <c r="C1402" s="507" t="s">
        <v>849</v>
      </c>
      <c r="D1402" s="696"/>
      <c r="E1402" s="697"/>
      <c r="F1402" s="573"/>
      <c r="G1402" s="487"/>
      <c r="H1402" s="573"/>
      <c r="I1402" s="487"/>
      <c r="J1402" s="573"/>
      <c r="K1402" s="487"/>
      <c r="L1402" s="573"/>
      <c r="M1402" s="573"/>
      <c r="N1402" s="456">
        <f t="shared" si="177"/>
        <v>0</v>
      </c>
      <c r="O1402" s="487"/>
      <c r="P1402" s="487"/>
      <c r="Q1402" s="274">
        <f t="shared" si="172"/>
        <v>0</v>
      </c>
      <c r="R1402" s="574">
        <f t="shared" si="173"/>
        <v>0</v>
      </c>
      <c r="S1402" s="275">
        <f t="shared" si="174"/>
        <v>0</v>
      </c>
      <c r="T1402" s="575"/>
      <c r="U1402" s="487"/>
      <c r="V1402" s="576"/>
      <c r="W1402" s="573"/>
      <c r="X1402" s="574">
        <f t="shared" si="178"/>
        <v>0</v>
      </c>
      <c r="Y1402" s="487"/>
      <c r="Z1402" s="487"/>
      <c r="AA1402" s="276">
        <f t="shared" si="179"/>
        <v>0</v>
      </c>
      <c r="AB1402" s="573"/>
      <c r="AC1402" s="487"/>
      <c r="AD1402" s="573"/>
      <c r="AE1402" s="487"/>
      <c r="AF1402" s="577">
        <f t="shared" si="175"/>
        <v>0</v>
      </c>
      <c r="AG1402" s="275">
        <f t="shared" si="176"/>
        <v>0</v>
      </c>
    </row>
    <row r="1403" spans="1:33" s="578" customFormat="1" ht="12" customHeight="1">
      <c r="A1403" s="687" t="s">
        <v>1273</v>
      </c>
      <c r="B1403" s="687" t="s">
        <v>1795</v>
      </c>
      <c r="C1403" s="506" t="s">
        <v>957</v>
      </c>
      <c r="D1403" s="696"/>
      <c r="E1403" s="697"/>
      <c r="F1403" s="573"/>
      <c r="G1403" s="487"/>
      <c r="H1403" s="573"/>
      <c r="I1403" s="487"/>
      <c r="J1403" s="573"/>
      <c r="K1403" s="487"/>
      <c r="L1403" s="573"/>
      <c r="M1403" s="573"/>
      <c r="N1403" s="456">
        <f t="shared" si="177"/>
        <v>0</v>
      </c>
      <c r="O1403" s="487"/>
      <c r="P1403" s="487"/>
      <c r="Q1403" s="274">
        <f t="shared" si="172"/>
        <v>0</v>
      </c>
      <c r="R1403" s="574">
        <f t="shared" si="173"/>
        <v>0</v>
      </c>
      <c r="S1403" s="275">
        <f t="shared" si="174"/>
        <v>0</v>
      </c>
      <c r="T1403" s="575"/>
      <c r="U1403" s="487"/>
      <c r="V1403" s="576"/>
      <c r="W1403" s="573"/>
      <c r="X1403" s="574">
        <f t="shared" si="178"/>
        <v>0</v>
      </c>
      <c r="Y1403" s="487"/>
      <c r="Z1403" s="487"/>
      <c r="AA1403" s="276">
        <f t="shared" si="179"/>
        <v>0</v>
      </c>
      <c r="AB1403" s="573"/>
      <c r="AC1403" s="487"/>
      <c r="AD1403" s="573"/>
      <c r="AE1403" s="487"/>
      <c r="AF1403" s="577">
        <f t="shared" si="175"/>
        <v>0</v>
      </c>
      <c r="AG1403" s="275">
        <f t="shared" si="176"/>
        <v>0</v>
      </c>
    </row>
    <row r="1404" spans="1:33" s="578" customFormat="1" ht="12" customHeight="1">
      <c r="A1404" s="687" t="s">
        <v>1273</v>
      </c>
      <c r="B1404" s="687" t="s">
        <v>1795</v>
      </c>
      <c r="C1404" s="691" t="s">
        <v>1113</v>
      </c>
      <c r="D1404" s="696"/>
      <c r="E1404" s="697"/>
      <c r="F1404" s="573"/>
      <c r="G1404" s="487"/>
      <c r="H1404" s="573"/>
      <c r="I1404" s="487"/>
      <c r="J1404" s="573"/>
      <c r="K1404" s="487"/>
      <c r="L1404" s="573"/>
      <c r="M1404" s="573"/>
      <c r="N1404" s="456">
        <f t="shared" si="177"/>
        <v>0</v>
      </c>
      <c r="O1404" s="487"/>
      <c r="P1404" s="487"/>
      <c r="Q1404" s="274">
        <f t="shared" si="172"/>
        <v>0</v>
      </c>
      <c r="R1404" s="574">
        <f t="shared" si="173"/>
        <v>0</v>
      </c>
      <c r="S1404" s="275">
        <f t="shared" si="174"/>
        <v>0</v>
      </c>
      <c r="T1404" s="462">
        <f>5933000+522000+26000+500000</f>
        <v>6981000</v>
      </c>
      <c r="U1404" s="487">
        <v>6934760</v>
      </c>
      <c r="V1404" s="576"/>
      <c r="W1404" s="573"/>
      <c r="X1404" s="574">
        <f t="shared" si="178"/>
        <v>0</v>
      </c>
      <c r="Y1404" s="487"/>
      <c r="Z1404" s="487"/>
      <c r="AA1404" s="276">
        <f t="shared" si="179"/>
        <v>0</v>
      </c>
      <c r="AB1404" s="573"/>
      <c r="AC1404" s="487"/>
      <c r="AD1404" s="573"/>
      <c r="AE1404" s="487"/>
      <c r="AF1404" s="577">
        <f t="shared" si="175"/>
        <v>6981000</v>
      </c>
      <c r="AG1404" s="275">
        <f t="shared" si="176"/>
        <v>6934760</v>
      </c>
    </row>
    <row r="1405" spans="1:33" s="578" customFormat="1" ht="12" customHeight="1">
      <c r="A1405" s="687" t="s">
        <v>1273</v>
      </c>
      <c r="B1405" s="687" t="s">
        <v>1795</v>
      </c>
      <c r="C1405" s="691" t="s">
        <v>1114</v>
      </c>
      <c r="D1405" s="696"/>
      <c r="E1405" s="697"/>
      <c r="F1405" s="573"/>
      <c r="G1405" s="487"/>
      <c r="H1405" s="573"/>
      <c r="I1405" s="487"/>
      <c r="J1405" s="573"/>
      <c r="K1405" s="487"/>
      <c r="L1405" s="573"/>
      <c r="M1405" s="573"/>
      <c r="N1405" s="456">
        <f t="shared" si="177"/>
        <v>0</v>
      </c>
      <c r="O1405" s="487"/>
      <c r="P1405" s="487"/>
      <c r="Q1405" s="274">
        <f t="shared" si="172"/>
        <v>0</v>
      </c>
      <c r="R1405" s="574">
        <f t="shared" si="173"/>
        <v>0</v>
      </c>
      <c r="S1405" s="275">
        <f t="shared" si="174"/>
        <v>0</v>
      </c>
      <c r="T1405" s="462">
        <f>3677635+103520</f>
        <v>3781155</v>
      </c>
      <c r="U1405" s="487">
        <f>3397225</f>
        <v>3397225</v>
      </c>
      <c r="V1405" s="576"/>
      <c r="W1405" s="573"/>
      <c r="X1405" s="574">
        <f t="shared" si="178"/>
        <v>0</v>
      </c>
      <c r="Y1405" s="487"/>
      <c r="Z1405" s="487"/>
      <c r="AA1405" s="276">
        <f t="shared" si="179"/>
        <v>0</v>
      </c>
      <c r="AB1405" s="573"/>
      <c r="AC1405" s="487"/>
      <c r="AD1405" s="573"/>
      <c r="AE1405" s="487"/>
      <c r="AF1405" s="577">
        <f t="shared" si="175"/>
        <v>3781155</v>
      </c>
      <c r="AG1405" s="275">
        <f t="shared" si="176"/>
        <v>3397225</v>
      </c>
    </row>
    <row r="1406" spans="1:33" s="578" customFormat="1" ht="12" customHeight="1">
      <c r="A1406" s="687" t="s">
        <v>1273</v>
      </c>
      <c r="B1406" s="687" t="s">
        <v>1795</v>
      </c>
      <c r="C1406" s="691" t="s">
        <v>1115</v>
      </c>
      <c r="D1406" s="696"/>
      <c r="E1406" s="697"/>
      <c r="F1406" s="573"/>
      <c r="G1406" s="487"/>
      <c r="H1406" s="573"/>
      <c r="I1406" s="487"/>
      <c r="J1406" s="573"/>
      <c r="K1406" s="487"/>
      <c r="L1406" s="573"/>
      <c r="M1406" s="573"/>
      <c r="N1406" s="456">
        <f t="shared" si="177"/>
        <v>0</v>
      </c>
      <c r="O1406" s="487"/>
      <c r="P1406" s="487"/>
      <c r="Q1406" s="274">
        <f t="shared" si="172"/>
        <v>0</v>
      </c>
      <c r="R1406" s="574">
        <f t="shared" si="173"/>
        <v>0</v>
      </c>
      <c r="S1406" s="275">
        <f t="shared" si="174"/>
        <v>0</v>
      </c>
      <c r="T1406" s="462">
        <f>10958058+3000000</f>
        <v>13958058</v>
      </c>
      <c r="U1406" s="487">
        <f>10793105</f>
        <v>10793105</v>
      </c>
      <c r="V1406" s="576"/>
      <c r="W1406" s="573"/>
      <c r="X1406" s="574">
        <f t="shared" si="178"/>
        <v>0</v>
      </c>
      <c r="Y1406" s="487"/>
      <c r="Z1406" s="487"/>
      <c r="AA1406" s="276">
        <f t="shared" si="179"/>
        <v>0</v>
      </c>
      <c r="AB1406" s="573"/>
      <c r="AC1406" s="487"/>
      <c r="AD1406" s="573"/>
      <c r="AE1406" s="487"/>
      <c r="AF1406" s="577">
        <f t="shared" si="175"/>
        <v>13958058</v>
      </c>
      <c r="AG1406" s="275">
        <f t="shared" si="176"/>
        <v>10793105</v>
      </c>
    </row>
    <row r="1407" spans="1:33" s="578" customFormat="1" ht="12" customHeight="1">
      <c r="A1407" s="687" t="s">
        <v>1273</v>
      </c>
      <c r="B1407" s="687" t="s">
        <v>1795</v>
      </c>
      <c r="C1407" s="691" t="s">
        <v>1116</v>
      </c>
      <c r="D1407" s="696"/>
      <c r="E1407" s="697"/>
      <c r="F1407" s="573"/>
      <c r="G1407" s="487"/>
      <c r="H1407" s="573"/>
      <c r="I1407" s="487"/>
      <c r="J1407" s="573"/>
      <c r="K1407" s="487"/>
      <c r="L1407" s="573"/>
      <c r="M1407" s="573"/>
      <c r="N1407" s="456">
        <f t="shared" si="177"/>
        <v>0</v>
      </c>
      <c r="O1407" s="487"/>
      <c r="P1407" s="487"/>
      <c r="Q1407" s="274">
        <f t="shared" si="172"/>
        <v>0</v>
      </c>
      <c r="R1407" s="574">
        <f t="shared" si="173"/>
        <v>0</v>
      </c>
      <c r="S1407" s="275">
        <f t="shared" si="174"/>
        <v>0</v>
      </c>
      <c r="T1407" s="462">
        <f>2871742+601951</f>
        <v>3473693</v>
      </c>
      <c r="U1407" s="487">
        <v>9055261</v>
      </c>
      <c r="V1407" s="576"/>
      <c r="W1407" s="573"/>
      <c r="X1407" s="574">
        <f t="shared" si="178"/>
        <v>0</v>
      </c>
      <c r="Y1407" s="487"/>
      <c r="Z1407" s="487"/>
      <c r="AA1407" s="276">
        <f t="shared" si="179"/>
        <v>0</v>
      </c>
      <c r="AB1407" s="573"/>
      <c r="AC1407" s="487"/>
      <c r="AD1407" s="573"/>
      <c r="AE1407" s="487"/>
      <c r="AF1407" s="577">
        <f t="shared" si="175"/>
        <v>3473693</v>
      </c>
      <c r="AG1407" s="275">
        <f t="shared" si="176"/>
        <v>9055261</v>
      </c>
    </row>
    <row r="1408" spans="1:33" s="578" customFormat="1" ht="12" customHeight="1">
      <c r="A1408" s="687" t="s">
        <v>1273</v>
      </c>
      <c r="B1408" s="687" t="s">
        <v>1796</v>
      </c>
      <c r="C1408" s="506" t="s">
        <v>956</v>
      </c>
      <c r="D1408" s="696"/>
      <c r="E1408" s="697"/>
      <c r="F1408" s="573"/>
      <c r="G1408" s="487"/>
      <c r="H1408" s="573"/>
      <c r="I1408" s="487"/>
      <c r="J1408" s="573"/>
      <c r="K1408" s="487"/>
      <c r="L1408" s="573"/>
      <c r="M1408" s="573"/>
      <c r="N1408" s="456">
        <f t="shared" si="177"/>
        <v>0</v>
      </c>
      <c r="O1408" s="487"/>
      <c r="P1408" s="487"/>
      <c r="Q1408" s="274">
        <f t="shared" si="172"/>
        <v>0</v>
      </c>
      <c r="R1408" s="574">
        <f t="shared" si="173"/>
        <v>0</v>
      </c>
      <c r="S1408" s="275">
        <f t="shared" si="174"/>
        <v>0</v>
      </c>
      <c r="T1408" s="575"/>
      <c r="U1408" s="487"/>
      <c r="V1408" s="576"/>
      <c r="W1408" s="573"/>
      <c r="X1408" s="574">
        <f t="shared" si="178"/>
        <v>0</v>
      </c>
      <c r="Y1408" s="487"/>
      <c r="Z1408" s="487"/>
      <c r="AA1408" s="276">
        <f t="shared" si="179"/>
        <v>0</v>
      </c>
      <c r="AB1408" s="573"/>
      <c r="AC1408" s="487"/>
      <c r="AD1408" s="573"/>
      <c r="AE1408" s="487"/>
      <c r="AF1408" s="577">
        <f t="shared" si="175"/>
        <v>0</v>
      </c>
      <c r="AG1408" s="275">
        <f t="shared" si="176"/>
        <v>0</v>
      </c>
    </row>
    <row r="1409" spans="1:33" s="578" customFormat="1" ht="12" customHeight="1">
      <c r="A1409" s="687" t="s">
        <v>1273</v>
      </c>
      <c r="B1409" s="687" t="s">
        <v>1796</v>
      </c>
      <c r="C1409" s="691" t="s">
        <v>1117</v>
      </c>
      <c r="D1409" s="696"/>
      <c r="E1409" s="697"/>
      <c r="F1409" s="573"/>
      <c r="G1409" s="487"/>
      <c r="H1409" s="573"/>
      <c r="I1409" s="487"/>
      <c r="J1409" s="573"/>
      <c r="K1409" s="487"/>
      <c r="L1409" s="573"/>
      <c r="M1409" s="573"/>
      <c r="N1409" s="456">
        <f t="shared" si="177"/>
        <v>0</v>
      </c>
      <c r="O1409" s="487"/>
      <c r="P1409" s="487"/>
      <c r="Q1409" s="274">
        <f t="shared" si="172"/>
        <v>0</v>
      </c>
      <c r="R1409" s="574">
        <f t="shared" si="173"/>
        <v>0</v>
      </c>
      <c r="S1409" s="275">
        <f t="shared" si="174"/>
        <v>0</v>
      </c>
      <c r="T1409" s="462">
        <f>3800951+16670465</f>
        <v>20471416</v>
      </c>
      <c r="U1409" s="487">
        <v>14631397</v>
      </c>
      <c r="V1409" s="576"/>
      <c r="W1409" s="573"/>
      <c r="X1409" s="574">
        <f t="shared" si="178"/>
        <v>0</v>
      </c>
      <c r="Y1409" s="487"/>
      <c r="Z1409" s="487"/>
      <c r="AA1409" s="276">
        <f t="shared" si="179"/>
        <v>0</v>
      </c>
      <c r="AB1409" s="573"/>
      <c r="AC1409" s="487"/>
      <c r="AD1409" s="573"/>
      <c r="AE1409" s="487"/>
      <c r="AF1409" s="577">
        <f t="shared" si="175"/>
        <v>20471416</v>
      </c>
      <c r="AG1409" s="275">
        <f t="shared" si="176"/>
        <v>14631397</v>
      </c>
    </row>
    <row r="1410" spans="1:33" s="578" customFormat="1" ht="12" customHeight="1">
      <c r="A1410" s="687" t="s">
        <v>1273</v>
      </c>
      <c r="B1410" s="687" t="s">
        <v>1797</v>
      </c>
      <c r="C1410" s="506" t="s">
        <v>955</v>
      </c>
      <c r="D1410" s="696"/>
      <c r="E1410" s="697"/>
      <c r="F1410" s="573"/>
      <c r="G1410" s="487"/>
      <c r="H1410" s="573"/>
      <c r="I1410" s="487"/>
      <c r="J1410" s="573"/>
      <c r="K1410" s="487"/>
      <c r="L1410" s="573"/>
      <c r="M1410" s="573"/>
      <c r="N1410" s="456">
        <f t="shared" si="177"/>
        <v>0</v>
      </c>
      <c r="O1410" s="487"/>
      <c r="P1410" s="487"/>
      <c r="Q1410" s="274">
        <f t="shared" si="172"/>
        <v>0</v>
      </c>
      <c r="R1410" s="574">
        <f t="shared" si="173"/>
        <v>0</v>
      </c>
      <c r="S1410" s="275">
        <f t="shared" si="174"/>
        <v>0</v>
      </c>
      <c r="T1410" s="575"/>
      <c r="U1410" s="487"/>
      <c r="V1410" s="576"/>
      <c r="W1410" s="573"/>
      <c r="X1410" s="574">
        <f t="shared" si="178"/>
        <v>0</v>
      </c>
      <c r="Y1410" s="487"/>
      <c r="Z1410" s="487"/>
      <c r="AA1410" s="276">
        <f t="shared" si="179"/>
        <v>0</v>
      </c>
      <c r="AB1410" s="573"/>
      <c r="AC1410" s="487"/>
      <c r="AD1410" s="573"/>
      <c r="AE1410" s="487"/>
      <c r="AF1410" s="577">
        <f t="shared" si="175"/>
        <v>0</v>
      </c>
      <c r="AG1410" s="275">
        <f t="shared" si="176"/>
        <v>0</v>
      </c>
    </row>
    <row r="1411" spans="1:33" s="578" customFormat="1" ht="12" customHeight="1">
      <c r="A1411" s="687" t="s">
        <v>1273</v>
      </c>
      <c r="B1411" s="687" t="s">
        <v>1797</v>
      </c>
      <c r="C1411" s="506" t="s">
        <v>1430</v>
      </c>
      <c r="D1411" s="696"/>
      <c r="E1411" s="697"/>
      <c r="F1411" s="573"/>
      <c r="G1411" s="487"/>
      <c r="H1411" s="573"/>
      <c r="I1411" s="487"/>
      <c r="J1411" s="573"/>
      <c r="K1411" s="487"/>
      <c r="L1411" s="573"/>
      <c r="M1411" s="573"/>
      <c r="N1411" s="456">
        <f t="shared" si="177"/>
        <v>0</v>
      </c>
      <c r="O1411" s="487"/>
      <c r="P1411" s="487"/>
      <c r="Q1411" s="274">
        <f t="shared" si="172"/>
        <v>0</v>
      </c>
      <c r="R1411" s="574">
        <f t="shared" si="173"/>
        <v>0</v>
      </c>
      <c r="S1411" s="275">
        <f t="shared" si="174"/>
        <v>0</v>
      </c>
      <c r="T1411" s="575"/>
      <c r="U1411" s="487"/>
      <c r="V1411" s="576"/>
      <c r="W1411" s="573"/>
      <c r="X1411" s="574">
        <f t="shared" si="178"/>
        <v>0</v>
      </c>
      <c r="Y1411" s="487"/>
      <c r="Z1411" s="487"/>
      <c r="AA1411" s="276">
        <f t="shared" si="179"/>
        <v>0</v>
      </c>
      <c r="AB1411" s="573"/>
      <c r="AC1411" s="487"/>
      <c r="AD1411" s="573"/>
      <c r="AE1411" s="487"/>
      <c r="AF1411" s="577">
        <f t="shared" si="175"/>
        <v>0</v>
      </c>
      <c r="AG1411" s="275">
        <f t="shared" si="176"/>
        <v>0</v>
      </c>
    </row>
    <row r="1412" spans="1:33" s="578" customFormat="1" ht="12" customHeight="1">
      <c r="A1412" s="687" t="s">
        <v>1273</v>
      </c>
      <c r="B1412" s="687" t="s">
        <v>1798</v>
      </c>
      <c r="C1412" s="297" t="s">
        <v>1606</v>
      </c>
      <c r="D1412" s="696"/>
      <c r="E1412" s="697"/>
      <c r="F1412" s="573"/>
      <c r="G1412" s="487"/>
      <c r="H1412" s="573"/>
      <c r="I1412" s="487"/>
      <c r="J1412" s="573"/>
      <c r="K1412" s="487"/>
      <c r="L1412" s="573"/>
      <c r="M1412" s="573"/>
      <c r="N1412" s="456">
        <f t="shared" si="177"/>
        <v>0</v>
      </c>
      <c r="O1412" s="487"/>
      <c r="P1412" s="487"/>
      <c r="Q1412" s="274">
        <f t="shared" si="172"/>
        <v>0</v>
      </c>
      <c r="R1412" s="574">
        <f t="shared" si="173"/>
        <v>0</v>
      </c>
      <c r="S1412" s="275">
        <f t="shared" si="174"/>
        <v>0</v>
      </c>
      <c r="T1412" s="575"/>
      <c r="U1412" s="487"/>
      <c r="V1412" s="576"/>
      <c r="W1412" s="573"/>
      <c r="X1412" s="574">
        <f t="shared" si="178"/>
        <v>0</v>
      </c>
      <c r="Y1412" s="487"/>
      <c r="Z1412" s="487"/>
      <c r="AA1412" s="276">
        <f t="shared" si="179"/>
        <v>0</v>
      </c>
      <c r="AB1412" s="573"/>
      <c r="AC1412" s="487"/>
      <c r="AD1412" s="573"/>
      <c r="AE1412" s="487"/>
      <c r="AF1412" s="577">
        <f t="shared" si="175"/>
        <v>0</v>
      </c>
      <c r="AG1412" s="275">
        <f t="shared" si="176"/>
        <v>0</v>
      </c>
    </row>
    <row r="1413" spans="1:33" s="578" customFormat="1" ht="12" customHeight="1">
      <c r="A1413" s="687" t="s">
        <v>1273</v>
      </c>
      <c r="B1413" s="687" t="s">
        <v>1798</v>
      </c>
      <c r="C1413" s="700" t="s">
        <v>1118</v>
      </c>
      <c r="D1413" s="696"/>
      <c r="E1413" s="697"/>
      <c r="F1413" s="573"/>
      <c r="G1413" s="487"/>
      <c r="H1413" s="573"/>
      <c r="I1413" s="487"/>
      <c r="J1413" s="573"/>
      <c r="K1413" s="487"/>
      <c r="L1413" s="573"/>
      <c r="M1413" s="573"/>
      <c r="N1413" s="456">
        <f t="shared" si="177"/>
        <v>0</v>
      </c>
      <c r="O1413" s="487"/>
      <c r="P1413" s="487"/>
      <c r="Q1413" s="274">
        <f t="shared" si="172"/>
        <v>0</v>
      </c>
      <c r="R1413" s="574">
        <f t="shared" si="173"/>
        <v>0</v>
      </c>
      <c r="S1413" s="275">
        <f t="shared" si="174"/>
        <v>0</v>
      </c>
      <c r="T1413" s="575">
        <v>3551659</v>
      </c>
      <c r="U1413" s="487">
        <v>3817183</v>
      </c>
      <c r="V1413" s="576"/>
      <c r="W1413" s="573"/>
      <c r="X1413" s="574">
        <f t="shared" si="178"/>
        <v>0</v>
      </c>
      <c r="Y1413" s="487"/>
      <c r="Z1413" s="487"/>
      <c r="AA1413" s="276">
        <f t="shared" si="179"/>
        <v>0</v>
      </c>
      <c r="AB1413" s="573"/>
      <c r="AC1413" s="487"/>
      <c r="AD1413" s="573"/>
      <c r="AE1413" s="487"/>
      <c r="AF1413" s="577">
        <f t="shared" si="175"/>
        <v>3551659</v>
      </c>
      <c r="AG1413" s="275">
        <f t="shared" si="176"/>
        <v>3817183</v>
      </c>
    </row>
    <row r="1414" spans="1:33" s="578" customFormat="1" ht="12" customHeight="1">
      <c r="A1414" s="687" t="s">
        <v>1273</v>
      </c>
      <c r="B1414" s="687" t="s">
        <v>1799</v>
      </c>
      <c r="C1414" s="507" t="s">
        <v>1119</v>
      </c>
      <c r="D1414" s="696"/>
      <c r="E1414" s="697"/>
      <c r="F1414" s="573"/>
      <c r="G1414" s="487"/>
      <c r="H1414" s="573"/>
      <c r="I1414" s="487"/>
      <c r="J1414" s="573"/>
      <c r="K1414" s="487"/>
      <c r="L1414" s="573"/>
      <c r="M1414" s="573"/>
      <c r="N1414" s="456">
        <f t="shared" si="177"/>
        <v>0</v>
      </c>
      <c r="O1414" s="487"/>
      <c r="P1414" s="487"/>
      <c r="Q1414" s="274">
        <f t="shared" si="172"/>
        <v>0</v>
      </c>
      <c r="R1414" s="574">
        <f t="shared" si="173"/>
        <v>0</v>
      </c>
      <c r="S1414" s="275">
        <f t="shared" si="174"/>
        <v>0</v>
      </c>
      <c r="T1414" s="575">
        <v>4185379</v>
      </c>
      <c r="U1414" s="487">
        <f>31976+5916+464+3498+4143525-372917</f>
        <v>3812462</v>
      </c>
      <c r="V1414" s="576"/>
      <c r="W1414" s="573"/>
      <c r="X1414" s="574">
        <f t="shared" si="178"/>
        <v>0</v>
      </c>
      <c r="Y1414" s="487"/>
      <c r="Z1414" s="487"/>
      <c r="AA1414" s="276">
        <f t="shared" si="179"/>
        <v>0</v>
      </c>
      <c r="AB1414" s="573"/>
      <c r="AC1414" s="487"/>
      <c r="AD1414" s="573"/>
      <c r="AE1414" s="487"/>
      <c r="AF1414" s="577">
        <f t="shared" si="175"/>
        <v>4185379</v>
      </c>
      <c r="AG1414" s="275">
        <f t="shared" si="176"/>
        <v>3812462</v>
      </c>
    </row>
    <row r="1415" spans="1:33" s="578" customFormat="1" ht="12" customHeight="1">
      <c r="A1415" s="687" t="s">
        <v>1273</v>
      </c>
      <c r="B1415" s="687" t="s">
        <v>1800</v>
      </c>
      <c r="C1415" s="507" t="s">
        <v>858</v>
      </c>
      <c r="D1415" s="696"/>
      <c r="E1415" s="697"/>
      <c r="F1415" s="573"/>
      <c r="G1415" s="487"/>
      <c r="H1415" s="573"/>
      <c r="I1415" s="487"/>
      <c r="J1415" s="573"/>
      <c r="K1415" s="487"/>
      <c r="L1415" s="573"/>
      <c r="M1415" s="573"/>
      <c r="N1415" s="456">
        <f t="shared" si="177"/>
        <v>0</v>
      </c>
      <c r="O1415" s="487"/>
      <c r="P1415" s="487"/>
      <c r="Q1415" s="274">
        <f t="shared" si="172"/>
        <v>0</v>
      </c>
      <c r="R1415" s="574">
        <f t="shared" si="173"/>
        <v>0</v>
      </c>
      <c r="S1415" s="275">
        <f t="shared" si="174"/>
        <v>0</v>
      </c>
      <c r="T1415" s="575"/>
      <c r="U1415" s="487"/>
      <c r="V1415" s="576"/>
      <c r="W1415" s="573"/>
      <c r="X1415" s="574">
        <f t="shared" si="178"/>
        <v>0</v>
      </c>
      <c r="Y1415" s="487"/>
      <c r="Z1415" s="487"/>
      <c r="AA1415" s="276">
        <f t="shared" si="179"/>
        <v>0</v>
      </c>
      <c r="AB1415" s="573"/>
      <c r="AC1415" s="487"/>
      <c r="AD1415" s="573"/>
      <c r="AE1415" s="487"/>
      <c r="AF1415" s="577">
        <f t="shared" si="175"/>
        <v>0</v>
      </c>
      <c r="AG1415" s="275">
        <f t="shared" si="176"/>
        <v>0</v>
      </c>
    </row>
    <row r="1416" spans="1:33" s="578" customFormat="1" ht="12" customHeight="1">
      <c r="A1416" s="687" t="s">
        <v>1273</v>
      </c>
      <c r="B1416" s="687" t="s">
        <v>1801</v>
      </c>
      <c r="C1416" s="506" t="s">
        <v>859</v>
      </c>
      <c r="D1416" s="696"/>
      <c r="E1416" s="697"/>
      <c r="F1416" s="573"/>
      <c r="G1416" s="487"/>
      <c r="H1416" s="573"/>
      <c r="I1416" s="487"/>
      <c r="J1416" s="573"/>
      <c r="K1416" s="487"/>
      <c r="L1416" s="573"/>
      <c r="M1416" s="573"/>
      <c r="N1416" s="456">
        <f t="shared" si="177"/>
        <v>0</v>
      </c>
      <c r="O1416" s="487"/>
      <c r="P1416" s="487"/>
      <c r="Q1416" s="274">
        <f t="shared" si="172"/>
        <v>0</v>
      </c>
      <c r="R1416" s="574">
        <f t="shared" si="173"/>
        <v>0</v>
      </c>
      <c r="S1416" s="275">
        <f t="shared" si="174"/>
        <v>0</v>
      </c>
      <c r="T1416" s="575"/>
      <c r="U1416" s="487"/>
      <c r="V1416" s="576"/>
      <c r="W1416" s="573"/>
      <c r="X1416" s="574">
        <f t="shared" si="178"/>
        <v>0</v>
      </c>
      <c r="Y1416" s="487"/>
      <c r="Z1416" s="487"/>
      <c r="AA1416" s="276">
        <f t="shared" si="179"/>
        <v>0</v>
      </c>
      <c r="AB1416" s="573"/>
      <c r="AC1416" s="487"/>
      <c r="AD1416" s="573"/>
      <c r="AE1416" s="487"/>
      <c r="AF1416" s="577">
        <f t="shared" si="175"/>
        <v>0</v>
      </c>
      <c r="AG1416" s="275">
        <f t="shared" si="176"/>
        <v>0</v>
      </c>
    </row>
    <row r="1417" spans="1:33" s="578" customFormat="1" ht="12" customHeight="1">
      <c r="A1417" s="687" t="s">
        <v>1273</v>
      </c>
      <c r="B1417" s="687" t="s">
        <v>1802</v>
      </c>
      <c r="C1417" s="506" t="s">
        <v>861</v>
      </c>
      <c r="D1417" s="696"/>
      <c r="E1417" s="697"/>
      <c r="F1417" s="573"/>
      <c r="G1417" s="487"/>
      <c r="H1417" s="573"/>
      <c r="I1417" s="487"/>
      <c r="J1417" s="573"/>
      <c r="K1417" s="487"/>
      <c r="L1417" s="573"/>
      <c r="M1417" s="573"/>
      <c r="N1417" s="456">
        <f t="shared" si="177"/>
        <v>0</v>
      </c>
      <c r="O1417" s="487"/>
      <c r="P1417" s="487"/>
      <c r="Q1417" s="274">
        <f t="shared" si="172"/>
        <v>0</v>
      </c>
      <c r="R1417" s="574">
        <f t="shared" si="173"/>
        <v>0</v>
      </c>
      <c r="S1417" s="275">
        <f t="shared" si="174"/>
        <v>0</v>
      </c>
      <c r="T1417" s="575">
        <v>1307100</v>
      </c>
      <c r="U1417" s="487">
        <f>1312750</f>
        <v>1312750</v>
      </c>
      <c r="V1417" s="576"/>
      <c r="W1417" s="573"/>
      <c r="X1417" s="574">
        <f t="shared" si="178"/>
        <v>0</v>
      </c>
      <c r="Y1417" s="487"/>
      <c r="Z1417" s="487"/>
      <c r="AA1417" s="276">
        <f t="shared" si="179"/>
        <v>0</v>
      </c>
      <c r="AB1417" s="573"/>
      <c r="AC1417" s="487"/>
      <c r="AD1417" s="573"/>
      <c r="AE1417" s="487"/>
      <c r="AF1417" s="577">
        <f t="shared" si="175"/>
        <v>1307100</v>
      </c>
      <c r="AG1417" s="275">
        <f t="shared" si="176"/>
        <v>1312750</v>
      </c>
    </row>
    <row r="1418" spans="1:33" s="578" customFormat="1" ht="12" customHeight="1">
      <c r="A1418" s="687" t="s">
        <v>1273</v>
      </c>
      <c r="B1418" s="687" t="s">
        <v>1803</v>
      </c>
      <c r="C1418" s="506" t="s">
        <v>954</v>
      </c>
      <c r="D1418" s="696"/>
      <c r="E1418" s="697"/>
      <c r="F1418" s="573"/>
      <c r="G1418" s="487"/>
      <c r="H1418" s="573"/>
      <c r="I1418" s="487"/>
      <c r="J1418" s="573"/>
      <c r="K1418" s="487"/>
      <c r="L1418" s="573"/>
      <c r="M1418" s="573"/>
      <c r="N1418" s="456">
        <f t="shared" si="177"/>
        <v>0</v>
      </c>
      <c r="O1418" s="487"/>
      <c r="P1418" s="487"/>
      <c r="Q1418" s="274">
        <f t="shared" ref="Q1418:Q1481" si="180">SUM(O1418:P1418)</f>
        <v>0</v>
      </c>
      <c r="R1418" s="574">
        <f t="shared" ref="R1418:R1481" si="181">SUM(F1418,H1418,J1418,L1418)</f>
        <v>0</v>
      </c>
      <c r="S1418" s="275">
        <f t="shared" ref="S1418:S1481" si="182">SUM(G1418,I1418,K1418,O1418)</f>
        <v>0</v>
      </c>
      <c r="T1418" s="575"/>
      <c r="U1418" s="487"/>
      <c r="V1418" s="576"/>
      <c r="W1418" s="573"/>
      <c r="X1418" s="574">
        <f t="shared" si="178"/>
        <v>0</v>
      </c>
      <c r="Y1418" s="487"/>
      <c r="Z1418" s="487"/>
      <c r="AA1418" s="276">
        <f t="shared" si="179"/>
        <v>0</v>
      </c>
      <c r="AB1418" s="573"/>
      <c r="AC1418" s="487"/>
      <c r="AD1418" s="573"/>
      <c r="AE1418" s="487"/>
      <c r="AF1418" s="577">
        <f t="shared" ref="AF1418:AF1481" si="183">SUM(R1418,T1418,V1418,AB1418,AD1418)</f>
        <v>0</v>
      </c>
      <c r="AG1418" s="275">
        <f t="shared" ref="AG1418:AG1481" si="184">SUM(S1418,U1418,Y1418,AC1418,AE1418)</f>
        <v>0</v>
      </c>
    </row>
    <row r="1419" spans="1:33" s="578" customFormat="1" ht="12" customHeight="1">
      <c r="A1419" s="687" t="s">
        <v>1273</v>
      </c>
      <c r="B1419" s="687" t="s">
        <v>1804</v>
      </c>
      <c r="C1419" s="507" t="s">
        <v>418</v>
      </c>
      <c r="D1419" s="696"/>
      <c r="E1419" s="697"/>
      <c r="F1419" s="573"/>
      <c r="G1419" s="487"/>
      <c r="H1419" s="573"/>
      <c r="I1419" s="487"/>
      <c r="J1419" s="573"/>
      <c r="K1419" s="487"/>
      <c r="L1419" s="573"/>
      <c r="M1419" s="573"/>
      <c r="N1419" s="456">
        <f t="shared" si="177"/>
        <v>0</v>
      </c>
      <c r="O1419" s="487"/>
      <c r="P1419" s="487"/>
      <c r="Q1419" s="274">
        <f t="shared" si="180"/>
        <v>0</v>
      </c>
      <c r="R1419" s="574">
        <f t="shared" si="181"/>
        <v>0</v>
      </c>
      <c r="S1419" s="275">
        <f t="shared" si="182"/>
        <v>0</v>
      </c>
      <c r="T1419" s="575"/>
      <c r="U1419" s="487"/>
      <c r="V1419" s="576"/>
      <c r="W1419" s="573"/>
      <c r="X1419" s="574">
        <f t="shared" si="178"/>
        <v>0</v>
      </c>
      <c r="Y1419" s="487"/>
      <c r="Z1419" s="487"/>
      <c r="AA1419" s="276">
        <f t="shared" si="179"/>
        <v>0</v>
      </c>
      <c r="AB1419" s="573"/>
      <c r="AC1419" s="487"/>
      <c r="AD1419" s="573"/>
      <c r="AE1419" s="487"/>
      <c r="AF1419" s="577">
        <f t="shared" si="183"/>
        <v>0</v>
      </c>
      <c r="AG1419" s="275">
        <f t="shared" si="184"/>
        <v>0</v>
      </c>
    </row>
    <row r="1420" spans="1:33" s="578" customFormat="1" ht="12" customHeight="1">
      <c r="A1420" s="687" t="s">
        <v>1273</v>
      </c>
      <c r="B1420" s="687" t="s">
        <v>1805</v>
      </c>
      <c r="C1420" s="510" t="s">
        <v>419</v>
      </c>
      <c r="D1420" s="696"/>
      <c r="E1420" s="697"/>
      <c r="F1420" s="573"/>
      <c r="G1420" s="487"/>
      <c r="H1420" s="573"/>
      <c r="I1420" s="487"/>
      <c r="J1420" s="573"/>
      <c r="K1420" s="487"/>
      <c r="L1420" s="573"/>
      <c r="M1420" s="573"/>
      <c r="N1420" s="456">
        <f t="shared" si="177"/>
        <v>0</v>
      </c>
      <c r="O1420" s="487"/>
      <c r="P1420" s="487"/>
      <c r="Q1420" s="274">
        <f t="shared" si="180"/>
        <v>0</v>
      </c>
      <c r="R1420" s="574">
        <f t="shared" si="181"/>
        <v>0</v>
      </c>
      <c r="S1420" s="275">
        <f t="shared" si="182"/>
        <v>0</v>
      </c>
      <c r="T1420" s="575"/>
      <c r="U1420" s="487"/>
      <c r="V1420" s="576"/>
      <c r="W1420" s="573"/>
      <c r="X1420" s="574">
        <f t="shared" si="178"/>
        <v>0</v>
      </c>
      <c r="Y1420" s="487"/>
      <c r="Z1420" s="487"/>
      <c r="AA1420" s="276">
        <f t="shared" si="179"/>
        <v>0</v>
      </c>
      <c r="AB1420" s="573"/>
      <c r="AC1420" s="487"/>
      <c r="AD1420" s="573"/>
      <c r="AE1420" s="487"/>
      <c r="AF1420" s="577">
        <f t="shared" si="183"/>
        <v>0</v>
      </c>
      <c r="AG1420" s="275">
        <f t="shared" si="184"/>
        <v>0</v>
      </c>
    </row>
    <row r="1421" spans="1:33" s="578" customFormat="1" ht="12" customHeight="1">
      <c r="A1421" s="687" t="s">
        <v>1273</v>
      </c>
      <c r="B1421" s="687" t="s">
        <v>1805</v>
      </c>
      <c r="C1421" s="511" t="s">
        <v>1120</v>
      </c>
      <c r="D1421" s="696"/>
      <c r="E1421" s="697"/>
      <c r="F1421" s="573"/>
      <c r="G1421" s="487"/>
      <c r="H1421" s="573"/>
      <c r="I1421" s="487"/>
      <c r="J1421" s="573"/>
      <c r="K1421" s="487"/>
      <c r="L1421" s="573"/>
      <c r="M1421" s="573"/>
      <c r="N1421" s="456">
        <f t="shared" si="177"/>
        <v>0</v>
      </c>
      <c r="O1421" s="487"/>
      <c r="P1421" s="487"/>
      <c r="Q1421" s="274">
        <f t="shared" si="180"/>
        <v>0</v>
      </c>
      <c r="R1421" s="574">
        <f t="shared" si="181"/>
        <v>0</v>
      </c>
      <c r="S1421" s="275">
        <f t="shared" si="182"/>
        <v>0</v>
      </c>
      <c r="T1421" s="575"/>
      <c r="U1421" s="487"/>
      <c r="V1421" s="576"/>
      <c r="W1421" s="573"/>
      <c r="X1421" s="574">
        <f t="shared" si="178"/>
        <v>0</v>
      </c>
      <c r="Y1421" s="487"/>
      <c r="Z1421" s="487"/>
      <c r="AA1421" s="276">
        <f t="shared" si="179"/>
        <v>0</v>
      </c>
      <c r="AB1421" s="573"/>
      <c r="AC1421" s="487"/>
      <c r="AD1421" s="573"/>
      <c r="AE1421" s="487"/>
      <c r="AF1421" s="577">
        <f t="shared" si="183"/>
        <v>0</v>
      </c>
      <c r="AG1421" s="275">
        <f t="shared" si="184"/>
        <v>0</v>
      </c>
    </row>
    <row r="1422" spans="1:33" s="578" customFormat="1" ht="12" customHeight="1">
      <c r="A1422" s="687" t="s">
        <v>1273</v>
      </c>
      <c r="B1422" s="701" t="s">
        <v>1510</v>
      </c>
      <c r="C1422" s="702" t="s">
        <v>421</v>
      </c>
      <c r="D1422" s="696"/>
      <c r="E1422" s="697"/>
      <c r="F1422" s="573"/>
      <c r="G1422" s="487"/>
      <c r="H1422" s="573"/>
      <c r="I1422" s="487"/>
      <c r="J1422" s="573"/>
      <c r="K1422" s="487"/>
      <c r="L1422" s="573"/>
      <c r="M1422" s="573"/>
      <c r="N1422" s="456">
        <f t="shared" si="177"/>
        <v>0</v>
      </c>
      <c r="O1422" s="487"/>
      <c r="P1422" s="487"/>
      <c r="Q1422" s="274">
        <f t="shared" si="180"/>
        <v>0</v>
      </c>
      <c r="R1422" s="574">
        <f t="shared" si="181"/>
        <v>0</v>
      </c>
      <c r="S1422" s="275">
        <f t="shared" si="182"/>
        <v>0</v>
      </c>
      <c r="T1422" s="575"/>
      <c r="U1422" s="487"/>
      <c r="V1422" s="576"/>
      <c r="W1422" s="573"/>
      <c r="X1422" s="574">
        <f t="shared" si="178"/>
        <v>0</v>
      </c>
      <c r="Y1422" s="487"/>
      <c r="Z1422" s="487"/>
      <c r="AA1422" s="276">
        <f t="shared" si="179"/>
        <v>0</v>
      </c>
      <c r="AB1422" s="573"/>
      <c r="AC1422" s="487"/>
      <c r="AD1422" s="573"/>
      <c r="AE1422" s="487"/>
      <c r="AF1422" s="577">
        <f t="shared" si="183"/>
        <v>0</v>
      </c>
      <c r="AG1422" s="275">
        <f t="shared" si="184"/>
        <v>0</v>
      </c>
    </row>
    <row r="1423" spans="1:33" s="578" customFormat="1" ht="12" customHeight="1">
      <c r="A1423" s="687" t="s">
        <v>1273</v>
      </c>
      <c r="B1423" s="701" t="s">
        <v>1511</v>
      </c>
      <c r="C1423" s="702" t="s">
        <v>1883</v>
      </c>
      <c r="D1423" s="696"/>
      <c r="E1423" s="697"/>
      <c r="F1423" s="573"/>
      <c r="G1423" s="487"/>
      <c r="H1423" s="573"/>
      <c r="I1423" s="487"/>
      <c r="J1423" s="573"/>
      <c r="K1423" s="487"/>
      <c r="L1423" s="573"/>
      <c r="M1423" s="573"/>
      <c r="N1423" s="456">
        <f t="shared" si="177"/>
        <v>0</v>
      </c>
      <c r="O1423" s="487"/>
      <c r="P1423" s="487"/>
      <c r="Q1423" s="274">
        <f t="shared" si="180"/>
        <v>0</v>
      </c>
      <c r="R1423" s="574">
        <f t="shared" si="181"/>
        <v>0</v>
      </c>
      <c r="S1423" s="275">
        <f t="shared" si="182"/>
        <v>0</v>
      </c>
      <c r="T1423" s="575">
        <v>14605369</v>
      </c>
      <c r="U1423" s="487">
        <f>22034745+875298.8</f>
        <v>22910043.800000001</v>
      </c>
      <c r="V1423" s="576"/>
      <c r="W1423" s="573"/>
      <c r="X1423" s="574">
        <f t="shared" si="178"/>
        <v>0</v>
      </c>
      <c r="Y1423" s="487"/>
      <c r="Z1423" s="487"/>
      <c r="AA1423" s="276">
        <f t="shared" si="179"/>
        <v>0</v>
      </c>
      <c r="AB1423" s="573"/>
      <c r="AC1423" s="487"/>
      <c r="AD1423" s="573"/>
      <c r="AE1423" s="487"/>
      <c r="AF1423" s="577">
        <f t="shared" si="183"/>
        <v>14605369</v>
      </c>
      <c r="AG1423" s="275">
        <f t="shared" si="184"/>
        <v>22910043.800000001</v>
      </c>
    </row>
    <row r="1424" spans="1:33" s="578" customFormat="1" ht="12" customHeight="1">
      <c r="A1424" s="687" t="s">
        <v>1273</v>
      </c>
      <c r="B1424" s="701" t="s">
        <v>1412</v>
      </c>
      <c r="C1424" s="702" t="s">
        <v>1761</v>
      </c>
      <c r="D1424" s="696"/>
      <c r="E1424" s="697"/>
      <c r="F1424" s="573"/>
      <c r="G1424" s="487"/>
      <c r="H1424" s="573"/>
      <c r="I1424" s="487"/>
      <c r="J1424" s="573"/>
      <c r="K1424" s="487"/>
      <c r="L1424" s="573"/>
      <c r="M1424" s="573"/>
      <c r="N1424" s="456">
        <f t="shared" si="177"/>
        <v>0</v>
      </c>
      <c r="O1424" s="487"/>
      <c r="P1424" s="487"/>
      <c r="Q1424" s="274">
        <f t="shared" si="180"/>
        <v>0</v>
      </c>
      <c r="R1424" s="574">
        <f t="shared" si="181"/>
        <v>0</v>
      </c>
      <c r="S1424" s="275">
        <f t="shared" si="182"/>
        <v>0</v>
      </c>
      <c r="T1424" s="575">
        <v>106752569</v>
      </c>
      <c r="U1424" s="487">
        <f>108762475</f>
        <v>108762475</v>
      </c>
      <c r="V1424" s="576"/>
      <c r="W1424" s="573"/>
      <c r="X1424" s="574">
        <f t="shared" si="178"/>
        <v>0</v>
      </c>
      <c r="Y1424" s="487"/>
      <c r="Z1424" s="487"/>
      <c r="AA1424" s="276">
        <f t="shared" si="179"/>
        <v>0</v>
      </c>
      <c r="AB1424" s="573"/>
      <c r="AC1424" s="487"/>
      <c r="AD1424" s="573"/>
      <c r="AE1424" s="487"/>
      <c r="AF1424" s="577">
        <f t="shared" si="183"/>
        <v>106752569</v>
      </c>
      <c r="AG1424" s="275">
        <f t="shared" si="184"/>
        <v>108762475</v>
      </c>
    </row>
    <row r="1425" spans="1:34" s="578" customFormat="1" ht="12" customHeight="1">
      <c r="A1425" s="687" t="s">
        <v>1273</v>
      </c>
      <c r="B1425" s="701" t="s">
        <v>1413</v>
      </c>
      <c r="C1425" s="702" t="s">
        <v>422</v>
      </c>
      <c r="D1425" s="696"/>
      <c r="E1425" s="697"/>
      <c r="F1425" s="573"/>
      <c r="G1425" s="487"/>
      <c r="H1425" s="573"/>
      <c r="I1425" s="487"/>
      <c r="J1425" s="573"/>
      <c r="K1425" s="487"/>
      <c r="L1425" s="573"/>
      <c r="M1425" s="573"/>
      <c r="N1425" s="456">
        <f t="shared" si="177"/>
        <v>0</v>
      </c>
      <c r="O1425" s="487"/>
      <c r="P1425" s="487"/>
      <c r="Q1425" s="274">
        <f t="shared" si="180"/>
        <v>0</v>
      </c>
      <c r="R1425" s="574">
        <f t="shared" si="181"/>
        <v>0</v>
      </c>
      <c r="S1425" s="275">
        <f t="shared" si="182"/>
        <v>0</v>
      </c>
      <c r="T1425" s="575"/>
      <c r="U1425" s="487"/>
      <c r="V1425" s="576"/>
      <c r="W1425" s="573"/>
      <c r="X1425" s="574">
        <f t="shared" si="178"/>
        <v>0</v>
      </c>
      <c r="Y1425" s="487"/>
      <c r="Z1425" s="487"/>
      <c r="AA1425" s="276">
        <f t="shared" si="179"/>
        <v>0</v>
      </c>
      <c r="AB1425" s="573"/>
      <c r="AC1425" s="487"/>
      <c r="AD1425" s="573"/>
      <c r="AE1425" s="487"/>
      <c r="AF1425" s="577">
        <f t="shared" si="183"/>
        <v>0</v>
      </c>
      <c r="AG1425" s="275">
        <f t="shared" si="184"/>
        <v>0</v>
      </c>
    </row>
    <row r="1426" spans="1:34" s="578" customFormat="1" ht="12" customHeight="1">
      <c r="A1426" s="687" t="s">
        <v>1273</v>
      </c>
      <c r="B1426" s="701" t="s">
        <v>1582</v>
      </c>
      <c r="C1426" s="702" t="s">
        <v>1883</v>
      </c>
      <c r="D1426" s="696"/>
      <c r="E1426" s="697"/>
      <c r="F1426" s="573"/>
      <c r="G1426" s="487"/>
      <c r="H1426" s="573"/>
      <c r="I1426" s="487"/>
      <c r="J1426" s="573"/>
      <c r="K1426" s="487"/>
      <c r="L1426" s="573"/>
      <c r="M1426" s="573"/>
      <c r="N1426" s="456">
        <f t="shared" si="177"/>
        <v>0</v>
      </c>
      <c r="O1426" s="487"/>
      <c r="P1426" s="487"/>
      <c r="Q1426" s="274">
        <f t="shared" si="180"/>
        <v>0</v>
      </c>
      <c r="R1426" s="574">
        <f t="shared" si="181"/>
        <v>0</v>
      </c>
      <c r="S1426" s="275">
        <f t="shared" si="182"/>
        <v>0</v>
      </c>
      <c r="T1426" s="575">
        <v>1453682</v>
      </c>
      <c r="U1426" s="487">
        <f>2190401+149388.14</f>
        <v>2339789.14</v>
      </c>
      <c r="V1426" s="576"/>
      <c r="W1426" s="573"/>
      <c r="X1426" s="574">
        <f t="shared" si="178"/>
        <v>0</v>
      </c>
      <c r="Y1426" s="487"/>
      <c r="Z1426" s="487"/>
      <c r="AA1426" s="276">
        <f t="shared" si="179"/>
        <v>0</v>
      </c>
      <c r="AB1426" s="573"/>
      <c r="AC1426" s="487"/>
      <c r="AD1426" s="573"/>
      <c r="AE1426" s="487"/>
      <c r="AF1426" s="577">
        <f t="shared" si="183"/>
        <v>1453682</v>
      </c>
      <c r="AG1426" s="275">
        <f t="shared" si="184"/>
        <v>2339789.14</v>
      </c>
    </row>
    <row r="1427" spans="1:34" s="578" customFormat="1" ht="12" customHeight="1">
      <c r="A1427" s="687" t="s">
        <v>1273</v>
      </c>
      <c r="B1427" s="701" t="s">
        <v>1583</v>
      </c>
      <c r="C1427" s="702" t="s">
        <v>1761</v>
      </c>
      <c r="D1427" s="696"/>
      <c r="E1427" s="697"/>
      <c r="F1427" s="573"/>
      <c r="G1427" s="487"/>
      <c r="H1427" s="573"/>
      <c r="I1427" s="487"/>
      <c r="J1427" s="573"/>
      <c r="K1427" s="487"/>
      <c r="L1427" s="573"/>
      <c r="M1427" s="573"/>
      <c r="N1427" s="456">
        <f t="shared" ref="N1427:N1490" si="185">SUM(L1427:M1427)</f>
        <v>0</v>
      </c>
      <c r="O1427" s="487"/>
      <c r="P1427" s="487"/>
      <c r="Q1427" s="274">
        <f t="shared" si="180"/>
        <v>0</v>
      </c>
      <c r="R1427" s="574">
        <f t="shared" si="181"/>
        <v>0</v>
      </c>
      <c r="S1427" s="275">
        <f t="shared" si="182"/>
        <v>0</v>
      </c>
      <c r="T1427" s="575">
        <v>9140146</v>
      </c>
      <c r="U1427" s="487">
        <f>9223851</f>
        <v>9223851</v>
      </c>
      <c r="V1427" s="576"/>
      <c r="W1427" s="573"/>
      <c r="X1427" s="574">
        <f t="shared" ref="X1427:X1490" si="186">SUM(V1427:W1427)</f>
        <v>0</v>
      </c>
      <c r="Y1427" s="487"/>
      <c r="Z1427" s="487"/>
      <c r="AA1427" s="276">
        <f t="shared" ref="AA1427:AA1490" si="187">SUM(Y1427:Z1427)</f>
        <v>0</v>
      </c>
      <c r="AB1427" s="573"/>
      <c r="AC1427" s="487"/>
      <c r="AD1427" s="573"/>
      <c r="AE1427" s="487"/>
      <c r="AF1427" s="577">
        <f t="shared" si="183"/>
        <v>9140146</v>
      </c>
      <c r="AG1427" s="275">
        <f t="shared" si="184"/>
        <v>9223851</v>
      </c>
    </row>
    <row r="1428" spans="1:34" s="578" customFormat="1" ht="12" customHeight="1">
      <c r="A1428" s="687" t="s">
        <v>1273</v>
      </c>
      <c r="B1428" s="701" t="s">
        <v>1806</v>
      </c>
      <c r="C1428" s="512" t="s">
        <v>193</v>
      </c>
      <c r="D1428" s="696"/>
      <c r="E1428" s="697"/>
      <c r="F1428" s="573"/>
      <c r="G1428" s="487"/>
      <c r="H1428" s="573"/>
      <c r="I1428" s="487"/>
      <c r="J1428" s="573"/>
      <c r="K1428" s="487"/>
      <c r="L1428" s="573"/>
      <c r="M1428" s="573"/>
      <c r="N1428" s="456">
        <f t="shared" si="185"/>
        <v>0</v>
      </c>
      <c r="O1428" s="487"/>
      <c r="P1428" s="487"/>
      <c r="Q1428" s="274">
        <f t="shared" si="180"/>
        <v>0</v>
      </c>
      <c r="R1428" s="574">
        <f t="shared" si="181"/>
        <v>0</v>
      </c>
      <c r="S1428" s="275">
        <f t="shared" si="182"/>
        <v>0</v>
      </c>
      <c r="T1428" s="575"/>
      <c r="U1428" s="487"/>
      <c r="V1428" s="576"/>
      <c r="W1428" s="573"/>
      <c r="X1428" s="574">
        <f t="shared" si="186"/>
        <v>0</v>
      </c>
      <c r="Y1428" s="487"/>
      <c r="Z1428" s="487"/>
      <c r="AA1428" s="276">
        <f t="shared" si="187"/>
        <v>0</v>
      </c>
      <c r="AB1428" s="573"/>
      <c r="AC1428" s="487"/>
      <c r="AD1428" s="573"/>
      <c r="AE1428" s="487"/>
      <c r="AF1428" s="577">
        <f t="shared" si="183"/>
        <v>0</v>
      </c>
      <c r="AG1428" s="275">
        <f t="shared" si="184"/>
        <v>0</v>
      </c>
    </row>
    <row r="1429" spans="1:34" s="578" customFormat="1" ht="12" customHeight="1">
      <c r="A1429" s="687" t="s">
        <v>1273</v>
      </c>
      <c r="B1429" s="701" t="s">
        <v>1806</v>
      </c>
      <c r="C1429" s="511" t="s">
        <v>1121</v>
      </c>
      <c r="D1429" s="696"/>
      <c r="E1429" s="697"/>
      <c r="F1429" s="573"/>
      <c r="G1429" s="487"/>
      <c r="H1429" s="573"/>
      <c r="I1429" s="487"/>
      <c r="J1429" s="573"/>
      <c r="K1429" s="487"/>
      <c r="L1429" s="573"/>
      <c r="M1429" s="573"/>
      <c r="N1429" s="456">
        <f t="shared" si="185"/>
        <v>0</v>
      </c>
      <c r="O1429" s="487"/>
      <c r="P1429" s="487"/>
      <c r="Q1429" s="274">
        <f t="shared" si="180"/>
        <v>0</v>
      </c>
      <c r="R1429" s="574">
        <f t="shared" si="181"/>
        <v>0</v>
      </c>
      <c r="S1429" s="275">
        <f t="shared" si="182"/>
        <v>0</v>
      </c>
      <c r="T1429" s="575"/>
      <c r="U1429" s="487"/>
      <c r="V1429" s="576"/>
      <c r="W1429" s="573"/>
      <c r="X1429" s="574">
        <f t="shared" si="186"/>
        <v>0</v>
      </c>
      <c r="Y1429" s="487"/>
      <c r="Z1429" s="487"/>
      <c r="AA1429" s="276">
        <f t="shared" si="187"/>
        <v>0</v>
      </c>
      <c r="AB1429" s="573"/>
      <c r="AC1429" s="487"/>
      <c r="AD1429" s="573"/>
      <c r="AE1429" s="487"/>
      <c r="AF1429" s="577">
        <f t="shared" si="183"/>
        <v>0</v>
      </c>
      <c r="AG1429" s="275">
        <f t="shared" si="184"/>
        <v>0</v>
      </c>
    </row>
    <row r="1430" spans="1:34" s="578" customFormat="1">
      <c r="A1430" s="687" t="s">
        <v>1273</v>
      </c>
      <c r="B1430" s="701" t="s">
        <v>1764</v>
      </c>
      <c r="C1430" s="702" t="s">
        <v>1883</v>
      </c>
      <c r="D1430" s="696"/>
      <c r="E1430" s="697"/>
      <c r="F1430" s="573"/>
      <c r="G1430" s="487"/>
      <c r="H1430" s="573"/>
      <c r="I1430" s="487"/>
      <c r="J1430" s="573"/>
      <c r="K1430" s="487"/>
      <c r="L1430" s="573"/>
      <c r="M1430" s="573"/>
      <c r="N1430" s="456">
        <f t="shared" si="185"/>
        <v>0</v>
      </c>
      <c r="O1430" s="487"/>
      <c r="P1430" s="487"/>
      <c r="Q1430" s="274">
        <f t="shared" si="180"/>
        <v>0</v>
      </c>
      <c r="R1430" s="574">
        <f t="shared" si="181"/>
        <v>0</v>
      </c>
      <c r="S1430" s="275">
        <f t="shared" si="182"/>
        <v>0</v>
      </c>
      <c r="T1430" s="575"/>
      <c r="U1430" s="487"/>
      <c r="V1430" s="576"/>
      <c r="W1430" s="573"/>
      <c r="X1430" s="574">
        <f t="shared" si="186"/>
        <v>0</v>
      </c>
      <c r="Y1430" s="487"/>
      <c r="Z1430" s="487"/>
      <c r="AA1430" s="276">
        <f t="shared" si="187"/>
        <v>0</v>
      </c>
      <c r="AB1430" s="573"/>
      <c r="AC1430" s="487"/>
      <c r="AD1430" s="573"/>
      <c r="AE1430" s="487"/>
      <c r="AF1430" s="577">
        <f t="shared" si="183"/>
        <v>0</v>
      </c>
      <c r="AG1430" s="275">
        <f t="shared" si="184"/>
        <v>0</v>
      </c>
    </row>
    <row r="1431" spans="1:34" s="578" customFormat="1" ht="12" customHeight="1">
      <c r="A1431" s="687" t="s">
        <v>1273</v>
      </c>
      <c r="B1431" s="701" t="s">
        <v>1765</v>
      </c>
      <c r="C1431" s="702" t="s">
        <v>1761</v>
      </c>
      <c r="D1431" s="696"/>
      <c r="E1431" s="697"/>
      <c r="F1431" s="573"/>
      <c r="G1431" s="487"/>
      <c r="H1431" s="573"/>
      <c r="I1431" s="487"/>
      <c r="J1431" s="573"/>
      <c r="K1431" s="487"/>
      <c r="L1431" s="573"/>
      <c r="M1431" s="573"/>
      <c r="N1431" s="456">
        <f t="shared" si="185"/>
        <v>0</v>
      </c>
      <c r="O1431" s="487"/>
      <c r="P1431" s="487"/>
      <c r="Q1431" s="274">
        <f t="shared" si="180"/>
        <v>0</v>
      </c>
      <c r="R1431" s="574">
        <f t="shared" si="181"/>
        <v>0</v>
      </c>
      <c r="S1431" s="275">
        <f t="shared" si="182"/>
        <v>0</v>
      </c>
      <c r="T1431" s="575">
        <f>3483600+56000</f>
        <v>3539600</v>
      </c>
      <c r="U1431" s="487">
        <f>60000+3971800</f>
        <v>4031800</v>
      </c>
      <c r="V1431" s="576"/>
      <c r="W1431" s="573"/>
      <c r="X1431" s="574">
        <f t="shared" si="186"/>
        <v>0</v>
      </c>
      <c r="Y1431" s="487"/>
      <c r="Z1431" s="487"/>
      <c r="AA1431" s="276">
        <f t="shared" si="187"/>
        <v>0</v>
      </c>
      <c r="AB1431" s="573"/>
      <c r="AC1431" s="487"/>
      <c r="AD1431" s="573"/>
      <c r="AE1431" s="487"/>
      <c r="AF1431" s="577">
        <f t="shared" si="183"/>
        <v>3539600</v>
      </c>
      <c r="AG1431" s="275">
        <f t="shared" si="184"/>
        <v>4031800</v>
      </c>
    </row>
    <row r="1432" spans="1:34" s="578" customFormat="1" ht="12" customHeight="1">
      <c r="A1432" s="687" t="s">
        <v>1273</v>
      </c>
      <c r="B1432" s="703" t="s">
        <v>1807</v>
      </c>
      <c r="C1432" s="488" t="s">
        <v>713</v>
      </c>
      <c r="D1432" s="704"/>
      <c r="E1432" s="705"/>
      <c r="F1432" s="573"/>
      <c r="G1432" s="487"/>
      <c r="H1432" s="573"/>
      <c r="I1432" s="487"/>
      <c r="J1432" s="573"/>
      <c r="K1432" s="487"/>
      <c r="L1432" s="573"/>
      <c r="M1432" s="573"/>
      <c r="N1432" s="456">
        <f t="shared" si="185"/>
        <v>0</v>
      </c>
      <c r="O1432" s="487"/>
      <c r="P1432" s="487"/>
      <c r="Q1432" s="274">
        <f t="shared" si="180"/>
        <v>0</v>
      </c>
      <c r="R1432" s="574">
        <f t="shared" si="181"/>
        <v>0</v>
      </c>
      <c r="S1432" s="275">
        <f t="shared" si="182"/>
        <v>0</v>
      </c>
      <c r="T1432" s="663" t="s">
        <v>1122</v>
      </c>
      <c r="U1432" s="487"/>
      <c r="V1432" s="576"/>
      <c r="W1432" s="573"/>
      <c r="X1432" s="574">
        <f t="shared" si="186"/>
        <v>0</v>
      </c>
      <c r="Y1432" s="487"/>
      <c r="Z1432" s="487"/>
      <c r="AA1432" s="276">
        <f t="shared" si="187"/>
        <v>0</v>
      </c>
      <c r="AB1432" s="573"/>
      <c r="AC1432" s="487"/>
      <c r="AD1432" s="573"/>
      <c r="AE1432" s="487"/>
      <c r="AF1432" s="577">
        <f t="shared" si="183"/>
        <v>0</v>
      </c>
      <c r="AG1432" s="275">
        <f t="shared" si="184"/>
        <v>0</v>
      </c>
    </row>
    <row r="1433" spans="1:34" s="578" customFormat="1" ht="12" customHeight="1">
      <c r="A1433" s="687" t="s">
        <v>1273</v>
      </c>
      <c r="B1433" s="701" t="s">
        <v>1766</v>
      </c>
      <c r="C1433" s="702" t="s">
        <v>1883</v>
      </c>
      <c r="D1433" s="704"/>
      <c r="E1433" s="705"/>
      <c r="F1433" s="573"/>
      <c r="G1433" s="487"/>
      <c r="H1433" s="573"/>
      <c r="I1433" s="487"/>
      <c r="J1433" s="573"/>
      <c r="K1433" s="487"/>
      <c r="L1433" s="573"/>
      <c r="M1433" s="573"/>
      <c r="N1433" s="456">
        <f t="shared" si="185"/>
        <v>0</v>
      </c>
      <c r="O1433" s="487"/>
      <c r="P1433" s="487"/>
      <c r="Q1433" s="274">
        <f t="shared" si="180"/>
        <v>0</v>
      </c>
      <c r="R1433" s="574">
        <f t="shared" si="181"/>
        <v>0</v>
      </c>
      <c r="S1433" s="275">
        <f t="shared" si="182"/>
        <v>0</v>
      </c>
      <c r="T1433" s="794"/>
      <c r="U1433" s="487"/>
      <c r="V1433" s="576"/>
      <c r="W1433" s="573"/>
      <c r="X1433" s="574">
        <f t="shared" si="186"/>
        <v>0</v>
      </c>
      <c r="Y1433" s="487"/>
      <c r="Z1433" s="487"/>
      <c r="AA1433" s="276">
        <f t="shared" si="187"/>
        <v>0</v>
      </c>
      <c r="AB1433" s="573"/>
      <c r="AC1433" s="487"/>
      <c r="AD1433" s="573"/>
      <c r="AE1433" s="487"/>
      <c r="AF1433" s="577">
        <f t="shared" si="183"/>
        <v>0</v>
      </c>
      <c r="AG1433" s="275">
        <f t="shared" si="184"/>
        <v>0</v>
      </c>
    </row>
    <row r="1434" spans="1:34" ht="12" customHeight="1" thickBot="1">
      <c r="A1434" s="687" t="s">
        <v>1273</v>
      </c>
      <c r="B1434" s="701" t="s">
        <v>1767</v>
      </c>
      <c r="C1434" s="702" t="s">
        <v>1761</v>
      </c>
      <c r="D1434" s="704"/>
      <c r="E1434" s="705"/>
      <c r="F1434" s="573"/>
      <c r="G1434" s="487"/>
      <c r="H1434" s="573"/>
      <c r="I1434" s="487"/>
      <c r="J1434" s="573"/>
      <c r="K1434" s="487"/>
      <c r="L1434" s="573"/>
      <c r="M1434" s="573"/>
      <c r="N1434" s="456">
        <f t="shared" si="185"/>
        <v>0</v>
      </c>
      <c r="O1434" s="487"/>
      <c r="P1434" s="487"/>
      <c r="Q1434" s="274">
        <f t="shared" si="180"/>
        <v>0</v>
      </c>
      <c r="R1434" s="574">
        <f t="shared" si="181"/>
        <v>0</v>
      </c>
      <c r="S1434" s="275">
        <f t="shared" si="182"/>
        <v>0</v>
      </c>
      <c r="T1434" s="798"/>
      <c r="U1434" s="487"/>
      <c r="V1434" s="576"/>
      <c r="W1434" s="573"/>
      <c r="X1434" s="574">
        <f t="shared" si="186"/>
        <v>0</v>
      </c>
      <c r="Y1434" s="487"/>
      <c r="Z1434" s="487"/>
      <c r="AA1434" s="276">
        <f t="shared" si="187"/>
        <v>0</v>
      </c>
      <c r="AB1434" s="573"/>
      <c r="AC1434" s="487"/>
      <c r="AD1434" s="573"/>
      <c r="AE1434" s="487"/>
      <c r="AF1434" s="577">
        <f t="shared" si="183"/>
        <v>0</v>
      </c>
      <c r="AG1434" s="275">
        <f t="shared" si="184"/>
        <v>0</v>
      </c>
      <c r="AH1434" s="578"/>
    </row>
    <row r="1435" spans="1:34" ht="12" customHeight="1">
      <c r="A1435" s="706" t="s">
        <v>1279</v>
      </c>
      <c r="B1435" s="707" t="s">
        <v>1776</v>
      </c>
      <c r="C1435" s="708" t="s">
        <v>863</v>
      </c>
      <c r="D1435" s="709">
        <v>163286</v>
      </c>
      <c r="E1435" s="710">
        <v>1</v>
      </c>
      <c r="F1435" s="573">
        <v>359938647</v>
      </c>
      <c r="G1435" s="487">
        <f>401279061-I1437-I1438</f>
        <v>362946847</v>
      </c>
      <c r="H1435" s="573"/>
      <c r="I1435" s="487"/>
      <c r="J1435" s="573"/>
      <c r="K1435" s="487"/>
      <c r="L1435" s="573">
        <v>352206077</v>
      </c>
      <c r="M1435" s="573"/>
      <c r="N1435" s="456">
        <f t="shared" si="185"/>
        <v>352206077</v>
      </c>
      <c r="O1435" s="487">
        <v>384779949</v>
      </c>
      <c r="P1435" s="487"/>
      <c r="Q1435" s="274">
        <f t="shared" si="180"/>
        <v>384779949</v>
      </c>
      <c r="R1435" s="574">
        <f t="shared" si="181"/>
        <v>712144724</v>
      </c>
      <c r="S1435" s="275">
        <f t="shared" si="182"/>
        <v>747726796</v>
      </c>
      <c r="T1435" s="575"/>
      <c r="U1435" s="487"/>
      <c r="V1435" s="576"/>
      <c r="W1435" s="573"/>
      <c r="X1435" s="574">
        <f t="shared" si="186"/>
        <v>0</v>
      </c>
      <c r="Y1435" s="487"/>
      <c r="Z1435" s="487"/>
      <c r="AA1435" s="276">
        <f t="shared" si="187"/>
        <v>0</v>
      </c>
      <c r="AB1435" s="573"/>
      <c r="AC1435" s="487"/>
      <c r="AD1435" s="573"/>
      <c r="AE1435" s="487"/>
      <c r="AF1435" s="577">
        <f t="shared" si="183"/>
        <v>712144724</v>
      </c>
      <c r="AG1435" s="275">
        <f t="shared" si="184"/>
        <v>747726796</v>
      </c>
    </row>
    <row r="1436" spans="1:34" ht="12" customHeight="1">
      <c r="A1436" s="706" t="s">
        <v>1279</v>
      </c>
      <c r="B1436" s="707" t="s">
        <v>1779</v>
      </c>
      <c r="C1436" s="277" t="s">
        <v>864</v>
      </c>
      <c r="D1436" s="709">
        <v>163286</v>
      </c>
      <c r="E1436" s="710">
        <v>1</v>
      </c>
      <c r="F1436" s="573"/>
      <c r="G1436" s="487"/>
      <c r="H1436" s="573"/>
      <c r="I1436" s="487"/>
      <c r="J1436" s="573"/>
      <c r="K1436" s="487"/>
      <c r="L1436" s="573"/>
      <c r="M1436" s="573"/>
      <c r="N1436" s="456">
        <f t="shared" si="185"/>
        <v>0</v>
      </c>
      <c r="O1436" s="487"/>
      <c r="P1436" s="487"/>
      <c r="Q1436" s="274">
        <f t="shared" si="180"/>
        <v>0</v>
      </c>
      <c r="R1436" s="574">
        <f t="shared" si="181"/>
        <v>0</v>
      </c>
      <c r="S1436" s="275">
        <f t="shared" si="182"/>
        <v>0</v>
      </c>
      <c r="T1436" s="575"/>
      <c r="U1436" s="487"/>
      <c r="V1436" s="576"/>
      <c r="W1436" s="573"/>
      <c r="X1436" s="574">
        <f t="shared" si="186"/>
        <v>0</v>
      </c>
      <c r="Y1436" s="487"/>
      <c r="Z1436" s="487"/>
      <c r="AA1436" s="276">
        <f t="shared" si="187"/>
        <v>0</v>
      </c>
      <c r="AB1436" s="573"/>
      <c r="AC1436" s="487"/>
      <c r="AD1436" s="573"/>
      <c r="AE1436" s="487"/>
      <c r="AF1436" s="577">
        <f t="shared" si="183"/>
        <v>0</v>
      </c>
      <c r="AG1436" s="275">
        <f t="shared" si="184"/>
        <v>0</v>
      </c>
    </row>
    <row r="1437" spans="1:34" ht="12" customHeight="1">
      <c r="A1437" s="706" t="s">
        <v>1279</v>
      </c>
      <c r="B1437" s="707" t="s">
        <v>1780</v>
      </c>
      <c r="C1437" s="277" t="s">
        <v>1769</v>
      </c>
      <c r="D1437" s="709">
        <v>163286</v>
      </c>
      <c r="E1437" s="710">
        <v>1</v>
      </c>
      <c r="F1437" s="573"/>
      <c r="G1437" s="487"/>
      <c r="H1437" s="573">
        <v>19457358</v>
      </c>
      <c r="I1437" s="487">
        <v>20720943</v>
      </c>
      <c r="J1437" s="573"/>
      <c r="K1437" s="487"/>
      <c r="L1437" s="573"/>
      <c r="M1437" s="573"/>
      <c r="N1437" s="456">
        <f t="shared" si="185"/>
        <v>0</v>
      </c>
      <c r="O1437" s="487"/>
      <c r="P1437" s="487"/>
      <c r="Q1437" s="274">
        <f t="shared" si="180"/>
        <v>0</v>
      </c>
      <c r="R1437" s="574">
        <f t="shared" si="181"/>
        <v>19457358</v>
      </c>
      <c r="S1437" s="275">
        <f t="shared" si="182"/>
        <v>20720943</v>
      </c>
      <c r="T1437" s="575"/>
      <c r="U1437" s="487"/>
      <c r="V1437" s="576"/>
      <c r="W1437" s="573"/>
      <c r="X1437" s="574">
        <f t="shared" si="186"/>
        <v>0</v>
      </c>
      <c r="Y1437" s="487"/>
      <c r="Z1437" s="487"/>
      <c r="AA1437" s="276">
        <f t="shared" si="187"/>
        <v>0</v>
      </c>
      <c r="AB1437" s="573"/>
      <c r="AC1437" s="487"/>
      <c r="AD1437" s="573"/>
      <c r="AE1437" s="487"/>
      <c r="AF1437" s="577">
        <f t="shared" si="183"/>
        <v>19457358</v>
      </c>
      <c r="AG1437" s="275">
        <f t="shared" si="184"/>
        <v>20720943</v>
      </c>
    </row>
    <row r="1438" spans="1:34" ht="12" customHeight="1">
      <c r="A1438" s="706" t="s">
        <v>1279</v>
      </c>
      <c r="B1438" s="707" t="s">
        <v>1781</v>
      </c>
      <c r="C1438" s="277" t="s">
        <v>1768</v>
      </c>
      <c r="D1438" s="709">
        <v>163286</v>
      </c>
      <c r="E1438" s="710">
        <v>1</v>
      </c>
      <c r="F1438" s="573"/>
      <c r="G1438" s="487"/>
      <c r="H1438" s="573">
        <v>16777686</v>
      </c>
      <c r="I1438" s="487">
        <v>17611271</v>
      </c>
      <c r="J1438" s="573"/>
      <c r="K1438" s="487"/>
      <c r="L1438" s="573"/>
      <c r="M1438" s="573"/>
      <c r="N1438" s="456">
        <f t="shared" si="185"/>
        <v>0</v>
      </c>
      <c r="O1438" s="487"/>
      <c r="P1438" s="487"/>
      <c r="Q1438" s="274">
        <f t="shared" si="180"/>
        <v>0</v>
      </c>
      <c r="R1438" s="574">
        <f t="shared" si="181"/>
        <v>16777686</v>
      </c>
      <c r="S1438" s="275">
        <f t="shared" si="182"/>
        <v>17611271</v>
      </c>
      <c r="T1438" s="575"/>
      <c r="U1438" s="487"/>
      <c r="V1438" s="576"/>
      <c r="W1438" s="573"/>
      <c r="X1438" s="574">
        <f t="shared" si="186"/>
        <v>0</v>
      </c>
      <c r="Y1438" s="487"/>
      <c r="Z1438" s="487"/>
      <c r="AA1438" s="276">
        <f t="shared" si="187"/>
        <v>0</v>
      </c>
      <c r="AB1438" s="573"/>
      <c r="AC1438" s="487"/>
      <c r="AD1438" s="573"/>
      <c r="AE1438" s="487"/>
      <c r="AF1438" s="577">
        <f t="shared" si="183"/>
        <v>16777686</v>
      </c>
      <c r="AG1438" s="275">
        <f t="shared" si="184"/>
        <v>17611271</v>
      </c>
    </row>
    <row r="1439" spans="1:34" ht="12" customHeight="1">
      <c r="A1439" s="706" t="s">
        <v>1279</v>
      </c>
      <c r="B1439" s="707" t="s">
        <v>1783</v>
      </c>
      <c r="C1439" s="278" t="s">
        <v>1881</v>
      </c>
      <c r="D1439" s="709">
        <v>163286</v>
      </c>
      <c r="E1439" s="710">
        <v>1</v>
      </c>
      <c r="F1439" s="573"/>
      <c r="G1439" s="487"/>
      <c r="H1439" s="573"/>
      <c r="I1439" s="487"/>
      <c r="J1439" s="573"/>
      <c r="K1439" s="487"/>
      <c r="L1439" s="573"/>
      <c r="M1439" s="573"/>
      <c r="N1439" s="456">
        <f t="shared" si="185"/>
        <v>0</v>
      </c>
      <c r="O1439" s="487"/>
      <c r="P1439" s="487"/>
      <c r="Q1439" s="274">
        <f t="shared" si="180"/>
        <v>0</v>
      </c>
      <c r="R1439" s="574">
        <f t="shared" si="181"/>
        <v>0</v>
      </c>
      <c r="S1439" s="275">
        <f t="shared" si="182"/>
        <v>0</v>
      </c>
      <c r="T1439" s="575"/>
      <c r="U1439" s="487"/>
      <c r="V1439" s="576"/>
      <c r="W1439" s="573"/>
      <c r="X1439" s="574">
        <f t="shared" si="186"/>
        <v>0</v>
      </c>
      <c r="Y1439" s="487"/>
      <c r="Z1439" s="487"/>
      <c r="AA1439" s="276">
        <f t="shared" si="187"/>
        <v>0</v>
      </c>
      <c r="AB1439" s="573"/>
      <c r="AC1439" s="487"/>
      <c r="AD1439" s="573"/>
      <c r="AE1439" s="487"/>
      <c r="AF1439" s="577">
        <f t="shared" si="183"/>
        <v>0</v>
      </c>
      <c r="AG1439" s="275">
        <f t="shared" si="184"/>
        <v>0</v>
      </c>
    </row>
    <row r="1440" spans="1:34" ht="12" customHeight="1">
      <c r="A1440" s="706" t="s">
        <v>1279</v>
      </c>
      <c r="B1440" s="707" t="s">
        <v>1783</v>
      </c>
      <c r="C1440" s="711" t="s">
        <v>865</v>
      </c>
      <c r="D1440" s="709">
        <v>163286</v>
      </c>
      <c r="E1440" s="710">
        <v>1</v>
      </c>
      <c r="F1440" s="573"/>
      <c r="G1440" s="487"/>
      <c r="H1440" s="573">
        <v>17286306</v>
      </c>
      <c r="I1440" s="487">
        <v>17885006</v>
      </c>
      <c r="J1440" s="573"/>
      <c r="K1440" s="487"/>
      <c r="L1440" s="573"/>
      <c r="M1440" s="573"/>
      <c r="N1440" s="456">
        <f t="shared" si="185"/>
        <v>0</v>
      </c>
      <c r="O1440" s="487"/>
      <c r="P1440" s="487"/>
      <c r="Q1440" s="274">
        <f t="shared" si="180"/>
        <v>0</v>
      </c>
      <c r="R1440" s="574">
        <f t="shared" si="181"/>
        <v>17286306</v>
      </c>
      <c r="S1440" s="275">
        <f t="shared" si="182"/>
        <v>17885006</v>
      </c>
      <c r="T1440" s="575"/>
      <c r="U1440" s="487"/>
      <c r="V1440" s="576"/>
      <c r="W1440" s="573"/>
      <c r="X1440" s="574">
        <f t="shared" si="186"/>
        <v>0</v>
      </c>
      <c r="Y1440" s="487"/>
      <c r="Z1440" s="487"/>
      <c r="AA1440" s="276">
        <f t="shared" si="187"/>
        <v>0</v>
      </c>
      <c r="AB1440" s="573"/>
      <c r="AC1440" s="487"/>
      <c r="AD1440" s="573"/>
      <c r="AE1440" s="487"/>
      <c r="AF1440" s="577">
        <f t="shared" si="183"/>
        <v>17286306</v>
      </c>
      <c r="AG1440" s="275">
        <f t="shared" si="184"/>
        <v>17885006</v>
      </c>
    </row>
    <row r="1441" spans="1:33" ht="12" customHeight="1">
      <c r="A1441" s="706" t="s">
        <v>1279</v>
      </c>
      <c r="B1441" s="707" t="s">
        <v>1783</v>
      </c>
      <c r="C1441" s="711" t="s">
        <v>866</v>
      </c>
      <c r="D1441" s="709">
        <v>163286</v>
      </c>
      <c r="E1441" s="710">
        <v>1</v>
      </c>
      <c r="F1441" s="573"/>
      <c r="G1441" s="487"/>
      <c r="H1441" s="573">
        <v>19959625</v>
      </c>
      <c r="I1441" s="487">
        <v>20624785</v>
      </c>
      <c r="J1441" s="573"/>
      <c r="K1441" s="487"/>
      <c r="L1441" s="573"/>
      <c r="M1441" s="573"/>
      <c r="N1441" s="456">
        <f t="shared" si="185"/>
        <v>0</v>
      </c>
      <c r="O1441" s="487"/>
      <c r="P1441" s="487"/>
      <c r="Q1441" s="274">
        <f t="shared" si="180"/>
        <v>0</v>
      </c>
      <c r="R1441" s="574">
        <f t="shared" si="181"/>
        <v>19959625</v>
      </c>
      <c r="S1441" s="275">
        <f t="shared" si="182"/>
        <v>20624785</v>
      </c>
      <c r="T1441" s="575"/>
      <c r="U1441" s="487"/>
      <c r="V1441" s="576"/>
      <c r="W1441" s="573"/>
      <c r="X1441" s="574">
        <f t="shared" si="186"/>
        <v>0</v>
      </c>
      <c r="Y1441" s="487"/>
      <c r="Z1441" s="487"/>
      <c r="AA1441" s="276">
        <f t="shared" si="187"/>
        <v>0</v>
      </c>
      <c r="AB1441" s="573"/>
      <c r="AC1441" s="487"/>
      <c r="AD1441" s="573"/>
      <c r="AE1441" s="487"/>
      <c r="AF1441" s="577">
        <f t="shared" si="183"/>
        <v>19959625</v>
      </c>
      <c r="AG1441" s="275">
        <f t="shared" si="184"/>
        <v>20624785</v>
      </c>
    </row>
    <row r="1442" spans="1:33" ht="12" customHeight="1">
      <c r="A1442" s="706" t="s">
        <v>1279</v>
      </c>
      <c r="B1442" s="707" t="s">
        <v>1776</v>
      </c>
      <c r="C1442" s="706" t="s">
        <v>867</v>
      </c>
      <c r="D1442" s="709">
        <v>163268</v>
      </c>
      <c r="E1442" s="710">
        <v>2</v>
      </c>
      <c r="F1442" s="573">
        <v>84488263</v>
      </c>
      <c r="G1442" s="487">
        <v>91464824</v>
      </c>
      <c r="H1442" s="573"/>
      <c r="I1442" s="487"/>
      <c r="J1442" s="573"/>
      <c r="K1442" s="487"/>
      <c r="L1442" s="573">
        <v>86345477</v>
      </c>
      <c r="M1442" s="573"/>
      <c r="N1442" s="456">
        <f t="shared" si="185"/>
        <v>86345477</v>
      </c>
      <c r="O1442" s="487">
        <v>87423937</v>
      </c>
      <c r="P1442" s="487"/>
      <c r="Q1442" s="274">
        <f t="shared" si="180"/>
        <v>87423937</v>
      </c>
      <c r="R1442" s="574">
        <f t="shared" si="181"/>
        <v>170833740</v>
      </c>
      <c r="S1442" s="275">
        <f t="shared" si="182"/>
        <v>178888761</v>
      </c>
      <c r="T1442" s="575"/>
      <c r="U1442" s="487"/>
      <c r="V1442" s="576"/>
      <c r="W1442" s="573"/>
      <c r="X1442" s="574">
        <f t="shared" si="186"/>
        <v>0</v>
      </c>
      <c r="Y1442" s="487"/>
      <c r="Z1442" s="487"/>
      <c r="AA1442" s="276">
        <f t="shared" si="187"/>
        <v>0</v>
      </c>
      <c r="AB1442" s="573"/>
      <c r="AC1442" s="487"/>
      <c r="AD1442" s="573"/>
      <c r="AE1442" s="487"/>
      <c r="AF1442" s="577">
        <f t="shared" si="183"/>
        <v>170833740</v>
      </c>
      <c r="AG1442" s="275">
        <f t="shared" si="184"/>
        <v>178888761</v>
      </c>
    </row>
    <row r="1443" spans="1:33" ht="12" customHeight="1">
      <c r="A1443" s="706" t="s">
        <v>1279</v>
      </c>
      <c r="B1443" s="707" t="s">
        <v>1776</v>
      </c>
      <c r="C1443" s="708" t="s">
        <v>871</v>
      </c>
      <c r="D1443" s="709">
        <v>163453</v>
      </c>
      <c r="E1443" s="1028">
        <v>3</v>
      </c>
      <c r="F1443" s="573">
        <v>67634160</v>
      </c>
      <c r="G1443" s="487">
        <v>74711721</v>
      </c>
      <c r="H1443" s="573"/>
      <c r="I1443" s="487"/>
      <c r="J1443" s="573"/>
      <c r="K1443" s="487"/>
      <c r="L1443" s="573">
        <v>44494479</v>
      </c>
      <c r="M1443" s="573"/>
      <c r="N1443" s="456">
        <f t="shared" si="185"/>
        <v>44494479</v>
      </c>
      <c r="O1443" s="487">
        <v>46738703</v>
      </c>
      <c r="P1443" s="487"/>
      <c r="Q1443" s="274">
        <f t="shared" si="180"/>
        <v>46738703</v>
      </c>
      <c r="R1443" s="574">
        <f t="shared" si="181"/>
        <v>112128639</v>
      </c>
      <c r="S1443" s="275">
        <f t="shared" si="182"/>
        <v>121450424</v>
      </c>
      <c r="T1443" s="575"/>
      <c r="U1443" s="487"/>
      <c r="V1443" s="576"/>
      <c r="W1443" s="573"/>
      <c r="X1443" s="574">
        <f t="shared" si="186"/>
        <v>0</v>
      </c>
      <c r="Y1443" s="487"/>
      <c r="Z1443" s="487"/>
      <c r="AA1443" s="276">
        <f t="shared" si="187"/>
        <v>0</v>
      </c>
      <c r="AB1443" s="573"/>
      <c r="AC1443" s="487"/>
      <c r="AD1443" s="573"/>
      <c r="AE1443" s="487"/>
      <c r="AF1443" s="577">
        <f t="shared" si="183"/>
        <v>112128639</v>
      </c>
      <c r="AG1443" s="275">
        <f t="shared" si="184"/>
        <v>121450424</v>
      </c>
    </row>
    <row r="1444" spans="1:33" ht="12" customHeight="1">
      <c r="A1444" s="706" t="s">
        <v>1279</v>
      </c>
      <c r="B1444" s="707" t="s">
        <v>1776</v>
      </c>
      <c r="C1444" s="708" t="s">
        <v>868</v>
      </c>
      <c r="D1444" s="709">
        <v>164076</v>
      </c>
      <c r="E1444" s="710">
        <v>3</v>
      </c>
      <c r="F1444" s="573">
        <v>82442411</v>
      </c>
      <c r="G1444" s="487">
        <v>91384025</v>
      </c>
      <c r="H1444" s="573"/>
      <c r="I1444" s="487"/>
      <c r="J1444" s="573"/>
      <c r="K1444" s="487"/>
      <c r="L1444" s="573">
        <v>128785154</v>
      </c>
      <c r="M1444" s="573"/>
      <c r="N1444" s="456">
        <f t="shared" si="185"/>
        <v>128785154</v>
      </c>
      <c r="O1444" s="487">
        <v>140604743</v>
      </c>
      <c r="P1444" s="487"/>
      <c r="Q1444" s="274">
        <f t="shared" si="180"/>
        <v>140604743</v>
      </c>
      <c r="R1444" s="574">
        <f t="shared" si="181"/>
        <v>211227565</v>
      </c>
      <c r="S1444" s="275">
        <f t="shared" si="182"/>
        <v>231988768</v>
      </c>
      <c r="T1444" s="575"/>
      <c r="U1444" s="487"/>
      <c r="V1444" s="576"/>
      <c r="W1444" s="573"/>
      <c r="X1444" s="574">
        <f t="shared" si="186"/>
        <v>0</v>
      </c>
      <c r="Y1444" s="487"/>
      <c r="Z1444" s="487"/>
      <c r="AA1444" s="276">
        <f t="shared" si="187"/>
        <v>0</v>
      </c>
      <c r="AB1444" s="573"/>
      <c r="AC1444" s="487"/>
      <c r="AD1444" s="573"/>
      <c r="AE1444" s="487"/>
      <c r="AF1444" s="577">
        <f t="shared" si="183"/>
        <v>211227565</v>
      </c>
      <c r="AG1444" s="275">
        <f t="shared" si="184"/>
        <v>231988768</v>
      </c>
    </row>
    <row r="1445" spans="1:33" ht="12" customHeight="1">
      <c r="A1445" s="706" t="s">
        <v>1279</v>
      </c>
      <c r="B1445" s="707" t="s">
        <v>1776</v>
      </c>
      <c r="C1445" s="708" t="s">
        <v>869</v>
      </c>
      <c r="D1445" s="709">
        <v>162007</v>
      </c>
      <c r="E1445" s="710">
        <v>4</v>
      </c>
      <c r="F1445" s="573">
        <v>33232339</v>
      </c>
      <c r="G1445" s="487">
        <v>35856960</v>
      </c>
      <c r="H1445" s="573"/>
      <c r="I1445" s="487"/>
      <c r="J1445" s="573"/>
      <c r="K1445" s="487"/>
      <c r="L1445" s="573">
        <v>28821334</v>
      </c>
      <c r="M1445" s="573"/>
      <c r="N1445" s="456">
        <f t="shared" si="185"/>
        <v>28821334</v>
      </c>
      <c r="O1445" s="487">
        <v>31150722</v>
      </c>
      <c r="P1445" s="487"/>
      <c r="Q1445" s="274">
        <f t="shared" si="180"/>
        <v>31150722</v>
      </c>
      <c r="R1445" s="574">
        <f t="shared" si="181"/>
        <v>62053673</v>
      </c>
      <c r="S1445" s="275">
        <f t="shared" si="182"/>
        <v>67007682</v>
      </c>
      <c r="T1445" s="575"/>
      <c r="U1445" s="487"/>
      <c r="V1445" s="576"/>
      <c r="W1445" s="573"/>
      <c r="X1445" s="574">
        <f t="shared" si="186"/>
        <v>0</v>
      </c>
      <c r="Y1445" s="487"/>
      <c r="Z1445" s="487"/>
      <c r="AA1445" s="276">
        <f t="shared" si="187"/>
        <v>0</v>
      </c>
      <c r="AB1445" s="573"/>
      <c r="AC1445" s="487"/>
      <c r="AD1445" s="573"/>
      <c r="AE1445" s="487"/>
      <c r="AF1445" s="577">
        <f t="shared" si="183"/>
        <v>62053673</v>
      </c>
      <c r="AG1445" s="275">
        <f t="shared" si="184"/>
        <v>67007682</v>
      </c>
    </row>
    <row r="1446" spans="1:33" ht="12" customHeight="1">
      <c r="A1446" s="706" t="s">
        <v>1279</v>
      </c>
      <c r="B1446" s="707" t="s">
        <v>1776</v>
      </c>
      <c r="C1446" s="706" t="s">
        <v>875</v>
      </c>
      <c r="D1446" s="709">
        <v>162283</v>
      </c>
      <c r="E1446" s="710">
        <v>4</v>
      </c>
      <c r="F1446" s="573">
        <v>31813469</v>
      </c>
      <c r="G1446" s="487">
        <v>35138565</v>
      </c>
      <c r="H1446" s="573"/>
      <c r="I1446" s="487"/>
      <c r="J1446" s="573"/>
      <c r="K1446" s="487"/>
      <c r="L1446" s="573">
        <v>14714406</v>
      </c>
      <c r="M1446" s="573"/>
      <c r="N1446" s="456">
        <f t="shared" si="185"/>
        <v>14714406</v>
      </c>
      <c r="O1446" s="487">
        <v>15921522</v>
      </c>
      <c r="P1446" s="487"/>
      <c r="Q1446" s="274">
        <f t="shared" si="180"/>
        <v>15921522</v>
      </c>
      <c r="R1446" s="574">
        <f t="shared" si="181"/>
        <v>46527875</v>
      </c>
      <c r="S1446" s="275">
        <f t="shared" si="182"/>
        <v>51060087</v>
      </c>
      <c r="T1446" s="575"/>
      <c r="U1446" s="487"/>
      <c r="V1446" s="576"/>
      <c r="W1446" s="573"/>
      <c r="X1446" s="574">
        <f t="shared" si="186"/>
        <v>0</v>
      </c>
      <c r="Y1446" s="487"/>
      <c r="Z1446" s="487"/>
      <c r="AA1446" s="276">
        <f t="shared" si="187"/>
        <v>0</v>
      </c>
      <c r="AB1446" s="573"/>
      <c r="AC1446" s="487"/>
      <c r="AD1446" s="573"/>
      <c r="AE1446" s="487"/>
      <c r="AF1446" s="577">
        <f t="shared" si="183"/>
        <v>46527875</v>
      </c>
      <c r="AG1446" s="275">
        <f t="shared" si="184"/>
        <v>51060087</v>
      </c>
    </row>
    <row r="1447" spans="1:33" ht="12" customHeight="1">
      <c r="A1447" s="706" t="s">
        <v>1279</v>
      </c>
      <c r="B1447" s="707" t="s">
        <v>1776</v>
      </c>
      <c r="C1447" s="708" t="s">
        <v>870</v>
      </c>
      <c r="D1447" s="709">
        <v>162584</v>
      </c>
      <c r="E1447" s="710">
        <v>4</v>
      </c>
      <c r="F1447" s="573">
        <v>31116909</v>
      </c>
      <c r="G1447" s="487">
        <v>33456543</v>
      </c>
      <c r="H1447" s="573"/>
      <c r="I1447" s="487"/>
      <c r="J1447" s="573"/>
      <c r="K1447" s="487"/>
      <c r="L1447" s="573">
        <v>28642036</v>
      </c>
      <c r="M1447" s="573"/>
      <c r="N1447" s="456">
        <f t="shared" si="185"/>
        <v>28642036</v>
      </c>
      <c r="O1447" s="487">
        <v>29209036</v>
      </c>
      <c r="P1447" s="487"/>
      <c r="Q1447" s="274">
        <f t="shared" si="180"/>
        <v>29209036</v>
      </c>
      <c r="R1447" s="574">
        <f t="shared" si="181"/>
        <v>59758945</v>
      </c>
      <c r="S1447" s="275">
        <f t="shared" si="182"/>
        <v>62665579</v>
      </c>
      <c r="T1447" s="575"/>
      <c r="U1447" s="487"/>
      <c r="V1447" s="576"/>
      <c r="W1447" s="573"/>
      <c r="X1447" s="574">
        <f t="shared" si="186"/>
        <v>0</v>
      </c>
      <c r="Y1447" s="487"/>
      <c r="Z1447" s="487"/>
      <c r="AA1447" s="276">
        <f t="shared" si="187"/>
        <v>0</v>
      </c>
      <c r="AB1447" s="573"/>
      <c r="AC1447" s="487"/>
      <c r="AD1447" s="573"/>
      <c r="AE1447" s="487"/>
      <c r="AF1447" s="577">
        <f t="shared" si="183"/>
        <v>59758945</v>
      </c>
      <c r="AG1447" s="275">
        <f t="shared" si="184"/>
        <v>62665579</v>
      </c>
    </row>
    <row r="1448" spans="1:33" ht="12" customHeight="1">
      <c r="A1448" s="706" t="s">
        <v>1279</v>
      </c>
      <c r="B1448" s="707" t="s">
        <v>1776</v>
      </c>
      <c r="C1448" s="706" t="s">
        <v>872</v>
      </c>
      <c r="D1448" s="709">
        <v>163851</v>
      </c>
      <c r="E1448" s="710">
        <v>4</v>
      </c>
      <c r="F1448" s="573">
        <v>35018612</v>
      </c>
      <c r="G1448" s="487">
        <v>39649679</v>
      </c>
      <c r="H1448" s="573"/>
      <c r="I1448" s="487"/>
      <c r="J1448" s="573"/>
      <c r="K1448" s="487"/>
      <c r="L1448" s="573">
        <v>45413015</v>
      </c>
      <c r="M1448" s="573"/>
      <c r="N1448" s="456">
        <f t="shared" si="185"/>
        <v>45413015</v>
      </c>
      <c r="O1448" s="487">
        <v>47626847</v>
      </c>
      <c r="P1448" s="487"/>
      <c r="Q1448" s="274">
        <f t="shared" si="180"/>
        <v>47626847</v>
      </c>
      <c r="R1448" s="574">
        <f t="shared" si="181"/>
        <v>80431627</v>
      </c>
      <c r="S1448" s="275">
        <f t="shared" si="182"/>
        <v>87276526</v>
      </c>
      <c r="T1448" s="575"/>
      <c r="U1448" s="487"/>
      <c r="V1448" s="576"/>
      <c r="W1448" s="573"/>
      <c r="X1448" s="574">
        <f t="shared" si="186"/>
        <v>0</v>
      </c>
      <c r="Y1448" s="487"/>
      <c r="Z1448" s="487"/>
      <c r="AA1448" s="276">
        <f t="shared" si="187"/>
        <v>0</v>
      </c>
      <c r="AB1448" s="573"/>
      <c r="AC1448" s="487"/>
      <c r="AD1448" s="573"/>
      <c r="AE1448" s="487"/>
      <c r="AF1448" s="577">
        <f t="shared" si="183"/>
        <v>80431627</v>
      </c>
      <c r="AG1448" s="275">
        <f t="shared" si="184"/>
        <v>87276526</v>
      </c>
    </row>
    <row r="1449" spans="1:33" ht="12" customHeight="1">
      <c r="A1449" s="706" t="s">
        <v>1279</v>
      </c>
      <c r="B1449" s="707" t="s">
        <v>1776</v>
      </c>
      <c r="C1449" s="708" t="s">
        <v>873</v>
      </c>
      <c r="D1449" s="709">
        <v>161873</v>
      </c>
      <c r="E1449" s="710">
        <v>4</v>
      </c>
      <c r="F1449" s="573">
        <v>27843694</v>
      </c>
      <c r="G1449" s="487">
        <v>31380444</v>
      </c>
      <c r="H1449" s="573"/>
      <c r="I1449" s="487"/>
      <c r="J1449" s="573"/>
      <c r="K1449" s="487"/>
      <c r="L1449" s="573">
        <v>46074950</v>
      </c>
      <c r="M1449" s="573"/>
      <c r="N1449" s="456">
        <f t="shared" si="185"/>
        <v>46074950</v>
      </c>
      <c r="O1449" s="487">
        <v>50358882</v>
      </c>
      <c r="P1449" s="487"/>
      <c r="Q1449" s="274">
        <f t="shared" si="180"/>
        <v>50358882</v>
      </c>
      <c r="R1449" s="574">
        <f t="shared" si="181"/>
        <v>73918644</v>
      </c>
      <c r="S1449" s="275">
        <f t="shared" si="182"/>
        <v>81739326</v>
      </c>
      <c r="T1449" s="575"/>
      <c r="U1449" s="487"/>
      <c r="V1449" s="576"/>
      <c r="W1449" s="573"/>
      <c r="X1449" s="574">
        <f t="shared" si="186"/>
        <v>0</v>
      </c>
      <c r="Y1449" s="487"/>
      <c r="Z1449" s="487"/>
      <c r="AA1449" s="276">
        <f t="shared" si="187"/>
        <v>0</v>
      </c>
      <c r="AB1449" s="573"/>
      <c r="AC1449" s="487"/>
      <c r="AD1449" s="573"/>
      <c r="AE1449" s="487"/>
      <c r="AF1449" s="577">
        <f t="shared" si="183"/>
        <v>73918644</v>
      </c>
      <c r="AG1449" s="275">
        <f t="shared" si="184"/>
        <v>81739326</v>
      </c>
    </row>
    <row r="1450" spans="1:33" ht="12" customHeight="1">
      <c r="A1450" s="706" t="s">
        <v>1279</v>
      </c>
      <c r="B1450" s="707" t="s">
        <v>1776</v>
      </c>
      <c r="C1450" s="706" t="s">
        <v>874</v>
      </c>
      <c r="D1450" s="709">
        <v>163338</v>
      </c>
      <c r="E1450" s="710">
        <v>4</v>
      </c>
      <c r="F1450" s="573">
        <v>30876507</v>
      </c>
      <c r="G1450" s="487">
        <v>33037002</v>
      </c>
      <c r="H1450" s="573"/>
      <c r="I1450" s="487"/>
      <c r="J1450" s="573"/>
      <c r="K1450" s="487"/>
      <c r="L1450" s="573">
        <v>21511508</v>
      </c>
      <c r="M1450" s="573"/>
      <c r="N1450" s="456">
        <f t="shared" si="185"/>
        <v>21511508</v>
      </c>
      <c r="O1450" s="487">
        <v>21806458</v>
      </c>
      <c r="P1450" s="487"/>
      <c r="Q1450" s="274">
        <f t="shared" si="180"/>
        <v>21806458</v>
      </c>
      <c r="R1450" s="574">
        <f t="shared" si="181"/>
        <v>52388015</v>
      </c>
      <c r="S1450" s="275">
        <f t="shared" si="182"/>
        <v>54843460</v>
      </c>
      <c r="T1450" s="575"/>
      <c r="U1450" s="487"/>
      <c r="V1450" s="576"/>
      <c r="W1450" s="573"/>
      <c r="X1450" s="574">
        <f t="shared" si="186"/>
        <v>0</v>
      </c>
      <c r="Y1450" s="487"/>
      <c r="Z1450" s="487"/>
      <c r="AA1450" s="276">
        <f t="shared" si="187"/>
        <v>0</v>
      </c>
      <c r="AB1450" s="573"/>
      <c r="AC1450" s="487"/>
      <c r="AD1450" s="573"/>
      <c r="AE1450" s="487"/>
      <c r="AF1450" s="577">
        <f t="shared" si="183"/>
        <v>52388015</v>
      </c>
      <c r="AG1450" s="275">
        <f t="shared" si="184"/>
        <v>54843460</v>
      </c>
    </row>
    <row r="1451" spans="1:33" ht="12" customHeight="1">
      <c r="A1451" s="706" t="s">
        <v>1279</v>
      </c>
      <c r="B1451" s="707" t="s">
        <v>1776</v>
      </c>
      <c r="C1451" s="708" t="s">
        <v>876</v>
      </c>
      <c r="D1451" s="709">
        <v>163912</v>
      </c>
      <c r="E1451" s="710">
        <v>6</v>
      </c>
      <c r="F1451" s="573">
        <v>16367188</v>
      </c>
      <c r="G1451" s="487">
        <v>17050016</v>
      </c>
      <c r="H1451" s="573"/>
      <c r="I1451" s="487"/>
      <c r="J1451" s="573"/>
      <c r="K1451" s="487"/>
      <c r="L1451" s="573">
        <v>24933182</v>
      </c>
      <c r="M1451" s="573"/>
      <c r="N1451" s="456">
        <f t="shared" si="185"/>
        <v>24933182</v>
      </c>
      <c r="O1451" s="487">
        <v>26264544</v>
      </c>
      <c r="P1451" s="487"/>
      <c r="Q1451" s="274">
        <f t="shared" si="180"/>
        <v>26264544</v>
      </c>
      <c r="R1451" s="574">
        <f t="shared" si="181"/>
        <v>41300370</v>
      </c>
      <c r="S1451" s="275">
        <f t="shared" si="182"/>
        <v>43314560</v>
      </c>
      <c r="T1451" s="575"/>
      <c r="U1451" s="487"/>
      <c r="V1451" s="576"/>
      <c r="W1451" s="573"/>
      <c r="X1451" s="574">
        <f t="shared" si="186"/>
        <v>0</v>
      </c>
      <c r="Y1451" s="487"/>
      <c r="Z1451" s="487"/>
      <c r="AA1451" s="276">
        <f t="shared" si="187"/>
        <v>0</v>
      </c>
      <c r="AB1451" s="573"/>
      <c r="AC1451" s="487"/>
      <c r="AD1451" s="573"/>
      <c r="AE1451" s="487"/>
      <c r="AF1451" s="577">
        <f t="shared" si="183"/>
        <v>41300370</v>
      </c>
      <c r="AG1451" s="275">
        <f t="shared" si="184"/>
        <v>43314560</v>
      </c>
    </row>
    <row r="1452" spans="1:33" ht="12" customHeight="1">
      <c r="A1452" s="706" t="s">
        <v>1279</v>
      </c>
      <c r="B1452" s="707" t="s">
        <v>1776</v>
      </c>
      <c r="C1452" s="708" t="s">
        <v>810</v>
      </c>
      <c r="D1452" s="709">
        <v>161767</v>
      </c>
      <c r="E1452" s="710">
        <v>8</v>
      </c>
      <c r="F1452" s="573">
        <v>27297800</v>
      </c>
      <c r="G1452" s="487">
        <v>28989800</v>
      </c>
      <c r="H1452" s="573"/>
      <c r="I1452" s="487"/>
      <c r="J1452" s="573">
        <v>32539200</v>
      </c>
      <c r="K1452" s="487">
        <v>33822700</v>
      </c>
      <c r="L1452" s="573">
        <v>30153600</v>
      </c>
      <c r="M1452" s="573"/>
      <c r="N1452" s="456">
        <f t="shared" si="185"/>
        <v>30153600</v>
      </c>
      <c r="O1452" s="487">
        <v>31558700</v>
      </c>
      <c r="P1452" s="487"/>
      <c r="Q1452" s="274">
        <f t="shared" si="180"/>
        <v>31558700</v>
      </c>
      <c r="R1452" s="574">
        <f t="shared" si="181"/>
        <v>89990600</v>
      </c>
      <c r="S1452" s="275">
        <f t="shared" si="182"/>
        <v>94371200</v>
      </c>
      <c r="T1452" s="575"/>
      <c r="U1452" s="487"/>
      <c r="V1452" s="576"/>
      <c r="W1452" s="573"/>
      <c r="X1452" s="574">
        <f t="shared" si="186"/>
        <v>0</v>
      </c>
      <c r="Y1452" s="487"/>
      <c r="Z1452" s="487"/>
      <c r="AA1452" s="276">
        <f t="shared" si="187"/>
        <v>0</v>
      </c>
      <c r="AB1452" s="573"/>
      <c r="AC1452" s="487"/>
      <c r="AD1452" s="573"/>
      <c r="AE1452" s="487"/>
      <c r="AF1452" s="577">
        <f t="shared" si="183"/>
        <v>89990600</v>
      </c>
      <c r="AG1452" s="275">
        <f t="shared" si="184"/>
        <v>94371200</v>
      </c>
    </row>
    <row r="1453" spans="1:33" ht="12" customHeight="1">
      <c r="A1453" s="706" t="s">
        <v>1279</v>
      </c>
      <c r="B1453" s="707" t="s">
        <v>1776</v>
      </c>
      <c r="C1453" s="708" t="s">
        <v>811</v>
      </c>
      <c r="D1453" s="709">
        <v>434672</v>
      </c>
      <c r="E1453" s="710">
        <v>8</v>
      </c>
      <c r="F1453" s="573">
        <v>36714929</v>
      </c>
      <c r="G1453" s="487">
        <v>37430623</v>
      </c>
      <c r="H1453" s="573"/>
      <c r="I1453" s="487"/>
      <c r="J1453" s="573">
        <v>38532055</v>
      </c>
      <c r="K1453" s="487">
        <v>38532055</v>
      </c>
      <c r="L1453" s="573">
        <v>52626304</v>
      </c>
      <c r="M1453" s="573"/>
      <c r="N1453" s="456">
        <f t="shared" si="185"/>
        <v>52626304</v>
      </c>
      <c r="O1453" s="487">
        <v>51962947</v>
      </c>
      <c r="P1453" s="487"/>
      <c r="Q1453" s="274">
        <f t="shared" si="180"/>
        <v>51962947</v>
      </c>
      <c r="R1453" s="574">
        <f t="shared" si="181"/>
        <v>127873288</v>
      </c>
      <c r="S1453" s="275">
        <f t="shared" si="182"/>
        <v>127925625</v>
      </c>
      <c r="T1453" s="575"/>
      <c r="U1453" s="487"/>
      <c r="V1453" s="576"/>
      <c r="W1453" s="573"/>
      <c r="X1453" s="574">
        <f t="shared" si="186"/>
        <v>0</v>
      </c>
      <c r="Y1453" s="487"/>
      <c r="Z1453" s="487"/>
      <c r="AA1453" s="276">
        <f t="shared" si="187"/>
        <v>0</v>
      </c>
      <c r="AB1453" s="573"/>
      <c r="AC1453" s="487"/>
      <c r="AD1453" s="573"/>
      <c r="AE1453" s="487"/>
      <c r="AF1453" s="577">
        <f t="shared" si="183"/>
        <v>127873288</v>
      </c>
      <c r="AG1453" s="275">
        <f t="shared" si="184"/>
        <v>127925625</v>
      </c>
    </row>
    <row r="1454" spans="1:33" ht="12" customHeight="1">
      <c r="A1454" s="706" t="s">
        <v>1279</v>
      </c>
      <c r="B1454" s="707" t="s">
        <v>1776</v>
      </c>
      <c r="C1454" s="708" t="s">
        <v>812</v>
      </c>
      <c r="D1454" s="709">
        <v>163426</v>
      </c>
      <c r="E1454" s="710">
        <v>8</v>
      </c>
      <c r="F1454" s="573">
        <v>35450901</v>
      </c>
      <c r="G1454" s="487">
        <v>39093760</v>
      </c>
      <c r="H1454" s="573"/>
      <c r="I1454" s="487"/>
      <c r="J1454" s="573">
        <v>100050360</v>
      </c>
      <c r="K1454" s="487">
        <v>106376153</v>
      </c>
      <c r="L1454" s="573">
        <v>69521531</v>
      </c>
      <c r="M1454" s="573"/>
      <c r="N1454" s="456">
        <f t="shared" si="185"/>
        <v>69521531</v>
      </c>
      <c r="O1454" s="487">
        <v>75217231</v>
      </c>
      <c r="P1454" s="487"/>
      <c r="Q1454" s="274">
        <f t="shared" si="180"/>
        <v>75217231</v>
      </c>
      <c r="R1454" s="574">
        <f t="shared" si="181"/>
        <v>205022792</v>
      </c>
      <c r="S1454" s="275">
        <f t="shared" si="182"/>
        <v>220687144</v>
      </c>
      <c r="T1454" s="575"/>
      <c r="U1454" s="487"/>
      <c r="V1454" s="576"/>
      <c r="W1454" s="573"/>
      <c r="X1454" s="574">
        <f t="shared" si="186"/>
        <v>0</v>
      </c>
      <c r="Y1454" s="487"/>
      <c r="Z1454" s="487"/>
      <c r="AA1454" s="276">
        <f t="shared" si="187"/>
        <v>0</v>
      </c>
      <c r="AB1454" s="573"/>
      <c r="AC1454" s="487"/>
      <c r="AD1454" s="573"/>
      <c r="AE1454" s="487"/>
      <c r="AF1454" s="577">
        <f t="shared" si="183"/>
        <v>205022792</v>
      </c>
      <c r="AG1454" s="275">
        <f t="shared" si="184"/>
        <v>220687144</v>
      </c>
    </row>
    <row r="1455" spans="1:33" ht="12" customHeight="1">
      <c r="A1455" s="706" t="s">
        <v>1279</v>
      </c>
      <c r="B1455" s="707" t="s">
        <v>1776</v>
      </c>
      <c r="C1455" s="708" t="s">
        <v>813</v>
      </c>
      <c r="D1455" s="709">
        <v>163657</v>
      </c>
      <c r="E1455" s="710">
        <v>8</v>
      </c>
      <c r="F1455" s="573">
        <v>21905174</v>
      </c>
      <c r="G1455" s="487">
        <v>23683860</v>
      </c>
      <c r="H1455" s="573"/>
      <c r="I1455" s="487"/>
      <c r="J1455" s="573">
        <v>27789900</v>
      </c>
      <c r="K1455" s="487">
        <v>30484600</v>
      </c>
      <c r="L1455" s="573">
        <v>31700000</v>
      </c>
      <c r="M1455" s="573"/>
      <c r="N1455" s="456">
        <f t="shared" si="185"/>
        <v>31700000</v>
      </c>
      <c r="O1455" s="487">
        <v>33604105</v>
      </c>
      <c r="P1455" s="487"/>
      <c r="Q1455" s="274">
        <f t="shared" si="180"/>
        <v>33604105</v>
      </c>
      <c r="R1455" s="574">
        <f t="shared" si="181"/>
        <v>81395074</v>
      </c>
      <c r="S1455" s="275">
        <f t="shared" si="182"/>
        <v>87772565</v>
      </c>
      <c r="T1455" s="575"/>
      <c r="U1455" s="487"/>
      <c r="V1455" s="576"/>
      <c r="W1455" s="573"/>
      <c r="X1455" s="574">
        <f t="shared" si="186"/>
        <v>0</v>
      </c>
      <c r="Y1455" s="487"/>
      <c r="Z1455" s="487"/>
      <c r="AA1455" s="276">
        <f t="shared" si="187"/>
        <v>0</v>
      </c>
      <c r="AB1455" s="573"/>
      <c r="AC1455" s="487"/>
      <c r="AD1455" s="573"/>
      <c r="AE1455" s="487"/>
      <c r="AF1455" s="577">
        <f t="shared" si="183"/>
        <v>81395074</v>
      </c>
      <c r="AG1455" s="275">
        <f t="shared" si="184"/>
        <v>87772565</v>
      </c>
    </row>
    <row r="1456" spans="1:33" ht="12" customHeight="1">
      <c r="A1456" s="706" t="s">
        <v>1279</v>
      </c>
      <c r="B1456" s="707" t="s">
        <v>1776</v>
      </c>
      <c r="C1456" s="708" t="s">
        <v>819</v>
      </c>
      <c r="D1456" s="709">
        <v>161688</v>
      </c>
      <c r="E1456" s="710">
        <v>9</v>
      </c>
      <c r="F1456" s="573">
        <v>5671022</v>
      </c>
      <c r="G1456" s="487">
        <v>5959792</v>
      </c>
      <c r="H1456" s="573"/>
      <c r="I1456" s="487"/>
      <c r="J1456" s="573">
        <v>7175000</v>
      </c>
      <c r="K1456" s="487">
        <v>7425000</v>
      </c>
      <c r="L1456" s="573">
        <v>13325517</v>
      </c>
      <c r="M1456" s="573"/>
      <c r="N1456" s="456">
        <f t="shared" si="185"/>
        <v>13325517</v>
      </c>
      <c r="O1456" s="487">
        <v>13888021</v>
      </c>
      <c r="P1456" s="487"/>
      <c r="Q1456" s="274">
        <f t="shared" si="180"/>
        <v>13888021</v>
      </c>
      <c r="R1456" s="574">
        <f t="shared" si="181"/>
        <v>26171539</v>
      </c>
      <c r="S1456" s="275">
        <f t="shared" si="182"/>
        <v>27272813</v>
      </c>
      <c r="T1456" s="575"/>
      <c r="U1456" s="487"/>
      <c r="V1456" s="576"/>
      <c r="W1456" s="573"/>
      <c r="X1456" s="574">
        <f t="shared" si="186"/>
        <v>0</v>
      </c>
      <c r="Y1456" s="487"/>
      <c r="Z1456" s="487"/>
      <c r="AA1456" s="276">
        <f t="shared" si="187"/>
        <v>0</v>
      </c>
      <c r="AB1456" s="573"/>
      <c r="AC1456" s="487"/>
      <c r="AD1456" s="573"/>
      <c r="AE1456" s="487"/>
      <c r="AF1456" s="577">
        <f t="shared" si="183"/>
        <v>26171539</v>
      </c>
      <c r="AG1456" s="275">
        <f t="shared" si="184"/>
        <v>27272813</v>
      </c>
    </row>
    <row r="1457" spans="1:33" ht="12" customHeight="1">
      <c r="A1457" s="706" t="s">
        <v>1279</v>
      </c>
      <c r="B1457" s="707" t="s">
        <v>1776</v>
      </c>
      <c r="C1457" s="708" t="s">
        <v>814</v>
      </c>
      <c r="D1457" s="709">
        <v>161864</v>
      </c>
      <c r="E1457" s="710">
        <v>9</v>
      </c>
      <c r="F1457" s="573">
        <v>39697646</v>
      </c>
      <c r="G1457" s="487">
        <v>41001037</v>
      </c>
      <c r="H1457" s="573"/>
      <c r="I1457" s="487"/>
      <c r="J1457" s="573">
        <v>125000</v>
      </c>
      <c r="K1457" s="487">
        <v>125000</v>
      </c>
      <c r="L1457" s="573">
        <v>15823846</v>
      </c>
      <c r="M1457" s="573"/>
      <c r="N1457" s="456">
        <f t="shared" si="185"/>
        <v>15823846</v>
      </c>
      <c r="O1457" s="487">
        <v>16284747</v>
      </c>
      <c r="P1457" s="487"/>
      <c r="Q1457" s="274">
        <f t="shared" si="180"/>
        <v>16284747</v>
      </c>
      <c r="R1457" s="574">
        <f t="shared" si="181"/>
        <v>55646492</v>
      </c>
      <c r="S1457" s="275">
        <f t="shared" si="182"/>
        <v>57410784</v>
      </c>
      <c r="T1457" s="575"/>
      <c r="U1457" s="487"/>
      <c r="V1457" s="576"/>
      <c r="W1457" s="573"/>
      <c r="X1457" s="574">
        <f t="shared" si="186"/>
        <v>0</v>
      </c>
      <c r="Y1457" s="487"/>
      <c r="Z1457" s="487"/>
      <c r="AA1457" s="276">
        <f t="shared" si="187"/>
        <v>0</v>
      </c>
      <c r="AB1457" s="573"/>
      <c r="AC1457" s="487"/>
      <c r="AD1457" s="573"/>
      <c r="AE1457" s="487"/>
      <c r="AF1457" s="577">
        <f t="shared" si="183"/>
        <v>55646492</v>
      </c>
      <c r="AG1457" s="275">
        <f t="shared" si="184"/>
        <v>57410784</v>
      </c>
    </row>
    <row r="1458" spans="1:33" ht="12" customHeight="1">
      <c r="A1458" s="706" t="s">
        <v>1279</v>
      </c>
      <c r="B1458" s="707" t="s">
        <v>1776</v>
      </c>
      <c r="C1458" s="706" t="s">
        <v>815</v>
      </c>
      <c r="D1458" s="709">
        <v>162122</v>
      </c>
      <c r="E1458" s="710">
        <v>9</v>
      </c>
      <c r="F1458" s="573">
        <v>10335229</v>
      </c>
      <c r="G1458" s="487">
        <v>11224135</v>
      </c>
      <c r="H1458" s="573"/>
      <c r="I1458" s="487"/>
      <c r="J1458" s="573">
        <v>14156175</v>
      </c>
      <c r="K1458" s="487">
        <v>14780791</v>
      </c>
      <c r="L1458" s="573">
        <v>21240931</v>
      </c>
      <c r="M1458" s="573"/>
      <c r="N1458" s="456">
        <f t="shared" si="185"/>
        <v>21240931</v>
      </c>
      <c r="O1458" s="487">
        <v>23423440</v>
      </c>
      <c r="P1458" s="487"/>
      <c r="Q1458" s="274">
        <f t="shared" si="180"/>
        <v>23423440</v>
      </c>
      <c r="R1458" s="574">
        <f t="shared" si="181"/>
        <v>45732335</v>
      </c>
      <c r="S1458" s="275">
        <f t="shared" si="182"/>
        <v>49428366</v>
      </c>
      <c r="T1458" s="575"/>
      <c r="U1458" s="487"/>
      <c r="V1458" s="576"/>
      <c r="W1458" s="573"/>
      <c r="X1458" s="574">
        <f t="shared" si="186"/>
        <v>0</v>
      </c>
      <c r="Y1458" s="487"/>
      <c r="Z1458" s="487"/>
      <c r="AA1458" s="276">
        <f t="shared" si="187"/>
        <v>0</v>
      </c>
      <c r="AB1458" s="573"/>
      <c r="AC1458" s="487"/>
      <c r="AD1458" s="573"/>
      <c r="AE1458" s="487"/>
      <c r="AF1458" s="577">
        <f t="shared" si="183"/>
        <v>45732335</v>
      </c>
      <c r="AG1458" s="275">
        <f t="shared" si="184"/>
        <v>49428366</v>
      </c>
    </row>
    <row r="1459" spans="1:33" ht="12" customHeight="1">
      <c r="A1459" s="706" t="s">
        <v>1279</v>
      </c>
      <c r="B1459" s="707" t="s">
        <v>1776</v>
      </c>
      <c r="C1459" s="708" t="s">
        <v>816</v>
      </c>
      <c r="D1459" s="709">
        <v>162557</v>
      </c>
      <c r="E1459" s="710">
        <v>9</v>
      </c>
      <c r="F1459" s="573">
        <v>7561470</v>
      </c>
      <c r="G1459" s="487">
        <v>8312312</v>
      </c>
      <c r="H1459" s="573"/>
      <c r="I1459" s="487"/>
      <c r="J1459" s="573">
        <v>13664801</v>
      </c>
      <c r="K1459" s="487">
        <v>14654046</v>
      </c>
      <c r="L1459" s="573">
        <v>12429043</v>
      </c>
      <c r="M1459" s="573"/>
      <c r="N1459" s="456">
        <f t="shared" si="185"/>
        <v>12429043</v>
      </c>
      <c r="O1459" s="487">
        <v>13198437</v>
      </c>
      <c r="P1459" s="487"/>
      <c r="Q1459" s="274">
        <f t="shared" si="180"/>
        <v>13198437</v>
      </c>
      <c r="R1459" s="574">
        <f t="shared" si="181"/>
        <v>33655314</v>
      </c>
      <c r="S1459" s="275">
        <f t="shared" si="182"/>
        <v>36164795</v>
      </c>
      <c r="T1459" s="575"/>
      <c r="U1459" s="487"/>
      <c r="V1459" s="576"/>
      <c r="W1459" s="573"/>
      <c r="X1459" s="574">
        <f t="shared" si="186"/>
        <v>0</v>
      </c>
      <c r="Y1459" s="487"/>
      <c r="Z1459" s="487"/>
      <c r="AA1459" s="276">
        <f t="shared" si="187"/>
        <v>0</v>
      </c>
      <c r="AB1459" s="573"/>
      <c r="AC1459" s="487"/>
      <c r="AD1459" s="573"/>
      <c r="AE1459" s="487"/>
      <c r="AF1459" s="577">
        <f t="shared" si="183"/>
        <v>33655314</v>
      </c>
      <c r="AG1459" s="275">
        <f t="shared" si="184"/>
        <v>36164795</v>
      </c>
    </row>
    <row r="1460" spans="1:33" ht="12" customHeight="1">
      <c r="A1460" s="706" t="s">
        <v>1279</v>
      </c>
      <c r="B1460" s="707" t="s">
        <v>1776</v>
      </c>
      <c r="C1460" s="708" t="s">
        <v>824</v>
      </c>
      <c r="D1460" s="709">
        <v>162690</v>
      </c>
      <c r="E1460" s="710">
        <v>9</v>
      </c>
      <c r="F1460" s="573">
        <v>7081056</v>
      </c>
      <c r="G1460" s="487">
        <v>10218796</v>
      </c>
      <c r="H1460" s="573"/>
      <c r="I1460" s="487"/>
      <c r="J1460" s="573">
        <v>7942580</v>
      </c>
      <c r="K1460" s="487">
        <v>8697128</v>
      </c>
      <c r="L1460" s="573">
        <v>11401823</v>
      </c>
      <c r="M1460" s="573"/>
      <c r="N1460" s="456">
        <f t="shared" si="185"/>
        <v>11401823</v>
      </c>
      <c r="O1460" s="487">
        <v>12462526</v>
      </c>
      <c r="P1460" s="487"/>
      <c r="Q1460" s="274">
        <f t="shared" si="180"/>
        <v>12462526</v>
      </c>
      <c r="R1460" s="574">
        <f t="shared" si="181"/>
        <v>26425459</v>
      </c>
      <c r="S1460" s="275">
        <f t="shared" si="182"/>
        <v>31378450</v>
      </c>
      <c r="T1460" s="575"/>
      <c r="U1460" s="487"/>
      <c r="V1460" s="576"/>
      <c r="W1460" s="573"/>
      <c r="X1460" s="574">
        <f t="shared" si="186"/>
        <v>0</v>
      </c>
      <c r="Y1460" s="487"/>
      <c r="Z1460" s="487"/>
      <c r="AA1460" s="276">
        <f t="shared" si="187"/>
        <v>0</v>
      </c>
      <c r="AB1460" s="573"/>
      <c r="AC1460" s="487"/>
      <c r="AD1460" s="573"/>
      <c r="AE1460" s="487"/>
      <c r="AF1460" s="577">
        <f t="shared" si="183"/>
        <v>26425459</v>
      </c>
      <c r="AG1460" s="275">
        <f t="shared" si="184"/>
        <v>31378450</v>
      </c>
    </row>
    <row r="1461" spans="1:33" ht="12" customHeight="1">
      <c r="A1461" s="706" t="s">
        <v>1279</v>
      </c>
      <c r="B1461" s="707" t="s">
        <v>1776</v>
      </c>
      <c r="C1461" s="708" t="s">
        <v>817</v>
      </c>
      <c r="D1461" s="709">
        <v>162706</v>
      </c>
      <c r="E1461" s="710">
        <v>9</v>
      </c>
      <c r="F1461" s="573">
        <v>9708829</v>
      </c>
      <c r="G1461" s="487">
        <v>10540258</v>
      </c>
      <c r="H1461" s="573"/>
      <c r="I1461" s="487"/>
      <c r="J1461" s="573">
        <v>15778743</v>
      </c>
      <c r="K1461" s="487">
        <v>16778743</v>
      </c>
      <c r="L1461" s="573">
        <v>11703296</v>
      </c>
      <c r="M1461" s="573"/>
      <c r="N1461" s="456">
        <f t="shared" si="185"/>
        <v>11703296</v>
      </c>
      <c r="O1461" s="487">
        <v>12570000</v>
      </c>
      <c r="P1461" s="487"/>
      <c r="Q1461" s="274">
        <f t="shared" si="180"/>
        <v>12570000</v>
      </c>
      <c r="R1461" s="574">
        <f t="shared" si="181"/>
        <v>37190868</v>
      </c>
      <c r="S1461" s="275">
        <f t="shared" si="182"/>
        <v>39889001</v>
      </c>
      <c r="T1461" s="575"/>
      <c r="U1461" s="487"/>
      <c r="V1461" s="576"/>
      <c r="W1461" s="573"/>
      <c r="X1461" s="574">
        <f t="shared" si="186"/>
        <v>0</v>
      </c>
      <c r="Y1461" s="487"/>
      <c r="Z1461" s="487"/>
      <c r="AA1461" s="276">
        <f t="shared" si="187"/>
        <v>0</v>
      </c>
      <c r="AB1461" s="573"/>
      <c r="AC1461" s="487"/>
      <c r="AD1461" s="573"/>
      <c r="AE1461" s="487"/>
      <c r="AF1461" s="577">
        <f t="shared" si="183"/>
        <v>37190868</v>
      </c>
      <c r="AG1461" s="275">
        <f t="shared" si="184"/>
        <v>39889001</v>
      </c>
    </row>
    <row r="1462" spans="1:33" ht="12" customHeight="1">
      <c r="A1462" s="706" t="s">
        <v>1279</v>
      </c>
      <c r="B1462" s="707" t="s">
        <v>1776</v>
      </c>
      <c r="C1462" s="706" t="s">
        <v>818</v>
      </c>
      <c r="D1462" s="709">
        <v>162779</v>
      </c>
      <c r="E1462" s="710">
        <v>9</v>
      </c>
      <c r="F1462" s="573">
        <v>11617946</v>
      </c>
      <c r="G1462" s="487">
        <v>12869489</v>
      </c>
      <c r="H1462" s="573"/>
      <c r="I1462" s="487"/>
      <c r="J1462" s="573">
        <v>23635010</v>
      </c>
      <c r="K1462" s="487">
        <v>25195470</v>
      </c>
      <c r="L1462" s="573">
        <v>25147223</v>
      </c>
      <c r="M1462" s="573"/>
      <c r="N1462" s="456">
        <f t="shared" si="185"/>
        <v>25147223</v>
      </c>
      <c r="O1462" s="487">
        <v>28392032</v>
      </c>
      <c r="P1462" s="487"/>
      <c r="Q1462" s="274">
        <f t="shared" si="180"/>
        <v>28392032</v>
      </c>
      <c r="R1462" s="574">
        <f t="shared" si="181"/>
        <v>60400179</v>
      </c>
      <c r="S1462" s="275">
        <f t="shared" si="182"/>
        <v>66456991</v>
      </c>
      <c r="T1462" s="575"/>
      <c r="U1462" s="487"/>
      <c r="V1462" s="576"/>
      <c r="W1462" s="573"/>
      <c r="X1462" s="574">
        <f t="shared" si="186"/>
        <v>0</v>
      </c>
      <c r="Y1462" s="487"/>
      <c r="Z1462" s="487"/>
      <c r="AA1462" s="276">
        <f t="shared" si="187"/>
        <v>0</v>
      </c>
      <c r="AB1462" s="573"/>
      <c r="AC1462" s="487"/>
      <c r="AD1462" s="573"/>
      <c r="AE1462" s="487"/>
      <c r="AF1462" s="577">
        <f t="shared" si="183"/>
        <v>60400179</v>
      </c>
      <c r="AG1462" s="275">
        <f t="shared" si="184"/>
        <v>66456991</v>
      </c>
    </row>
    <row r="1463" spans="1:33" ht="12" customHeight="1">
      <c r="A1463" s="706" t="s">
        <v>1279</v>
      </c>
      <c r="B1463" s="707" t="s">
        <v>1776</v>
      </c>
      <c r="C1463" s="708" t="s">
        <v>820</v>
      </c>
      <c r="D1463" s="709">
        <v>405872</v>
      </c>
      <c r="E1463" s="710">
        <v>10</v>
      </c>
      <c r="F1463" s="573">
        <v>6880783</v>
      </c>
      <c r="G1463" s="487">
        <v>7260498</v>
      </c>
      <c r="H1463" s="573"/>
      <c r="I1463" s="487"/>
      <c r="J1463" s="573">
        <v>7655930</v>
      </c>
      <c r="K1463" s="487">
        <v>8120400</v>
      </c>
      <c r="L1463" s="573">
        <v>7995480</v>
      </c>
      <c r="M1463" s="573"/>
      <c r="N1463" s="456">
        <f t="shared" si="185"/>
        <v>7995480</v>
      </c>
      <c r="O1463" s="487">
        <v>9263485</v>
      </c>
      <c r="P1463" s="487"/>
      <c r="Q1463" s="274">
        <f t="shared" si="180"/>
        <v>9263485</v>
      </c>
      <c r="R1463" s="574">
        <f t="shared" si="181"/>
        <v>22532193</v>
      </c>
      <c r="S1463" s="275">
        <f t="shared" si="182"/>
        <v>24644383</v>
      </c>
      <c r="T1463" s="575"/>
      <c r="U1463" s="487"/>
      <c r="V1463" s="576"/>
      <c r="W1463" s="573"/>
      <c r="X1463" s="574">
        <f t="shared" si="186"/>
        <v>0</v>
      </c>
      <c r="Y1463" s="487"/>
      <c r="Z1463" s="487"/>
      <c r="AA1463" s="276">
        <f t="shared" si="187"/>
        <v>0</v>
      </c>
      <c r="AB1463" s="573"/>
      <c r="AC1463" s="487"/>
      <c r="AD1463" s="573"/>
      <c r="AE1463" s="487"/>
      <c r="AF1463" s="577">
        <f t="shared" si="183"/>
        <v>22532193</v>
      </c>
      <c r="AG1463" s="275">
        <f t="shared" si="184"/>
        <v>24644383</v>
      </c>
    </row>
    <row r="1464" spans="1:33" ht="12" customHeight="1">
      <c r="A1464" s="706" t="s">
        <v>1279</v>
      </c>
      <c r="B1464" s="707" t="s">
        <v>1776</v>
      </c>
      <c r="C1464" s="708" t="s">
        <v>821</v>
      </c>
      <c r="D1464" s="709">
        <v>162104</v>
      </c>
      <c r="E1464" s="710">
        <v>10</v>
      </c>
      <c r="F1464" s="573">
        <v>4646863</v>
      </c>
      <c r="G1464" s="487">
        <v>5005534</v>
      </c>
      <c r="H1464" s="573"/>
      <c r="I1464" s="487"/>
      <c r="J1464" s="573">
        <v>7607625</v>
      </c>
      <c r="K1464" s="487">
        <v>8101100</v>
      </c>
      <c r="L1464" s="573">
        <v>5761889</v>
      </c>
      <c r="M1464" s="573"/>
      <c r="N1464" s="456">
        <f t="shared" si="185"/>
        <v>5761889</v>
      </c>
      <c r="O1464" s="487">
        <v>6233121</v>
      </c>
      <c r="P1464" s="487"/>
      <c r="Q1464" s="274">
        <f t="shared" si="180"/>
        <v>6233121</v>
      </c>
      <c r="R1464" s="574">
        <f t="shared" si="181"/>
        <v>18016377</v>
      </c>
      <c r="S1464" s="275">
        <f t="shared" si="182"/>
        <v>19339755</v>
      </c>
      <c r="T1464" s="575"/>
      <c r="U1464" s="487"/>
      <c r="V1464" s="576"/>
      <c r="W1464" s="573"/>
      <c r="X1464" s="574">
        <f t="shared" si="186"/>
        <v>0</v>
      </c>
      <c r="Y1464" s="487"/>
      <c r="Z1464" s="487"/>
      <c r="AA1464" s="276">
        <f t="shared" si="187"/>
        <v>0</v>
      </c>
      <c r="AB1464" s="573"/>
      <c r="AC1464" s="487"/>
      <c r="AD1464" s="573"/>
      <c r="AE1464" s="487"/>
      <c r="AF1464" s="577">
        <f t="shared" si="183"/>
        <v>18016377</v>
      </c>
      <c r="AG1464" s="275">
        <f t="shared" si="184"/>
        <v>19339755</v>
      </c>
    </row>
    <row r="1465" spans="1:33" ht="12" customHeight="1">
      <c r="A1465" s="706" t="s">
        <v>1279</v>
      </c>
      <c r="B1465" s="707" t="s">
        <v>1776</v>
      </c>
      <c r="C1465" s="708" t="s">
        <v>822</v>
      </c>
      <c r="D1465" s="709">
        <v>162168</v>
      </c>
      <c r="E1465" s="710">
        <v>10</v>
      </c>
      <c r="F1465" s="573">
        <v>5696065</v>
      </c>
      <c r="G1465" s="487">
        <v>6038137</v>
      </c>
      <c r="H1465" s="573"/>
      <c r="I1465" s="487"/>
      <c r="J1465" s="573">
        <v>5770187</v>
      </c>
      <c r="K1465" s="487">
        <v>5885589</v>
      </c>
      <c r="L1465" s="573">
        <v>5864807</v>
      </c>
      <c r="M1465" s="573"/>
      <c r="N1465" s="456">
        <f t="shared" si="185"/>
        <v>5864807</v>
      </c>
      <c r="O1465" s="487">
        <v>6201411</v>
      </c>
      <c r="P1465" s="487"/>
      <c r="Q1465" s="274">
        <f t="shared" si="180"/>
        <v>6201411</v>
      </c>
      <c r="R1465" s="574">
        <f t="shared" si="181"/>
        <v>17331059</v>
      </c>
      <c r="S1465" s="275">
        <f t="shared" si="182"/>
        <v>18125137</v>
      </c>
      <c r="T1465" s="575"/>
      <c r="U1465" s="487"/>
      <c r="V1465" s="576"/>
      <c r="W1465" s="573"/>
      <c r="X1465" s="574">
        <f t="shared" si="186"/>
        <v>0</v>
      </c>
      <c r="Y1465" s="487"/>
      <c r="Z1465" s="487"/>
      <c r="AA1465" s="276">
        <f t="shared" si="187"/>
        <v>0</v>
      </c>
      <c r="AB1465" s="573"/>
      <c r="AC1465" s="487"/>
      <c r="AD1465" s="573"/>
      <c r="AE1465" s="487"/>
      <c r="AF1465" s="577">
        <f t="shared" si="183"/>
        <v>17331059</v>
      </c>
      <c r="AG1465" s="275">
        <f t="shared" si="184"/>
        <v>18125137</v>
      </c>
    </row>
    <row r="1466" spans="1:33" ht="12" customHeight="1">
      <c r="A1466" s="706" t="s">
        <v>1279</v>
      </c>
      <c r="B1466" s="707" t="s">
        <v>1776</v>
      </c>
      <c r="C1466" s="706" t="s">
        <v>823</v>
      </c>
      <c r="D1466" s="709">
        <v>162609</v>
      </c>
      <c r="E1466" s="710">
        <v>10</v>
      </c>
      <c r="F1466" s="573">
        <v>3277000</v>
      </c>
      <c r="G1466" s="487">
        <v>3609700</v>
      </c>
      <c r="H1466" s="573"/>
      <c r="I1466" s="487"/>
      <c r="J1466" s="573">
        <v>4134000</v>
      </c>
      <c r="K1466" s="487">
        <v>4376000</v>
      </c>
      <c r="L1466" s="573">
        <v>2707069</v>
      </c>
      <c r="M1466" s="573"/>
      <c r="N1466" s="456">
        <f t="shared" si="185"/>
        <v>2707069</v>
      </c>
      <c r="O1466" s="487">
        <v>2857095</v>
      </c>
      <c r="P1466" s="487"/>
      <c r="Q1466" s="274">
        <f t="shared" si="180"/>
        <v>2857095</v>
      </c>
      <c r="R1466" s="574">
        <f t="shared" si="181"/>
        <v>10118069</v>
      </c>
      <c r="S1466" s="275">
        <f t="shared" si="182"/>
        <v>10842795</v>
      </c>
      <c r="T1466" s="575"/>
      <c r="U1466" s="487"/>
      <c r="V1466" s="576"/>
      <c r="W1466" s="573"/>
      <c r="X1466" s="574">
        <f t="shared" si="186"/>
        <v>0</v>
      </c>
      <c r="Y1466" s="487"/>
      <c r="Z1466" s="487"/>
      <c r="AA1466" s="276">
        <f t="shared" si="187"/>
        <v>0</v>
      </c>
      <c r="AB1466" s="573"/>
      <c r="AC1466" s="487"/>
      <c r="AD1466" s="573"/>
      <c r="AE1466" s="487"/>
      <c r="AF1466" s="577">
        <f t="shared" si="183"/>
        <v>10118069</v>
      </c>
      <c r="AG1466" s="275">
        <f t="shared" si="184"/>
        <v>10842795</v>
      </c>
    </row>
    <row r="1467" spans="1:33" ht="12" customHeight="1">
      <c r="A1467" s="706" t="s">
        <v>1279</v>
      </c>
      <c r="B1467" s="707" t="s">
        <v>1776</v>
      </c>
      <c r="C1467" s="706" t="s">
        <v>825</v>
      </c>
      <c r="D1467" s="709">
        <v>164313</v>
      </c>
      <c r="E1467" s="710">
        <v>10</v>
      </c>
      <c r="F1467" s="573">
        <v>6712439</v>
      </c>
      <c r="G1467" s="487">
        <v>7199326</v>
      </c>
      <c r="H1467" s="573"/>
      <c r="I1467" s="487"/>
      <c r="J1467" s="573">
        <v>5787888</v>
      </c>
      <c r="K1467" s="487">
        <v>6075641</v>
      </c>
      <c r="L1467" s="573">
        <v>7142918</v>
      </c>
      <c r="M1467" s="573"/>
      <c r="N1467" s="456">
        <f t="shared" si="185"/>
        <v>7142918</v>
      </c>
      <c r="O1467" s="487">
        <v>7922754</v>
      </c>
      <c r="P1467" s="487"/>
      <c r="Q1467" s="274">
        <f t="shared" si="180"/>
        <v>7922754</v>
      </c>
      <c r="R1467" s="574">
        <f t="shared" si="181"/>
        <v>19643245</v>
      </c>
      <c r="S1467" s="275">
        <f t="shared" si="182"/>
        <v>21197721</v>
      </c>
      <c r="T1467" s="575"/>
      <c r="U1467" s="487"/>
      <c r="V1467" s="576"/>
      <c r="W1467" s="573"/>
      <c r="X1467" s="574">
        <f t="shared" si="186"/>
        <v>0</v>
      </c>
      <c r="Y1467" s="487"/>
      <c r="Z1467" s="487"/>
      <c r="AA1467" s="276">
        <f t="shared" si="187"/>
        <v>0</v>
      </c>
      <c r="AB1467" s="573"/>
      <c r="AC1467" s="487"/>
      <c r="AD1467" s="573"/>
      <c r="AE1467" s="487"/>
      <c r="AF1467" s="577">
        <f t="shared" si="183"/>
        <v>19643245</v>
      </c>
      <c r="AG1467" s="275">
        <f t="shared" si="184"/>
        <v>21197721</v>
      </c>
    </row>
    <row r="1468" spans="1:33" ht="12" customHeight="1">
      <c r="A1468" s="706" t="s">
        <v>1279</v>
      </c>
      <c r="B1468" s="707" t="s">
        <v>1820</v>
      </c>
      <c r="C1468" s="708" t="s">
        <v>826</v>
      </c>
      <c r="D1468" s="709">
        <v>163204</v>
      </c>
      <c r="E1468" s="710">
        <v>15</v>
      </c>
      <c r="F1468" s="573"/>
      <c r="G1468" s="487"/>
      <c r="H1468" s="573"/>
      <c r="I1468" s="487"/>
      <c r="J1468" s="573"/>
      <c r="K1468" s="487"/>
      <c r="L1468" s="573"/>
      <c r="M1468" s="573"/>
      <c r="N1468" s="456">
        <f t="shared" si="185"/>
        <v>0</v>
      </c>
      <c r="O1468" s="487"/>
      <c r="P1468" s="487"/>
      <c r="Q1468" s="274">
        <f t="shared" si="180"/>
        <v>0</v>
      </c>
      <c r="R1468" s="574">
        <f t="shared" si="181"/>
        <v>0</v>
      </c>
      <c r="S1468" s="275">
        <f t="shared" si="182"/>
        <v>0</v>
      </c>
      <c r="T1468" s="575">
        <v>24691418</v>
      </c>
      <c r="U1468" s="487">
        <v>24933101</v>
      </c>
      <c r="V1468" s="576">
        <v>222457982</v>
      </c>
      <c r="W1468" s="573"/>
      <c r="X1468" s="574">
        <f t="shared" si="186"/>
        <v>222457982</v>
      </c>
      <c r="Y1468" s="487">
        <v>219194268</v>
      </c>
      <c r="Z1468" s="487"/>
      <c r="AA1468" s="276">
        <f t="shared" si="187"/>
        <v>219194268</v>
      </c>
      <c r="AB1468" s="573"/>
      <c r="AC1468" s="487"/>
      <c r="AD1468" s="573"/>
      <c r="AE1468" s="487"/>
      <c r="AF1468" s="577">
        <f t="shared" si="183"/>
        <v>247149400</v>
      </c>
      <c r="AG1468" s="275">
        <f t="shared" si="184"/>
        <v>244127369</v>
      </c>
    </row>
    <row r="1469" spans="1:33" ht="12" customHeight="1">
      <c r="A1469" s="706" t="s">
        <v>1279</v>
      </c>
      <c r="B1469" s="707" t="s">
        <v>1819</v>
      </c>
      <c r="C1469" s="708" t="s">
        <v>827</v>
      </c>
      <c r="D1469" s="709">
        <v>163259</v>
      </c>
      <c r="E1469" s="710">
        <v>15</v>
      </c>
      <c r="F1469" s="573"/>
      <c r="G1469" s="487"/>
      <c r="H1469" s="573"/>
      <c r="I1469" s="487"/>
      <c r="J1469" s="573"/>
      <c r="K1469" s="487"/>
      <c r="L1469" s="573"/>
      <c r="M1469" s="573"/>
      <c r="N1469" s="456">
        <f t="shared" si="185"/>
        <v>0</v>
      </c>
      <c r="O1469" s="487"/>
      <c r="P1469" s="487"/>
      <c r="Q1469" s="274">
        <f t="shared" si="180"/>
        <v>0</v>
      </c>
      <c r="R1469" s="574">
        <f t="shared" si="181"/>
        <v>0</v>
      </c>
      <c r="S1469" s="275">
        <f t="shared" si="182"/>
        <v>0</v>
      </c>
      <c r="T1469" s="575"/>
      <c r="U1469" s="487"/>
      <c r="V1469" s="576"/>
      <c r="W1469" s="573"/>
      <c r="X1469" s="574">
        <f t="shared" si="186"/>
        <v>0</v>
      </c>
      <c r="Y1469" s="487"/>
      <c r="Z1469" s="487"/>
      <c r="AA1469" s="276">
        <f t="shared" si="187"/>
        <v>0</v>
      </c>
      <c r="AB1469" s="573">
        <v>170642031</v>
      </c>
      <c r="AC1469" s="487">
        <v>175542673</v>
      </c>
      <c r="AD1469" s="573">
        <v>81435855</v>
      </c>
      <c r="AE1469" s="487">
        <v>86882441</v>
      </c>
      <c r="AF1469" s="577">
        <f t="shared" si="183"/>
        <v>252077886</v>
      </c>
      <c r="AG1469" s="275">
        <f t="shared" si="184"/>
        <v>262425114</v>
      </c>
    </row>
    <row r="1470" spans="1:33" ht="12" customHeight="1" thickBot="1">
      <c r="A1470" s="706" t="s">
        <v>1279</v>
      </c>
      <c r="B1470" s="707" t="s">
        <v>1821</v>
      </c>
      <c r="C1470" s="279" t="s">
        <v>828</v>
      </c>
      <c r="D1470" s="709"/>
      <c r="E1470" s="710"/>
      <c r="F1470" s="573"/>
      <c r="G1470" s="487"/>
      <c r="H1470" s="573"/>
      <c r="I1470" s="487"/>
      <c r="J1470" s="573"/>
      <c r="K1470" s="487"/>
      <c r="L1470" s="573"/>
      <c r="M1470" s="573"/>
      <c r="N1470" s="456">
        <f t="shared" si="185"/>
        <v>0</v>
      </c>
      <c r="O1470" s="487"/>
      <c r="P1470" s="487"/>
      <c r="Q1470" s="274">
        <f t="shared" si="180"/>
        <v>0</v>
      </c>
      <c r="R1470" s="574">
        <f t="shared" si="181"/>
        <v>0</v>
      </c>
      <c r="S1470" s="275">
        <f t="shared" si="182"/>
        <v>0</v>
      </c>
      <c r="T1470" s="575"/>
      <c r="U1470" s="487"/>
      <c r="V1470" s="576"/>
      <c r="W1470" s="573"/>
      <c r="X1470" s="574">
        <f t="shared" si="186"/>
        <v>0</v>
      </c>
      <c r="Y1470" s="487"/>
      <c r="Z1470" s="487"/>
      <c r="AA1470" s="276">
        <f t="shared" si="187"/>
        <v>0</v>
      </c>
      <c r="AB1470" s="573"/>
      <c r="AC1470" s="487"/>
      <c r="AD1470" s="573"/>
      <c r="AE1470" s="487"/>
      <c r="AF1470" s="577">
        <f t="shared" si="183"/>
        <v>0</v>
      </c>
      <c r="AG1470" s="275">
        <f t="shared" si="184"/>
        <v>0</v>
      </c>
    </row>
    <row r="1471" spans="1:33" ht="12" customHeight="1">
      <c r="A1471" s="706" t="s">
        <v>1279</v>
      </c>
      <c r="B1471" s="707" t="s">
        <v>1821</v>
      </c>
      <c r="C1471" s="711" t="s">
        <v>829</v>
      </c>
      <c r="D1471" s="709"/>
      <c r="E1471" s="710"/>
      <c r="F1471" s="573"/>
      <c r="G1471" s="487"/>
      <c r="H1471" s="587">
        <f>4822611+160000+353219</f>
        <v>5335830</v>
      </c>
      <c r="I1471" s="499">
        <v>4747806</v>
      </c>
      <c r="J1471" s="573"/>
      <c r="K1471" s="487"/>
      <c r="L1471" s="573"/>
      <c r="M1471" s="573"/>
      <c r="N1471" s="456">
        <f t="shared" si="185"/>
        <v>0</v>
      </c>
      <c r="O1471" s="487"/>
      <c r="P1471" s="487"/>
      <c r="Q1471" s="274">
        <f t="shared" si="180"/>
        <v>0</v>
      </c>
      <c r="R1471" s="574">
        <f t="shared" si="181"/>
        <v>5335830</v>
      </c>
      <c r="S1471" s="275">
        <f t="shared" si="182"/>
        <v>4747806</v>
      </c>
      <c r="T1471" s="575"/>
      <c r="U1471" s="487"/>
      <c r="V1471" s="576"/>
      <c r="W1471" s="573"/>
      <c r="X1471" s="574">
        <f t="shared" si="186"/>
        <v>0</v>
      </c>
      <c r="Y1471" s="487"/>
      <c r="Z1471" s="487"/>
      <c r="AA1471" s="276">
        <f t="shared" si="187"/>
        <v>0</v>
      </c>
      <c r="AB1471" s="573"/>
      <c r="AC1471" s="487"/>
      <c r="AD1471" s="573"/>
      <c r="AE1471" s="487"/>
      <c r="AF1471" s="577">
        <f t="shared" si="183"/>
        <v>5335830</v>
      </c>
      <c r="AG1471" s="275">
        <f t="shared" si="184"/>
        <v>4747806</v>
      </c>
    </row>
    <row r="1472" spans="1:33" ht="12" customHeight="1">
      <c r="A1472" s="706" t="s">
        <v>1279</v>
      </c>
      <c r="B1472" s="707" t="s">
        <v>1821</v>
      </c>
      <c r="C1472" s="711" t="s">
        <v>830</v>
      </c>
      <c r="D1472" s="709"/>
      <c r="E1472" s="710"/>
      <c r="F1472" s="573"/>
      <c r="G1472" s="487"/>
      <c r="H1472" s="576">
        <v>200000</v>
      </c>
      <c r="I1472" s="487">
        <v>160000</v>
      </c>
      <c r="J1472" s="573"/>
      <c r="K1472" s="487"/>
      <c r="L1472" s="573"/>
      <c r="M1472" s="573"/>
      <c r="N1472" s="456">
        <f t="shared" si="185"/>
        <v>0</v>
      </c>
      <c r="O1472" s="487"/>
      <c r="P1472" s="487"/>
      <c r="Q1472" s="274">
        <f t="shared" si="180"/>
        <v>0</v>
      </c>
      <c r="R1472" s="574">
        <f t="shared" si="181"/>
        <v>200000</v>
      </c>
      <c r="S1472" s="275">
        <f t="shared" si="182"/>
        <v>160000</v>
      </c>
      <c r="T1472" s="575"/>
      <c r="U1472" s="487"/>
      <c r="V1472" s="576"/>
      <c r="W1472" s="573"/>
      <c r="X1472" s="574">
        <f t="shared" si="186"/>
        <v>0</v>
      </c>
      <c r="Y1472" s="487"/>
      <c r="Z1472" s="487"/>
      <c r="AA1472" s="276">
        <f t="shared" si="187"/>
        <v>0</v>
      </c>
      <c r="AB1472" s="573"/>
      <c r="AC1472" s="487"/>
      <c r="AD1472" s="573"/>
      <c r="AE1472" s="487"/>
      <c r="AF1472" s="577">
        <f t="shared" si="183"/>
        <v>200000</v>
      </c>
      <c r="AG1472" s="275">
        <f t="shared" si="184"/>
        <v>160000</v>
      </c>
    </row>
    <row r="1473" spans="1:33" ht="12" customHeight="1" thickBot="1">
      <c r="A1473" s="706" t="s">
        <v>1279</v>
      </c>
      <c r="B1473" s="707" t="s">
        <v>1821</v>
      </c>
      <c r="C1473" s="711" t="s">
        <v>831</v>
      </c>
      <c r="D1473" s="709"/>
      <c r="E1473" s="710"/>
      <c r="F1473" s="573"/>
      <c r="G1473" s="487"/>
      <c r="H1473" s="591">
        <v>180000</v>
      </c>
      <c r="I1473" s="471">
        <v>130000</v>
      </c>
      <c r="J1473" s="573"/>
      <c r="K1473" s="487"/>
      <c r="L1473" s="573"/>
      <c r="M1473" s="573"/>
      <c r="N1473" s="456">
        <f t="shared" si="185"/>
        <v>0</v>
      </c>
      <c r="O1473" s="487"/>
      <c r="P1473" s="487"/>
      <c r="Q1473" s="274">
        <f t="shared" si="180"/>
        <v>0</v>
      </c>
      <c r="R1473" s="574">
        <f t="shared" si="181"/>
        <v>180000</v>
      </c>
      <c r="S1473" s="275">
        <f t="shared" si="182"/>
        <v>130000</v>
      </c>
      <c r="T1473" s="575"/>
      <c r="U1473" s="487"/>
      <c r="V1473" s="576"/>
      <c r="W1473" s="573"/>
      <c r="X1473" s="574">
        <f t="shared" si="186"/>
        <v>0</v>
      </c>
      <c r="Y1473" s="487"/>
      <c r="Z1473" s="487"/>
      <c r="AA1473" s="276">
        <f t="shared" si="187"/>
        <v>0</v>
      </c>
      <c r="AB1473" s="573"/>
      <c r="AC1473" s="487"/>
      <c r="AD1473" s="573"/>
      <c r="AE1473" s="487"/>
      <c r="AF1473" s="577">
        <f t="shared" si="183"/>
        <v>180000</v>
      </c>
      <c r="AG1473" s="275">
        <f t="shared" si="184"/>
        <v>130000</v>
      </c>
    </row>
    <row r="1474" spans="1:33" ht="12" customHeight="1">
      <c r="A1474" s="706" t="s">
        <v>1279</v>
      </c>
      <c r="B1474" s="707" t="s">
        <v>1794</v>
      </c>
      <c r="C1474" s="279" t="s">
        <v>849</v>
      </c>
      <c r="D1474" s="709"/>
      <c r="E1474" s="710"/>
      <c r="F1474" s="573"/>
      <c r="G1474" s="487"/>
      <c r="H1474" s="573"/>
      <c r="I1474" s="487"/>
      <c r="J1474" s="573"/>
      <c r="K1474" s="487"/>
      <c r="L1474" s="573"/>
      <c r="M1474" s="573"/>
      <c r="N1474" s="456">
        <f t="shared" si="185"/>
        <v>0</v>
      </c>
      <c r="O1474" s="487"/>
      <c r="P1474" s="487"/>
      <c r="Q1474" s="274">
        <f t="shared" si="180"/>
        <v>0</v>
      </c>
      <c r="R1474" s="574">
        <f t="shared" si="181"/>
        <v>0</v>
      </c>
      <c r="S1474" s="275">
        <f t="shared" si="182"/>
        <v>0</v>
      </c>
      <c r="T1474" s="575"/>
      <c r="U1474" s="487"/>
      <c r="V1474" s="576"/>
      <c r="W1474" s="573"/>
      <c r="X1474" s="574">
        <f t="shared" si="186"/>
        <v>0</v>
      </c>
      <c r="Y1474" s="487"/>
      <c r="Z1474" s="487"/>
      <c r="AA1474" s="276">
        <f t="shared" si="187"/>
        <v>0</v>
      </c>
      <c r="AB1474" s="573"/>
      <c r="AC1474" s="487"/>
      <c r="AD1474" s="573"/>
      <c r="AE1474" s="487"/>
      <c r="AF1474" s="577">
        <f t="shared" si="183"/>
        <v>0</v>
      </c>
      <c r="AG1474" s="275">
        <f t="shared" si="184"/>
        <v>0</v>
      </c>
    </row>
    <row r="1475" spans="1:33" ht="12" customHeight="1">
      <c r="A1475" s="706" t="s">
        <v>1279</v>
      </c>
      <c r="B1475" s="707" t="s">
        <v>1795</v>
      </c>
      <c r="C1475" s="277" t="s">
        <v>957</v>
      </c>
      <c r="D1475" s="709"/>
      <c r="E1475" s="710"/>
      <c r="F1475" s="573"/>
      <c r="G1475" s="487"/>
      <c r="H1475" s="573"/>
      <c r="I1475" s="487"/>
      <c r="J1475" s="573"/>
      <c r="K1475" s="487"/>
      <c r="L1475" s="573"/>
      <c r="M1475" s="573"/>
      <c r="N1475" s="456">
        <f t="shared" si="185"/>
        <v>0</v>
      </c>
      <c r="O1475" s="487"/>
      <c r="P1475" s="487"/>
      <c r="Q1475" s="274">
        <f t="shared" si="180"/>
        <v>0</v>
      </c>
      <c r="R1475" s="574">
        <f t="shared" si="181"/>
        <v>0</v>
      </c>
      <c r="S1475" s="275">
        <f t="shared" si="182"/>
        <v>0</v>
      </c>
      <c r="T1475" s="575"/>
      <c r="U1475" s="487"/>
      <c r="V1475" s="576"/>
      <c r="W1475" s="573"/>
      <c r="X1475" s="574">
        <f t="shared" si="186"/>
        <v>0</v>
      </c>
      <c r="Y1475" s="487"/>
      <c r="Z1475" s="487"/>
      <c r="AA1475" s="276">
        <f t="shared" si="187"/>
        <v>0</v>
      </c>
      <c r="AB1475" s="573"/>
      <c r="AC1475" s="487"/>
      <c r="AD1475" s="573"/>
      <c r="AE1475" s="487"/>
      <c r="AF1475" s="577">
        <f t="shared" si="183"/>
        <v>0</v>
      </c>
      <c r="AG1475" s="275">
        <f t="shared" si="184"/>
        <v>0</v>
      </c>
    </row>
    <row r="1476" spans="1:33" ht="12" customHeight="1">
      <c r="A1476" s="706" t="s">
        <v>1279</v>
      </c>
      <c r="B1476" s="707" t="s">
        <v>1795</v>
      </c>
      <c r="C1476" s="711" t="s">
        <v>832</v>
      </c>
      <c r="D1476" s="709"/>
      <c r="E1476" s="710"/>
      <c r="F1476" s="573"/>
      <c r="G1476" s="487"/>
      <c r="H1476" s="573"/>
      <c r="I1476" s="487"/>
      <c r="J1476" s="573"/>
      <c r="K1476" s="487"/>
      <c r="L1476" s="573"/>
      <c r="M1476" s="573"/>
      <c r="N1476" s="456">
        <f t="shared" si="185"/>
        <v>0</v>
      </c>
      <c r="O1476" s="487"/>
      <c r="P1476" s="487"/>
      <c r="Q1476" s="274">
        <f t="shared" si="180"/>
        <v>0</v>
      </c>
      <c r="R1476" s="574">
        <f t="shared" si="181"/>
        <v>0</v>
      </c>
      <c r="S1476" s="275">
        <f t="shared" si="182"/>
        <v>0</v>
      </c>
      <c r="T1476" s="575">
        <f>19332764-9238017</f>
        <v>10094747</v>
      </c>
      <c r="U1476" s="487">
        <v>10418831</v>
      </c>
      <c r="V1476" s="576"/>
      <c r="W1476" s="573"/>
      <c r="X1476" s="574">
        <f t="shared" si="186"/>
        <v>0</v>
      </c>
      <c r="Y1476" s="487"/>
      <c r="Z1476" s="487"/>
      <c r="AA1476" s="276">
        <f t="shared" si="187"/>
        <v>0</v>
      </c>
      <c r="AB1476" s="573"/>
      <c r="AC1476" s="487"/>
      <c r="AD1476" s="573"/>
      <c r="AE1476" s="487"/>
      <c r="AF1476" s="577">
        <f t="shared" si="183"/>
        <v>10094747</v>
      </c>
      <c r="AG1476" s="275">
        <f t="shared" si="184"/>
        <v>10418831</v>
      </c>
    </row>
    <row r="1477" spans="1:33" ht="12" customHeight="1">
      <c r="A1477" s="706" t="s">
        <v>1279</v>
      </c>
      <c r="B1477" s="707" t="s">
        <v>1795</v>
      </c>
      <c r="C1477" s="711" t="s">
        <v>833</v>
      </c>
      <c r="D1477" s="709"/>
      <c r="E1477" s="710"/>
      <c r="F1477" s="573"/>
      <c r="G1477" s="487"/>
      <c r="H1477" s="573"/>
      <c r="I1477" s="487"/>
      <c r="J1477" s="573"/>
      <c r="K1477" s="487"/>
      <c r="L1477" s="573"/>
      <c r="M1477" s="573"/>
      <c r="N1477" s="456">
        <f t="shared" si="185"/>
        <v>0</v>
      </c>
      <c r="O1477" s="487"/>
      <c r="P1477" s="487"/>
      <c r="Q1477" s="274">
        <f t="shared" si="180"/>
        <v>0</v>
      </c>
      <c r="R1477" s="574">
        <f t="shared" si="181"/>
        <v>0</v>
      </c>
      <c r="S1477" s="275">
        <f t="shared" si="182"/>
        <v>0</v>
      </c>
      <c r="T1477" s="575">
        <v>4773971</v>
      </c>
      <c r="U1477" s="487">
        <f>5932530-U1480</f>
        <v>4753266</v>
      </c>
      <c r="V1477" s="576"/>
      <c r="W1477" s="573"/>
      <c r="X1477" s="574">
        <f t="shared" si="186"/>
        <v>0</v>
      </c>
      <c r="Y1477" s="487"/>
      <c r="Z1477" s="487"/>
      <c r="AA1477" s="276">
        <f t="shared" si="187"/>
        <v>0</v>
      </c>
      <c r="AB1477" s="573"/>
      <c r="AC1477" s="487"/>
      <c r="AD1477" s="573"/>
      <c r="AE1477" s="487"/>
      <c r="AF1477" s="577">
        <f t="shared" si="183"/>
        <v>4773971</v>
      </c>
      <c r="AG1477" s="275">
        <f t="shared" si="184"/>
        <v>4753266</v>
      </c>
    </row>
    <row r="1478" spans="1:33" ht="12" customHeight="1">
      <c r="A1478" s="706" t="s">
        <v>1279</v>
      </c>
      <c r="B1478" s="707" t="s">
        <v>1797</v>
      </c>
      <c r="C1478" s="277" t="s">
        <v>955</v>
      </c>
      <c r="D1478" s="709"/>
      <c r="E1478" s="710"/>
      <c r="F1478" s="573"/>
      <c r="G1478" s="487"/>
      <c r="H1478" s="573"/>
      <c r="I1478" s="487"/>
      <c r="J1478" s="573"/>
      <c r="K1478" s="487"/>
      <c r="L1478" s="573"/>
      <c r="M1478" s="573"/>
      <c r="N1478" s="456">
        <f t="shared" si="185"/>
        <v>0</v>
      </c>
      <c r="O1478" s="487"/>
      <c r="P1478" s="487"/>
      <c r="Q1478" s="274">
        <f t="shared" si="180"/>
        <v>0</v>
      </c>
      <c r="R1478" s="574">
        <f t="shared" si="181"/>
        <v>0</v>
      </c>
      <c r="S1478" s="275">
        <f t="shared" si="182"/>
        <v>0</v>
      </c>
      <c r="T1478" s="575"/>
      <c r="U1478" s="487"/>
      <c r="V1478" s="576"/>
      <c r="W1478" s="573"/>
      <c r="X1478" s="574">
        <f t="shared" si="186"/>
        <v>0</v>
      </c>
      <c r="Y1478" s="487"/>
      <c r="Z1478" s="487"/>
      <c r="AA1478" s="276">
        <f t="shared" si="187"/>
        <v>0</v>
      </c>
      <c r="AB1478" s="573"/>
      <c r="AC1478" s="487"/>
      <c r="AD1478" s="573"/>
      <c r="AE1478" s="487"/>
      <c r="AF1478" s="577">
        <f t="shared" si="183"/>
        <v>0</v>
      </c>
      <c r="AG1478" s="275">
        <f t="shared" si="184"/>
        <v>0</v>
      </c>
    </row>
    <row r="1479" spans="1:33" ht="12" customHeight="1">
      <c r="A1479" s="706" t="s">
        <v>1279</v>
      </c>
      <c r="B1479" s="707" t="s">
        <v>1797</v>
      </c>
      <c r="C1479" s="711" t="s">
        <v>1430</v>
      </c>
      <c r="D1479" s="709"/>
      <c r="E1479" s="710"/>
      <c r="F1479" s="573"/>
      <c r="G1479" s="487"/>
      <c r="H1479" s="573"/>
      <c r="I1479" s="487"/>
      <c r="J1479" s="573"/>
      <c r="K1479" s="487"/>
      <c r="L1479" s="573"/>
      <c r="M1479" s="573"/>
      <c r="N1479" s="456">
        <f t="shared" si="185"/>
        <v>0</v>
      </c>
      <c r="O1479" s="487"/>
      <c r="P1479" s="487"/>
      <c r="Q1479" s="274">
        <f t="shared" si="180"/>
        <v>0</v>
      </c>
      <c r="R1479" s="574">
        <f t="shared" si="181"/>
        <v>0</v>
      </c>
      <c r="S1479" s="275">
        <f t="shared" si="182"/>
        <v>0</v>
      </c>
      <c r="T1479" s="575">
        <v>195900</v>
      </c>
      <c r="U1479" s="487">
        <v>195900</v>
      </c>
      <c r="V1479" s="576"/>
      <c r="W1479" s="573"/>
      <c r="X1479" s="574">
        <f t="shared" si="186"/>
        <v>0</v>
      </c>
      <c r="Y1479" s="487"/>
      <c r="Z1479" s="487"/>
      <c r="AA1479" s="276">
        <f t="shared" si="187"/>
        <v>0</v>
      </c>
      <c r="AB1479" s="573"/>
      <c r="AC1479" s="487"/>
      <c r="AD1479" s="573"/>
      <c r="AE1479" s="487"/>
      <c r="AF1479" s="577">
        <f t="shared" si="183"/>
        <v>195900</v>
      </c>
      <c r="AG1479" s="275">
        <f t="shared" si="184"/>
        <v>195900</v>
      </c>
    </row>
    <row r="1480" spans="1:33" ht="12" customHeight="1">
      <c r="A1480" s="706" t="s">
        <v>1279</v>
      </c>
      <c r="B1480" s="707" t="s">
        <v>1798</v>
      </c>
      <c r="C1480" s="277" t="s">
        <v>1606</v>
      </c>
      <c r="D1480" s="709"/>
      <c r="E1480" s="710"/>
      <c r="F1480" s="573"/>
      <c r="G1480" s="487"/>
      <c r="H1480" s="573"/>
      <c r="I1480" s="487"/>
      <c r="J1480" s="573"/>
      <c r="K1480" s="487"/>
      <c r="L1480" s="573"/>
      <c r="M1480" s="573"/>
      <c r="N1480" s="456">
        <f t="shared" si="185"/>
        <v>0</v>
      </c>
      <c r="O1480" s="487"/>
      <c r="P1480" s="487"/>
      <c r="Q1480" s="274">
        <f t="shared" si="180"/>
        <v>0</v>
      </c>
      <c r="R1480" s="574">
        <f t="shared" si="181"/>
        <v>0</v>
      </c>
      <c r="S1480" s="275">
        <f t="shared" si="182"/>
        <v>0</v>
      </c>
      <c r="T1480" s="575">
        <v>1374933</v>
      </c>
      <c r="U1480" s="487">
        <v>1179264</v>
      </c>
      <c r="V1480" s="576"/>
      <c r="W1480" s="573"/>
      <c r="X1480" s="574">
        <f t="shared" si="186"/>
        <v>0</v>
      </c>
      <c r="Y1480" s="487"/>
      <c r="Z1480" s="487"/>
      <c r="AA1480" s="276">
        <f t="shared" si="187"/>
        <v>0</v>
      </c>
      <c r="AB1480" s="573"/>
      <c r="AC1480" s="487"/>
      <c r="AD1480" s="573"/>
      <c r="AE1480" s="487"/>
      <c r="AF1480" s="577">
        <f t="shared" si="183"/>
        <v>1374933</v>
      </c>
      <c r="AG1480" s="275">
        <f t="shared" si="184"/>
        <v>1179264</v>
      </c>
    </row>
    <row r="1481" spans="1:33" ht="12" customHeight="1">
      <c r="A1481" s="706" t="s">
        <v>1279</v>
      </c>
      <c r="B1481" s="707" t="s">
        <v>1799</v>
      </c>
      <c r="C1481" s="279" t="s">
        <v>853</v>
      </c>
      <c r="D1481" s="709"/>
      <c r="E1481" s="710"/>
      <c r="F1481" s="573"/>
      <c r="G1481" s="487"/>
      <c r="H1481" s="573"/>
      <c r="I1481" s="487"/>
      <c r="J1481" s="573"/>
      <c r="K1481" s="487"/>
      <c r="L1481" s="573"/>
      <c r="M1481" s="573"/>
      <c r="N1481" s="456">
        <f t="shared" si="185"/>
        <v>0</v>
      </c>
      <c r="O1481" s="487"/>
      <c r="P1481" s="487"/>
      <c r="Q1481" s="274">
        <f t="shared" si="180"/>
        <v>0</v>
      </c>
      <c r="R1481" s="574">
        <f t="shared" si="181"/>
        <v>0</v>
      </c>
      <c r="S1481" s="275">
        <f t="shared" si="182"/>
        <v>0</v>
      </c>
      <c r="T1481" s="575">
        <v>56051065</v>
      </c>
      <c r="U1481" s="487">
        <v>50445959</v>
      </c>
      <c r="V1481" s="576"/>
      <c r="W1481" s="573"/>
      <c r="X1481" s="574">
        <f t="shared" si="186"/>
        <v>0</v>
      </c>
      <c r="Y1481" s="487"/>
      <c r="Z1481" s="487"/>
      <c r="AA1481" s="276">
        <f t="shared" si="187"/>
        <v>0</v>
      </c>
      <c r="AB1481" s="573"/>
      <c r="AC1481" s="487"/>
      <c r="AD1481" s="573"/>
      <c r="AE1481" s="487"/>
      <c r="AF1481" s="577">
        <f t="shared" si="183"/>
        <v>56051065</v>
      </c>
      <c r="AG1481" s="275">
        <f t="shared" si="184"/>
        <v>50445959</v>
      </c>
    </row>
    <row r="1482" spans="1:33" ht="12" customHeight="1">
      <c r="A1482" s="706" t="s">
        <v>1279</v>
      </c>
      <c r="B1482" s="707" t="s">
        <v>1800</v>
      </c>
      <c r="C1482" s="279" t="s">
        <v>858</v>
      </c>
      <c r="D1482" s="712"/>
      <c r="E1482" s="710"/>
      <c r="F1482" s="573"/>
      <c r="G1482" s="487"/>
      <c r="H1482" s="573"/>
      <c r="I1482" s="487"/>
      <c r="J1482" s="573"/>
      <c r="K1482" s="487"/>
      <c r="L1482" s="573"/>
      <c r="M1482" s="573"/>
      <c r="N1482" s="456">
        <f t="shared" si="185"/>
        <v>0</v>
      </c>
      <c r="O1482" s="487"/>
      <c r="P1482" s="487"/>
      <c r="Q1482" s="274">
        <f t="shared" ref="Q1482:Q1545" si="188">SUM(O1482:P1482)</f>
        <v>0</v>
      </c>
      <c r="R1482" s="574">
        <f t="shared" ref="R1482:R1545" si="189">SUM(F1482,H1482,J1482,L1482)</f>
        <v>0</v>
      </c>
      <c r="S1482" s="275">
        <f t="shared" ref="S1482:S1545" si="190">SUM(G1482,I1482,K1482,O1482)</f>
        <v>0</v>
      </c>
      <c r="T1482" s="575"/>
      <c r="U1482" s="487"/>
      <c r="V1482" s="576"/>
      <c r="W1482" s="573"/>
      <c r="X1482" s="574">
        <f t="shared" si="186"/>
        <v>0</v>
      </c>
      <c r="Y1482" s="487"/>
      <c r="Z1482" s="487"/>
      <c r="AA1482" s="276">
        <f t="shared" si="187"/>
        <v>0</v>
      </c>
      <c r="AB1482" s="573"/>
      <c r="AC1482" s="487"/>
      <c r="AD1482" s="573"/>
      <c r="AE1482" s="487"/>
      <c r="AF1482" s="577">
        <f t="shared" ref="AF1482:AF1545" si="191">SUM(R1482,T1482,V1482,AB1482,AD1482)</f>
        <v>0</v>
      </c>
      <c r="AG1482" s="275">
        <f t="shared" ref="AG1482:AG1545" si="192">SUM(S1482,U1482,Y1482,AC1482,AE1482)</f>
        <v>0</v>
      </c>
    </row>
    <row r="1483" spans="1:33" ht="12" customHeight="1">
      <c r="A1483" s="706" t="s">
        <v>1279</v>
      </c>
      <c r="B1483" s="707" t="s">
        <v>1801</v>
      </c>
      <c r="C1483" s="277" t="s">
        <v>859</v>
      </c>
      <c r="D1483" s="709"/>
      <c r="E1483" s="710"/>
      <c r="F1483" s="573"/>
      <c r="G1483" s="487"/>
      <c r="H1483" s="573"/>
      <c r="I1483" s="487"/>
      <c r="J1483" s="573"/>
      <c r="K1483" s="487"/>
      <c r="L1483" s="573"/>
      <c r="M1483" s="573"/>
      <c r="N1483" s="456">
        <f t="shared" si="185"/>
        <v>0</v>
      </c>
      <c r="O1483" s="487"/>
      <c r="P1483" s="487"/>
      <c r="Q1483" s="274">
        <f t="shared" si="188"/>
        <v>0</v>
      </c>
      <c r="R1483" s="574">
        <f t="shared" si="189"/>
        <v>0</v>
      </c>
      <c r="S1483" s="275">
        <f t="shared" si="190"/>
        <v>0</v>
      </c>
      <c r="T1483" s="575"/>
      <c r="U1483" s="487"/>
      <c r="V1483" s="576"/>
      <c r="W1483" s="573"/>
      <c r="X1483" s="574">
        <f t="shared" si="186"/>
        <v>0</v>
      </c>
      <c r="Y1483" s="487"/>
      <c r="Z1483" s="487"/>
      <c r="AA1483" s="276">
        <f t="shared" si="187"/>
        <v>0</v>
      </c>
      <c r="AB1483" s="573"/>
      <c r="AC1483" s="487"/>
      <c r="AD1483" s="573"/>
      <c r="AE1483" s="487"/>
      <c r="AF1483" s="577">
        <f t="shared" si="191"/>
        <v>0</v>
      </c>
      <c r="AG1483" s="275">
        <f t="shared" si="192"/>
        <v>0</v>
      </c>
    </row>
    <row r="1484" spans="1:33" ht="12" customHeight="1">
      <c r="A1484" s="706" t="s">
        <v>1279</v>
      </c>
      <c r="B1484" s="707" t="s">
        <v>1802</v>
      </c>
      <c r="C1484" s="277" t="s">
        <v>861</v>
      </c>
      <c r="D1484" s="709"/>
      <c r="E1484" s="710"/>
      <c r="F1484" s="573"/>
      <c r="G1484" s="487"/>
      <c r="H1484" s="573"/>
      <c r="I1484" s="487"/>
      <c r="J1484" s="573"/>
      <c r="K1484" s="487"/>
      <c r="L1484" s="573"/>
      <c r="M1484" s="573"/>
      <c r="N1484" s="456">
        <f t="shared" si="185"/>
        <v>0</v>
      </c>
      <c r="O1484" s="487"/>
      <c r="P1484" s="487"/>
      <c r="Q1484" s="274">
        <f t="shared" si="188"/>
        <v>0</v>
      </c>
      <c r="R1484" s="574">
        <f t="shared" si="189"/>
        <v>0</v>
      </c>
      <c r="S1484" s="275">
        <f t="shared" si="190"/>
        <v>0</v>
      </c>
      <c r="T1484" s="575"/>
      <c r="U1484" s="487"/>
      <c r="V1484" s="576"/>
      <c r="W1484" s="573"/>
      <c r="X1484" s="574">
        <f t="shared" si="186"/>
        <v>0</v>
      </c>
      <c r="Y1484" s="487"/>
      <c r="Z1484" s="487"/>
      <c r="AA1484" s="276">
        <f t="shared" si="187"/>
        <v>0</v>
      </c>
      <c r="AB1484" s="573"/>
      <c r="AC1484" s="487"/>
      <c r="AD1484" s="573"/>
      <c r="AE1484" s="487"/>
      <c r="AF1484" s="577">
        <f t="shared" si="191"/>
        <v>0</v>
      </c>
      <c r="AG1484" s="275">
        <f t="shared" si="192"/>
        <v>0</v>
      </c>
    </row>
    <row r="1485" spans="1:33" ht="12" customHeight="1">
      <c r="A1485" s="706" t="s">
        <v>1279</v>
      </c>
      <c r="B1485" s="707" t="s">
        <v>1803</v>
      </c>
      <c r="C1485" s="277" t="s">
        <v>954</v>
      </c>
      <c r="D1485" s="709"/>
      <c r="E1485" s="710"/>
      <c r="F1485" s="573"/>
      <c r="G1485" s="487"/>
      <c r="H1485" s="573"/>
      <c r="I1485" s="487"/>
      <c r="J1485" s="573"/>
      <c r="K1485" s="487"/>
      <c r="L1485" s="573"/>
      <c r="M1485" s="573"/>
      <c r="N1485" s="456">
        <f t="shared" si="185"/>
        <v>0</v>
      </c>
      <c r="O1485" s="487"/>
      <c r="P1485" s="487"/>
      <c r="Q1485" s="274">
        <f t="shared" si="188"/>
        <v>0</v>
      </c>
      <c r="R1485" s="574">
        <f t="shared" si="189"/>
        <v>0</v>
      </c>
      <c r="S1485" s="275">
        <f t="shared" si="190"/>
        <v>0</v>
      </c>
      <c r="T1485" s="575"/>
      <c r="U1485" s="487"/>
      <c r="V1485" s="576"/>
      <c r="W1485" s="573"/>
      <c r="X1485" s="574">
        <f t="shared" si="186"/>
        <v>0</v>
      </c>
      <c r="Y1485" s="487"/>
      <c r="Z1485" s="487"/>
      <c r="AA1485" s="276">
        <f t="shared" si="187"/>
        <v>0</v>
      </c>
      <c r="AB1485" s="573"/>
      <c r="AC1485" s="487"/>
      <c r="AD1485" s="573"/>
      <c r="AE1485" s="487"/>
      <c r="AF1485" s="577">
        <f t="shared" si="191"/>
        <v>0</v>
      </c>
      <c r="AG1485" s="275">
        <f t="shared" si="192"/>
        <v>0</v>
      </c>
    </row>
    <row r="1486" spans="1:33" ht="12" customHeight="1">
      <c r="A1486" s="706" t="s">
        <v>1279</v>
      </c>
      <c r="B1486" s="707" t="s">
        <v>1804</v>
      </c>
      <c r="C1486" s="279" t="s">
        <v>418</v>
      </c>
      <c r="D1486" s="709"/>
      <c r="E1486" s="710"/>
      <c r="F1486" s="573"/>
      <c r="G1486" s="487"/>
      <c r="H1486" s="573"/>
      <c r="I1486" s="487"/>
      <c r="J1486" s="573"/>
      <c r="K1486" s="487"/>
      <c r="L1486" s="573"/>
      <c r="M1486" s="573"/>
      <c r="N1486" s="456">
        <f t="shared" si="185"/>
        <v>0</v>
      </c>
      <c r="O1486" s="487"/>
      <c r="P1486" s="487"/>
      <c r="Q1486" s="274">
        <f t="shared" si="188"/>
        <v>0</v>
      </c>
      <c r="R1486" s="574">
        <f t="shared" si="189"/>
        <v>0</v>
      </c>
      <c r="S1486" s="275">
        <f t="shared" si="190"/>
        <v>0</v>
      </c>
      <c r="T1486" s="575"/>
      <c r="U1486" s="487"/>
      <c r="V1486" s="576"/>
      <c r="W1486" s="573"/>
      <c r="X1486" s="574">
        <f t="shared" si="186"/>
        <v>0</v>
      </c>
      <c r="Y1486" s="487"/>
      <c r="Z1486" s="487"/>
      <c r="AA1486" s="276">
        <f t="shared" si="187"/>
        <v>0</v>
      </c>
      <c r="AB1486" s="573"/>
      <c r="AC1486" s="487"/>
      <c r="AD1486" s="573"/>
      <c r="AE1486" s="487"/>
      <c r="AF1486" s="577">
        <f t="shared" si="191"/>
        <v>0</v>
      </c>
      <c r="AG1486" s="275">
        <f t="shared" si="192"/>
        <v>0</v>
      </c>
    </row>
    <row r="1487" spans="1:33" ht="12" customHeight="1">
      <c r="A1487" s="706" t="s">
        <v>1279</v>
      </c>
      <c r="B1487" s="707" t="s">
        <v>1805</v>
      </c>
      <c r="C1487" s="473" t="s">
        <v>419</v>
      </c>
      <c r="D1487" s="709"/>
      <c r="E1487" s="710"/>
      <c r="F1487" s="573"/>
      <c r="G1487" s="487"/>
      <c r="H1487" s="573"/>
      <c r="I1487" s="487"/>
      <c r="J1487" s="573"/>
      <c r="K1487" s="487"/>
      <c r="L1487" s="573"/>
      <c r="M1487" s="573"/>
      <c r="N1487" s="456">
        <f t="shared" si="185"/>
        <v>0</v>
      </c>
      <c r="O1487" s="487"/>
      <c r="P1487" s="487"/>
      <c r="Q1487" s="274">
        <f t="shared" si="188"/>
        <v>0</v>
      </c>
      <c r="R1487" s="574">
        <f t="shared" si="189"/>
        <v>0</v>
      </c>
      <c r="S1487" s="275">
        <f t="shared" si="190"/>
        <v>0</v>
      </c>
      <c r="T1487" s="575"/>
      <c r="U1487" s="487"/>
      <c r="V1487" s="576"/>
      <c r="W1487" s="573"/>
      <c r="X1487" s="574">
        <f t="shared" si="186"/>
        <v>0</v>
      </c>
      <c r="Y1487" s="487"/>
      <c r="Z1487" s="487"/>
      <c r="AA1487" s="276">
        <f t="shared" si="187"/>
        <v>0</v>
      </c>
      <c r="AB1487" s="573"/>
      <c r="AC1487" s="487"/>
      <c r="AD1487" s="573"/>
      <c r="AE1487" s="487"/>
      <c r="AF1487" s="577">
        <f t="shared" si="191"/>
        <v>0</v>
      </c>
      <c r="AG1487" s="275">
        <f t="shared" si="192"/>
        <v>0</v>
      </c>
    </row>
    <row r="1488" spans="1:33" ht="12" customHeight="1">
      <c r="A1488" s="706" t="s">
        <v>1279</v>
      </c>
      <c r="B1488" s="707" t="s">
        <v>1805</v>
      </c>
      <c r="C1488" s="280" t="s">
        <v>834</v>
      </c>
      <c r="D1488" s="709"/>
      <c r="E1488" s="710"/>
      <c r="F1488" s="573"/>
      <c r="G1488" s="487"/>
      <c r="H1488" s="573"/>
      <c r="I1488" s="487"/>
      <c r="J1488" s="573"/>
      <c r="K1488" s="487"/>
      <c r="L1488" s="573"/>
      <c r="M1488" s="573"/>
      <c r="N1488" s="456">
        <f t="shared" si="185"/>
        <v>0</v>
      </c>
      <c r="O1488" s="487"/>
      <c r="P1488" s="487"/>
      <c r="Q1488" s="274">
        <f t="shared" si="188"/>
        <v>0</v>
      </c>
      <c r="R1488" s="574">
        <f t="shared" si="189"/>
        <v>0</v>
      </c>
      <c r="S1488" s="275">
        <f t="shared" si="190"/>
        <v>0</v>
      </c>
      <c r="T1488" s="575"/>
      <c r="U1488" s="487"/>
      <c r="V1488" s="576"/>
      <c r="W1488" s="573"/>
      <c r="X1488" s="574">
        <f t="shared" si="186"/>
        <v>0</v>
      </c>
      <c r="Y1488" s="487"/>
      <c r="Z1488" s="487"/>
      <c r="AA1488" s="276">
        <f t="shared" si="187"/>
        <v>0</v>
      </c>
      <c r="AB1488" s="573"/>
      <c r="AC1488" s="487"/>
      <c r="AD1488" s="573"/>
      <c r="AE1488" s="487"/>
      <c r="AF1488" s="577">
        <f t="shared" si="191"/>
        <v>0</v>
      </c>
      <c r="AG1488" s="275">
        <f t="shared" si="192"/>
        <v>0</v>
      </c>
    </row>
    <row r="1489" spans="1:33" ht="12" customHeight="1">
      <c r="A1489" s="706" t="s">
        <v>1279</v>
      </c>
      <c r="B1489" s="707" t="s">
        <v>1882</v>
      </c>
      <c r="C1489" s="713" t="s">
        <v>1883</v>
      </c>
      <c r="D1489" s="709"/>
      <c r="E1489" s="710"/>
      <c r="F1489" s="573"/>
      <c r="G1489" s="487"/>
      <c r="H1489" s="573"/>
      <c r="I1489" s="487"/>
      <c r="J1489" s="573"/>
      <c r="K1489" s="487"/>
      <c r="L1489" s="573"/>
      <c r="M1489" s="573"/>
      <c r="N1489" s="456">
        <f t="shared" si="185"/>
        <v>0</v>
      </c>
      <c r="O1489" s="487"/>
      <c r="P1489" s="487"/>
      <c r="Q1489" s="274">
        <f t="shared" si="188"/>
        <v>0</v>
      </c>
      <c r="R1489" s="574">
        <f t="shared" si="189"/>
        <v>0</v>
      </c>
      <c r="S1489" s="275">
        <f t="shared" si="190"/>
        <v>0</v>
      </c>
      <c r="T1489" s="575">
        <v>3000</v>
      </c>
      <c r="U1489" s="487"/>
      <c r="V1489" s="576"/>
      <c r="W1489" s="573"/>
      <c r="X1489" s="574">
        <f t="shared" si="186"/>
        <v>0</v>
      </c>
      <c r="Y1489" s="487"/>
      <c r="Z1489" s="487"/>
      <c r="AA1489" s="276">
        <f t="shared" si="187"/>
        <v>0</v>
      </c>
      <c r="AB1489" s="573"/>
      <c r="AC1489" s="487"/>
      <c r="AD1489" s="573"/>
      <c r="AE1489" s="487"/>
      <c r="AF1489" s="577">
        <f t="shared" si="191"/>
        <v>3000</v>
      </c>
      <c r="AG1489" s="275">
        <f t="shared" si="192"/>
        <v>0</v>
      </c>
    </row>
    <row r="1490" spans="1:33" ht="12" customHeight="1">
      <c r="A1490" s="706" t="s">
        <v>1279</v>
      </c>
      <c r="B1490" s="707" t="s">
        <v>1763</v>
      </c>
      <c r="C1490" s="713" t="s">
        <v>1761</v>
      </c>
      <c r="D1490" s="709"/>
      <c r="E1490" s="710"/>
      <c r="F1490" s="573"/>
      <c r="G1490" s="487"/>
      <c r="H1490" s="573"/>
      <c r="I1490" s="487"/>
      <c r="J1490" s="573"/>
      <c r="K1490" s="487"/>
      <c r="L1490" s="573"/>
      <c r="M1490" s="573"/>
      <c r="N1490" s="456">
        <f t="shared" si="185"/>
        <v>0</v>
      </c>
      <c r="O1490" s="487"/>
      <c r="P1490" s="487"/>
      <c r="Q1490" s="274">
        <f t="shared" si="188"/>
        <v>0</v>
      </c>
      <c r="R1490" s="574">
        <f t="shared" si="189"/>
        <v>0</v>
      </c>
      <c r="S1490" s="275">
        <f t="shared" si="190"/>
        <v>0</v>
      </c>
      <c r="T1490" s="575"/>
      <c r="U1490" s="487"/>
      <c r="V1490" s="576"/>
      <c r="W1490" s="573"/>
      <c r="X1490" s="574">
        <f t="shared" si="186"/>
        <v>0</v>
      </c>
      <c r="Y1490" s="487"/>
      <c r="Z1490" s="487"/>
      <c r="AA1490" s="276">
        <f t="shared" si="187"/>
        <v>0</v>
      </c>
      <c r="AB1490" s="573"/>
      <c r="AC1490" s="487"/>
      <c r="AD1490" s="573"/>
      <c r="AE1490" s="487"/>
      <c r="AF1490" s="577">
        <f t="shared" si="191"/>
        <v>0</v>
      </c>
      <c r="AG1490" s="275">
        <f t="shared" si="192"/>
        <v>0</v>
      </c>
    </row>
    <row r="1491" spans="1:33" ht="12" customHeight="1">
      <c r="A1491" s="706" t="s">
        <v>1279</v>
      </c>
      <c r="B1491" s="714" t="s">
        <v>1510</v>
      </c>
      <c r="C1491" s="713" t="s">
        <v>421</v>
      </c>
      <c r="D1491" s="709"/>
      <c r="E1491" s="710"/>
      <c r="F1491" s="573"/>
      <c r="G1491" s="487"/>
      <c r="H1491" s="573"/>
      <c r="I1491" s="487"/>
      <c r="J1491" s="573"/>
      <c r="K1491" s="487"/>
      <c r="L1491" s="573"/>
      <c r="M1491" s="573"/>
      <c r="N1491" s="456">
        <f t="shared" ref="N1491:N1554" si="193">SUM(L1491:M1491)</f>
        <v>0</v>
      </c>
      <c r="O1491" s="487"/>
      <c r="P1491" s="487"/>
      <c r="Q1491" s="274">
        <f t="shared" si="188"/>
        <v>0</v>
      </c>
      <c r="R1491" s="574">
        <f t="shared" si="189"/>
        <v>0</v>
      </c>
      <c r="S1491" s="275">
        <f t="shared" si="190"/>
        <v>0</v>
      </c>
      <c r="T1491" s="575"/>
      <c r="U1491" s="487"/>
      <c r="V1491" s="576"/>
      <c r="W1491" s="573"/>
      <c r="X1491" s="574">
        <f t="shared" ref="X1491:X1554" si="194">SUM(V1491:W1491)</f>
        <v>0</v>
      </c>
      <c r="Y1491" s="487"/>
      <c r="Z1491" s="487"/>
      <c r="AA1491" s="276">
        <f t="shared" ref="AA1491:AA1554" si="195">SUM(Y1491:Z1491)</f>
        <v>0</v>
      </c>
      <c r="AB1491" s="573"/>
      <c r="AC1491" s="487"/>
      <c r="AD1491" s="573"/>
      <c r="AE1491" s="487"/>
      <c r="AF1491" s="577">
        <f t="shared" si="191"/>
        <v>0</v>
      </c>
      <c r="AG1491" s="275">
        <f t="shared" si="192"/>
        <v>0</v>
      </c>
    </row>
    <row r="1492" spans="1:33" ht="12" customHeight="1">
      <c r="A1492" s="706" t="s">
        <v>1279</v>
      </c>
      <c r="B1492" s="714" t="s">
        <v>1511</v>
      </c>
      <c r="C1492" s="713" t="s">
        <v>1883</v>
      </c>
      <c r="D1492" s="709"/>
      <c r="E1492" s="710"/>
      <c r="F1492" s="573"/>
      <c r="G1492" s="487"/>
      <c r="H1492" s="573"/>
      <c r="I1492" s="487"/>
      <c r="J1492" s="573"/>
      <c r="K1492" s="487"/>
      <c r="L1492" s="573"/>
      <c r="M1492" s="573"/>
      <c r="N1492" s="456">
        <f t="shared" si="193"/>
        <v>0</v>
      </c>
      <c r="O1492" s="487"/>
      <c r="P1492" s="487"/>
      <c r="Q1492" s="274">
        <f t="shared" si="188"/>
        <v>0</v>
      </c>
      <c r="R1492" s="574">
        <f t="shared" si="189"/>
        <v>0</v>
      </c>
      <c r="S1492" s="275">
        <f t="shared" si="190"/>
        <v>0</v>
      </c>
      <c r="T1492" s="575">
        <v>4472600</v>
      </c>
      <c r="U1492" s="487">
        <f>1148314+1503400</f>
        <v>2651714</v>
      </c>
      <c r="V1492" s="576"/>
      <c r="W1492" s="573"/>
      <c r="X1492" s="574">
        <f t="shared" si="194"/>
        <v>0</v>
      </c>
      <c r="Y1492" s="487"/>
      <c r="Z1492" s="487"/>
      <c r="AA1492" s="276">
        <f t="shared" si="195"/>
        <v>0</v>
      </c>
      <c r="AB1492" s="573"/>
      <c r="AC1492" s="487"/>
      <c r="AD1492" s="573"/>
      <c r="AE1492" s="487"/>
      <c r="AF1492" s="577">
        <f t="shared" si="191"/>
        <v>4472600</v>
      </c>
      <c r="AG1492" s="275">
        <f t="shared" si="192"/>
        <v>2651714</v>
      </c>
    </row>
    <row r="1493" spans="1:33" ht="12" customHeight="1">
      <c r="A1493" s="706" t="s">
        <v>1279</v>
      </c>
      <c r="B1493" s="707" t="s">
        <v>1763</v>
      </c>
      <c r="C1493" s="713" t="s">
        <v>1761</v>
      </c>
      <c r="D1493" s="709"/>
      <c r="E1493" s="710"/>
      <c r="F1493" s="573"/>
      <c r="G1493" s="487"/>
      <c r="H1493" s="573"/>
      <c r="I1493" s="487"/>
      <c r="J1493" s="573"/>
      <c r="K1493" s="487"/>
      <c r="L1493" s="573"/>
      <c r="M1493" s="573"/>
      <c r="N1493" s="456">
        <f t="shared" si="193"/>
        <v>0</v>
      </c>
      <c r="O1493" s="487"/>
      <c r="P1493" s="487"/>
      <c r="Q1493" s="274">
        <f t="shared" si="188"/>
        <v>0</v>
      </c>
      <c r="R1493" s="574">
        <f t="shared" si="189"/>
        <v>0</v>
      </c>
      <c r="S1493" s="275">
        <f t="shared" si="190"/>
        <v>0</v>
      </c>
      <c r="T1493" s="575"/>
      <c r="U1493" s="487"/>
      <c r="V1493" s="576"/>
      <c r="W1493" s="573"/>
      <c r="X1493" s="574">
        <f t="shared" si="194"/>
        <v>0</v>
      </c>
      <c r="Y1493" s="487"/>
      <c r="Z1493" s="487"/>
      <c r="AA1493" s="276">
        <f t="shared" si="195"/>
        <v>0</v>
      </c>
      <c r="AB1493" s="573"/>
      <c r="AC1493" s="487"/>
      <c r="AD1493" s="573"/>
      <c r="AE1493" s="487"/>
      <c r="AF1493" s="577">
        <f t="shared" si="191"/>
        <v>0</v>
      </c>
      <c r="AG1493" s="275">
        <f t="shared" si="192"/>
        <v>0</v>
      </c>
    </row>
    <row r="1494" spans="1:33" ht="12" customHeight="1">
      <c r="A1494" s="706" t="s">
        <v>1279</v>
      </c>
      <c r="B1494" s="714" t="s">
        <v>1413</v>
      </c>
      <c r="C1494" s="713" t="s">
        <v>422</v>
      </c>
      <c r="D1494" s="709"/>
      <c r="E1494" s="710"/>
      <c r="F1494" s="573"/>
      <c r="G1494" s="487"/>
      <c r="H1494" s="573"/>
      <c r="I1494" s="487"/>
      <c r="J1494" s="573"/>
      <c r="K1494" s="487"/>
      <c r="L1494" s="573"/>
      <c r="M1494" s="573"/>
      <c r="N1494" s="456">
        <f t="shared" si="193"/>
        <v>0</v>
      </c>
      <c r="O1494" s="487"/>
      <c r="P1494" s="487"/>
      <c r="Q1494" s="274">
        <f t="shared" si="188"/>
        <v>0</v>
      </c>
      <c r="R1494" s="574">
        <f t="shared" si="189"/>
        <v>0</v>
      </c>
      <c r="S1494" s="275">
        <f t="shared" si="190"/>
        <v>0</v>
      </c>
      <c r="T1494" s="575"/>
      <c r="U1494" s="487"/>
      <c r="V1494" s="576"/>
      <c r="W1494" s="573"/>
      <c r="X1494" s="574">
        <f t="shared" si="194"/>
        <v>0</v>
      </c>
      <c r="Y1494" s="487"/>
      <c r="Z1494" s="487"/>
      <c r="AA1494" s="276">
        <f t="shared" si="195"/>
        <v>0</v>
      </c>
      <c r="AB1494" s="573"/>
      <c r="AC1494" s="487"/>
      <c r="AD1494" s="573"/>
      <c r="AE1494" s="487"/>
      <c r="AF1494" s="577">
        <f t="shared" si="191"/>
        <v>0</v>
      </c>
      <c r="AG1494" s="275">
        <f t="shared" si="192"/>
        <v>0</v>
      </c>
    </row>
    <row r="1495" spans="1:33" ht="12" customHeight="1">
      <c r="A1495" s="706" t="s">
        <v>1279</v>
      </c>
      <c r="B1495" s="714" t="s">
        <v>1582</v>
      </c>
      <c r="C1495" s="713" t="s">
        <v>1883</v>
      </c>
      <c r="D1495" s="709"/>
      <c r="E1495" s="710"/>
      <c r="F1495" s="573"/>
      <c r="G1495" s="487"/>
      <c r="H1495" s="573"/>
      <c r="I1495" s="487"/>
      <c r="J1495" s="573"/>
      <c r="K1495" s="487"/>
      <c r="L1495" s="573"/>
      <c r="M1495" s="573"/>
      <c r="N1495" s="456">
        <f t="shared" si="193"/>
        <v>0</v>
      </c>
      <c r="O1495" s="487"/>
      <c r="P1495" s="487"/>
      <c r="Q1495" s="274">
        <f t="shared" si="188"/>
        <v>0</v>
      </c>
      <c r="R1495" s="574">
        <f t="shared" si="189"/>
        <v>0</v>
      </c>
      <c r="S1495" s="275">
        <f t="shared" si="190"/>
        <v>0</v>
      </c>
      <c r="T1495" s="575">
        <v>529400</v>
      </c>
      <c r="U1495" s="487">
        <v>348286</v>
      </c>
      <c r="V1495" s="576"/>
      <c r="W1495" s="573"/>
      <c r="X1495" s="574">
        <f t="shared" si="194"/>
        <v>0</v>
      </c>
      <c r="Y1495" s="487"/>
      <c r="Z1495" s="487"/>
      <c r="AA1495" s="276">
        <f t="shared" si="195"/>
        <v>0</v>
      </c>
      <c r="AB1495" s="573"/>
      <c r="AC1495" s="487"/>
      <c r="AD1495" s="573"/>
      <c r="AE1495" s="487"/>
      <c r="AF1495" s="577">
        <f t="shared" si="191"/>
        <v>529400</v>
      </c>
      <c r="AG1495" s="275">
        <f t="shared" si="192"/>
        <v>348286</v>
      </c>
    </row>
    <row r="1496" spans="1:33" ht="12" customHeight="1">
      <c r="A1496" s="706" t="s">
        <v>1279</v>
      </c>
      <c r="B1496" s="707" t="s">
        <v>1763</v>
      </c>
      <c r="C1496" s="713" t="s">
        <v>1761</v>
      </c>
      <c r="D1496" s="709"/>
      <c r="E1496" s="710"/>
      <c r="F1496" s="573"/>
      <c r="G1496" s="487"/>
      <c r="H1496" s="573"/>
      <c r="I1496" s="487"/>
      <c r="J1496" s="573"/>
      <c r="K1496" s="487"/>
      <c r="L1496" s="573"/>
      <c r="M1496" s="573"/>
      <c r="N1496" s="456">
        <f t="shared" si="193"/>
        <v>0</v>
      </c>
      <c r="O1496" s="487"/>
      <c r="P1496" s="487"/>
      <c r="Q1496" s="274">
        <f t="shared" si="188"/>
        <v>0</v>
      </c>
      <c r="R1496" s="574">
        <f t="shared" si="189"/>
        <v>0</v>
      </c>
      <c r="S1496" s="275">
        <f t="shared" si="190"/>
        <v>0</v>
      </c>
      <c r="T1496" s="575"/>
      <c r="U1496" s="487"/>
      <c r="V1496" s="576"/>
      <c r="W1496" s="573"/>
      <c r="X1496" s="574">
        <f t="shared" si="194"/>
        <v>0</v>
      </c>
      <c r="Y1496" s="487"/>
      <c r="Z1496" s="487"/>
      <c r="AA1496" s="276">
        <f t="shared" si="195"/>
        <v>0</v>
      </c>
      <c r="AB1496" s="573"/>
      <c r="AC1496" s="487"/>
      <c r="AD1496" s="573"/>
      <c r="AE1496" s="487"/>
      <c r="AF1496" s="577">
        <f t="shared" si="191"/>
        <v>0</v>
      </c>
      <c r="AG1496" s="275">
        <f t="shared" si="192"/>
        <v>0</v>
      </c>
    </row>
    <row r="1497" spans="1:33" ht="12" customHeight="1">
      <c r="A1497" s="706" t="s">
        <v>1279</v>
      </c>
      <c r="B1497" s="707" t="s">
        <v>1805</v>
      </c>
      <c r="C1497" s="280" t="s">
        <v>835</v>
      </c>
      <c r="D1497" s="709"/>
      <c r="E1497" s="710"/>
      <c r="F1497" s="573"/>
      <c r="G1497" s="487"/>
      <c r="H1497" s="573"/>
      <c r="I1497" s="487"/>
      <c r="J1497" s="573"/>
      <c r="K1497" s="487"/>
      <c r="L1497" s="573"/>
      <c r="M1497" s="573"/>
      <c r="N1497" s="456">
        <f t="shared" si="193"/>
        <v>0</v>
      </c>
      <c r="O1497" s="487"/>
      <c r="P1497" s="487"/>
      <c r="Q1497" s="274">
        <f t="shared" si="188"/>
        <v>0</v>
      </c>
      <c r="R1497" s="574">
        <f t="shared" si="189"/>
        <v>0</v>
      </c>
      <c r="S1497" s="275">
        <f t="shared" si="190"/>
        <v>0</v>
      </c>
      <c r="T1497" s="575"/>
      <c r="U1497" s="487"/>
      <c r="V1497" s="576"/>
      <c r="W1497" s="573"/>
      <c r="X1497" s="574">
        <f t="shared" si="194"/>
        <v>0</v>
      </c>
      <c r="Y1497" s="487"/>
      <c r="Z1497" s="487"/>
      <c r="AA1497" s="276">
        <f t="shared" si="195"/>
        <v>0</v>
      </c>
      <c r="AB1497" s="573"/>
      <c r="AC1497" s="487"/>
      <c r="AD1497" s="573"/>
      <c r="AE1497" s="487"/>
      <c r="AF1497" s="577">
        <f t="shared" si="191"/>
        <v>0</v>
      </c>
      <c r="AG1497" s="275">
        <f t="shared" si="192"/>
        <v>0</v>
      </c>
    </row>
    <row r="1498" spans="1:33" ht="12" customHeight="1">
      <c r="A1498" s="706" t="s">
        <v>1279</v>
      </c>
      <c r="B1498" s="714" t="s">
        <v>1510</v>
      </c>
      <c r="C1498" s="713" t="s">
        <v>421</v>
      </c>
      <c r="D1498" s="709"/>
      <c r="E1498" s="710"/>
      <c r="F1498" s="573"/>
      <c r="G1498" s="487"/>
      <c r="H1498" s="573"/>
      <c r="I1498" s="487"/>
      <c r="J1498" s="573"/>
      <c r="K1498" s="487"/>
      <c r="L1498" s="573"/>
      <c r="M1498" s="573"/>
      <c r="N1498" s="456">
        <f t="shared" si="193"/>
        <v>0</v>
      </c>
      <c r="O1498" s="487"/>
      <c r="P1498" s="487"/>
      <c r="Q1498" s="274">
        <f t="shared" si="188"/>
        <v>0</v>
      </c>
      <c r="R1498" s="574">
        <f t="shared" si="189"/>
        <v>0</v>
      </c>
      <c r="S1498" s="275">
        <f t="shared" si="190"/>
        <v>0</v>
      </c>
      <c r="T1498" s="575"/>
      <c r="U1498" s="487"/>
      <c r="V1498" s="576"/>
      <c r="W1498" s="573"/>
      <c r="X1498" s="574">
        <f t="shared" si="194"/>
        <v>0</v>
      </c>
      <c r="Y1498" s="487"/>
      <c r="Z1498" s="487"/>
      <c r="AA1498" s="276">
        <f t="shared" si="195"/>
        <v>0</v>
      </c>
      <c r="AB1498" s="573"/>
      <c r="AC1498" s="487"/>
      <c r="AD1498" s="573"/>
      <c r="AE1498" s="487"/>
      <c r="AF1498" s="577">
        <f t="shared" si="191"/>
        <v>0</v>
      </c>
      <c r="AG1498" s="275">
        <f t="shared" si="192"/>
        <v>0</v>
      </c>
    </row>
    <row r="1499" spans="1:33" ht="12" customHeight="1">
      <c r="A1499" s="706" t="s">
        <v>1279</v>
      </c>
      <c r="B1499" s="714" t="s">
        <v>1511</v>
      </c>
      <c r="C1499" s="713" t="s">
        <v>1883</v>
      </c>
      <c r="D1499" s="709"/>
      <c r="E1499" s="710"/>
      <c r="F1499" s="573"/>
      <c r="G1499" s="487"/>
      <c r="H1499" s="573"/>
      <c r="I1499" s="487"/>
      <c r="J1499" s="573"/>
      <c r="K1499" s="487"/>
      <c r="L1499" s="573"/>
      <c r="M1499" s="573"/>
      <c r="N1499" s="456">
        <f t="shared" si="193"/>
        <v>0</v>
      </c>
      <c r="O1499" s="487"/>
      <c r="P1499" s="487"/>
      <c r="Q1499" s="274">
        <f t="shared" si="188"/>
        <v>0</v>
      </c>
      <c r="R1499" s="574">
        <f t="shared" si="189"/>
        <v>0</v>
      </c>
      <c r="S1499" s="275">
        <f t="shared" si="190"/>
        <v>0</v>
      </c>
      <c r="T1499" s="575">
        <v>5731026</v>
      </c>
      <c r="U1499" s="487">
        <f>4691383+1030216</f>
        <v>5721599</v>
      </c>
      <c r="V1499" s="576"/>
      <c r="W1499" s="573"/>
      <c r="X1499" s="574">
        <f t="shared" si="194"/>
        <v>0</v>
      </c>
      <c r="Y1499" s="487"/>
      <c r="Z1499" s="487"/>
      <c r="AA1499" s="276">
        <f t="shared" si="195"/>
        <v>0</v>
      </c>
      <c r="AB1499" s="573"/>
      <c r="AC1499" s="487"/>
      <c r="AD1499" s="573"/>
      <c r="AE1499" s="487"/>
      <c r="AF1499" s="577">
        <f t="shared" si="191"/>
        <v>5731026</v>
      </c>
      <c r="AG1499" s="275">
        <f t="shared" si="192"/>
        <v>5721599</v>
      </c>
    </row>
    <row r="1500" spans="1:33" ht="12" customHeight="1">
      <c r="A1500" s="706" t="s">
        <v>1279</v>
      </c>
      <c r="B1500" s="707" t="s">
        <v>1763</v>
      </c>
      <c r="C1500" s="713" t="s">
        <v>1761</v>
      </c>
      <c r="D1500" s="709"/>
      <c r="E1500" s="710"/>
      <c r="F1500" s="573"/>
      <c r="G1500" s="487"/>
      <c r="H1500" s="573"/>
      <c r="I1500" s="487"/>
      <c r="J1500" s="573"/>
      <c r="K1500" s="487"/>
      <c r="L1500" s="573"/>
      <c r="M1500" s="573"/>
      <c r="N1500" s="456">
        <f t="shared" si="193"/>
        <v>0</v>
      </c>
      <c r="O1500" s="487"/>
      <c r="P1500" s="487"/>
      <c r="Q1500" s="274">
        <f t="shared" si="188"/>
        <v>0</v>
      </c>
      <c r="R1500" s="574">
        <f t="shared" si="189"/>
        <v>0</v>
      </c>
      <c r="S1500" s="275">
        <f t="shared" si="190"/>
        <v>0</v>
      </c>
      <c r="T1500" s="575"/>
      <c r="U1500" s="487"/>
      <c r="V1500" s="576"/>
      <c r="W1500" s="573"/>
      <c r="X1500" s="574">
        <f t="shared" si="194"/>
        <v>0</v>
      </c>
      <c r="Y1500" s="487"/>
      <c r="Z1500" s="487"/>
      <c r="AA1500" s="276">
        <f t="shared" si="195"/>
        <v>0</v>
      </c>
      <c r="AB1500" s="573"/>
      <c r="AC1500" s="487"/>
      <c r="AD1500" s="573"/>
      <c r="AE1500" s="487"/>
      <c r="AF1500" s="577">
        <f t="shared" si="191"/>
        <v>0</v>
      </c>
      <c r="AG1500" s="275">
        <f t="shared" si="192"/>
        <v>0</v>
      </c>
    </row>
    <row r="1501" spans="1:33" ht="12" customHeight="1">
      <c r="A1501" s="706" t="s">
        <v>1279</v>
      </c>
      <c r="B1501" s="714" t="s">
        <v>1413</v>
      </c>
      <c r="C1501" s="713" t="s">
        <v>422</v>
      </c>
      <c r="D1501" s="709"/>
      <c r="E1501" s="710"/>
      <c r="F1501" s="573"/>
      <c r="G1501" s="487"/>
      <c r="H1501" s="573"/>
      <c r="I1501" s="487"/>
      <c r="J1501" s="573"/>
      <c r="K1501" s="487"/>
      <c r="L1501" s="573"/>
      <c r="M1501" s="573"/>
      <c r="N1501" s="456">
        <f t="shared" si="193"/>
        <v>0</v>
      </c>
      <c r="O1501" s="487"/>
      <c r="P1501" s="487"/>
      <c r="Q1501" s="274">
        <f t="shared" si="188"/>
        <v>0</v>
      </c>
      <c r="R1501" s="574">
        <f t="shared" si="189"/>
        <v>0</v>
      </c>
      <c r="S1501" s="275">
        <f t="shared" si="190"/>
        <v>0</v>
      </c>
      <c r="T1501" s="575"/>
      <c r="U1501" s="487"/>
      <c r="V1501" s="576"/>
      <c r="W1501" s="573"/>
      <c r="X1501" s="574">
        <f t="shared" si="194"/>
        <v>0</v>
      </c>
      <c r="Y1501" s="487"/>
      <c r="Z1501" s="487"/>
      <c r="AA1501" s="276">
        <f t="shared" si="195"/>
        <v>0</v>
      </c>
      <c r="AB1501" s="573"/>
      <c r="AC1501" s="487"/>
      <c r="AD1501" s="573"/>
      <c r="AE1501" s="487"/>
      <c r="AF1501" s="577">
        <f t="shared" si="191"/>
        <v>0</v>
      </c>
      <c r="AG1501" s="275">
        <f t="shared" si="192"/>
        <v>0</v>
      </c>
    </row>
    <row r="1502" spans="1:33" ht="12" customHeight="1">
      <c r="A1502" s="706" t="s">
        <v>1279</v>
      </c>
      <c r="B1502" s="714" t="s">
        <v>1582</v>
      </c>
      <c r="C1502" s="713" t="s">
        <v>1883</v>
      </c>
      <c r="D1502" s="709"/>
      <c r="E1502" s="710"/>
      <c r="F1502" s="573"/>
      <c r="G1502" s="487"/>
      <c r="H1502" s="573"/>
      <c r="I1502" s="487"/>
      <c r="J1502" s="573"/>
      <c r="K1502" s="487"/>
      <c r="L1502" s="573"/>
      <c r="M1502" s="573"/>
      <c r="N1502" s="456">
        <f t="shared" si="193"/>
        <v>0</v>
      </c>
      <c r="O1502" s="487"/>
      <c r="P1502" s="487"/>
      <c r="Q1502" s="274">
        <f t="shared" si="188"/>
        <v>0</v>
      </c>
      <c r="R1502" s="574">
        <f t="shared" si="189"/>
        <v>0</v>
      </c>
      <c r="S1502" s="275">
        <f t="shared" si="190"/>
        <v>0</v>
      </c>
      <c r="T1502" s="575">
        <v>268975</v>
      </c>
      <c r="U1502" s="487">
        <f>278401</f>
        <v>278401</v>
      </c>
      <c r="V1502" s="576"/>
      <c r="W1502" s="573"/>
      <c r="X1502" s="574">
        <f t="shared" si="194"/>
        <v>0</v>
      </c>
      <c r="Y1502" s="487"/>
      <c r="Z1502" s="487"/>
      <c r="AA1502" s="276">
        <f t="shared" si="195"/>
        <v>0</v>
      </c>
      <c r="AB1502" s="573"/>
      <c r="AC1502" s="487"/>
      <c r="AD1502" s="573"/>
      <c r="AE1502" s="487"/>
      <c r="AF1502" s="577">
        <f t="shared" si="191"/>
        <v>268975</v>
      </c>
      <c r="AG1502" s="275">
        <f t="shared" si="192"/>
        <v>278401</v>
      </c>
    </row>
    <row r="1503" spans="1:33" ht="12" customHeight="1">
      <c r="A1503" s="706" t="s">
        <v>1279</v>
      </c>
      <c r="B1503" s="707" t="s">
        <v>1763</v>
      </c>
      <c r="C1503" s="713" t="s">
        <v>1761</v>
      </c>
      <c r="D1503" s="709"/>
      <c r="E1503" s="710"/>
      <c r="F1503" s="573"/>
      <c r="G1503" s="487"/>
      <c r="H1503" s="573"/>
      <c r="I1503" s="487"/>
      <c r="J1503" s="573"/>
      <c r="K1503" s="487"/>
      <c r="L1503" s="573"/>
      <c r="M1503" s="573"/>
      <c r="N1503" s="456">
        <f t="shared" si="193"/>
        <v>0</v>
      </c>
      <c r="O1503" s="487"/>
      <c r="P1503" s="487"/>
      <c r="Q1503" s="274">
        <f t="shared" si="188"/>
        <v>0</v>
      </c>
      <c r="R1503" s="574">
        <f t="shared" si="189"/>
        <v>0</v>
      </c>
      <c r="S1503" s="275">
        <f t="shared" si="190"/>
        <v>0</v>
      </c>
      <c r="T1503" s="575"/>
      <c r="U1503" s="487"/>
      <c r="V1503" s="576"/>
      <c r="W1503" s="573"/>
      <c r="X1503" s="574">
        <f t="shared" si="194"/>
        <v>0</v>
      </c>
      <c r="Y1503" s="487"/>
      <c r="Z1503" s="487"/>
      <c r="AA1503" s="276">
        <f t="shared" si="195"/>
        <v>0</v>
      </c>
      <c r="AB1503" s="573"/>
      <c r="AC1503" s="487"/>
      <c r="AD1503" s="573"/>
      <c r="AE1503" s="487"/>
      <c r="AF1503" s="577">
        <f t="shared" si="191"/>
        <v>0</v>
      </c>
      <c r="AG1503" s="275">
        <f t="shared" si="192"/>
        <v>0</v>
      </c>
    </row>
    <row r="1504" spans="1:33" ht="12" customHeight="1">
      <c r="A1504" s="706" t="s">
        <v>1279</v>
      </c>
      <c r="B1504" s="707" t="s">
        <v>1805</v>
      </c>
      <c r="C1504" s="280" t="s">
        <v>836</v>
      </c>
      <c r="D1504" s="709"/>
      <c r="E1504" s="710"/>
      <c r="F1504" s="573"/>
      <c r="G1504" s="487"/>
      <c r="H1504" s="573"/>
      <c r="I1504" s="487"/>
      <c r="J1504" s="573"/>
      <c r="K1504" s="487"/>
      <c r="L1504" s="573"/>
      <c r="M1504" s="573"/>
      <c r="N1504" s="456">
        <f t="shared" si="193"/>
        <v>0</v>
      </c>
      <c r="O1504" s="487"/>
      <c r="P1504" s="487"/>
      <c r="Q1504" s="274">
        <f t="shared" si="188"/>
        <v>0</v>
      </c>
      <c r="R1504" s="574">
        <f t="shared" si="189"/>
        <v>0</v>
      </c>
      <c r="S1504" s="275">
        <f t="shared" si="190"/>
        <v>0</v>
      </c>
      <c r="T1504" s="575"/>
      <c r="U1504" s="487"/>
      <c r="V1504" s="576"/>
      <c r="W1504" s="573"/>
      <c r="X1504" s="574">
        <f t="shared" si="194"/>
        <v>0</v>
      </c>
      <c r="Y1504" s="487"/>
      <c r="Z1504" s="487"/>
      <c r="AA1504" s="276">
        <f t="shared" si="195"/>
        <v>0</v>
      </c>
      <c r="AB1504" s="573"/>
      <c r="AC1504" s="487"/>
      <c r="AD1504" s="573"/>
      <c r="AE1504" s="487"/>
      <c r="AF1504" s="577">
        <f t="shared" si="191"/>
        <v>0</v>
      </c>
      <c r="AG1504" s="275">
        <f t="shared" si="192"/>
        <v>0</v>
      </c>
    </row>
    <row r="1505" spans="1:33" ht="12" customHeight="1">
      <c r="A1505" s="706" t="s">
        <v>1279</v>
      </c>
      <c r="B1505" s="714" t="s">
        <v>1510</v>
      </c>
      <c r="C1505" s="713" t="s">
        <v>421</v>
      </c>
      <c r="D1505" s="709"/>
      <c r="E1505" s="710"/>
      <c r="F1505" s="573"/>
      <c r="G1505" s="487"/>
      <c r="H1505" s="573"/>
      <c r="I1505" s="487"/>
      <c r="J1505" s="573"/>
      <c r="K1505" s="487"/>
      <c r="L1505" s="573"/>
      <c r="M1505" s="573"/>
      <c r="N1505" s="456">
        <f t="shared" si="193"/>
        <v>0</v>
      </c>
      <c r="O1505" s="487"/>
      <c r="P1505" s="487"/>
      <c r="Q1505" s="274">
        <f t="shared" si="188"/>
        <v>0</v>
      </c>
      <c r="R1505" s="574">
        <f t="shared" si="189"/>
        <v>0</v>
      </c>
      <c r="S1505" s="275">
        <f t="shared" si="190"/>
        <v>0</v>
      </c>
      <c r="T1505" s="575"/>
      <c r="U1505" s="487"/>
      <c r="V1505" s="576"/>
      <c r="W1505" s="573"/>
      <c r="X1505" s="574">
        <f t="shared" si="194"/>
        <v>0</v>
      </c>
      <c r="Y1505" s="487"/>
      <c r="Z1505" s="487"/>
      <c r="AA1505" s="276">
        <f t="shared" si="195"/>
        <v>0</v>
      </c>
      <c r="AB1505" s="573"/>
      <c r="AC1505" s="487"/>
      <c r="AD1505" s="573"/>
      <c r="AE1505" s="487"/>
      <c r="AF1505" s="577">
        <f t="shared" si="191"/>
        <v>0</v>
      </c>
      <c r="AG1505" s="275">
        <f t="shared" si="192"/>
        <v>0</v>
      </c>
    </row>
    <row r="1506" spans="1:33" ht="12" customHeight="1">
      <c r="A1506" s="706" t="s">
        <v>1279</v>
      </c>
      <c r="B1506" s="714" t="s">
        <v>1511</v>
      </c>
      <c r="C1506" s="713" t="s">
        <v>1883</v>
      </c>
      <c r="D1506" s="709"/>
      <c r="E1506" s="710"/>
      <c r="F1506" s="573"/>
      <c r="G1506" s="487"/>
      <c r="H1506" s="573"/>
      <c r="I1506" s="487"/>
      <c r="J1506" s="573"/>
      <c r="K1506" s="487"/>
      <c r="L1506" s="573"/>
      <c r="M1506" s="573"/>
      <c r="N1506" s="456">
        <f t="shared" si="193"/>
        <v>0</v>
      </c>
      <c r="O1506" s="487"/>
      <c r="P1506" s="487"/>
      <c r="Q1506" s="274">
        <f t="shared" si="188"/>
        <v>0</v>
      </c>
      <c r="R1506" s="574">
        <f t="shared" si="189"/>
        <v>0</v>
      </c>
      <c r="S1506" s="275">
        <f t="shared" si="190"/>
        <v>0</v>
      </c>
      <c r="T1506" s="575">
        <v>120211</v>
      </c>
      <c r="U1506" s="487">
        <v>120211</v>
      </c>
      <c r="V1506" s="576"/>
      <c r="W1506" s="573"/>
      <c r="X1506" s="574">
        <f t="shared" si="194"/>
        <v>0</v>
      </c>
      <c r="Y1506" s="487"/>
      <c r="Z1506" s="487"/>
      <c r="AA1506" s="276">
        <f t="shared" si="195"/>
        <v>0</v>
      </c>
      <c r="AB1506" s="573"/>
      <c r="AC1506" s="487"/>
      <c r="AD1506" s="573"/>
      <c r="AE1506" s="487"/>
      <c r="AF1506" s="577">
        <f t="shared" si="191"/>
        <v>120211</v>
      </c>
      <c r="AG1506" s="275">
        <f t="shared" si="192"/>
        <v>120211</v>
      </c>
    </row>
    <row r="1507" spans="1:33" ht="12" customHeight="1">
      <c r="A1507" s="706" t="s">
        <v>1279</v>
      </c>
      <c r="B1507" s="707" t="s">
        <v>1763</v>
      </c>
      <c r="C1507" s="713" t="s">
        <v>1761</v>
      </c>
      <c r="D1507" s="709"/>
      <c r="E1507" s="710"/>
      <c r="F1507" s="573"/>
      <c r="G1507" s="487"/>
      <c r="H1507" s="573"/>
      <c r="I1507" s="487"/>
      <c r="J1507" s="573"/>
      <c r="K1507" s="487"/>
      <c r="L1507" s="573"/>
      <c r="M1507" s="573"/>
      <c r="N1507" s="456">
        <f t="shared" si="193"/>
        <v>0</v>
      </c>
      <c r="O1507" s="487"/>
      <c r="P1507" s="487"/>
      <c r="Q1507" s="274">
        <f t="shared" si="188"/>
        <v>0</v>
      </c>
      <c r="R1507" s="574">
        <f t="shared" si="189"/>
        <v>0</v>
      </c>
      <c r="S1507" s="275">
        <f t="shared" si="190"/>
        <v>0</v>
      </c>
      <c r="T1507" s="1144" t="s">
        <v>1220</v>
      </c>
      <c r="U1507" s="487"/>
      <c r="V1507" s="576"/>
      <c r="W1507" s="573"/>
      <c r="X1507" s="574">
        <f t="shared" si="194"/>
        <v>0</v>
      </c>
      <c r="Y1507" s="487"/>
      <c r="Z1507" s="487"/>
      <c r="AA1507" s="276">
        <f t="shared" si="195"/>
        <v>0</v>
      </c>
      <c r="AB1507" s="573"/>
      <c r="AC1507" s="487"/>
      <c r="AD1507" s="573"/>
      <c r="AE1507" s="487"/>
      <c r="AF1507" s="577">
        <f t="shared" si="191"/>
        <v>0</v>
      </c>
      <c r="AG1507" s="275">
        <f t="shared" si="192"/>
        <v>0</v>
      </c>
    </row>
    <row r="1508" spans="1:33" ht="12" customHeight="1">
      <c r="A1508" s="706" t="s">
        <v>1279</v>
      </c>
      <c r="B1508" s="714" t="s">
        <v>1413</v>
      </c>
      <c r="C1508" s="713" t="s">
        <v>422</v>
      </c>
      <c r="D1508" s="709"/>
      <c r="E1508" s="710"/>
      <c r="F1508" s="573"/>
      <c r="G1508" s="487"/>
      <c r="H1508" s="573"/>
      <c r="I1508" s="487"/>
      <c r="J1508" s="573"/>
      <c r="K1508" s="487"/>
      <c r="L1508" s="573"/>
      <c r="M1508" s="573"/>
      <c r="N1508" s="456">
        <f t="shared" si="193"/>
        <v>0</v>
      </c>
      <c r="O1508" s="487"/>
      <c r="P1508" s="487"/>
      <c r="Q1508" s="274">
        <f t="shared" si="188"/>
        <v>0</v>
      </c>
      <c r="R1508" s="574">
        <f t="shared" si="189"/>
        <v>0</v>
      </c>
      <c r="S1508" s="275">
        <f t="shared" si="190"/>
        <v>0</v>
      </c>
      <c r="T1508" s="1147"/>
      <c r="U1508" s="487"/>
      <c r="V1508" s="576"/>
      <c r="W1508" s="573"/>
      <c r="X1508" s="574">
        <f t="shared" si="194"/>
        <v>0</v>
      </c>
      <c r="Y1508" s="487"/>
      <c r="Z1508" s="487"/>
      <c r="AA1508" s="276">
        <f t="shared" si="195"/>
        <v>0</v>
      </c>
      <c r="AB1508" s="573"/>
      <c r="AC1508" s="487"/>
      <c r="AD1508" s="573"/>
      <c r="AE1508" s="487"/>
      <c r="AF1508" s="577">
        <f t="shared" si="191"/>
        <v>0</v>
      </c>
      <c r="AG1508" s="275">
        <f t="shared" si="192"/>
        <v>0</v>
      </c>
    </row>
    <row r="1509" spans="1:33" ht="12" customHeight="1">
      <c r="A1509" s="706" t="s">
        <v>1279</v>
      </c>
      <c r="B1509" s="714" t="s">
        <v>1582</v>
      </c>
      <c r="C1509" s="713" t="s">
        <v>1883</v>
      </c>
      <c r="D1509" s="709"/>
      <c r="E1509" s="710"/>
      <c r="F1509" s="573"/>
      <c r="G1509" s="487"/>
      <c r="H1509" s="573"/>
      <c r="I1509" s="487"/>
      <c r="J1509" s="573"/>
      <c r="K1509" s="487"/>
      <c r="L1509" s="573"/>
      <c r="M1509" s="573"/>
      <c r="N1509" s="456">
        <f t="shared" si="193"/>
        <v>0</v>
      </c>
      <c r="O1509" s="487"/>
      <c r="P1509" s="487"/>
      <c r="Q1509" s="274">
        <f t="shared" si="188"/>
        <v>0</v>
      </c>
      <c r="R1509" s="574">
        <f t="shared" si="189"/>
        <v>0</v>
      </c>
      <c r="S1509" s="275">
        <f t="shared" si="190"/>
        <v>0</v>
      </c>
      <c r="T1509" s="575"/>
      <c r="U1509" s="487"/>
      <c r="V1509" s="576"/>
      <c r="W1509" s="573"/>
      <c r="X1509" s="574">
        <f t="shared" si="194"/>
        <v>0</v>
      </c>
      <c r="Y1509" s="487"/>
      <c r="Z1509" s="487"/>
      <c r="AA1509" s="276">
        <f t="shared" si="195"/>
        <v>0</v>
      </c>
      <c r="AB1509" s="573"/>
      <c r="AC1509" s="487"/>
      <c r="AD1509" s="573"/>
      <c r="AE1509" s="487"/>
      <c r="AF1509" s="577">
        <f t="shared" si="191"/>
        <v>0</v>
      </c>
      <c r="AG1509" s="275">
        <f t="shared" si="192"/>
        <v>0</v>
      </c>
    </row>
    <row r="1510" spans="1:33" ht="12" customHeight="1">
      <c r="A1510" s="706" t="s">
        <v>1279</v>
      </c>
      <c r="B1510" s="707" t="s">
        <v>1763</v>
      </c>
      <c r="C1510" s="713" t="s">
        <v>1761</v>
      </c>
      <c r="D1510" s="709"/>
      <c r="E1510" s="710"/>
      <c r="F1510" s="573"/>
      <c r="G1510" s="487"/>
      <c r="H1510" s="573"/>
      <c r="I1510" s="487"/>
      <c r="J1510" s="573"/>
      <c r="K1510" s="487"/>
      <c r="L1510" s="573"/>
      <c r="M1510" s="573"/>
      <c r="N1510" s="456">
        <f t="shared" si="193"/>
        <v>0</v>
      </c>
      <c r="O1510" s="487"/>
      <c r="P1510" s="487"/>
      <c r="Q1510" s="274">
        <f t="shared" si="188"/>
        <v>0</v>
      </c>
      <c r="R1510" s="574">
        <f t="shared" si="189"/>
        <v>0</v>
      </c>
      <c r="S1510" s="275">
        <f t="shared" si="190"/>
        <v>0</v>
      </c>
      <c r="T1510" s="575"/>
      <c r="U1510" s="487"/>
      <c r="V1510" s="576"/>
      <c r="W1510" s="573"/>
      <c r="X1510" s="574">
        <f t="shared" si="194"/>
        <v>0</v>
      </c>
      <c r="Y1510" s="487"/>
      <c r="Z1510" s="487"/>
      <c r="AA1510" s="276">
        <f t="shared" si="195"/>
        <v>0</v>
      </c>
      <c r="AB1510" s="573"/>
      <c r="AC1510" s="487"/>
      <c r="AD1510" s="573"/>
      <c r="AE1510" s="487"/>
      <c r="AF1510" s="577">
        <f t="shared" si="191"/>
        <v>0</v>
      </c>
      <c r="AG1510" s="275">
        <f t="shared" si="192"/>
        <v>0</v>
      </c>
    </row>
    <row r="1511" spans="1:33" ht="12" customHeight="1">
      <c r="A1511" s="706" t="s">
        <v>1279</v>
      </c>
      <c r="B1511" s="707" t="s">
        <v>1805</v>
      </c>
      <c r="C1511" s="280" t="s">
        <v>837</v>
      </c>
      <c r="D1511" s="709"/>
      <c r="E1511" s="710"/>
      <c r="F1511" s="573"/>
      <c r="G1511" s="487"/>
      <c r="H1511" s="573"/>
      <c r="I1511" s="487"/>
      <c r="J1511" s="573"/>
      <c r="K1511" s="487"/>
      <c r="L1511" s="573"/>
      <c r="M1511" s="573"/>
      <c r="N1511" s="456">
        <f t="shared" si="193"/>
        <v>0</v>
      </c>
      <c r="O1511" s="487"/>
      <c r="P1511" s="487"/>
      <c r="Q1511" s="274">
        <f t="shared" si="188"/>
        <v>0</v>
      </c>
      <c r="R1511" s="574">
        <f t="shared" si="189"/>
        <v>0</v>
      </c>
      <c r="S1511" s="275">
        <f t="shared" si="190"/>
        <v>0</v>
      </c>
      <c r="T1511" s="575"/>
      <c r="U1511" s="487"/>
      <c r="V1511" s="576"/>
      <c r="W1511" s="573"/>
      <c r="X1511" s="574">
        <f t="shared" si="194"/>
        <v>0</v>
      </c>
      <c r="Y1511" s="487"/>
      <c r="Z1511" s="487"/>
      <c r="AA1511" s="276">
        <f t="shared" si="195"/>
        <v>0</v>
      </c>
      <c r="AB1511" s="573"/>
      <c r="AC1511" s="487"/>
      <c r="AD1511" s="573"/>
      <c r="AE1511" s="487"/>
      <c r="AF1511" s="577">
        <f t="shared" si="191"/>
        <v>0</v>
      </c>
      <c r="AG1511" s="275">
        <f t="shared" si="192"/>
        <v>0</v>
      </c>
    </row>
    <row r="1512" spans="1:33" ht="12" customHeight="1">
      <c r="A1512" s="706" t="s">
        <v>1279</v>
      </c>
      <c r="B1512" s="714" t="s">
        <v>1510</v>
      </c>
      <c r="C1512" s="713" t="s">
        <v>421</v>
      </c>
      <c r="D1512" s="709"/>
      <c r="E1512" s="710"/>
      <c r="F1512" s="573"/>
      <c r="G1512" s="487"/>
      <c r="H1512" s="573"/>
      <c r="I1512" s="487"/>
      <c r="J1512" s="573"/>
      <c r="K1512" s="487"/>
      <c r="L1512" s="573"/>
      <c r="M1512" s="573"/>
      <c r="N1512" s="456">
        <f t="shared" si="193"/>
        <v>0</v>
      </c>
      <c r="O1512" s="487"/>
      <c r="P1512" s="487"/>
      <c r="Q1512" s="274">
        <f t="shared" si="188"/>
        <v>0</v>
      </c>
      <c r="R1512" s="574">
        <f t="shared" si="189"/>
        <v>0</v>
      </c>
      <c r="S1512" s="275">
        <f t="shared" si="190"/>
        <v>0</v>
      </c>
      <c r="T1512" s="575"/>
      <c r="U1512" s="487"/>
      <c r="V1512" s="576"/>
      <c r="W1512" s="573"/>
      <c r="X1512" s="574">
        <f t="shared" si="194"/>
        <v>0</v>
      </c>
      <c r="Y1512" s="487"/>
      <c r="Z1512" s="487"/>
      <c r="AA1512" s="276">
        <f t="shared" si="195"/>
        <v>0</v>
      </c>
      <c r="AB1512" s="573"/>
      <c r="AC1512" s="487"/>
      <c r="AD1512" s="573"/>
      <c r="AE1512" s="487"/>
      <c r="AF1512" s="577">
        <f t="shared" si="191"/>
        <v>0</v>
      </c>
      <c r="AG1512" s="275">
        <f t="shared" si="192"/>
        <v>0</v>
      </c>
    </row>
    <row r="1513" spans="1:33" ht="12" customHeight="1">
      <c r="A1513" s="706" t="s">
        <v>1279</v>
      </c>
      <c r="B1513" s="714" t="s">
        <v>1511</v>
      </c>
      <c r="C1513" s="713" t="s">
        <v>1883</v>
      </c>
      <c r="D1513" s="709"/>
      <c r="E1513" s="710"/>
      <c r="F1513" s="573"/>
      <c r="G1513" s="487"/>
      <c r="H1513" s="573"/>
      <c r="I1513" s="487"/>
      <c r="J1513" s="573"/>
      <c r="K1513" s="487"/>
      <c r="L1513" s="573"/>
      <c r="M1513" s="573"/>
      <c r="N1513" s="456">
        <f t="shared" si="193"/>
        <v>0</v>
      </c>
      <c r="O1513" s="487"/>
      <c r="P1513" s="487"/>
      <c r="Q1513" s="274">
        <f t="shared" si="188"/>
        <v>0</v>
      </c>
      <c r="R1513" s="574">
        <f t="shared" si="189"/>
        <v>0</v>
      </c>
      <c r="S1513" s="275">
        <f t="shared" si="190"/>
        <v>0</v>
      </c>
      <c r="T1513" s="575">
        <v>1420483</v>
      </c>
      <c r="U1513" s="487">
        <f>994682+316968+35464+5430+36143+8824+21550</f>
        <v>1419061</v>
      </c>
      <c r="V1513" s="576"/>
      <c r="W1513" s="573"/>
      <c r="X1513" s="574">
        <f t="shared" si="194"/>
        <v>0</v>
      </c>
      <c r="Y1513" s="487"/>
      <c r="Z1513" s="487"/>
      <c r="AA1513" s="276">
        <f t="shared" si="195"/>
        <v>0</v>
      </c>
      <c r="AB1513" s="573"/>
      <c r="AC1513" s="487"/>
      <c r="AD1513" s="573"/>
      <c r="AE1513" s="487"/>
      <c r="AF1513" s="577">
        <f t="shared" si="191"/>
        <v>1420483</v>
      </c>
      <c r="AG1513" s="275">
        <f t="shared" si="192"/>
        <v>1419061</v>
      </c>
    </row>
    <row r="1514" spans="1:33" ht="12" customHeight="1">
      <c r="A1514" s="706" t="s">
        <v>1279</v>
      </c>
      <c r="B1514" s="707" t="s">
        <v>1763</v>
      </c>
      <c r="C1514" s="713" t="s">
        <v>1761</v>
      </c>
      <c r="D1514" s="709"/>
      <c r="E1514" s="710"/>
      <c r="F1514" s="573"/>
      <c r="G1514" s="487"/>
      <c r="H1514" s="573"/>
      <c r="I1514" s="487"/>
      <c r="J1514" s="573"/>
      <c r="K1514" s="487"/>
      <c r="L1514" s="573"/>
      <c r="M1514" s="573"/>
      <c r="N1514" s="456">
        <f t="shared" si="193"/>
        <v>0</v>
      </c>
      <c r="O1514" s="487"/>
      <c r="P1514" s="487"/>
      <c r="Q1514" s="274">
        <f t="shared" si="188"/>
        <v>0</v>
      </c>
      <c r="R1514" s="574">
        <f t="shared" si="189"/>
        <v>0</v>
      </c>
      <c r="S1514" s="275">
        <f t="shared" si="190"/>
        <v>0</v>
      </c>
      <c r="T1514" s="575"/>
      <c r="U1514" s="487"/>
      <c r="V1514" s="576"/>
      <c r="W1514" s="573"/>
      <c r="X1514" s="574">
        <f t="shared" si="194"/>
        <v>0</v>
      </c>
      <c r="Y1514" s="487"/>
      <c r="Z1514" s="487"/>
      <c r="AA1514" s="276">
        <f t="shared" si="195"/>
        <v>0</v>
      </c>
      <c r="AB1514" s="573"/>
      <c r="AC1514" s="487"/>
      <c r="AD1514" s="573"/>
      <c r="AE1514" s="487"/>
      <c r="AF1514" s="577">
        <f t="shared" si="191"/>
        <v>0</v>
      </c>
      <c r="AG1514" s="275">
        <f t="shared" si="192"/>
        <v>0</v>
      </c>
    </row>
    <row r="1515" spans="1:33" ht="12" customHeight="1">
      <c r="A1515" s="706" t="s">
        <v>1279</v>
      </c>
      <c r="B1515" s="714" t="s">
        <v>1413</v>
      </c>
      <c r="C1515" s="713" t="s">
        <v>422</v>
      </c>
      <c r="D1515" s="709"/>
      <c r="E1515" s="710"/>
      <c r="F1515" s="573"/>
      <c r="G1515" s="487"/>
      <c r="H1515" s="573"/>
      <c r="I1515" s="487"/>
      <c r="J1515" s="573"/>
      <c r="K1515" s="487"/>
      <c r="L1515" s="573"/>
      <c r="M1515" s="573"/>
      <c r="N1515" s="456">
        <f t="shared" si="193"/>
        <v>0</v>
      </c>
      <c r="O1515" s="487"/>
      <c r="P1515" s="487"/>
      <c r="Q1515" s="274">
        <f t="shared" si="188"/>
        <v>0</v>
      </c>
      <c r="R1515" s="574">
        <f t="shared" si="189"/>
        <v>0</v>
      </c>
      <c r="S1515" s="275">
        <f t="shared" si="190"/>
        <v>0</v>
      </c>
      <c r="T1515" s="575"/>
      <c r="U1515" s="487"/>
      <c r="V1515" s="576"/>
      <c r="W1515" s="573"/>
      <c r="X1515" s="574">
        <f t="shared" si="194"/>
        <v>0</v>
      </c>
      <c r="Y1515" s="487"/>
      <c r="Z1515" s="487"/>
      <c r="AA1515" s="276">
        <f t="shared" si="195"/>
        <v>0</v>
      </c>
      <c r="AB1515" s="573"/>
      <c r="AC1515" s="487"/>
      <c r="AD1515" s="573"/>
      <c r="AE1515" s="487"/>
      <c r="AF1515" s="577">
        <f t="shared" si="191"/>
        <v>0</v>
      </c>
      <c r="AG1515" s="275">
        <f t="shared" si="192"/>
        <v>0</v>
      </c>
    </row>
    <row r="1516" spans="1:33" ht="12" customHeight="1">
      <c r="A1516" s="706" t="s">
        <v>1279</v>
      </c>
      <c r="B1516" s="714" t="s">
        <v>1582</v>
      </c>
      <c r="C1516" s="713" t="s">
        <v>1883</v>
      </c>
      <c r="D1516" s="709"/>
      <c r="E1516" s="710"/>
      <c r="F1516" s="573"/>
      <c r="G1516" s="487"/>
      <c r="H1516" s="573"/>
      <c r="I1516" s="487"/>
      <c r="J1516" s="573"/>
      <c r="K1516" s="487"/>
      <c r="L1516" s="573"/>
      <c r="M1516" s="573"/>
      <c r="N1516" s="456">
        <f t="shared" si="193"/>
        <v>0</v>
      </c>
      <c r="O1516" s="487"/>
      <c r="P1516" s="487"/>
      <c r="Q1516" s="274">
        <f t="shared" si="188"/>
        <v>0</v>
      </c>
      <c r="R1516" s="574">
        <f t="shared" si="189"/>
        <v>0</v>
      </c>
      <c r="S1516" s="275">
        <f t="shared" si="190"/>
        <v>0</v>
      </c>
      <c r="T1516" s="575">
        <v>79517</v>
      </c>
      <c r="U1516" s="487">
        <f>71437+9502</f>
        <v>80939</v>
      </c>
      <c r="V1516" s="576"/>
      <c r="W1516" s="573"/>
      <c r="X1516" s="574">
        <f t="shared" si="194"/>
        <v>0</v>
      </c>
      <c r="Y1516" s="487"/>
      <c r="Z1516" s="487"/>
      <c r="AA1516" s="276">
        <f t="shared" si="195"/>
        <v>0</v>
      </c>
      <c r="AB1516" s="573"/>
      <c r="AC1516" s="487"/>
      <c r="AD1516" s="573"/>
      <c r="AE1516" s="487"/>
      <c r="AF1516" s="577">
        <f t="shared" si="191"/>
        <v>79517</v>
      </c>
      <c r="AG1516" s="275">
        <f t="shared" si="192"/>
        <v>80939</v>
      </c>
    </row>
    <row r="1517" spans="1:33" ht="12" customHeight="1">
      <c r="A1517" s="706" t="s">
        <v>1279</v>
      </c>
      <c r="B1517" s="707" t="s">
        <v>1763</v>
      </c>
      <c r="C1517" s="713" t="s">
        <v>1761</v>
      </c>
      <c r="D1517" s="709"/>
      <c r="E1517" s="710"/>
      <c r="F1517" s="573"/>
      <c r="G1517" s="487"/>
      <c r="H1517" s="573"/>
      <c r="I1517" s="487"/>
      <c r="J1517" s="573"/>
      <c r="K1517" s="487"/>
      <c r="L1517" s="573"/>
      <c r="M1517" s="573"/>
      <c r="N1517" s="456">
        <f t="shared" si="193"/>
        <v>0</v>
      </c>
      <c r="O1517" s="487"/>
      <c r="P1517" s="487"/>
      <c r="Q1517" s="274">
        <f t="shared" si="188"/>
        <v>0</v>
      </c>
      <c r="R1517" s="574">
        <f t="shared" si="189"/>
        <v>0</v>
      </c>
      <c r="S1517" s="275">
        <f t="shared" si="190"/>
        <v>0</v>
      </c>
      <c r="T1517" s="575"/>
      <c r="U1517" s="487"/>
      <c r="V1517" s="576"/>
      <c r="W1517" s="573"/>
      <c r="X1517" s="574">
        <f t="shared" si="194"/>
        <v>0</v>
      </c>
      <c r="Y1517" s="487"/>
      <c r="Z1517" s="487"/>
      <c r="AA1517" s="276">
        <f t="shared" si="195"/>
        <v>0</v>
      </c>
      <c r="AB1517" s="573"/>
      <c r="AC1517" s="487"/>
      <c r="AD1517" s="573"/>
      <c r="AE1517" s="487"/>
      <c r="AF1517" s="577">
        <f t="shared" si="191"/>
        <v>0</v>
      </c>
      <c r="AG1517" s="275">
        <f t="shared" si="192"/>
        <v>0</v>
      </c>
    </row>
    <row r="1518" spans="1:33" ht="12" customHeight="1">
      <c r="A1518" s="706" t="s">
        <v>1279</v>
      </c>
      <c r="B1518" s="707" t="s">
        <v>1805</v>
      </c>
      <c r="C1518" s="280" t="s">
        <v>838</v>
      </c>
      <c r="D1518" s="709"/>
      <c r="E1518" s="710"/>
      <c r="F1518" s="573"/>
      <c r="G1518" s="487"/>
      <c r="H1518" s="573"/>
      <c r="I1518" s="487"/>
      <c r="J1518" s="573"/>
      <c r="K1518" s="487"/>
      <c r="L1518" s="573"/>
      <c r="M1518" s="573"/>
      <c r="N1518" s="456">
        <f t="shared" si="193"/>
        <v>0</v>
      </c>
      <c r="O1518" s="487"/>
      <c r="P1518" s="487"/>
      <c r="Q1518" s="274">
        <f t="shared" si="188"/>
        <v>0</v>
      </c>
      <c r="R1518" s="574">
        <f t="shared" si="189"/>
        <v>0</v>
      </c>
      <c r="S1518" s="275">
        <f t="shared" si="190"/>
        <v>0</v>
      </c>
      <c r="T1518" s="575"/>
      <c r="U1518" s="487"/>
      <c r="V1518" s="576"/>
      <c r="W1518" s="573"/>
      <c r="X1518" s="574">
        <f t="shared" si="194"/>
        <v>0</v>
      </c>
      <c r="Y1518" s="487"/>
      <c r="Z1518" s="487"/>
      <c r="AA1518" s="276">
        <f t="shared" si="195"/>
        <v>0</v>
      </c>
      <c r="AB1518" s="573"/>
      <c r="AC1518" s="487"/>
      <c r="AD1518" s="573"/>
      <c r="AE1518" s="487"/>
      <c r="AF1518" s="577">
        <f t="shared" si="191"/>
        <v>0</v>
      </c>
      <c r="AG1518" s="275">
        <f t="shared" si="192"/>
        <v>0</v>
      </c>
    </row>
    <row r="1519" spans="1:33" ht="12" customHeight="1">
      <c r="A1519" s="706" t="s">
        <v>1279</v>
      </c>
      <c r="B1519" s="714" t="s">
        <v>1510</v>
      </c>
      <c r="C1519" s="713" t="s">
        <v>421</v>
      </c>
      <c r="D1519" s="709"/>
      <c r="E1519" s="710"/>
      <c r="F1519" s="573"/>
      <c r="G1519" s="487"/>
      <c r="H1519" s="573"/>
      <c r="I1519" s="487"/>
      <c r="J1519" s="573"/>
      <c r="K1519" s="487"/>
      <c r="L1519" s="573"/>
      <c r="M1519" s="573"/>
      <c r="N1519" s="456">
        <f t="shared" si="193"/>
        <v>0</v>
      </c>
      <c r="O1519" s="487"/>
      <c r="P1519" s="487"/>
      <c r="Q1519" s="274">
        <f t="shared" si="188"/>
        <v>0</v>
      </c>
      <c r="R1519" s="574">
        <f t="shared" si="189"/>
        <v>0</v>
      </c>
      <c r="S1519" s="275">
        <f t="shared" si="190"/>
        <v>0</v>
      </c>
      <c r="T1519" s="575"/>
      <c r="U1519" s="487"/>
      <c r="V1519" s="576"/>
      <c r="W1519" s="573"/>
      <c r="X1519" s="574">
        <f t="shared" si="194"/>
        <v>0</v>
      </c>
      <c r="Y1519" s="487"/>
      <c r="Z1519" s="487"/>
      <c r="AA1519" s="276">
        <f t="shared" si="195"/>
        <v>0</v>
      </c>
      <c r="AB1519" s="573"/>
      <c r="AC1519" s="487"/>
      <c r="AD1519" s="573"/>
      <c r="AE1519" s="487"/>
      <c r="AF1519" s="577">
        <f t="shared" si="191"/>
        <v>0</v>
      </c>
      <c r="AG1519" s="275">
        <f t="shared" si="192"/>
        <v>0</v>
      </c>
    </row>
    <row r="1520" spans="1:33" ht="12" customHeight="1">
      <c r="A1520" s="706" t="s">
        <v>1279</v>
      </c>
      <c r="B1520" s="714" t="s">
        <v>1511</v>
      </c>
      <c r="C1520" s="713" t="s">
        <v>1883</v>
      </c>
      <c r="D1520" s="709"/>
      <c r="E1520" s="710"/>
      <c r="F1520" s="573"/>
      <c r="G1520" s="487"/>
      <c r="H1520" s="573"/>
      <c r="I1520" s="487"/>
      <c r="J1520" s="573"/>
      <c r="K1520" s="487"/>
      <c r="L1520" s="573"/>
      <c r="M1520" s="573"/>
      <c r="N1520" s="456">
        <f t="shared" si="193"/>
        <v>0</v>
      </c>
      <c r="O1520" s="487"/>
      <c r="P1520" s="487"/>
      <c r="Q1520" s="274">
        <f t="shared" si="188"/>
        <v>0</v>
      </c>
      <c r="R1520" s="574">
        <f t="shared" si="189"/>
        <v>0</v>
      </c>
      <c r="S1520" s="275">
        <f t="shared" si="190"/>
        <v>0</v>
      </c>
      <c r="T1520" s="575">
        <v>58959310</v>
      </c>
      <c r="U1520" s="487">
        <f>9933325.55+49944150</f>
        <v>59877475.549999997</v>
      </c>
      <c r="V1520" s="576"/>
      <c r="W1520" s="573"/>
      <c r="X1520" s="574">
        <f t="shared" si="194"/>
        <v>0</v>
      </c>
      <c r="Y1520" s="487"/>
      <c r="Z1520" s="487"/>
      <c r="AA1520" s="276">
        <f t="shared" si="195"/>
        <v>0</v>
      </c>
      <c r="AB1520" s="573"/>
      <c r="AC1520" s="487"/>
      <c r="AD1520" s="573"/>
      <c r="AE1520" s="487"/>
      <c r="AF1520" s="577">
        <f t="shared" si="191"/>
        <v>58959310</v>
      </c>
      <c r="AG1520" s="275">
        <f t="shared" si="192"/>
        <v>59877475.549999997</v>
      </c>
    </row>
    <row r="1521" spans="1:33" ht="12" customHeight="1">
      <c r="A1521" s="706" t="s">
        <v>1279</v>
      </c>
      <c r="B1521" s="707" t="s">
        <v>1763</v>
      </c>
      <c r="C1521" s="713" t="s">
        <v>1761</v>
      </c>
      <c r="D1521" s="709"/>
      <c r="E1521" s="710"/>
      <c r="F1521" s="573"/>
      <c r="G1521" s="487"/>
      <c r="H1521" s="573"/>
      <c r="I1521" s="487"/>
      <c r="J1521" s="573"/>
      <c r="K1521" s="487"/>
      <c r="L1521" s="573"/>
      <c r="M1521" s="573"/>
      <c r="N1521" s="456">
        <f t="shared" si="193"/>
        <v>0</v>
      </c>
      <c r="O1521" s="487"/>
      <c r="P1521" s="487"/>
      <c r="Q1521" s="274">
        <f t="shared" si="188"/>
        <v>0</v>
      </c>
      <c r="R1521" s="574">
        <f t="shared" si="189"/>
        <v>0</v>
      </c>
      <c r="S1521" s="275">
        <f t="shared" si="190"/>
        <v>0</v>
      </c>
      <c r="T1521" s="575"/>
      <c r="U1521" s="487"/>
      <c r="V1521" s="576"/>
      <c r="W1521" s="573"/>
      <c r="X1521" s="574">
        <f t="shared" si="194"/>
        <v>0</v>
      </c>
      <c r="Y1521" s="487"/>
      <c r="Z1521" s="487"/>
      <c r="AA1521" s="276">
        <f t="shared" si="195"/>
        <v>0</v>
      </c>
      <c r="AB1521" s="573"/>
      <c r="AC1521" s="487"/>
      <c r="AD1521" s="573"/>
      <c r="AE1521" s="487"/>
      <c r="AF1521" s="577">
        <f t="shared" si="191"/>
        <v>0</v>
      </c>
      <c r="AG1521" s="275">
        <f t="shared" si="192"/>
        <v>0</v>
      </c>
    </row>
    <row r="1522" spans="1:33" ht="12" customHeight="1">
      <c r="A1522" s="706" t="s">
        <v>1279</v>
      </c>
      <c r="B1522" s="714" t="s">
        <v>1413</v>
      </c>
      <c r="C1522" s="713" t="s">
        <v>422</v>
      </c>
      <c r="D1522" s="709"/>
      <c r="E1522" s="710"/>
      <c r="F1522" s="573"/>
      <c r="G1522" s="487"/>
      <c r="H1522" s="573"/>
      <c r="I1522" s="487"/>
      <c r="J1522" s="573"/>
      <c r="K1522" s="487"/>
      <c r="L1522" s="573"/>
      <c r="M1522" s="573"/>
      <c r="N1522" s="456">
        <f t="shared" si="193"/>
        <v>0</v>
      </c>
      <c r="O1522" s="487"/>
      <c r="P1522" s="487"/>
      <c r="Q1522" s="274">
        <f t="shared" si="188"/>
        <v>0</v>
      </c>
      <c r="R1522" s="574">
        <f t="shared" si="189"/>
        <v>0</v>
      </c>
      <c r="S1522" s="275">
        <f t="shared" si="190"/>
        <v>0</v>
      </c>
      <c r="T1522" s="575"/>
      <c r="U1522" s="487"/>
      <c r="V1522" s="576"/>
      <c r="W1522" s="573"/>
      <c r="X1522" s="574">
        <f t="shared" si="194"/>
        <v>0</v>
      </c>
      <c r="Y1522" s="487"/>
      <c r="Z1522" s="487"/>
      <c r="AA1522" s="276">
        <f t="shared" si="195"/>
        <v>0</v>
      </c>
      <c r="AB1522" s="573"/>
      <c r="AC1522" s="487"/>
      <c r="AD1522" s="573"/>
      <c r="AE1522" s="487"/>
      <c r="AF1522" s="577">
        <f t="shared" si="191"/>
        <v>0</v>
      </c>
      <c r="AG1522" s="275">
        <f t="shared" si="192"/>
        <v>0</v>
      </c>
    </row>
    <row r="1523" spans="1:33" ht="12" customHeight="1">
      <c r="A1523" s="706" t="s">
        <v>1279</v>
      </c>
      <c r="B1523" s="714" t="s">
        <v>1582</v>
      </c>
      <c r="C1523" s="713" t="s">
        <v>1883</v>
      </c>
      <c r="D1523" s="709"/>
      <c r="E1523" s="710"/>
      <c r="F1523" s="573"/>
      <c r="G1523" s="487"/>
      <c r="H1523" s="573"/>
      <c r="I1523" s="487"/>
      <c r="J1523" s="573"/>
      <c r="K1523" s="487"/>
      <c r="L1523" s="573"/>
      <c r="M1523" s="573"/>
      <c r="N1523" s="456">
        <f t="shared" si="193"/>
        <v>0</v>
      </c>
      <c r="O1523" s="487"/>
      <c r="P1523" s="487"/>
      <c r="Q1523" s="274">
        <f t="shared" si="188"/>
        <v>0</v>
      </c>
      <c r="R1523" s="574">
        <f t="shared" si="189"/>
        <v>0</v>
      </c>
      <c r="S1523" s="275">
        <f t="shared" si="190"/>
        <v>0</v>
      </c>
      <c r="T1523" s="575">
        <v>15555100</v>
      </c>
      <c r="U1523" s="487">
        <f>134900+3000+14244510</f>
        <v>14382410</v>
      </c>
      <c r="V1523" s="576"/>
      <c r="W1523" s="573"/>
      <c r="X1523" s="574">
        <f t="shared" si="194"/>
        <v>0</v>
      </c>
      <c r="Y1523" s="487"/>
      <c r="Z1523" s="487"/>
      <c r="AA1523" s="276">
        <f t="shared" si="195"/>
        <v>0</v>
      </c>
      <c r="AB1523" s="573"/>
      <c r="AC1523" s="487"/>
      <c r="AD1523" s="573"/>
      <c r="AE1523" s="487"/>
      <c r="AF1523" s="577">
        <f t="shared" si="191"/>
        <v>15555100</v>
      </c>
      <c r="AG1523" s="275">
        <f t="shared" si="192"/>
        <v>14382410</v>
      </c>
    </row>
    <row r="1524" spans="1:33" ht="12" customHeight="1">
      <c r="A1524" s="706" t="s">
        <v>1279</v>
      </c>
      <c r="B1524" s="707" t="s">
        <v>1763</v>
      </c>
      <c r="C1524" s="713" t="s">
        <v>1761</v>
      </c>
      <c r="D1524" s="709"/>
      <c r="E1524" s="710"/>
      <c r="F1524" s="573"/>
      <c r="G1524" s="487"/>
      <c r="H1524" s="573"/>
      <c r="I1524" s="487"/>
      <c r="J1524" s="573"/>
      <c r="K1524" s="487"/>
      <c r="L1524" s="573"/>
      <c r="M1524" s="573"/>
      <c r="N1524" s="456">
        <f t="shared" si="193"/>
        <v>0</v>
      </c>
      <c r="O1524" s="487"/>
      <c r="P1524" s="487"/>
      <c r="Q1524" s="274">
        <f t="shared" si="188"/>
        <v>0</v>
      </c>
      <c r="R1524" s="574">
        <f t="shared" si="189"/>
        <v>0</v>
      </c>
      <c r="S1524" s="275">
        <f t="shared" si="190"/>
        <v>0</v>
      </c>
      <c r="T1524" s="575"/>
      <c r="U1524" s="487"/>
      <c r="V1524" s="576"/>
      <c r="W1524" s="573"/>
      <c r="X1524" s="574">
        <f t="shared" si="194"/>
        <v>0</v>
      </c>
      <c r="Y1524" s="487"/>
      <c r="Z1524" s="487"/>
      <c r="AA1524" s="276">
        <f t="shared" si="195"/>
        <v>0</v>
      </c>
      <c r="AB1524" s="573"/>
      <c r="AC1524" s="487"/>
      <c r="AD1524" s="573"/>
      <c r="AE1524" s="487"/>
      <c r="AF1524" s="577">
        <f t="shared" si="191"/>
        <v>0</v>
      </c>
      <c r="AG1524" s="275">
        <f t="shared" si="192"/>
        <v>0</v>
      </c>
    </row>
    <row r="1525" spans="1:33" ht="12" customHeight="1">
      <c r="A1525" s="706" t="s">
        <v>1279</v>
      </c>
      <c r="B1525" s="707" t="s">
        <v>1805</v>
      </c>
      <c r="C1525" s="474" t="s">
        <v>839</v>
      </c>
      <c r="D1525" s="709"/>
      <c r="E1525" s="710"/>
      <c r="F1525" s="573"/>
      <c r="G1525" s="487"/>
      <c r="H1525" s="573"/>
      <c r="I1525" s="487"/>
      <c r="J1525" s="573"/>
      <c r="K1525" s="487"/>
      <c r="L1525" s="573"/>
      <c r="M1525" s="573"/>
      <c r="N1525" s="456">
        <f t="shared" si="193"/>
        <v>0</v>
      </c>
      <c r="O1525" s="487"/>
      <c r="P1525" s="487"/>
      <c r="Q1525" s="274">
        <f t="shared" si="188"/>
        <v>0</v>
      </c>
      <c r="R1525" s="574">
        <f t="shared" si="189"/>
        <v>0</v>
      </c>
      <c r="S1525" s="275">
        <f t="shared" si="190"/>
        <v>0</v>
      </c>
      <c r="T1525" s="575"/>
      <c r="U1525" s="487"/>
      <c r="V1525" s="576"/>
      <c r="W1525" s="573"/>
      <c r="X1525" s="574">
        <f t="shared" si="194"/>
        <v>0</v>
      </c>
      <c r="Y1525" s="487"/>
      <c r="Z1525" s="487"/>
      <c r="AA1525" s="276">
        <f t="shared" si="195"/>
        <v>0</v>
      </c>
      <c r="AB1525" s="573"/>
      <c r="AC1525" s="487"/>
      <c r="AD1525" s="573"/>
      <c r="AE1525" s="487"/>
      <c r="AF1525" s="577">
        <f t="shared" si="191"/>
        <v>0</v>
      </c>
      <c r="AG1525" s="275">
        <f t="shared" si="192"/>
        <v>0</v>
      </c>
    </row>
    <row r="1526" spans="1:33" ht="12" customHeight="1">
      <c r="A1526" s="706" t="s">
        <v>1279</v>
      </c>
      <c r="B1526" s="707" t="s">
        <v>1882</v>
      </c>
      <c r="C1526" s="713" t="s">
        <v>1883</v>
      </c>
      <c r="D1526" s="709"/>
      <c r="E1526" s="710"/>
      <c r="F1526" s="573"/>
      <c r="G1526" s="487"/>
      <c r="H1526" s="573"/>
      <c r="I1526" s="487"/>
      <c r="J1526" s="573"/>
      <c r="K1526" s="487"/>
      <c r="L1526" s="573"/>
      <c r="M1526" s="573"/>
      <c r="N1526" s="456">
        <f t="shared" si="193"/>
        <v>0</v>
      </c>
      <c r="O1526" s="487"/>
      <c r="P1526" s="487"/>
      <c r="Q1526" s="274">
        <f t="shared" si="188"/>
        <v>0</v>
      </c>
      <c r="R1526" s="574">
        <f t="shared" si="189"/>
        <v>0</v>
      </c>
      <c r="S1526" s="275">
        <f t="shared" si="190"/>
        <v>0</v>
      </c>
      <c r="T1526" s="575">
        <v>112050</v>
      </c>
      <c r="U1526" s="487"/>
      <c r="V1526" s="576"/>
      <c r="W1526" s="573"/>
      <c r="X1526" s="574">
        <f t="shared" si="194"/>
        <v>0</v>
      </c>
      <c r="Y1526" s="487"/>
      <c r="Z1526" s="487"/>
      <c r="AA1526" s="276">
        <f t="shared" si="195"/>
        <v>0</v>
      </c>
      <c r="AB1526" s="573"/>
      <c r="AC1526" s="487"/>
      <c r="AD1526" s="573"/>
      <c r="AE1526" s="487"/>
      <c r="AF1526" s="577">
        <f t="shared" si="191"/>
        <v>112050</v>
      </c>
      <c r="AG1526" s="275">
        <f t="shared" si="192"/>
        <v>0</v>
      </c>
    </row>
    <row r="1527" spans="1:33" ht="12" customHeight="1">
      <c r="A1527" s="706" t="s">
        <v>1279</v>
      </c>
      <c r="B1527" s="707" t="s">
        <v>1763</v>
      </c>
      <c r="C1527" s="713" t="s">
        <v>1761</v>
      </c>
      <c r="D1527" s="709"/>
      <c r="E1527" s="710"/>
      <c r="F1527" s="573"/>
      <c r="G1527" s="487"/>
      <c r="H1527" s="573"/>
      <c r="I1527" s="487"/>
      <c r="J1527" s="573"/>
      <c r="K1527" s="487"/>
      <c r="L1527" s="573"/>
      <c r="M1527" s="573"/>
      <c r="N1527" s="456">
        <f t="shared" si="193"/>
        <v>0</v>
      </c>
      <c r="O1527" s="487"/>
      <c r="P1527" s="487"/>
      <c r="Q1527" s="274">
        <f t="shared" si="188"/>
        <v>0</v>
      </c>
      <c r="R1527" s="574">
        <f t="shared" si="189"/>
        <v>0</v>
      </c>
      <c r="S1527" s="275">
        <f t="shared" si="190"/>
        <v>0</v>
      </c>
      <c r="T1527" s="575"/>
      <c r="U1527" s="487"/>
      <c r="V1527" s="576"/>
      <c r="W1527" s="573"/>
      <c r="X1527" s="574">
        <f t="shared" si="194"/>
        <v>0</v>
      </c>
      <c r="Y1527" s="487"/>
      <c r="Z1527" s="487"/>
      <c r="AA1527" s="276">
        <f t="shared" si="195"/>
        <v>0</v>
      </c>
      <c r="AB1527" s="573"/>
      <c r="AC1527" s="487"/>
      <c r="AD1527" s="573"/>
      <c r="AE1527" s="487"/>
      <c r="AF1527" s="577">
        <f t="shared" si="191"/>
        <v>0</v>
      </c>
      <c r="AG1527" s="275">
        <f t="shared" si="192"/>
        <v>0</v>
      </c>
    </row>
    <row r="1528" spans="1:33" ht="12" customHeight="1">
      <c r="A1528" s="706" t="s">
        <v>1279</v>
      </c>
      <c r="B1528" s="714" t="s">
        <v>1510</v>
      </c>
      <c r="C1528" s="713" t="s">
        <v>421</v>
      </c>
      <c r="D1528" s="709"/>
      <c r="E1528" s="710"/>
      <c r="F1528" s="573"/>
      <c r="G1528" s="487"/>
      <c r="H1528" s="573"/>
      <c r="I1528" s="487"/>
      <c r="J1528" s="573"/>
      <c r="K1528" s="487"/>
      <c r="L1528" s="573"/>
      <c r="M1528" s="573"/>
      <c r="N1528" s="456">
        <f t="shared" si="193"/>
        <v>0</v>
      </c>
      <c r="O1528" s="487"/>
      <c r="P1528" s="487"/>
      <c r="Q1528" s="274">
        <f t="shared" si="188"/>
        <v>0</v>
      </c>
      <c r="R1528" s="574">
        <f t="shared" si="189"/>
        <v>0</v>
      </c>
      <c r="S1528" s="275">
        <f t="shared" si="190"/>
        <v>0</v>
      </c>
      <c r="T1528" s="575"/>
      <c r="U1528" s="487"/>
      <c r="V1528" s="576"/>
      <c r="W1528" s="573"/>
      <c r="X1528" s="574">
        <f t="shared" si="194"/>
        <v>0</v>
      </c>
      <c r="Y1528" s="487"/>
      <c r="Z1528" s="487"/>
      <c r="AA1528" s="276">
        <f t="shared" si="195"/>
        <v>0</v>
      </c>
      <c r="AB1528" s="573"/>
      <c r="AC1528" s="487"/>
      <c r="AD1528" s="573"/>
      <c r="AE1528" s="487"/>
      <c r="AF1528" s="577">
        <f t="shared" si="191"/>
        <v>0</v>
      </c>
      <c r="AG1528" s="275">
        <f t="shared" si="192"/>
        <v>0</v>
      </c>
    </row>
    <row r="1529" spans="1:33" ht="12" customHeight="1">
      <c r="A1529" s="706" t="s">
        <v>1279</v>
      </c>
      <c r="B1529" s="714" t="s">
        <v>1511</v>
      </c>
      <c r="C1529" s="713" t="s">
        <v>1883</v>
      </c>
      <c r="D1529" s="709"/>
      <c r="E1529" s="710"/>
      <c r="F1529" s="573"/>
      <c r="G1529" s="487"/>
      <c r="H1529" s="573"/>
      <c r="I1529" s="487"/>
      <c r="J1529" s="573"/>
      <c r="K1529" s="487"/>
      <c r="L1529" s="573"/>
      <c r="M1529" s="573"/>
      <c r="N1529" s="456">
        <f t="shared" si="193"/>
        <v>0</v>
      </c>
      <c r="O1529" s="487"/>
      <c r="P1529" s="487"/>
      <c r="Q1529" s="274">
        <f t="shared" si="188"/>
        <v>0</v>
      </c>
      <c r="R1529" s="574">
        <f t="shared" si="189"/>
        <v>0</v>
      </c>
      <c r="S1529" s="275">
        <f t="shared" si="190"/>
        <v>0</v>
      </c>
      <c r="T1529" s="575">
        <v>4685200</v>
      </c>
      <c r="U1529" s="487">
        <f>4196730+1015950</f>
        <v>5212680</v>
      </c>
      <c r="V1529" s="576"/>
      <c r="W1529" s="573"/>
      <c r="X1529" s="574">
        <f t="shared" si="194"/>
        <v>0</v>
      </c>
      <c r="Y1529" s="487"/>
      <c r="Z1529" s="487"/>
      <c r="AA1529" s="276">
        <f t="shared" si="195"/>
        <v>0</v>
      </c>
      <c r="AB1529" s="573"/>
      <c r="AC1529" s="487"/>
      <c r="AD1529" s="573"/>
      <c r="AE1529" s="487"/>
      <c r="AF1529" s="577">
        <f t="shared" si="191"/>
        <v>4685200</v>
      </c>
      <c r="AG1529" s="275">
        <f t="shared" si="192"/>
        <v>5212680</v>
      </c>
    </row>
    <row r="1530" spans="1:33" ht="12" customHeight="1">
      <c r="A1530" s="706" t="s">
        <v>1279</v>
      </c>
      <c r="B1530" s="707" t="s">
        <v>1763</v>
      </c>
      <c r="C1530" s="713" t="s">
        <v>1761</v>
      </c>
      <c r="D1530" s="709"/>
      <c r="E1530" s="710"/>
      <c r="F1530" s="573"/>
      <c r="G1530" s="487"/>
      <c r="H1530" s="573"/>
      <c r="I1530" s="487"/>
      <c r="J1530" s="573"/>
      <c r="K1530" s="487"/>
      <c r="L1530" s="573"/>
      <c r="M1530" s="573"/>
      <c r="N1530" s="456">
        <f t="shared" si="193"/>
        <v>0</v>
      </c>
      <c r="O1530" s="487"/>
      <c r="P1530" s="487"/>
      <c r="Q1530" s="274">
        <f t="shared" si="188"/>
        <v>0</v>
      </c>
      <c r="R1530" s="574">
        <f t="shared" si="189"/>
        <v>0</v>
      </c>
      <c r="S1530" s="275">
        <f t="shared" si="190"/>
        <v>0</v>
      </c>
      <c r="T1530" s="575"/>
      <c r="U1530" s="487"/>
      <c r="V1530" s="576"/>
      <c r="W1530" s="573"/>
      <c r="X1530" s="574">
        <f t="shared" si="194"/>
        <v>0</v>
      </c>
      <c r="Y1530" s="487"/>
      <c r="Z1530" s="487"/>
      <c r="AA1530" s="276">
        <f t="shared" si="195"/>
        <v>0</v>
      </c>
      <c r="AB1530" s="573"/>
      <c r="AC1530" s="487"/>
      <c r="AD1530" s="573"/>
      <c r="AE1530" s="487"/>
      <c r="AF1530" s="577">
        <f t="shared" si="191"/>
        <v>0</v>
      </c>
      <c r="AG1530" s="275">
        <f t="shared" si="192"/>
        <v>0</v>
      </c>
    </row>
    <row r="1531" spans="1:33" ht="12" customHeight="1">
      <c r="A1531" s="706" t="s">
        <v>1279</v>
      </c>
      <c r="B1531" s="714" t="s">
        <v>1413</v>
      </c>
      <c r="C1531" s="713" t="s">
        <v>422</v>
      </c>
      <c r="D1531" s="709"/>
      <c r="E1531" s="710"/>
      <c r="F1531" s="573"/>
      <c r="G1531" s="487"/>
      <c r="H1531" s="573"/>
      <c r="I1531" s="487"/>
      <c r="J1531" s="573"/>
      <c r="K1531" s="487"/>
      <c r="L1531" s="573"/>
      <c r="M1531" s="573"/>
      <c r="N1531" s="456">
        <f t="shared" si="193"/>
        <v>0</v>
      </c>
      <c r="O1531" s="487"/>
      <c r="P1531" s="487"/>
      <c r="Q1531" s="274">
        <f t="shared" si="188"/>
        <v>0</v>
      </c>
      <c r="R1531" s="574">
        <f t="shared" si="189"/>
        <v>0</v>
      </c>
      <c r="S1531" s="275">
        <f t="shared" si="190"/>
        <v>0</v>
      </c>
      <c r="T1531" s="575"/>
      <c r="U1531" s="487"/>
      <c r="V1531" s="576"/>
      <c r="W1531" s="573"/>
      <c r="X1531" s="574">
        <f t="shared" si="194"/>
        <v>0</v>
      </c>
      <c r="Y1531" s="487"/>
      <c r="Z1531" s="487"/>
      <c r="AA1531" s="276">
        <f t="shared" si="195"/>
        <v>0</v>
      </c>
      <c r="AB1531" s="573"/>
      <c r="AC1531" s="487"/>
      <c r="AD1531" s="573"/>
      <c r="AE1531" s="487"/>
      <c r="AF1531" s="577">
        <f t="shared" si="191"/>
        <v>0</v>
      </c>
      <c r="AG1531" s="275">
        <f t="shared" si="192"/>
        <v>0</v>
      </c>
    </row>
    <row r="1532" spans="1:33" ht="12" customHeight="1">
      <c r="A1532" s="706" t="s">
        <v>1279</v>
      </c>
      <c r="B1532" s="714" t="s">
        <v>1582</v>
      </c>
      <c r="C1532" s="713" t="s">
        <v>1883</v>
      </c>
      <c r="D1532" s="709"/>
      <c r="E1532" s="710"/>
      <c r="F1532" s="573"/>
      <c r="G1532" s="487"/>
      <c r="H1532" s="573"/>
      <c r="I1532" s="487"/>
      <c r="J1532" s="573"/>
      <c r="K1532" s="487"/>
      <c r="L1532" s="573"/>
      <c r="M1532" s="573"/>
      <c r="N1532" s="456">
        <f t="shared" si="193"/>
        <v>0</v>
      </c>
      <c r="O1532" s="487"/>
      <c r="P1532" s="487"/>
      <c r="Q1532" s="274">
        <f t="shared" si="188"/>
        <v>0</v>
      </c>
      <c r="R1532" s="574">
        <f t="shared" si="189"/>
        <v>0</v>
      </c>
      <c r="S1532" s="275">
        <f t="shared" si="190"/>
        <v>0</v>
      </c>
      <c r="T1532" s="575">
        <v>971775</v>
      </c>
      <c r="U1532" s="487">
        <f>11500+6900+997650+2400+18200</f>
        <v>1036650</v>
      </c>
      <c r="V1532" s="576"/>
      <c r="W1532" s="573"/>
      <c r="X1532" s="574">
        <f t="shared" si="194"/>
        <v>0</v>
      </c>
      <c r="Y1532" s="487"/>
      <c r="Z1532" s="487"/>
      <c r="AA1532" s="276">
        <f t="shared" si="195"/>
        <v>0</v>
      </c>
      <c r="AB1532" s="573"/>
      <c r="AC1532" s="487"/>
      <c r="AD1532" s="573"/>
      <c r="AE1532" s="487"/>
      <c r="AF1532" s="577">
        <f t="shared" si="191"/>
        <v>971775</v>
      </c>
      <c r="AG1532" s="275">
        <f t="shared" si="192"/>
        <v>1036650</v>
      </c>
    </row>
    <row r="1533" spans="1:33" ht="12" customHeight="1">
      <c r="A1533" s="706" t="s">
        <v>1279</v>
      </c>
      <c r="B1533" s="707" t="s">
        <v>1763</v>
      </c>
      <c r="C1533" s="713" t="s">
        <v>1761</v>
      </c>
      <c r="D1533" s="709"/>
      <c r="E1533" s="710"/>
      <c r="F1533" s="573"/>
      <c r="G1533" s="487"/>
      <c r="H1533" s="573"/>
      <c r="I1533" s="487"/>
      <c r="J1533" s="573"/>
      <c r="K1533" s="487"/>
      <c r="L1533" s="573"/>
      <c r="M1533" s="573"/>
      <c r="N1533" s="456">
        <f t="shared" si="193"/>
        <v>0</v>
      </c>
      <c r="O1533" s="487"/>
      <c r="P1533" s="487"/>
      <c r="Q1533" s="274">
        <f t="shared" si="188"/>
        <v>0</v>
      </c>
      <c r="R1533" s="574">
        <f t="shared" si="189"/>
        <v>0</v>
      </c>
      <c r="S1533" s="275">
        <f t="shared" si="190"/>
        <v>0</v>
      </c>
      <c r="T1533" s="575"/>
      <c r="U1533" s="487"/>
      <c r="V1533" s="576"/>
      <c r="W1533" s="573"/>
      <c r="X1533" s="574">
        <f t="shared" si="194"/>
        <v>0</v>
      </c>
      <c r="Y1533" s="487"/>
      <c r="Z1533" s="487"/>
      <c r="AA1533" s="276">
        <f t="shared" si="195"/>
        <v>0</v>
      </c>
      <c r="AB1533" s="573"/>
      <c r="AC1533" s="487"/>
      <c r="AD1533" s="573"/>
      <c r="AE1533" s="487"/>
      <c r="AF1533" s="577">
        <f t="shared" si="191"/>
        <v>0</v>
      </c>
      <c r="AG1533" s="275">
        <f t="shared" si="192"/>
        <v>0</v>
      </c>
    </row>
    <row r="1534" spans="1:33" ht="12" customHeight="1">
      <c r="A1534" s="706" t="s">
        <v>1279</v>
      </c>
      <c r="B1534" s="715" t="s">
        <v>1805</v>
      </c>
      <c r="C1534" s="474" t="s">
        <v>840</v>
      </c>
      <c r="D1534" s="709"/>
      <c r="E1534" s="710"/>
      <c r="F1534" s="573"/>
      <c r="G1534" s="487"/>
      <c r="H1534" s="573"/>
      <c r="I1534" s="487"/>
      <c r="J1534" s="573"/>
      <c r="K1534" s="487"/>
      <c r="L1534" s="573"/>
      <c r="M1534" s="573"/>
      <c r="N1534" s="456">
        <f t="shared" si="193"/>
        <v>0</v>
      </c>
      <c r="O1534" s="487"/>
      <c r="P1534" s="487"/>
      <c r="Q1534" s="274">
        <f t="shared" si="188"/>
        <v>0</v>
      </c>
      <c r="R1534" s="574">
        <f t="shared" si="189"/>
        <v>0</v>
      </c>
      <c r="S1534" s="275">
        <f t="shared" si="190"/>
        <v>0</v>
      </c>
      <c r="T1534" s="575"/>
      <c r="U1534" s="487"/>
      <c r="V1534" s="576"/>
      <c r="W1534" s="573"/>
      <c r="X1534" s="574">
        <f t="shared" si="194"/>
        <v>0</v>
      </c>
      <c r="Y1534" s="487"/>
      <c r="Z1534" s="487"/>
      <c r="AA1534" s="276">
        <f t="shared" si="195"/>
        <v>0</v>
      </c>
      <c r="AB1534" s="573"/>
      <c r="AC1534" s="487"/>
      <c r="AD1534" s="573"/>
      <c r="AE1534" s="487"/>
      <c r="AF1534" s="577">
        <f t="shared" si="191"/>
        <v>0</v>
      </c>
      <c r="AG1534" s="275">
        <f t="shared" si="192"/>
        <v>0</v>
      </c>
    </row>
    <row r="1535" spans="1:33" ht="12" customHeight="1">
      <c r="A1535" s="706" t="s">
        <v>1279</v>
      </c>
      <c r="B1535" s="707" t="s">
        <v>1510</v>
      </c>
      <c r="C1535" s="716" t="s">
        <v>421</v>
      </c>
      <c r="D1535" s="709"/>
      <c r="E1535" s="710"/>
      <c r="F1535" s="573"/>
      <c r="G1535" s="487"/>
      <c r="H1535" s="573"/>
      <c r="I1535" s="487"/>
      <c r="J1535" s="573"/>
      <c r="K1535" s="487"/>
      <c r="L1535" s="573"/>
      <c r="M1535" s="573"/>
      <c r="N1535" s="456">
        <f t="shared" si="193"/>
        <v>0</v>
      </c>
      <c r="O1535" s="487"/>
      <c r="P1535" s="487"/>
      <c r="Q1535" s="274">
        <f t="shared" si="188"/>
        <v>0</v>
      </c>
      <c r="R1535" s="574">
        <f t="shared" si="189"/>
        <v>0</v>
      </c>
      <c r="S1535" s="275">
        <f t="shared" si="190"/>
        <v>0</v>
      </c>
      <c r="T1535" s="575"/>
      <c r="U1535" s="487"/>
      <c r="V1535" s="576"/>
      <c r="W1535" s="573"/>
      <c r="X1535" s="574">
        <f t="shared" si="194"/>
        <v>0</v>
      </c>
      <c r="Y1535" s="487"/>
      <c r="Z1535" s="487"/>
      <c r="AA1535" s="276">
        <f t="shared" si="195"/>
        <v>0</v>
      </c>
      <c r="AB1535" s="573"/>
      <c r="AC1535" s="487"/>
      <c r="AD1535" s="573"/>
      <c r="AE1535" s="487"/>
      <c r="AF1535" s="577">
        <f t="shared" si="191"/>
        <v>0</v>
      </c>
      <c r="AG1535" s="275">
        <f t="shared" si="192"/>
        <v>0</v>
      </c>
    </row>
    <row r="1536" spans="1:33" ht="12" customHeight="1">
      <c r="A1536" s="706" t="s">
        <v>1279</v>
      </c>
      <c r="B1536" s="707" t="s">
        <v>1511</v>
      </c>
      <c r="C1536" s="716" t="s">
        <v>1883</v>
      </c>
      <c r="D1536" s="709"/>
      <c r="E1536" s="710"/>
      <c r="F1536" s="573"/>
      <c r="G1536" s="487"/>
      <c r="H1536" s="573"/>
      <c r="I1536" s="487"/>
      <c r="J1536" s="573"/>
      <c r="K1536" s="487"/>
      <c r="L1536" s="573"/>
      <c r="M1536" s="573"/>
      <c r="N1536" s="456">
        <f t="shared" si="193"/>
        <v>0</v>
      </c>
      <c r="O1536" s="487"/>
      <c r="P1536" s="487"/>
      <c r="Q1536" s="274">
        <f t="shared" si="188"/>
        <v>0</v>
      </c>
      <c r="R1536" s="574">
        <f t="shared" si="189"/>
        <v>0</v>
      </c>
      <c r="S1536" s="275">
        <f t="shared" si="190"/>
        <v>0</v>
      </c>
      <c r="T1536" s="575"/>
      <c r="U1536" s="487"/>
      <c r="V1536" s="576"/>
      <c r="W1536" s="573"/>
      <c r="X1536" s="574">
        <f t="shared" si="194"/>
        <v>0</v>
      </c>
      <c r="Y1536" s="487"/>
      <c r="Z1536" s="487"/>
      <c r="AA1536" s="276">
        <f t="shared" si="195"/>
        <v>0</v>
      </c>
      <c r="AB1536" s="573"/>
      <c r="AC1536" s="487"/>
      <c r="AD1536" s="573"/>
      <c r="AE1536" s="487"/>
      <c r="AF1536" s="577">
        <f t="shared" si="191"/>
        <v>0</v>
      </c>
      <c r="AG1536" s="275">
        <f t="shared" si="192"/>
        <v>0</v>
      </c>
    </row>
    <row r="1537" spans="1:33" ht="12" customHeight="1">
      <c r="A1537" s="706" t="s">
        <v>1279</v>
      </c>
      <c r="B1537" s="707" t="s">
        <v>1412</v>
      </c>
      <c r="C1537" s="716" t="s">
        <v>841</v>
      </c>
      <c r="D1537" s="709"/>
      <c r="E1537" s="710"/>
      <c r="F1537" s="573"/>
      <c r="G1537" s="487"/>
      <c r="H1537" s="573"/>
      <c r="I1537" s="487"/>
      <c r="J1537" s="573"/>
      <c r="K1537" s="487"/>
      <c r="L1537" s="573"/>
      <c r="M1537" s="573"/>
      <c r="N1537" s="456">
        <f t="shared" si="193"/>
        <v>0</v>
      </c>
      <c r="O1537" s="487"/>
      <c r="P1537" s="487"/>
      <c r="Q1537" s="274">
        <f t="shared" si="188"/>
        <v>0</v>
      </c>
      <c r="R1537" s="574">
        <f t="shared" si="189"/>
        <v>0</v>
      </c>
      <c r="S1537" s="275">
        <f t="shared" si="190"/>
        <v>0</v>
      </c>
      <c r="T1537" s="575">
        <v>508138</v>
      </c>
      <c r="U1537" s="487">
        <f>66648+482355</f>
        <v>549003</v>
      </c>
      <c r="V1537" s="576"/>
      <c r="W1537" s="573"/>
      <c r="X1537" s="574">
        <f t="shared" si="194"/>
        <v>0</v>
      </c>
      <c r="Y1537" s="487"/>
      <c r="Z1537" s="487"/>
      <c r="AA1537" s="276">
        <f t="shared" si="195"/>
        <v>0</v>
      </c>
      <c r="AB1537" s="573"/>
      <c r="AC1537" s="487"/>
      <c r="AD1537" s="573"/>
      <c r="AE1537" s="487"/>
      <c r="AF1537" s="577">
        <f t="shared" si="191"/>
        <v>508138</v>
      </c>
      <c r="AG1537" s="275">
        <f t="shared" si="192"/>
        <v>549003</v>
      </c>
    </row>
    <row r="1538" spans="1:33" ht="12" customHeight="1">
      <c r="A1538" s="706" t="s">
        <v>1279</v>
      </c>
      <c r="B1538" s="714" t="s">
        <v>1413</v>
      </c>
      <c r="C1538" s="713" t="s">
        <v>422</v>
      </c>
      <c r="D1538" s="709"/>
      <c r="E1538" s="710"/>
      <c r="F1538" s="573"/>
      <c r="G1538" s="487"/>
      <c r="H1538" s="573"/>
      <c r="I1538" s="487"/>
      <c r="J1538" s="573"/>
      <c r="K1538" s="487"/>
      <c r="L1538" s="573"/>
      <c r="M1538" s="573"/>
      <c r="N1538" s="456">
        <f t="shared" si="193"/>
        <v>0</v>
      </c>
      <c r="O1538" s="487"/>
      <c r="P1538" s="487"/>
      <c r="Q1538" s="274">
        <f t="shared" si="188"/>
        <v>0</v>
      </c>
      <c r="R1538" s="574">
        <f t="shared" si="189"/>
        <v>0</v>
      </c>
      <c r="S1538" s="275">
        <f t="shared" si="190"/>
        <v>0</v>
      </c>
      <c r="T1538" s="575"/>
      <c r="U1538" s="487"/>
      <c r="V1538" s="576"/>
      <c r="W1538" s="573"/>
      <c r="X1538" s="574">
        <f t="shared" si="194"/>
        <v>0</v>
      </c>
      <c r="Y1538" s="487"/>
      <c r="Z1538" s="487"/>
      <c r="AA1538" s="276">
        <f t="shared" si="195"/>
        <v>0</v>
      </c>
      <c r="AB1538" s="573"/>
      <c r="AC1538" s="487"/>
      <c r="AD1538" s="573"/>
      <c r="AE1538" s="487"/>
      <c r="AF1538" s="577">
        <f t="shared" si="191"/>
        <v>0</v>
      </c>
      <c r="AG1538" s="275">
        <f t="shared" si="192"/>
        <v>0</v>
      </c>
    </row>
    <row r="1539" spans="1:33" ht="12" customHeight="1">
      <c r="A1539" s="706" t="s">
        <v>1279</v>
      </c>
      <c r="B1539" s="714" t="s">
        <v>1582</v>
      </c>
      <c r="C1539" s="713" t="s">
        <v>1883</v>
      </c>
      <c r="D1539" s="709"/>
      <c r="E1539" s="710"/>
      <c r="F1539" s="573"/>
      <c r="G1539" s="487"/>
      <c r="H1539" s="573"/>
      <c r="I1539" s="487"/>
      <c r="J1539" s="573"/>
      <c r="K1539" s="487"/>
      <c r="L1539" s="573"/>
      <c r="M1539" s="573"/>
      <c r="N1539" s="456">
        <f t="shared" si="193"/>
        <v>0</v>
      </c>
      <c r="O1539" s="487"/>
      <c r="P1539" s="487"/>
      <c r="Q1539" s="274">
        <f t="shared" si="188"/>
        <v>0</v>
      </c>
      <c r="R1539" s="574">
        <f t="shared" si="189"/>
        <v>0</v>
      </c>
      <c r="S1539" s="275">
        <f t="shared" si="190"/>
        <v>0</v>
      </c>
      <c r="T1539" s="575"/>
      <c r="U1539" s="487"/>
      <c r="V1539" s="576"/>
      <c r="W1539" s="573"/>
      <c r="X1539" s="574">
        <f t="shared" si="194"/>
        <v>0</v>
      </c>
      <c r="Y1539" s="487"/>
      <c r="Z1539" s="487"/>
      <c r="AA1539" s="276">
        <f t="shared" si="195"/>
        <v>0</v>
      </c>
      <c r="AB1539" s="573"/>
      <c r="AC1539" s="487"/>
      <c r="AD1539" s="573"/>
      <c r="AE1539" s="487"/>
      <c r="AF1539" s="577">
        <f t="shared" si="191"/>
        <v>0</v>
      </c>
      <c r="AG1539" s="275">
        <f t="shared" si="192"/>
        <v>0</v>
      </c>
    </row>
    <row r="1540" spans="1:33" ht="12" customHeight="1">
      <c r="A1540" s="706" t="s">
        <v>1279</v>
      </c>
      <c r="B1540" s="707" t="s">
        <v>1583</v>
      </c>
      <c r="C1540" s="716" t="s">
        <v>841</v>
      </c>
      <c r="D1540" s="709"/>
      <c r="E1540" s="710"/>
      <c r="F1540" s="573"/>
      <c r="G1540" s="487"/>
      <c r="H1540" s="573"/>
      <c r="I1540" s="487"/>
      <c r="J1540" s="573"/>
      <c r="K1540" s="487"/>
      <c r="L1540" s="573"/>
      <c r="M1540" s="573"/>
      <c r="N1540" s="456">
        <f t="shared" si="193"/>
        <v>0</v>
      </c>
      <c r="O1540" s="487"/>
      <c r="P1540" s="487"/>
      <c r="Q1540" s="274">
        <f t="shared" si="188"/>
        <v>0</v>
      </c>
      <c r="R1540" s="574">
        <f t="shared" si="189"/>
        <v>0</v>
      </c>
      <c r="S1540" s="275">
        <f t="shared" si="190"/>
        <v>0</v>
      </c>
      <c r="T1540" s="575">
        <v>98499</v>
      </c>
      <c r="U1540" s="487">
        <v>118722</v>
      </c>
      <c r="V1540" s="576"/>
      <c r="W1540" s="573"/>
      <c r="X1540" s="574">
        <f t="shared" si="194"/>
        <v>0</v>
      </c>
      <c r="Y1540" s="487"/>
      <c r="Z1540" s="487"/>
      <c r="AA1540" s="276">
        <f t="shared" si="195"/>
        <v>0</v>
      </c>
      <c r="AB1540" s="573"/>
      <c r="AC1540" s="487"/>
      <c r="AD1540" s="573"/>
      <c r="AE1540" s="487"/>
      <c r="AF1540" s="577">
        <f t="shared" si="191"/>
        <v>98499</v>
      </c>
      <c r="AG1540" s="275">
        <f t="shared" si="192"/>
        <v>118722</v>
      </c>
    </row>
    <row r="1541" spans="1:33" ht="12" customHeight="1">
      <c r="A1541" s="706" t="s">
        <v>1279</v>
      </c>
      <c r="B1541" s="715" t="s">
        <v>1805</v>
      </c>
      <c r="C1541" s="474" t="s">
        <v>842</v>
      </c>
      <c r="D1541" s="709"/>
      <c r="E1541" s="710"/>
      <c r="F1541" s="573"/>
      <c r="G1541" s="487"/>
      <c r="H1541" s="573"/>
      <c r="I1541" s="487"/>
      <c r="J1541" s="573"/>
      <c r="K1541" s="487"/>
      <c r="L1541" s="573"/>
      <c r="M1541" s="573"/>
      <c r="N1541" s="456">
        <f t="shared" si="193"/>
        <v>0</v>
      </c>
      <c r="O1541" s="487"/>
      <c r="P1541" s="487"/>
      <c r="Q1541" s="274">
        <f t="shared" si="188"/>
        <v>0</v>
      </c>
      <c r="R1541" s="574">
        <f t="shared" si="189"/>
        <v>0</v>
      </c>
      <c r="S1541" s="275">
        <f t="shared" si="190"/>
        <v>0</v>
      </c>
      <c r="T1541" s="575"/>
      <c r="U1541" s="487"/>
      <c r="V1541" s="576"/>
      <c r="W1541" s="573"/>
      <c r="X1541" s="574">
        <f t="shared" si="194"/>
        <v>0</v>
      </c>
      <c r="Y1541" s="487"/>
      <c r="Z1541" s="487"/>
      <c r="AA1541" s="276">
        <f t="shared" si="195"/>
        <v>0</v>
      </c>
      <c r="AB1541" s="573"/>
      <c r="AC1541" s="487"/>
      <c r="AD1541" s="573"/>
      <c r="AE1541" s="487"/>
      <c r="AF1541" s="577">
        <f t="shared" si="191"/>
        <v>0</v>
      </c>
      <c r="AG1541" s="275">
        <f t="shared" si="192"/>
        <v>0</v>
      </c>
    </row>
    <row r="1542" spans="1:33" ht="12" customHeight="1">
      <c r="A1542" s="706" t="s">
        <v>1279</v>
      </c>
      <c r="B1542" s="707" t="s">
        <v>1882</v>
      </c>
      <c r="C1542" s="713" t="s">
        <v>1883</v>
      </c>
      <c r="D1542" s="709"/>
      <c r="E1542" s="710"/>
      <c r="F1542" s="573"/>
      <c r="G1542" s="487"/>
      <c r="H1542" s="573"/>
      <c r="I1542" s="487"/>
      <c r="J1542" s="573"/>
      <c r="K1542" s="487"/>
      <c r="L1542" s="573"/>
      <c r="M1542" s="573"/>
      <c r="N1542" s="456">
        <f t="shared" si="193"/>
        <v>0</v>
      </c>
      <c r="O1542" s="487"/>
      <c r="P1542" s="487"/>
      <c r="Q1542" s="274">
        <f t="shared" si="188"/>
        <v>0</v>
      </c>
      <c r="R1542" s="574">
        <f t="shared" si="189"/>
        <v>0</v>
      </c>
      <c r="S1542" s="275">
        <f t="shared" si="190"/>
        <v>0</v>
      </c>
      <c r="T1542" s="575">
        <v>156817</v>
      </c>
      <c r="U1542" s="487"/>
      <c r="V1542" s="576"/>
      <c r="W1542" s="573"/>
      <c r="X1542" s="574">
        <f t="shared" si="194"/>
        <v>0</v>
      </c>
      <c r="Y1542" s="487"/>
      <c r="Z1542" s="487"/>
      <c r="AA1542" s="276">
        <f t="shared" si="195"/>
        <v>0</v>
      </c>
      <c r="AB1542" s="573"/>
      <c r="AC1542" s="487"/>
      <c r="AD1542" s="573"/>
      <c r="AE1542" s="487"/>
      <c r="AF1542" s="577">
        <f t="shared" si="191"/>
        <v>156817</v>
      </c>
      <c r="AG1542" s="275">
        <f t="shared" si="192"/>
        <v>0</v>
      </c>
    </row>
    <row r="1543" spans="1:33" ht="12" customHeight="1">
      <c r="A1543" s="706" t="s">
        <v>1279</v>
      </c>
      <c r="B1543" s="707" t="s">
        <v>1763</v>
      </c>
      <c r="C1543" s="713" t="s">
        <v>1761</v>
      </c>
      <c r="D1543" s="709"/>
      <c r="E1543" s="710"/>
      <c r="F1543" s="573"/>
      <c r="G1543" s="487"/>
      <c r="H1543" s="573"/>
      <c r="I1543" s="487"/>
      <c r="J1543" s="573"/>
      <c r="K1543" s="487"/>
      <c r="L1543" s="573"/>
      <c r="M1543" s="573"/>
      <c r="N1543" s="456">
        <f t="shared" si="193"/>
        <v>0</v>
      </c>
      <c r="O1543" s="487"/>
      <c r="P1543" s="487"/>
      <c r="Q1543" s="274">
        <f t="shared" si="188"/>
        <v>0</v>
      </c>
      <c r="R1543" s="574">
        <f t="shared" si="189"/>
        <v>0</v>
      </c>
      <c r="S1543" s="275">
        <f t="shared" si="190"/>
        <v>0</v>
      </c>
      <c r="T1543" s="575"/>
      <c r="U1543" s="487"/>
      <c r="V1543" s="576"/>
      <c r="W1543" s="573"/>
      <c r="X1543" s="574">
        <f t="shared" si="194"/>
        <v>0</v>
      </c>
      <c r="Y1543" s="487"/>
      <c r="Z1543" s="487"/>
      <c r="AA1543" s="276">
        <f t="shared" si="195"/>
        <v>0</v>
      </c>
      <c r="AB1543" s="573"/>
      <c r="AC1543" s="487"/>
      <c r="AD1543" s="573"/>
      <c r="AE1543" s="487"/>
      <c r="AF1543" s="577">
        <f t="shared" si="191"/>
        <v>0</v>
      </c>
      <c r="AG1543" s="275">
        <f t="shared" si="192"/>
        <v>0</v>
      </c>
    </row>
    <row r="1544" spans="1:33" ht="12" customHeight="1">
      <c r="A1544" s="706" t="s">
        <v>1279</v>
      </c>
      <c r="B1544" s="707" t="s">
        <v>1510</v>
      </c>
      <c r="C1544" s="716" t="s">
        <v>421</v>
      </c>
      <c r="D1544" s="709"/>
      <c r="E1544" s="710"/>
      <c r="F1544" s="573"/>
      <c r="G1544" s="487"/>
      <c r="H1544" s="573"/>
      <c r="I1544" s="487"/>
      <c r="J1544" s="573"/>
      <c r="K1544" s="487"/>
      <c r="L1544" s="573"/>
      <c r="M1544" s="573"/>
      <c r="N1544" s="456">
        <f t="shared" si="193"/>
        <v>0</v>
      </c>
      <c r="O1544" s="487"/>
      <c r="P1544" s="487"/>
      <c r="Q1544" s="274">
        <f t="shared" si="188"/>
        <v>0</v>
      </c>
      <c r="R1544" s="574">
        <f t="shared" si="189"/>
        <v>0</v>
      </c>
      <c r="S1544" s="275">
        <f t="shared" si="190"/>
        <v>0</v>
      </c>
      <c r="T1544" s="575"/>
      <c r="U1544" s="487"/>
      <c r="V1544" s="576"/>
      <c r="W1544" s="573"/>
      <c r="X1544" s="574">
        <f t="shared" si="194"/>
        <v>0</v>
      </c>
      <c r="Y1544" s="487"/>
      <c r="Z1544" s="487"/>
      <c r="AA1544" s="276">
        <f t="shared" si="195"/>
        <v>0</v>
      </c>
      <c r="AB1544" s="573"/>
      <c r="AC1544" s="487"/>
      <c r="AD1544" s="573"/>
      <c r="AE1544" s="487"/>
      <c r="AF1544" s="577">
        <f t="shared" si="191"/>
        <v>0</v>
      </c>
      <c r="AG1544" s="275">
        <f t="shared" si="192"/>
        <v>0</v>
      </c>
    </row>
    <row r="1545" spans="1:33" ht="12" customHeight="1">
      <c r="A1545" s="706" t="s">
        <v>1279</v>
      </c>
      <c r="B1545" s="707" t="s">
        <v>1511</v>
      </c>
      <c r="C1545" s="716" t="s">
        <v>1883</v>
      </c>
      <c r="D1545" s="709"/>
      <c r="E1545" s="710"/>
      <c r="F1545" s="573"/>
      <c r="G1545" s="487"/>
      <c r="H1545" s="573"/>
      <c r="I1545" s="487"/>
      <c r="J1545" s="573"/>
      <c r="K1545" s="487"/>
      <c r="L1545" s="573"/>
      <c r="M1545" s="573"/>
      <c r="N1545" s="456">
        <f t="shared" si="193"/>
        <v>0</v>
      </c>
      <c r="O1545" s="487"/>
      <c r="P1545" s="487"/>
      <c r="Q1545" s="274">
        <f t="shared" si="188"/>
        <v>0</v>
      </c>
      <c r="R1545" s="574">
        <f t="shared" si="189"/>
        <v>0</v>
      </c>
      <c r="S1545" s="275">
        <f t="shared" si="190"/>
        <v>0</v>
      </c>
      <c r="T1545" s="575"/>
      <c r="U1545" s="487"/>
      <c r="V1545" s="576"/>
      <c r="W1545" s="573"/>
      <c r="X1545" s="574">
        <f t="shared" si="194"/>
        <v>0</v>
      </c>
      <c r="Y1545" s="487"/>
      <c r="Z1545" s="487"/>
      <c r="AA1545" s="276">
        <f t="shared" si="195"/>
        <v>0</v>
      </c>
      <c r="AB1545" s="573"/>
      <c r="AC1545" s="487"/>
      <c r="AD1545" s="573"/>
      <c r="AE1545" s="487"/>
      <c r="AF1545" s="577">
        <f t="shared" si="191"/>
        <v>0</v>
      </c>
      <c r="AG1545" s="275">
        <f t="shared" si="192"/>
        <v>0</v>
      </c>
    </row>
    <row r="1546" spans="1:33" ht="12" customHeight="1">
      <c r="A1546" s="706" t="s">
        <v>1279</v>
      </c>
      <c r="B1546" s="707" t="s">
        <v>1412</v>
      </c>
      <c r="C1546" s="716" t="s">
        <v>841</v>
      </c>
      <c r="D1546" s="709"/>
      <c r="E1546" s="710"/>
      <c r="F1546" s="573"/>
      <c r="G1546" s="487"/>
      <c r="H1546" s="573"/>
      <c r="I1546" s="487"/>
      <c r="J1546" s="573"/>
      <c r="K1546" s="487"/>
      <c r="L1546" s="573"/>
      <c r="M1546" s="573"/>
      <c r="N1546" s="456">
        <f t="shared" si="193"/>
        <v>0</v>
      </c>
      <c r="O1546" s="487"/>
      <c r="P1546" s="487"/>
      <c r="Q1546" s="274">
        <f t="shared" ref="Q1546:Q1609" si="196">SUM(O1546:P1546)</f>
        <v>0</v>
      </c>
      <c r="R1546" s="574">
        <f t="shared" ref="R1546:R1609" si="197">SUM(F1546,H1546,J1546,L1546)</f>
        <v>0</v>
      </c>
      <c r="S1546" s="275">
        <f t="shared" ref="S1546:S1609" si="198">SUM(G1546,I1546,K1546,O1546)</f>
        <v>0</v>
      </c>
      <c r="T1546" s="575">
        <v>3818321</v>
      </c>
      <c r="U1546" s="487">
        <f>3092259+701414</f>
        <v>3793673</v>
      </c>
      <c r="V1546" s="576"/>
      <c r="W1546" s="573"/>
      <c r="X1546" s="574">
        <f t="shared" si="194"/>
        <v>0</v>
      </c>
      <c r="Y1546" s="487"/>
      <c r="Z1546" s="487"/>
      <c r="AA1546" s="276">
        <f t="shared" si="195"/>
        <v>0</v>
      </c>
      <c r="AB1546" s="573"/>
      <c r="AC1546" s="487"/>
      <c r="AD1546" s="573"/>
      <c r="AE1546" s="487"/>
      <c r="AF1546" s="577">
        <f t="shared" ref="AF1546:AF1609" si="199">SUM(R1546,T1546,V1546,AB1546,AD1546)</f>
        <v>3818321</v>
      </c>
      <c r="AG1546" s="275">
        <f t="shared" ref="AG1546:AG1609" si="200">SUM(S1546,U1546,Y1546,AC1546,AE1546)</f>
        <v>3793673</v>
      </c>
    </row>
    <row r="1547" spans="1:33" ht="12" customHeight="1">
      <c r="A1547" s="706" t="s">
        <v>1279</v>
      </c>
      <c r="B1547" s="714" t="s">
        <v>1413</v>
      </c>
      <c r="C1547" s="713" t="s">
        <v>422</v>
      </c>
      <c r="D1547" s="709"/>
      <c r="E1547" s="710"/>
      <c r="F1547" s="573"/>
      <c r="G1547" s="487"/>
      <c r="H1547" s="573"/>
      <c r="I1547" s="487"/>
      <c r="J1547" s="573"/>
      <c r="K1547" s="487"/>
      <c r="L1547" s="573"/>
      <c r="M1547" s="573"/>
      <c r="N1547" s="456">
        <f t="shared" si="193"/>
        <v>0</v>
      </c>
      <c r="O1547" s="487"/>
      <c r="P1547" s="487"/>
      <c r="Q1547" s="274">
        <f t="shared" si="196"/>
        <v>0</v>
      </c>
      <c r="R1547" s="574">
        <f t="shared" si="197"/>
        <v>0</v>
      </c>
      <c r="S1547" s="275">
        <f t="shared" si="198"/>
        <v>0</v>
      </c>
      <c r="T1547" s="575"/>
      <c r="U1547" s="487"/>
      <c r="V1547" s="576"/>
      <c r="W1547" s="573"/>
      <c r="X1547" s="574">
        <f t="shared" si="194"/>
        <v>0</v>
      </c>
      <c r="Y1547" s="487"/>
      <c r="Z1547" s="487"/>
      <c r="AA1547" s="276">
        <f t="shared" si="195"/>
        <v>0</v>
      </c>
      <c r="AB1547" s="573"/>
      <c r="AC1547" s="487"/>
      <c r="AD1547" s="573"/>
      <c r="AE1547" s="487"/>
      <c r="AF1547" s="577">
        <f t="shared" si="199"/>
        <v>0</v>
      </c>
      <c r="AG1547" s="275">
        <f t="shared" si="200"/>
        <v>0</v>
      </c>
    </row>
    <row r="1548" spans="1:33" ht="12" customHeight="1">
      <c r="A1548" s="706" t="s">
        <v>1279</v>
      </c>
      <c r="B1548" s="714" t="s">
        <v>1582</v>
      </c>
      <c r="C1548" s="713" t="s">
        <v>1883</v>
      </c>
      <c r="D1548" s="709"/>
      <c r="E1548" s="710"/>
      <c r="F1548" s="573"/>
      <c r="G1548" s="487"/>
      <c r="H1548" s="573"/>
      <c r="I1548" s="487"/>
      <c r="J1548" s="573"/>
      <c r="K1548" s="487"/>
      <c r="L1548" s="573"/>
      <c r="M1548" s="573"/>
      <c r="N1548" s="456">
        <f t="shared" si="193"/>
        <v>0</v>
      </c>
      <c r="O1548" s="487"/>
      <c r="P1548" s="487"/>
      <c r="Q1548" s="274">
        <f t="shared" si="196"/>
        <v>0</v>
      </c>
      <c r="R1548" s="574">
        <f t="shared" si="197"/>
        <v>0</v>
      </c>
      <c r="S1548" s="275">
        <f t="shared" si="198"/>
        <v>0</v>
      </c>
      <c r="T1548" s="575"/>
      <c r="U1548" s="487"/>
      <c r="V1548" s="576"/>
      <c r="W1548" s="573"/>
      <c r="X1548" s="574">
        <f t="shared" si="194"/>
        <v>0</v>
      </c>
      <c r="Y1548" s="487"/>
      <c r="Z1548" s="487"/>
      <c r="AA1548" s="276">
        <f t="shared" si="195"/>
        <v>0</v>
      </c>
      <c r="AB1548" s="573"/>
      <c r="AC1548" s="487"/>
      <c r="AD1548" s="573"/>
      <c r="AE1548" s="487"/>
      <c r="AF1548" s="577">
        <f t="shared" si="199"/>
        <v>0</v>
      </c>
      <c r="AG1548" s="275">
        <f t="shared" si="200"/>
        <v>0</v>
      </c>
    </row>
    <row r="1549" spans="1:33" ht="12" customHeight="1">
      <c r="A1549" s="706" t="s">
        <v>1279</v>
      </c>
      <c r="B1549" s="707" t="s">
        <v>1583</v>
      </c>
      <c r="C1549" s="716" t="s">
        <v>841</v>
      </c>
      <c r="D1549" s="709"/>
      <c r="E1549" s="710"/>
      <c r="F1549" s="573"/>
      <c r="G1549" s="487"/>
      <c r="H1549" s="573"/>
      <c r="I1549" s="487"/>
      <c r="J1549" s="573"/>
      <c r="K1549" s="487"/>
      <c r="L1549" s="573"/>
      <c r="M1549" s="573"/>
      <c r="N1549" s="456">
        <f t="shared" si="193"/>
        <v>0</v>
      </c>
      <c r="O1549" s="487"/>
      <c r="P1549" s="487"/>
      <c r="Q1549" s="274">
        <f t="shared" si="196"/>
        <v>0</v>
      </c>
      <c r="R1549" s="574">
        <f t="shared" si="197"/>
        <v>0</v>
      </c>
      <c r="S1549" s="275">
        <f t="shared" si="198"/>
        <v>0</v>
      </c>
      <c r="T1549" s="575">
        <v>752719</v>
      </c>
      <c r="U1549" s="487">
        <f>1200+8209+710627+2300+12625</f>
        <v>734961</v>
      </c>
      <c r="V1549" s="576"/>
      <c r="W1549" s="573"/>
      <c r="X1549" s="574">
        <f t="shared" si="194"/>
        <v>0</v>
      </c>
      <c r="Y1549" s="487"/>
      <c r="Z1549" s="487"/>
      <c r="AA1549" s="276">
        <f t="shared" si="195"/>
        <v>0</v>
      </c>
      <c r="AB1549" s="573"/>
      <c r="AC1549" s="487"/>
      <c r="AD1549" s="573"/>
      <c r="AE1549" s="487"/>
      <c r="AF1549" s="577">
        <f t="shared" si="199"/>
        <v>752719</v>
      </c>
      <c r="AG1549" s="275">
        <f t="shared" si="200"/>
        <v>734961</v>
      </c>
    </row>
    <row r="1550" spans="1:33" ht="12" customHeight="1">
      <c r="A1550" s="706" t="s">
        <v>1279</v>
      </c>
      <c r="B1550" s="715" t="s">
        <v>1805</v>
      </c>
      <c r="C1550" s="474" t="s">
        <v>196</v>
      </c>
      <c r="D1550" s="709"/>
      <c r="E1550" s="710"/>
      <c r="F1550" s="573"/>
      <c r="G1550" s="487"/>
      <c r="H1550" s="573"/>
      <c r="I1550" s="487"/>
      <c r="J1550" s="573"/>
      <c r="K1550" s="487"/>
      <c r="L1550" s="573"/>
      <c r="M1550" s="573"/>
      <c r="N1550" s="456">
        <f t="shared" si="193"/>
        <v>0</v>
      </c>
      <c r="O1550" s="487"/>
      <c r="P1550" s="487"/>
      <c r="Q1550" s="274">
        <f t="shared" si="196"/>
        <v>0</v>
      </c>
      <c r="R1550" s="574">
        <f t="shared" si="197"/>
        <v>0</v>
      </c>
      <c r="S1550" s="275">
        <f t="shared" si="198"/>
        <v>0</v>
      </c>
      <c r="T1550" s="575"/>
      <c r="U1550" s="487"/>
      <c r="V1550" s="576"/>
      <c r="W1550" s="573"/>
      <c r="X1550" s="574">
        <f t="shared" si="194"/>
        <v>0</v>
      </c>
      <c r="Y1550" s="487"/>
      <c r="Z1550" s="487"/>
      <c r="AA1550" s="276">
        <f t="shared" si="195"/>
        <v>0</v>
      </c>
      <c r="AB1550" s="573"/>
      <c r="AC1550" s="487"/>
      <c r="AD1550" s="573"/>
      <c r="AE1550" s="487"/>
      <c r="AF1550" s="577">
        <f t="shared" si="199"/>
        <v>0</v>
      </c>
      <c r="AG1550" s="275">
        <f t="shared" si="200"/>
        <v>0</v>
      </c>
    </row>
    <row r="1551" spans="1:33" ht="12" customHeight="1">
      <c r="A1551" s="706" t="s">
        <v>1279</v>
      </c>
      <c r="B1551" s="707" t="s">
        <v>1510</v>
      </c>
      <c r="C1551" s="716" t="s">
        <v>421</v>
      </c>
      <c r="D1551" s="709"/>
      <c r="E1551" s="710"/>
      <c r="F1551" s="573"/>
      <c r="G1551" s="487"/>
      <c r="H1551" s="573"/>
      <c r="I1551" s="487"/>
      <c r="J1551" s="573"/>
      <c r="K1551" s="487"/>
      <c r="L1551" s="573"/>
      <c r="M1551" s="573"/>
      <c r="N1551" s="456">
        <f t="shared" si="193"/>
        <v>0</v>
      </c>
      <c r="O1551" s="487"/>
      <c r="P1551" s="487"/>
      <c r="Q1551" s="274">
        <f t="shared" si="196"/>
        <v>0</v>
      </c>
      <c r="R1551" s="574">
        <f t="shared" si="197"/>
        <v>0</v>
      </c>
      <c r="S1551" s="275">
        <f t="shared" si="198"/>
        <v>0</v>
      </c>
      <c r="T1551" s="575"/>
      <c r="U1551" s="487"/>
      <c r="V1551" s="576"/>
      <c r="W1551" s="573"/>
      <c r="X1551" s="574">
        <f t="shared" si="194"/>
        <v>0</v>
      </c>
      <c r="Y1551" s="487"/>
      <c r="Z1551" s="487"/>
      <c r="AA1551" s="276">
        <f t="shared" si="195"/>
        <v>0</v>
      </c>
      <c r="AB1551" s="573"/>
      <c r="AC1551" s="487"/>
      <c r="AD1551" s="573"/>
      <c r="AE1551" s="487"/>
      <c r="AF1551" s="577">
        <f t="shared" si="199"/>
        <v>0</v>
      </c>
      <c r="AG1551" s="275">
        <f t="shared" si="200"/>
        <v>0</v>
      </c>
    </row>
    <row r="1552" spans="1:33" ht="12" customHeight="1">
      <c r="A1552" s="706" t="s">
        <v>1279</v>
      </c>
      <c r="B1552" s="707" t="s">
        <v>1511</v>
      </c>
      <c r="C1552" s="716" t="s">
        <v>1883</v>
      </c>
      <c r="D1552" s="709"/>
      <c r="E1552" s="710"/>
      <c r="F1552" s="573"/>
      <c r="G1552" s="487"/>
      <c r="H1552" s="573"/>
      <c r="I1552" s="487"/>
      <c r="J1552" s="573"/>
      <c r="K1552" s="487"/>
      <c r="L1552" s="573"/>
      <c r="M1552" s="573"/>
      <c r="N1552" s="456">
        <f t="shared" si="193"/>
        <v>0</v>
      </c>
      <c r="O1552" s="487"/>
      <c r="P1552" s="487"/>
      <c r="Q1552" s="274">
        <f t="shared" si="196"/>
        <v>0</v>
      </c>
      <c r="R1552" s="574">
        <f t="shared" si="197"/>
        <v>0</v>
      </c>
      <c r="S1552" s="275">
        <f t="shared" si="198"/>
        <v>0</v>
      </c>
      <c r="T1552" s="575"/>
      <c r="U1552" s="487"/>
      <c r="V1552" s="576"/>
      <c r="W1552" s="573"/>
      <c r="X1552" s="574">
        <f t="shared" si="194"/>
        <v>0</v>
      </c>
      <c r="Y1552" s="487"/>
      <c r="Z1552" s="487"/>
      <c r="AA1552" s="276">
        <f t="shared" si="195"/>
        <v>0</v>
      </c>
      <c r="AB1552" s="573"/>
      <c r="AC1552" s="487"/>
      <c r="AD1552" s="573"/>
      <c r="AE1552" s="487"/>
      <c r="AF1552" s="577">
        <f t="shared" si="199"/>
        <v>0</v>
      </c>
      <c r="AG1552" s="275">
        <f t="shared" si="200"/>
        <v>0</v>
      </c>
    </row>
    <row r="1553" spans="1:33" ht="12" customHeight="1">
      <c r="A1553" s="706" t="s">
        <v>1279</v>
      </c>
      <c r="B1553" s="707" t="s">
        <v>1412</v>
      </c>
      <c r="C1553" s="716" t="s">
        <v>841</v>
      </c>
      <c r="D1553" s="709"/>
      <c r="E1553" s="710"/>
      <c r="F1553" s="573"/>
      <c r="G1553" s="487"/>
      <c r="H1553" s="573"/>
      <c r="I1553" s="487"/>
      <c r="J1553" s="573"/>
      <c r="K1553" s="487"/>
      <c r="L1553" s="573"/>
      <c r="M1553" s="573"/>
      <c r="N1553" s="456">
        <f t="shared" si="193"/>
        <v>0</v>
      </c>
      <c r="O1553" s="487"/>
      <c r="P1553" s="487"/>
      <c r="Q1553" s="274">
        <f t="shared" si="196"/>
        <v>0</v>
      </c>
      <c r="R1553" s="574">
        <f t="shared" si="197"/>
        <v>0</v>
      </c>
      <c r="S1553" s="275">
        <f t="shared" si="198"/>
        <v>0</v>
      </c>
      <c r="T1553" s="575">
        <v>327490</v>
      </c>
      <c r="U1553" s="487">
        <f>149360+228256</f>
        <v>377616</v>
      </c>
      <c r="V1553" s="576"/>
      <c r="W1553" s="573"/>
      <c r="X1553" s="574">
        <f t="shared" si="194"/>
        <v>0</v>
      </c>
      <c r="Y1553" s="487"/>
      <c r="Z1553" s="487"/>
      <c r="AA1553" s="276">
        <f t="shared" si="195"/>
        <v>0</v>
      </c>
      <c r="AB1553" s="573"/>
      <c r="AC1553" s="487"/>
      <c r="AD1553" s="573"/>
      <c r="AE1553" s="487"/>
      <c r="AF1553" s="577">
        <f t="shared" si="199"/>
        <v>327490</v>
      </c>
      <c r="AG1553" s="275">
        <f t="shared" si="200"/>
        <v>377616</v>
      </c>
    </row>
    <row r="1554" spans="1:33" ht="12" customHeight="1">
      <c r="A1554" s="706" t="s">
        <v>1279</v>
      </c>
      <c r="B1554" s="714" t="s">
        <v>1413</v>
      </c>
      <c r="C1554" s="713" t="s">
        <v>422</v>
      </c>
      <c r="D1554" s="709"/>
      <c r="E1554" s="710"/>
      <c r="F1554" s="573"/>
      <c r="G1554" s="487"/>
      <c r="H1554" s="573"/>
      <c r="I1554" s="487"/>
      <c r="J1554" s="573"/>
      <c r="K1554" s="487"/>
      <c r="L1554" s="573"/>
      <c r="M1554" s="573"/>
      <c r="N1554" s="456">
        <f t="shared" si="193"/>
        <v>0</v>
      </c>
      <c r="O1554" s="487"/>
      <c r="P1554" s="487"/>
      <c r="Q1554" s="274">
        <f t="shared" si="196"/>
        <v>0</v>
      </c>
      <c r="R1554" s="574">
        <f t="shared" si="197"/>
        <v>0</v>
      </c>
      <c r="S1554" s="275">
        <f t="shared" si="198"/>
        <v>0</v>
      </c>
      <c r="T1554" s="575"/>
      <c r="U1554" s="487"/>
      <c r="V1554" s="576"/>
      <c r="W1554" s="573"/>
      <c r="X1554" s="574">
        <f t="shared" si="194"/>
        <v>0</v>
      </c>
      <c r="Y1554" s="487"/>
      <c r="Z1554" s="487"/>
      <c r="AA1554" s="276">
        <f t="shared" si="195"/>
        <v>0</v>
      </c>
      <c r="AB1554" s="573"/>
      <c r="AC1554" s="487"/>
      <c r="AD1554" s="573"/>
      <c r="AE1554" s="487"/>
      <c r="AF1554" s="577">
        <f t="shared" si="199"/>
        <v>0</v>
      </c>
      <c r="AG1554" s="275">
        <f t="shared" si="200"/>
        <v>0</v>
      </c>
    </row>
    <row r="1555" spans="1:33" ht="12" customHeight="1">
      <c r="A1555" s="706" t="s">
        <v>1279</v>
      </c>
      <c r="B1555" s="714" t="s">
        <v>1582</v>
      </c>
      <c r="C1555" s="713" t="s">
        <v>1883</v>
      </c>
      <c r="D1555" s="709"/>
      <c r="E1555" s="710"/>
      <c r="F1555" s="573"/>
      <c r="G1555" s="487"/>
      <c r="H1555" s="573"/>
      <c r="I1555" s="487"/>
      <c r="J1555" s="573"/>
      <c r="K1555" s="487"/>
      <c r="L1555" s="573"/>
      <c r="M1555" s="573"/>
      <c r="N1555" s="456">
        <f t="shared" ref="N1555:N1618" si="201">SUM(L1555:M1555)</f>
        <v>0</v>
      </c>
      <c r="O1555" s="487"/>
      <c r="P1555" s="487"/>
      <c r="Q1555" s="274">
        <f t="shared" si="196"/>
        <v>0</v>
      </c>
      <c r="R1555" s="574">
        <f t="shared" si="197"/>
        <v>0</v>
      </c>
      <c r="S1555" s="275">
        <f t="shared" si="198"/>
        <v>0</v>
      </c>
      <c r="T1555" s="575"/>
      <c r="U1555" s="487"/>
      <c r="V1555" s="576"/>
      <c r="W1555" s="573"/>
      <c r="X1555" s="574">
        <f t="shared" ref="X1555:X1618" si="202">SUM(V1555:W1555)</f>
        <v>0</v>
      </c>
      <c r="Y1555" s="487"/>
      <c r="Z1555" s="487"/>
      <c r="AA1555" s="276">
        <f t="shared" ref="AA1555:AA1618" si="203">SUM(Y1555:Z1555)</f>
        <v>0</v>
      </c>
      <c r="AB1555" s="573"/>
      <c r="AC1555" s="487"/>
      <c r="AD1555" s="573"/>
      <c r="AE1555" s="487"/>
      <c r="AF1555" s="577">
        <f t="shared" si="199"/>
        <v>0</v>
      </c>
      <c r="AG1555" s="275">
        <f t="shared" si="200"/>
        <v>0</v>
      </c>
    </row>
    <row r="1556" spans="1:33" ht="12" customHeight="1">
      <c r="A1556" s="706" t="s">
        <v>1279</v>
      </c>
      <c r="B1556" s="707" t="s">
        <v>1583</v>
      </c>
      <c r="C1556" s="716" t="s">
        <v>841</v>
      </c>
      <c r="D1556" s="709"/>
      <c r="E1556" s="710"/>
      <c r="F1556" s="573"/>
      <c r="G1556" s="487"/>
      <c r="H1556" s="573"/>
      <c r="I1556" s="487"/>
      <c r="J1556" s="573"/>
      <c r="K1556" s="487"/>
      <c r="L1556" s="573"/>
      <c r="M1556" s="573"/>
      <c r="N1556" s="456">
        <f t="shared" si="201"/>
        <v>0</v>
      </c>
      <c r="O1556" s="487"/>
      <c r="P1556" s="487"/>
      <c r="Q1556" s="274">
        <f t="shared" si="196"/>
        <v>0</v>
      </c>
      <c r="R1556" s="574">
        <f t="shared" si="197"/>
        <v>0</v>
      </c>
      <c r="S1556" s="275">
        <f t="shared" si="198"/>
        <v>0</v>
      </c>
      <c r="T1556" s="575">
        <v>2559</v>
      </c>
      <c r="U1556" s="487">
        <v>0</v>
      </c>
      <c r="V1556" s="576"/>
      <c r="W1556" s="573"/>
      <c r="X1556" s="574">
        <f t="shared" si="202"/>
        <v>0</v>
      </c>
      <c r="Y1556" s="487"/>
      <c r="Z1556" s="487"/>
      <c r="AA1556" s="276">
        <f t="shared" si="203"/>
        <v>0</v>
      </c>
      <c r="AB1556" s="573"/>
      <c r="AC1556" s="487"/>
      <c r="AD1556" s="573"/>
      <c r="AE1556" s="487"/>
      <c r="AF1556" s="577">
        <f t="shared" si="199"/>
        <v>2559</v>
      </c>
      <c r="AG1556" s="275">
        <f t="shared" si="200"/>
        <v>0</v>
      </c>
    </row>
    <row r="1557" spans="1:33" ht="12" customHeight="1">
      <c r="A1557" s="706" t="s">
        <v>1279</v>
      </c>
      <c r="B1557" s="715" t="s">
        <v>1805</v>
      </c>
      <c r="C1557" s="474" t="s">
        <v>197</v>
      </c>
      <c r="D1557" s="709"/>
      <c r="E1557" s="710"/>
      <c r="F1557" s="573"/>
      <c r="G1557" s="487"/>
      <c r="H1557" s="573"/>
      <c r="I1557" s="487"/>
      <c r="J1557" s="573"/>
      <c r="K1557" s="487"/>
      <c r="L1557" s="573"/>
      <c r="M1557" s="573"/>
      <c r="N1557" s="456">
        <f t="shared" si="201"/>
        <v>0</v>
      </c>
      <c r="O1557" s="487"/>
      <c r="P1557" s="487"/>
      <c r="Q1557" s="274">
        <f t="shared" si="196"/>
        <v>0</v>
      </c>
      <c r="R1557" s="574">
        <f t="shared" si="197"/>
        <v>0</v>
      </c>
      <c r="S1557" s="275">
        <f t="shared" si="198"/>
        <v>0</v>
      </c>
      <c r="T1557" s="575"/>
      <c r="U1557" s="487"/>
      <c r="V1557" s="576"/>
      <c r="W1557" s="573"/>
      <c r="X1557" s="574">
        <f t="shared" si="202"/>
        <v>0</v>
      </c>
      <c r="Y1557" s="487"/>
      <c r="Z1557" s="487"/>
      <c r="AA1557" s="276">
        <f t="shared" si="203"/>
        <v>0</v>
      </c>
      <c r="AB1557" s="573"/>
      <c r="AC1557" s="487"/>
      <c r="AD1557" s="573"/>
      <c r="AE1557" s="487"/>
      <c r="AF1557" s="577">
        <f t="shared" si="199"/>
        <v>0</v>
      </c>
      <c r="AG1557" s="275">
        <f t="shared" si="200"/>
        <v>0</v>
      </c>
    </row>
    <row r="1558" spans="1:33" ht="12" customHeight="1">
      <c r="A1558" s="706" t="s">
        <v>1279</v>
      </c>
      <c r="B1558" s="707" t="s">
        <v>1510</v>
      </c>
      <c r="C1558" s="716" t="s">
        <v>421</v>
      </c>
      <c r="D1558" s="709"/>
      <c r="E1558" s="710"/>
      <c r="F1558" s="573"/>
      <c r="G1558" s="487"/>
      <c r="H1558" s="573"/>
      <c r="I1558" s="487"/>
      <c r="J1558" s="573"/>
      <c r="K1558" s="487"/>
      <c r="L1558" s="573"/>
      <c r="M1558" s="573"/>
      <c r="N1558" s="456">
        <f t="shared" si="201"/>
        <v>0</v>
      </c>
      <c r="O1558" s="487"/>
      <c r="P1558" s="487"/>
      <c r="Q1558" s="274">
        <f t="shared" si="196"/>
        <v>0</v>
      </c>
      <c r="R1558" s="574">
        <f t="shared" si="197"/>
        <v>0</v>
      </c>
      <c r="S1558" s="275">
        <f t="shared" si="198"/>
        <v>0</v>
      </c>
      <c r="T1558" s="575"/>
      <c r="U1558" s="487"/>
      <c r="V1558" s="576"/>
      <c r="W1558" s="573"/>
      <c r="X1558" s="574">
        <f t="shared" si="202"/>
        <v>0</v>
      </c>
      <c r="Y1558" s="487"/>
      <c r="Z1558" s="487"/>
      <c r="AA1558" s="276">
        <f t="shared" si="203"/>
        <v>0</v>
      </c>
      <c r="AB1558" s="573"/>
      <c r="AC1558" s="487"/>
      <c r="AD1558" s="573"/>
      <c r="AE1558" s="487"/>
      <c r="AF1558" s="577">
        <f t="shared" si="199"/>
        <v>0</v>
      </c>
      <c r="AG1558" s="275">
        <f t="shared" si="200"/>
        <v>0</v>
      </c>
    </row>
    <row r="1559" spans="1:33" ht="12" customHeight="1">
      <c r="A1559" s="706" t="s">
        <v>1279</v>
      </c>
      <c r="B1559" s="707" t="s">
        <v>1511</v>
      </c>
      <c r="C1559" s="716" t="s">
        <v>1883</v>
      </c>
      <c r="D1559" s="709"/>
      <c r="E1559" s="710"/>
      <c r="F1559" s="573"/>
      <c r="G1559" s="487"/>
      <c r="H1559" s="573"/>
      <c r="I1559" s="487"/>
      <c r="J1559" s="573"/>
      <c r="K1559" s="487"/>
      <c r="L1559" s="573"/>
      <c r="M1559" s="573"/>
      <c r="N1559" s="456">
        <f t="shared" si="201"/>
        <v>0</v>
      </c>
      <c r="O1559" s="487"/>
      <c r="P1559" s="487"/>
      <c r="Q1559" s="274">
        <f t="shared" si="196"/>
        <v>0</v>
      </c>
      <c r="R1559" s="574">
        <f t="shared" si="197"/>
        <v>0</v>
      </c>
      <c r="S1559" s="275">
        <f t="shared" si="198"/>
        <v>0</v>
      </c>
      <c r="T1559" s="575"/>
      <c r="U1559" s="487"/>
      <c r="V1559" s="576"/>
      <c r="W1559" s="573"/>
      <c r="X1559" s="574">
        <f t="shared" si="202"/>
        <v>0</v>
      </c>
      <c r="Y1559" s="487"/>
      <c r="Z1559" s="487"/>
      <c r="AA1559" s="276">
        <f t="shared" si="203"/>
        <v>0</v>
      </c>
      <c r="AB1559" s="573"/>
      <c r="AC1559" s="487"/>
      <c r="AD1559" s="573"/>
      <c r="AE1559" s="487"/>
      <c r="AF1559" s="577">
        <f t="shared" si="199"/>
        <v>0</v>
      </c>
      <c r="AG1559" s="275">
        <f t="shared" si="200"/>
        <v>0</v>
      </c>
    </row>
    <row r="1560" spans="1:33" ht="12" customHeight="1">
      <c r="A1560" s="706" t="s">
        <v>1279</v>
      </c>
      <c r="B1560" s="707" t="s">
        <v>1412</v>
      </c>
      <c r="C1560" s="716" t="s">
        <v>841</v>
      </c>
      <c r="D1560" s="709"/>
      <c r="E1560" s="710"/>
      <c r="F1560" s="573"/>
      <c r="G1560" s="487"/>
      <c r="H1560" s="573"/>
      <c r="I1560" s="487"/>
      <c r="J1560" s="573"/>
      <c r="K1560" s="487"/>
      <c r="L1560" s="573"/>
      <c r="M1560" s="573"/>
      <c r="N1560" s="456">
        <f t="shared" si="201"/>
        <v>0</v>
      </c>
      <c r="O1560" s="487"/>
      <c r="P1560" s="487"/>
      <c r="Q1560" s="274">
        <f t="shared" si="196"/>
        <v>0</v>
      </c>
      <c r="R1560" s="574">
        <f t="shared" si="197"/>
        <v>0</v>
      </c>
      <c r="S1560" s="275">
        <f t="shared" si="198"/>
        <v>0</v>
      </c>
      <c r="T1560" s="575">
        <v>2805750</v>
      </c>
      <c r="U1560" s="487">
        <f>2867000+36000</f>
        <v>2903000</v>
      </c>
      <c r="V1560" s="576"/>
      <c r="W1560" s="573"/>
      <c r="X1560" s="574">
        <f t="shared" si="202"/>
        <v>0</v>
      </c>
      <c r="Y1560" s="487"/>
      <c r="Z1560" s="487"/>
      <c r="AA1560" s="276">
        <f t="shared" si="203"/>
        <v>0</v>
      </c>
      <c r="AB1560" s="573"/>
      <c r="AC1560" s="487"/>
      <c r="AD1560" s="573"/>
      <c r="AE1560" s="487"/>
      <c r="AF1560" s="577">
        <f t="shared" si="199"/>
        <v>2805750</v>
      </c>
      <c r="AG1560" s="275">
        <f t="shared" si="200"/>
        <v>2903000</v>
      </c>
    </row>
    <row r="1561" spans="1:33" ht="12" customHeight="1">
      <c r="A1561" s="706" t="s">
        <v>1279</v>
      </c>
      <c r="B1561" s="714" t="s">
        <v>1413</v>
      </c>
      <c r="C1561" s="713" t="s">
        <v>422</v>
      </c>
      <c r="D1561" s="709"/>
      <c r="E1561" s="710"/>
      <c r="F1561" s="573"/>
      <c r="G1561" s="487"/>
      <c r="H1561" s="573"/>
      <c r="I1561" s="487"/>
      <c r="J1561" s="573"/>
      <c r="K1561" s="487"/>
      <c r="L1561" s="573"/>
      <c r="M1561" s="573"/>
      <c r="N1561" s="456">
        <f t="shared" si="201"/>
        <v>0</v>
      </c>
      <c r="O1561" s="487"/>
      <c r="P1561" s="487"/>
      <c r="Q1561" s="274">
        <f t="shared" si="196"/>
        <v>0</v>
      </c>
      <c r="R1561" s="574">
        <f t="shared" si="197"/>
        <v>0</v>
      </c>
      <c r="S1561" s="275">
        <f t="shared" si="198"/>
        <v>0</v>
      </c>
      <c r="T1561" s="575"/>
      <c r="U1561" s="487"/>
      <c r="V1561" s="576"/>
      <c r="W1561" s="573"/>
      <c r="X1561" s="574">
        <f t="shared" si="202"/>
        <v>0</v>
      </c>
      <c r="Y1561" s="487"/>
      <c r="Z1561" s="487"/>
      <c r="AA1561" s="276">
        <f t="shared" si="203"/>
        <v>0</v>
      </c>
      <c r="AB1561" s="573"/>
      <c r="AC1561" s="487"/>
      <c r="AD1561" s="573"/>
      <c r="AE1561" s="487"/>
      <c r="AF1561" s="577">
        <f t="shared" si="199"/>
        <v>0</v>
      </c>
      <c r="AG1561" s="275">
        <f t="shared" si="200"/>
        <v>0</v>
      </c>
    </row>
    <row r="1562" spans="1:33" ht="12" customHeight="1">
      <c r="A1562" s="706" t="s">
        <v>1279</v>
      </c>
      <c r="B1562" s="714" t="s">
        <v>1582</v>
      </c>
      <c r="C1562" s="713" t="s">
        <v>1883</v>
      </c>
      <c r="D1562" s="709"/>
      <c r="E1562" s="710"/>
      <c r="F1562" s="573"/>
      <c r="G1562" s="487"/>
      <c r="H1562" s="573"/>
      <c r="I1562" s="487"/>
      <c r="J1562" s="573"/>
      <c r="K1562" s="487"/>
      <c r="L1562" s="573"/>
      <c r="M1562" s="573"/>
      <c r="N1562" s="456">
        <f t="shared" si="201"/>
        <v>0</v>
      </c>
      <c r="O1562" s="487"/>
      <c r="P1562" s="487"/>
      <c r="Q1562" s="274">
        <f t="shared" si="196"/>
        <v>0</v>
      </c>
      <c r="R1562" s="574">
        <f t="shared" si="197"/>
        <v>0</v>
      </c>
      <c r="S1562" s="275">
        <f t="shared" si="198"/>
        <v>0</v>
      </c>
      <c r="T1562" s="575"/>
      <c r="U1562" s="487"/>
      <c r="V1562" s="576"/>
      <c r="W1562" s="573"/>
      <c r="X1562" s="574">
        <f t="shared" si="202"/>
        <v>0</v>
      </c>
      <c r="Y1562" s="487"/>
      <c r="Z1562" s="487"/>
      <c r="AA1562" s="276">
        <f t="shared" si="203"/>
        <v>0</v>
      </c>
      <c r="AB1562" s="573"/>
      <c r="AC1562" s="487"/>
      <c r="AD1562" s="573"/>
      <c r="AE1562" s="487"/>
      <c r="AF1562" s="577">
        <f t="shared" si="199"/>
        <v>0</v>
      </c>
      <c r="AG1562" s="275">
        <f t="shared" si="200"/>
        <v>0</v>
      </c>
    </row>
    <row r="1563" spans="1:33" ht="12" customHeight="1">
      <c r="A1563" s="706" t="s">
        <v>1279</v>
      </c>
      <c r="B1563" s="707" t="s">
        <v>1583</v>
      </c>
      <c r="C1563" s="716" t="s">
        <v>841</v>
      </c>
      <c r="D1563" s="709"/>
      <c r="E1563" s="710"/>
      <c r="F1563" s="573"/>
      <c r="G1563" s="487"/>
      <c r="H1563" s="573"/>
      <c r="I1563" s="487"/>
      <c r="J1563" s="573"/>
      <c r="K1563" s="487"/>
      <c r="L1563" s="573"/>
      <c r="M1563" s="573"/>
      <c r="N1563" s="456">
        <f t="shared" si="201"/>
        <v>0</v>
      </c>
      <c r="O1563" s="487"/>
      <c r="P1563" s="487"/>
      <c r="Q1563" s="274">
        <f t="shared" si="196"/>
        <v>0</v>
      </c>
      <c r="R1563" s="574">
        <f t="shared" si="197"/>
        <v>0</v>
      </c>
      <c r="S1563" s="275">
        <f t="shared" si="198"/>
        <v>0</v>
      </c>
      <c r="T1563" s="575">
        <v>777000</v>
      </c>
      <c r="U1563" s="487">
        <v>765000</v>
      </c>
      <c r="V1563" s="576"/>
      <c r="W1563" s="573"/>
      <c r="X1563" s="574">
        <f t="shared" si="202"/>
        <v>0</v>
      </c>
      <c r="Y1563" s="487"/>
      <c r="Z1563" s="487"/>
      <c r="AA1563" s="276">
        <f t="shared" si="203"/>
        <v>0</v>
      </c>
      <c r="AB1563" s="573"/>
      <c r="AC1563" s="487"/>
      <c r="AD1563" s="573"/>
      <c r="AE1563" s="487"/>
      <c r="AF1563" s="577">
        <f t="shared" si="199"/>
        <v>777000</v>
      </c>
      <c r="AG1563" s="275">
        <f t="shared" si="200"/>
        <v>765000</v>
      </c>
    </row>
    <row r="1564" spans="1:33" ht="12" customHeight="1">
      <c r="A1564" s="706" t="s">
        <v>1279</v>
      </c>
      <c r="B1564" s="715" t="s">
        <v>1805</v>
      </c>
      <c r="C1564" s="474" t="s">
        <v>198</v>
      </c>
      <c r="D1564" s="709"/>
      <c r="E1564" s="710"/>
      <c r="F1564" s="573"/>
      <c r="G1564" s="487"/>
      <c r="H1564" s="573"/>
      <c r="I1564" s="487"/>
      <c r="J1564" s="573"/>
      <c r="K1564" s="487"/>
      <c r="L1564" s="573"/>
      <c r="M1564" s="573"/>
      <c r="N1564" s="456">
        <f t="shared" si="201"/>
        <v>0</v>
      </c>
      <c r="O1564" s="487"/>
      <c r="P1564" s="487"/>
      <c r="Q1564" s="274">
        <f t="shared" si="196"/>
        <v>0</v>
      </c>
      <c r="R1564" s="574">
        <f t="shared" si="197"/>
        <v>0</v>
      </c>
      <c r="S1564" s="275">
        <f t="shared" si="198"/>
        <v>0</v>
      </c>
      <c r="T1564" s="575"/>
      <c r="U1564" s="487"/>
      <c r="V1564" s="576"/>
      <c r="W1564" s="573"/>
      <c r="X1564" s="574">
        <f t="shared" si="202"/>
        <v>0</v>
      </c>
      <c r="Y1564" s="487"/>
      <c r="Z1564" s="487"/>
      <c r="AA1564" s="276">
        <f t="shared" si="203"/>
        <v>0</v>
      </c>
      <c r="AB1564" s="573"/>
      <c r="AC1564" s="487"/>
      <c r="AD1564" s="573"/>
      <c r="AE1564" s="487"/>
      <c r="AF1564" s="577">
        <f t="shared" si="199"/>
        <v>0</v>
      </c>
      <c r="AG1564" s="275">
        <f t="shared" si="200"/>
        <v>0</v>
      </c>
    </row>
    <row r="1565" spans="1:33" ht="12" customHeight="1">
      <c r="A1565" s="706" t="s">
        <v>1279</v>
      </c>
      <c r="B1565" s="707" t="s">
        <v>1510</v>
      </c>
      <c r="C1565" s="716" t="s">
        <v>421</v>
      </c>
      <c r="D1565" s="709"/>
      <c r="E1565" s="710"/>
      <c r="F1565" s="573"/>
      <c r="G1565" s="487"/>
      <c r="H1565" s="573"/>
      <c r="I1565" s="487"/>
      <c r="J1565" s="573"/>
      <c r="K1565" s="487"/>
      <c r="L1565" s="573"/>
      <c r="M1565" s="573"/>
      <c r="N1565" s="456">
        <f t="shared" si="201"/>
        <v>0</v>
      </c>
      <c r="O1565" s="487"/>
      <c r="P1565" s="487"/>
      <c r="Q1565" s="274">
        <f t="shared" si="196"/>
        <v>0</v>
      </c>
      <c r="R1565" s="574">
        <f t="shared" si="197"/>
        <v>0</v>
      </c>
      <c r="S1565" s="275">
        <f t="shared" si="198"/>
        <v>0</v>
      </c>
      <c r="T1565" s="1144" t="s">
        <v>1221</v>
      </c>
      <c r="U1565" s="487"/>
      <c r="V1565" s="576"/>
      <c r="W1565" s="573"/>
      <c r="X1565" s="574">
        <f t="shared" si="202"/>
        <v>0</v>
      </c>
      <c r="Y1565" s="487"/>
      <c r="Z1565" s="487"/>
      <c r="AA1565" s="276">
        <f t="shared" si="203"/>
        <v>0</v>
      </c>
      <c r="AB1565" s="573"/>
      <c r="AC1565" s="487"/>
      <c r="AD1565" s="573"/>
      <c r="AE1565" s="487"/>
      <c r="AF1565" s="577">
        <f t="shared" si="199"/>
        <v>0</v>
      </c>
      <c r="AG1565" s="275">
        <f t="shared" si="200"/>
        <v>0</v>
      </c>
    </row>
    <row r="1566" spans="1:33" ht="12" customHeight="1">
      <c r="A1566" s="706" t="s">
        <v>1279</v>
      </c>
      <c r="B1566" s="707" t="s">
        <v>1511</v>
      </c>
      <c r="C1566" s="716" t="s">
        <v>1883</v>
      </c>
      <c r="D1566" s="709"/>
      <c r="E1566" s="710"/>
      <c r="F1566" s="573"/>
      <c r="G1566" s="487"/>
      <c r="H1566" s="573"/>
      <c r="I1566" s="487"/>
      <c r="J1566" s="573"/>
      <c r="K1566" s="487"/>
      <c r="L1566" s="573"/>
      <c r="M1566" s="573"/>
      <c r="N1566" s="456">
        <f t="shared" si="201"/>
        <v>0</v>
      </c>
      <c r="O1566" s="487"/>
      <c r="P1566" s="487"/>
      <c r="Q1566" s="274">
        <f t="shared" si="196"/>
        <v>0</v>
      </c>
      <c r="R1566" s="574">
        <f t="shared" si="197"/>
        <v>0</v>
      </c>
      <c r="S1566" s="275">
        <f t="shared" si="198"/>
        <v>0</v>
      </c>
      <c r="T1566" s="1147"/>
      <c r="U1566" s="487"/>
      <c r="V1566" s="576"/>
      <c r="W1566" s="573"/>
      <c r="X1566" s="574">
        <f t="shared" si="202"/>
        <v>0</v>
      </c>
      <c r="Y1566" s="487"/>
      <c r="Z1566" s="487"/>
      <c r="AA1566" s="276">
        <f t="shared" si="203"/>
        <v>0</v>
      </c>
      <c r="AB1566" s="573"/>
      <c r="AC1566" s="487"/>
      <c r="AD1566" s="573"/>
      <c r="AE1566" s="487"/>
      <c r="AF1566" s="577">
        <f t="shared" si="199"/>
        <v>0</v>
      </c>
      <c r="AG1566" s="275">
        <f t="shared" si="200"/>
        <v>0</v>
      </c>
    </row>
    <row r="1567" spans="1:33" ht="12" customHeight="1">
      <c r="A1567" s="706" t="s">
        <v>1279</v>
      </c>
      <c r="B1567" s="707" t="s">
        <v>1412</v>
      </c>
      <c r="C1567" s="716" t="s">
        <v>841</v>
      </c>
      <c r="D1567" s="709"/>
      <c r="E1567" s="710"/>
      <c r="F1567" s="573"/>
      <c r="G1567" s="487"/>
      <c r="H1567" s="573"/>
      <c r="I1567" s="487"/>
      <c r="J1567" s="573"/>
      <c r="K1567" s="487"/>
      <c r="L1567" s="573"/>
      <c r="M1567" s="573"/>
      <c r="N1567" s="456">
        <f t="shared" si="201"/>
        <v>0</v>
      </c>
      <c r="O1567" s="487"/>
      <c r="P1567" s="487"/>
      <c r="Q1567" s="274">
        <f t="shared" si="196"/>
        <v>0</v>
      </c>
      <c r="R1567" s="574">
        <f t="shared" si="197"/>
        <v>0</v>
      </c>
      <c r="S1567" s="275">
        <f t="shared" si="198"/>
        <v>0</v>
      </c>
      <c r="T1567" s="575"/>
      <c r="U1567" s="487"/>
      <c r="V1567" s="576"/>
      <c r="W1567" s="573"/>
      <c r="X1567" s="574">
        <f t="shared" si="202"/>
        <v>0</v>
      </c>
      <c r="Y1567" s="487"/>
      <c r="Z1567" s="487"/>
      <c r="AA1567" s="276">
        <f t="shared" si="203"/>
        <v>0</v>
      </c>
      <c r="AB1567" s="573"/>
      <c r="AC1567" s="487"/>
      <c r="AD1567" s="573"/>
      <c r="AE1567" s="487"/>
      <c r="AF1567" s="577">
        <f t="shared" si="199"/>
        <v>0</v>
      </c>
      <c r="AG1567" s="275">
        <f t="shared" si="200"/>
        <v>0</v>
      </c>
    </row>
    <row r="1568" spans="1:33" ht="12" customHeight="1">
      <c r="A1568" s="706" t="s">
        <v>1279</v>
      </c>
      <c r="B1568" s="714" t="s">
        <v>1413</v>
      </c>
      <c r="C1568" s="713" t="s">
        <v>422</v>
      </c>
      <c r="D1568" s="709"/>
      <c r="E1568" s="710"/>
      <c r="F1568" s="573"/>
      <c r="G1568" s="487"/>
      <c r="H1568" s="573"/>
      <c r="I1568" s="487"/>
      <c r="J1568" s="573"/>
      <c r="K1568" s="487"/>
      <c r="L1568" s="573"/>
      <c r="M1568" s="573"/>
      <c r="N1568" s="456">
        <f t="shared" si="201"/>
        <v>0</v>
      </c>
      <c r="O1568" s="487"/>
      <c r="P1568" s="487"/>
      <c r="Q1568" s="274">
        <f t="shared" si="196"/>
        <v>0</v>
      </c>
      <c r="R1568" s="574">
        <f t="shared" si="197"/>
        <v>0</v>
      </c>
      <c r="S1568" s="275">
        <f t="shared" si="198"/>
        <v>0</v>
      </c>
      <c r="T1568" s="575"/>
      <c r="U1568" s="487"/>
      <c r="V1568" s="576"/>
      <c r="W1568" s="573"/>
      <c r="X1568" s="574">
        <f t="shared" si="202"/>
        <v>0</v>
      </c>
      <c r="Y1568" s="487"/>
      <c r="Z1568" s="487"/>
      <c r="AA1568" s="276">
        <f t="shared" si="203"/>
        <v>0</v>
      </c>
      <c r="AB1568" s="573"/>
      <c r="AC1568" s="487"/>
      <c r="AD1568" s="573"/>
      <c r="AE1568" s="487"/>
      <c r="AF1568" s="577">
        <f t="shared" si="199"/>
        <v>0</v>
      </c>
      <c r="AG1568" s="275">
        <f t="shared" si="200"/>
        <v>0</v>
      </c>
    </row>
    <row r="1569" spans="1:33" ht="12" customHeight="1">
      <c r="A1569" s="706" t="s">
        <v>1279</v>
      </c>
      <c r="B1569" s="714" t="s">
        <v>1582</v>
      </c>
      <c r="C1569" s="713" t="s">
        <v>1883</v>
      </c>
      <c r="D1569" s="709"/>
      <c r="E1569" s="710"/>
      <c r="F1569" s="573"/>
      <c r="G1569" s="487"/>
      <c r="H1569" s="573"/>
      <c r="I1569" s="487"/>
      <c r="J1569" s="573"/>
      <c r="K1569" s="487"/>
      <c r="L1569" s="573"/>
      <c r="M1569" s="573"/>
      <c r="N1569" s="456">
        <f t="shared" si="201"/>
        <v>0</v>
      </c>
      <c r="O1569" s="487"/>
      <c r="P1569" s="487"/>
      <c r="Q1569" s="274">
        <f t="shared" si="196"/>
        <v>0</v>
      </c>
      <c r="R1569" s="574">
        <f t="shared" si="197"/>
        <v>0</v>
      </c>
      <c r="S1569" s="275">
        <f t="shared" si="198"/>
        <v>0</v>
      </c>
      <c r="T1569" s="575">
        <v>149000</v>
      </c>
      <c r="U1569" s="487">
        <f>98000+13000</f>
        <v>111000</v>
      </c>
      <c r="V1569" s="576"/>
      <c r="W1569" s="573"/>
      <c r="X1569" s="574">
        <f t="shared" si="202"/>
        <v>0</v>
      </c>
      <c r="Y1569" s="487"/>
      <c r="Z1569" s="487"/>
      <c r="AA1569" s="276">
        <f t="shared" si="203"/>
        <v>0</v>
      </c>
      <c r="AB1569" s="573"/>
      <c r="AC1569" s="487"/>
      <c r="AD1569" s="573"/>
      <c r="AE1569" s="487"/>
      <c r="AF1569" s="577">
        <f t="shared" si="199"/>
        <v>149000</v>
      </c>
      <c r="AG1569" s="275">
        <f t="shared" si="200"/>
        <v>111000</v>
      </c>
    </row>
    <row r="1570" spans="1:33" ht="12" customHeight="1">
      <c r="A1570" s="706" t="s">
        <v>1279</v>
      </c>
      <c r="B1570" s="707" t="s">
        <v>1583</v>
      </c>
      <c r="C1570" s="716" t="s">
        <v>841</v>
      </c>
      <c r="D1570" s="709"/>
      <c r="E1570" s="710"/>
      <c r="F1570" s="573"/>
      <c r="G1570" s="487"/>
      <c r="H1570" s="573"/>
      <c r="I1570" s="487"/>
      <c r="J1570" s="573"/>
      <c r="K1570" s="487"/>
      <c r="L1570" s="573"/>
      <c r="M1570" s="573"/>
      <c r="N1570" s="456">
        <f t="shared" si="201"/>
        <v>0</v>
      </c>
      <c r="O1570" s="487"/>
      <c r="P1570" s="487"/>
      <c r="Q1570" s="274">
        <f t="shared" si="196"/>
        <v>0</v>
      </c>
      <c r="R1570" s="574">
        <f t="shared" si="197"/>
        <v>0</v>
      </c>
      <c r="S1570" s="275">
        <f t="shared" si="198"/>
        <v>0</v>
      </c>
      <c r="T1570" s="575"/>
      <c r="U1570" s="487"/>
      <c r="V1570" s="576"/>
      <c r="W1570" s="573"/>
      <c r="X1570" s="574">
        <f t="shared" si="202"/>
        <v>0</v>
      </c>
      <c r="Y1570" s="487"/>
      <c r="Z1570" s="487"/>
      <c r="AA1570" s="276">
        <f t="shared" si="203"/>
        <v>0</v>
      </c>
      <c r="AB1570" s="573"/>
      <c r="AC1570" s="487"/>
      <c r="AD1570" s="573"/>
      <c r="AE1570" s="487"/>
      <c r="AF1570" s="577">
        <f t="shared" si="199"/>
        <v>0</v>
      </c>
      <c r="AG1570" s="275">
        <f t="shared" si="200"/>
        <v>0</v>
      </c>
    </row>
    <row r="1571" spans="1:33" ht="12" customHeight="1">
      <c r="A1571" s="706" t="s">
        <v>1279</v>
      </c>
      <c r="B1571" s="715" t="s">
        <v>1805</v>
      </c>
      <c r="C1571" s="474" t="s">
        <v>1293</v>
      </c>
      <c r="D1571" s="709"/>
      <c r="E1571" s="710"/>
      <c r="F1571" s="573"/>
      <c r="G1571" s="487"/>
      <c r="H1571" s="573"/>
      <c r="I1571" s="487"/>
      <c r="J1571" s="573"/>
      <c r="K1571" s="487"/>
      <c r="L1571" s="573"/>
      <c r="M1571" s="573"/>
      <c r="N1571" s="456">
        <f t="shared" si="201"/>
        <v>0</v>
      </c>
      <c r="O1571" s="487"/>
      <c r="P1571" s="487"/>
      <c r="Q1571" s="274">
        <f t="shared" si="196"/>
        <v>0</v>
      </c>
      <c r="R1571" s="574">
        <f t="shared" si="197"/>
        <v>0</v>
      </c>
      <c r="S1571" s="275">
        <f t="shared" si="198"/>
        <v>0</v>
      </c>
      <c r="T1571" s="575"/>
      <c r="U1571" s="487"/>
      <c r="V1571" s="576"/>
      <c r="W1571" s="573"/>
      <c r="X1571" s="574">
        <f t="shared" si="202"/>
        <v>0</v>
      </c>
      <c r="Y1571" s="487"/>
      <c r="Z1571" s="487"/>
      <c r="AA1571" s="276">
        <f t="shared" si="203"/>
        <v>0</v>
      </c>
      <c r="AB1571" s="573"/>
      <c r="AC1571" s="487"/>
      <c r="AD1571" s="573"/>
      <c r="AE1571" s="487"/>
      <c r="AF1571" s="577">
        <f t="shared" si="199"/>
        <v>0</v>
      </c>
      <c r="AG1571" s="275">
        <f t="shared" si="200"/>
        <v>0</v>
      </c>
    </row>
    <row r="1572" spans="1:33" ht="12" customHeight="1">
      <c r="A1572" s="706" t="s">
        <v>1279</v>
      </c>
      <c r="B1572" s="707" t="s">
        <v>1510</v>
      </c>
      <c r="C1572" s="716" t="s">
        <v>421</v>
      </c>
      <c r="D1572" s="709"/>
      <c r="E1572" s="710"/>
      <c r="F1572" s="573"/>
      <c r="G1572" s="487"/>
      <c r="H1572" s="573"/>
      <c r="I1572" s="487"/>
      <c r="J1572" s="573"/>
      <c r="K1572" s="487"/>
      <c r="L1572" s="573"/>
      <c r="M1572" s="573"/>
      <c r="N1572" s="456">
        <f t="shared" si="201"/>
        <v>0</v>
      </c>
      <c r="O1572" s="487"/>
      <c r="P1572" s="487"/>
      <c r="Q1572" s="274">
        <f t="shared" si="196"/>
        <v>0</v>
      </c>
      <c r="R1572" s="574">
        <f t="shared" si="197"/>
        <v>0</v>
      </c>
      <c r="S1572" s="275">
        <f t="shared" si="198"/>
        <v>0</v>
      </c>
      <c r="T1572" s="575"/>
      <c r="U1572" s="487"/>
      <c r="V1572" s="576"/>
      <c r="W1572" s="573"/>
      <c r="X1572" s="574">
        <f t="shared" si="202"/>
        <v>0</v>
      </c>
      <c r="Y1572" s="487"/>
      <c r="Z1572" s="487"/>
      <c r="AA1572" s="276">
        <f t="shared" si="203"/>
        <v>0</v>
      </c>
      <c r="AB1572" s="573"/>
      <c r="AC1572" s="487"/>
      <c r="AD1572" s="573"/>
      <c r="AE1572" s="487"/>
      <c r="AF1572" s="577">
        <f t="shared" si="199"/>
        <v>0</v>
      </c>
      <c r="AG1572" s="275">
        <f t="shared" si="200"/>
        <v>0</v>
      </c>
    </row>
    <row r="1573" spans="1:33" ht="12" customHeight="1">
      <c r="A1573" s="706" t="s">
        <v>1279</v>
      </c>
      <c r="B1573" s="707" t="s">
        <v>1511</v>
      </c>
      <c r="C1573" s="716" t="s">
        <v>1883</v>
      </c>
      <c r="D1573" s="709"/>
      <c r="E1573" s="710"/>
      <c r="F1573" s="573"/>
      <c r="G1573" s="487"/>
      <c r="H1573" s="573"/>
      <c r="I1573" s="487"/>
      <c r="J1573" s="573"/>
      <c r="K1573" s="487"/>
      <c r="L1573" s="573"/>
      <c r="M1573" s="573"/>
      <c r="N1573" s="456">
        <f t="shared" si="201"/>
        <v>0</v>
      </c>
      <c r="O1573" s="487"/>
      <c r="P1573" s="487"/>
      <c r="Q1573" s="274">
        <f t="shared" si="196"/>
        <v>0</v>
      </c>
      <c r="R1573" s="574">
        <f t="shared" si="197"/>
        <v>0</v>
      </c>
      <c r="S1573" s="275">
        <f t="shared" si="198"/>
        <v>0</v>
      </c>
      <c r="T1573" s="575"/>
      <c r="U1573" s="487"/>
      <c r="V1573" s="576"/>
      <c r="W1573" s="573"/>
      <c r="X1573" s="574">
        <f t="shared" si="202"/>
        <v>0</v>
      </c>
      <c r="Y1573" s="487"/>
      <c r="Z1573" s="487"/>
      <c r="AA1573" s="276">
        <f t="shared" si="203"/>
        <v>0</v>
      </c>
      <c r="AB1573" s="573"/>
      <c r="AC1573" s="487"/>
      <c r="AD1573" s="573"/>
      <c r="AE1573" s="487"/>
      <c r="AF1573" s="577">
        <f t="shared" si="199"/>
        <v>0</v>
      </c>
      <c r="AG1573" s="275">
        <f t="shared" si="200"/>
        <v>0</v>
      </c>
    </row>
    <row r="1574" spans="1:33" ht="12" customHeight="1">
      <c r="A1574" s="706" t="s">
        <v>1279</v>
      </c>
      <c r="B1574" s="707" t="s">
        <v>1412</v>
      </c>
      <c r="C1574" s="716" t="s">
        <v>841</v>
      </c>
      <c r="D1574" s="709"/>
      <c r="E1574" s="710"/>
      <c r="F1574" s="573"/>
      <c r="G1574" s="487"/>
      <c r="H1574" s="573"/>
      <c r="I1574" s="487"/>
      <c r="J1574" s="573"/>
      <c r="K1574" s="487"/>
      <c r="L1574" s="573"/>
      <c r="M1574" s="573"/>
      <c r="N1574" s="456">
        <f t="shared" si="201"/>
        <v>0</v>
      </c>
      <c r="O1574" s="487"/>
      <c r="P1574" s="487"/>
      <c r="Q1574" s="274">
        <f t="shared" si="196"/>
        <v>0</v>
      </c>
      <c r="R1574" s="574">
        <f t="shared" si="197"/>
        <v>0</v>
      </c>
      <c r="S1574" s="275">
        <f t="shared" si="198"/>
        <v>0</v>
      </c>
      <c r="T1574" s="575">
        <v>147223</v>
      </c>
      <c r="U1574" s="487">
        <v>0</v>
      </c>
      <c r="V1574" s="576"/>
      <c r="W1574" s="573"/>
      <c r="X1574" s="574">
        <f t="shared" si="202"/>
        <v>0</v>
      </c>
      <c r="Y1574" s="487"/>
      <c r="Z1574" s="487"/>
      <c r="AA1574" s="276">
        <f t="shared" si="203"/>
        <v>0</v>
      </c>
      <c r="AB1574" s="573"/>
      <c r="AC1574" s="487"/>
      <c r="AD1574" s="573"/>
      <c r="AE1574" s="487"/>
      <c r="AF1574" s="577">
        <f t="shared" si="199"/>
        <v>147223</v>
      </c>
      <c r="AG1574" s="275">
        <f t="shared" si="200"/>
        <v>0</v>
      </c>
    </row>
    <row r="1575" spans="1:33" ht="12" customHeight="1">
      <c r="A1575" s="706" t="s">
        <v>1279</v>
      </c>
      <c r="B1575" s="714" t="s">
        <v>1413</v>
      </c>
      <c r="C1575" s="713" t="s">
        <v>422</v>
      </c>
      <c r="D1575" s="709"/>
      <c r="E1575" s="710"/>
      <c r="F1575" s="573"/>
      <c r="G1575" s="487"/>
      <c r="H1575" s="573"/>
      <c r="I1575" s="487"/>
      <c r="J1575" s="573"/>
      <c r="K1575" s="487"/>
      <c r="L1575" s="573"/>
      <c r="M1575" s="573"/>
      <c r="N1575" s="456">
        <f t="shared" si="201"/>
        <v>0</v>
      </c>
      <c r="O1575" s="487"/>
      <c r="P1575" s="487"/>
      <c r="Q1575" s="274">
        <f t="shared" si="196"/>
        <v>0</v>
      </c>
      <c r="R1575" s="574">
        <f t="shared" si="197"/>
        <v>0</v>
      </c>
      <c r="S1575" s="275">
        <f t="shared" si="198"/>
        <v>0</v>
      </c>
      <c r="T1575" s="575"/>
      <c r="U1575" s="487"/>
      <c r="V1575" s="576"/>
      <c r="W1575" s="573"/>
      <c r="X1575" s="574">
        <f t="shared" si="202"/>
        <v>0</v>
      </c>
      <c r="Y1575" s="487"/>
      <c r="Z1575" s="487"/>
      <c r="AA1575" s="276">
        <f t="shared" si="203"/>
        <v>0</v>
      </c>
      <c r="AB1575" s="573"/>
      <c r="AC1575" s="487"/>
      <c r="AD1575" s="573"/>
      <c r="AE1575" s="487"/>
      <c r="AF1575" s="577">
        <f t="shared" si="199"/>
        <v>0</v>
      </c>
      <c r="AG1575" s="275">
        <f t="shared" si="200"/>
        <v>0</v>
      </c>
    </row>
    <row r="1576" spans="1:33" ht="12" customHeight="1">
      <c r="A1576" s="706" t="s">
        <v>1279</v>
      </c>
      <c r="B1576" s="714" t="s">
        <v>1582</v>
      </c>
      <c r="C1576" s="713" t="s">
        <v>1883</v>
      </c>
      <c r="D1576" s="709"/>
      <c r="E1576" s="710"/>
      <c r="F1576" s="573"/>
      <c r="G1576" s="487"/>
      <c r="H1576" s="573"/>
      <c r="I1576" s="487"/>
      <c r="J1576" s="573"/>
      <c r="K1576" s="487"/>
      <c r="L1576" s="573"/>
      <c r="M1576" s="573"/>
      <c r="N1576" s="456">
        <f t="shared" si="201"/>
        <v>0</v>
      </c>
      <c r="O1576" s="487"/>
      <c r="P1576" s="487"/>
      <c r="Q1576" s="274">
        <f t="shared" si="196"/>
        <v>0</v>
      </c>
      <c r="R1576" s="574">
        <f t="shared" si="197"/>
        <v>0</v>
      </c>
      <c r="S1576" s="275">
        <f t="shared" si="198"/>
        <v>0</v>
      </c>
      <c r="T1576" s="575"/>
      <c r="U1576" s="487"/>
      <c r="V1576" s="576"/>
      <c r="W1576" s="573"/>
      <c r="X1576" s="574">
        <f t="shared" si="202"/>
        <v>0</v>
      </c>
      <c r="Y1576" s="487"/>
      <c r="Z1576" s="487"/>
      <c r="AA1576" s="276">
        <f t="shared" si="203"/>
        <v>0</v>
      </c>
      <c r="AB1576" s="573"/>
      <c r="AC1576" s="487"/>
      <c r="AD1576" s="573"/>
      <c r="AE1576" s="487"/>
      <c r="AF1576" s="577">
        <f t="shared" si="199"/>
        <v>0</v>
      </c>
      <c r="AG1576" s="275">
        <f t="shared" si="200"/>
        <v>0</v>
      </c>
    </row>
    <row r="1577" spans="1:33" ht="12" customHeight="1">
      <c r="A1577" s="706" t="s">
        <v>1279</v>
      </c>
      <c r="B1577" s="707" t="s">
        <v>1583</v>
      </c>
      <c r="C1577" s="716" t="s">
        <v>841</v>
      </c>
      <c r="D1577" s="709"/>
      <c r="E1577" s="710"/>
      <c r="F1577" s="573"/>
      <c r="G1577" s="487"/>
      <c r="H1577" s="573"/>
      <c r="I1577" s="487"/>
      <c r="J1577" s="573"/>
      <c r="K1577" s="487"/>
      <c r="L1577" s="573"/>
      <c r="M1577" s="573"/>
      <c r="N1577" s="456">
        <f t="shared" si="201"/>
        <v>0</v>
      </c>
      <c r="O1577" s="487"/>
      <c r="P1577" s="487"/>
      <c r="Q1577" s="274">
        <f t="shared" si="196"/>
        <v>0</v>
      </c>
      <c r="R1577" s="574">
        <f t="shared" si="197"/>
        <v>0</v>
      </c>
      <c r="S1577" s="275">
        <f t="shared" si="198"/>
        <v>0</v>
      </c>
      <c r="T1577" s="575">
        <v>66885</v>
      </c>
      <c r="U1577" s="487">
        <v>16830</v>
      </c>
      <c r="V1577" s="576"/>
      <c r="W1577" s="573"/>
      <c r="X1577" s="574">
        <f t="shared" si="202"/>
        <v>0</v>
      </c>
      <c r="Y1577" s="487"/>
      <c r="Z1577" s="487"/>
      <c r="AA1577" s="276">
        <f t="shared" si="203"/>
        <v>0</v>
      </c>
      <c r="AB1577" s="573"/>
      <c r="AC1577" s="487"/>
      <c r="AD1577" s="573"/>
      <c r="AE1577" s="487"/>
      <c r="AF1577" s="577">
        <f t="shared" si="199"/>
        <v>66885</v>
      </c>
      <c r="AG1577" s="275">
        <f t="shared" si="200"/>
        <v>16830</v>
      </c>
    </row>
    <row r="1578" spans="1:33" ht="12" customHeight="1">
      <c r="A1578" s="706" t="s">
        <v>1279</v>
      </c>
      <c r="B1578" s="715" t="s">
        <v>1805</v>
      </c>
      <c r="C1578" s="474" t="s">
        <v>1294</v>
      </c>
      <c r="D1578" s="709"/>
      <c r="E1578" s="710"/>
      <c r="F1578" s="573"/>
      <c r="G1578" s="487"/>
      <c r="H1578" s="573"/>
      <c r="I1578" s="487"/>
      <c r="J1578" s="573"/>
      <c r="K1578" s="487"/>
      <c r="L1578" s="573"/>
      <c r="M1578" s="573"/>
      <c r="N1578" s="456">
        <f t="shared" si="201"/>
        <v>0</v>
      </c>
      <c r="O1578" s="487"/>
      <c r="P1578" s="487"/>
      <c r="Q1578" s="274">
        <f t="shared" si="196"/>
        <v>0</v>
      </c>
      <c r="R1578" s="574">
        <f t="shared" si="197"/>
        <v>0</v>
      </c>
      <c r="S1578" s="275">
        <f t="shared" si="198"/>
        <v>0</v>
      </c>
      <c r="T1578" s="575"/>
      <c r="U1578" s="487"/>
      <c r="V1578" s="576"/>
      <c r="W1578" s="573"/>
      <c r="X1578" s="574">
        <f t="shared" si="202"/>
        <v>0</v>
      </c>
      <c r="Y1578" s="487"/>
      <c r="Z1578" s="487"/>
      <c r="AA1578" s="276">
        <f t="shared" si="203"/>
        <v>0</v>
      </c>
      <c r="AB1578" s="573"/>
      <c r="AC1578" s="487"/>
      <c r="AD1578" s="573"/>
      <c r="AE1578" s="487"/>
      <c r="AF1578" s="577">
        <f t="shared" si="199"/>
        <v>0</v>
      </c>
      <c r="AG1578" s="275">
        <f t="shared" si="200"/>
        <v>0</v>
      </c>
    </row>
    <row r="1579" spans="1:33" ht="12" customHeight="1">
      <c r="A1579" s="706" t="s">
        <v>1279</v>
      </c>
      <c r="B1579" s="707" t="s">
        <v>1510</v>
      </c>
      <c r="C1579" s="716" t="s">
        <v>421</v>
      </c>
      <c r="D1579" s="709"/>
      <c r="E1579" s="710"/>
      <c r="F1579" s="573"/>
      <c r="G1579" s="487"/>
      <c r="H1579" s="573"/>
      <c r="I1579" s="487"/>
      <c r="J1579" s="573"/>
      <c r="K1579" s="487"/>
      <c r="L1579" s="573"/>
      <c r="M1579" s="573"/>
      <c r="N1579" s="456">
        <f t="shared" si="201"/>
        <v>0</v>
      </c>
      <c r="O1579" s="487"/>
      <c r="P1579" s="487"/>
      <c r="Q1579" s="274">
        <f t="shared" si="196"/>
        <v>0</v>
      </c>
      <c r="R1579" s="574">
        <f t="shared" si="197"/>
        <v>0</v>
      </c>
      <c r="S1579" s="275">
        <f t="shared" si="198"/>
        <v>0</v>
      </c>
      <c r="T1579" s="575"/>
      <c r="U1579" s="487"/>
      <c r="V1579" s="576"/>
      <c r="W1579" s="573"/>
      <c r="X1579" s="574">
        <f t="shared" si="202"/>
        <v>0</v>
      </c>
      <c r="Y1579" s="487"/>
      <c r="Z1579" s="487"/>
      <c r="AA1579" s="276">
        <f t="shared" si="203"/>
        <v>0</v>
      </c>
      <c r="AB1579" s="573"/>
      <c r="AC1579" s="487"/>
      <c r="AD1579" s="573"/>
      <c r="AE1579" s="487"/>
      <c r="AF1579" s="577">
        <f t="shared" si="199"/>
        <v>0</v>
      </c>
      <c r="AG1579" s="275">
        <f t="shared" si="200"/>
        <v>0</v>
      </c>
    </row>
    <row r="1580" spans="1:33" ht="12" customHeight="1">
      <c r="A1580" s="706" t="s">
        <v>1279</v>
      </c>
      <c r="B1580" s="707" t="s">
        <v>1511</v>
      </c>
      <c r="C1580" s="716" t="s">
        <v>1883</v>
      </c>
      <c r="D1580" s="709"/>
      <c r="E1580" s="710"/>
      <c r="F1580" s="573"/>
      <c r="G1580" s="487"/>
      <c r="H1580" s="573"/>
      <c r="I1580" s="487"/>
      <c r="J1580" s="573"/>
      <c r="K1580" s="487"/>
      <c r="L1580" s="573"/>
      <c r="M1580" s="573"/>
      <c r="N1580" s="456">
        <f t="shared" si="201"/>
        <v>0</v>
      </c>
      <c r="O1580" s="487"/>
      <c r="P1580" s="487"/>
      <c r="Q1580" s="274">
        <f t="shared" si="196"/>
        <v>0</v>
      </c>
      <c r="R1580" s="574">
        <f t="shared" si="197"/>
        <v>0</v>
      </c>
      <c r="S1580" s="275">
        <f t="shared" si="198"/>
        <v>0</v>
      </c>
      <c r="T1580" s="575"/>
      <c r="U1580" s="487"/>
      <c r="V1580" s="576"/>
      <c r="W1580" s="573"/>
      <c r="X1580" s="574">
        <f t="shared" si="202"/>
        <v>0</v>
      </c>
      <c r="Y1580" s="487"/>
      <c r="Z1580" s="487"/>
      <c r="AA1580" s="276">
        <f t="shared" si="203"/>
        <v>0</v>
      </c>
      <c r="AB1580" s="573"/>
      <c r="AC1580" s="487"/>
      <c r="AD1580" s="573"/>
      <c r="AE1580" s="487"/>
      <c r="AF1580" s="577">
        <f t="shared" si="199"/>
        <v>0</v>
      </c>
      <c r="AG1580" s="275">
        <f t="shared" si="200"/>
        <v>0</v>
      </c>
    </row>
    <row r="1581" spans="1:33" ht="12" customHeight="1">
      <c r="A1581" s="706" t="s">
        <v>1279</v>
      </c>
      <c r="B1581" s="707" t="s">
        <v>1412</v>
      </c>
      <c r="C1581" s="716" t="s">
        <v>841</v>
      </c>
      <c r="D1581" s="709"/>
      <c r="E1581" s="710"/>
      <c r="F1581" s="573"/>
      <c r="G1581" s="487"/>
      <c r="H1581" s="573"/>
      <c r="I1581" s="487"/>
      <c r="J1581" s="573"/>
      <c r="K1581" s="487"/>
      <c r="L1581" s="573"/>
      <c r="M1581" s="573"/>
      <c r="N1581" s="456">
        <f t="shared" si="201"/>
        <v>0</v>
      </c>
      <c r="O1581" s="487"/>
      <c r="P1581" s="487"/>
      <c r="Q1581" s="274">
        <f t="shared" si="196"/>
        <v>0</v>
      </c>
      <c r="R1581" s="574">
        <f t="shared" si="197"/>
        <v>0</v>
      </c>
      <c r="S1581" s="275">
        <f t="shared" si="198"/>
        <v>0</v>
      </c>
      <c r="T1581" s="575">
        <v>34500</v>
      </c>
      <c r="U1581" s="487">
        <v>15000</v>
      </c>
      <c r="V1581" s="576"/>
      <c r="W1581" s="573"/>
      <c r="X1581" s="574">
        <f t="shared" si="202"/>
        <v>0</v>
      </c>
      <c r="Y1581" s="487"/>
      <c r="Z1581" s="487"/>
      <c r="AA1581" s="276">
        <f t="shared" si="203"/>
        <v>0</v>
      </c>
      <c r="AB1581" s="573"/>
      <c r="AC1581" s="487"/>
      <c r="AD1581" s="573"/>
      <c r="AE1581" s="487"/>
      <c r="AF1581" s="577">
        <f t="shared" si="199"/>
        <v>34500</v>
      </c>
      <c r="AG1581" s="275">
        <f t="shared" si="200"/>
        <v>15000</v>
      </c>
    </row>
    <row r="1582" spans="1:33" ht="12" customHeight="1">
      <c r="A1582" s="706" t="s">
        <v>1279</v>
      </c>
      <c r="B1582" s="714" t="s">
        <v>1413</v>
      </c>
      <c r="C1582" s="713" t="s">
        <v>422</v>
      </c>
      <c r="D1582" s="709"/>
      <c r="E1582" s="710"/>
      <c r="F1582" s="573"/>
      <c r="G1582" s="487"/>
      <c r="H1582" s="573"/>
      <c r="I1582" s="487"/>
      <c r="J1582" s="573"/>
      <c r="K1582" s="487"/>
      <c r="L1582" s="573"/>
      <c r="M1582" s="573"/>
      <c r="N1582" s="456">
        <f t="shared" si="201"/>
        <v>0</v>
      </c>
      <c r="O1582" s="487"/>
      <c r="P1582" s="487"/>
      <c r="Q1582" s="274">
        <f t="shared" si="196"/>
        <v>0</v>
      </c>
      <c r="R1582" s="574">
        <f t="shared" si="197"/>
        <v>0</v>
      </c>
      <c r="S1582" s="275">
        <f t="shared" si="198"/>
        <v>0</v>
      </c>
      <c r="T1582" s="575"/>
      <c r="U1582" s="487"/>
      <c r="V1582" s="576"/>
      <c r="W1582" s="573"/>
      <c r="X1582" s="574">
        <f t="shared" si="202"/>
        <v>0</v>
      </c>
      <c r="Y1582" s="487"/>
      <c r="Z1582" s="487"/>
      <c r="AA1582" s="276">
        <f t="shared" si="203"/>
        <v>0</v>
      </c>
      <c r="AB1582" s="573"/>
      <c r="AC1582" s="487"/>
      <c r="AD1582" s="573"/>
      <c r="AE1582" s="487"/>
      <c r="AF1582" s="577">
        <f t="shared" si="199"/>
        <v>0</v>
      </c>
      <c r="AG1582" s="275">
        <f t="shared" si="200"/>
        <v>0</v>
      </c>
    </row>
    <row r="1583" spans="1:33" ht="12" customHeight="1">
      <c r="A1583" s="706" t="s">
        <v>1279</v>
      </c>
      <c r="B1583" s="714" t="s">
        <v>1582</v>
      </c>
      <c r="C1583" s="713" t="s">
        <v>1883</v>
      </c>
      <c r="D1583" s="709"/>
      <c r="E1583" s="710"/>
      <c r="F1583" s="573"/>
      <c r="G1583" s="487"/>
      <c r="H1583" s="573"/>
      <c r="I1583" s="487"/>
      <c r="J1583" s="573"/>
      <c r="K1583" s="487"/>
      <c r="L1583" s="573"/>
      <c r="M1583" s="573"/>
      <c r="N1583" s="456">
        <f t="shared" si="201"/>
        <v>0</v>
      </c>
      <c r="O1583" s="487"/>
      <c r="P1583" s="487"/>
      <c r="Q1583" s="274">
        <f t="shared" si="196"/>
        <v>0</v>
      </c>
      <c r="R1583" s="574">
        <f t="shared" si="197"/>
        <v>0</v>
      </c>
      <c r="S1583" s="275">
        <f t="shared" si="198"/>
        <v>0</v>
      </c>
      <c r="T1583" s="575"/>
      <c r="U1583" s="487"/>
      <c r="V1583" s="576"/>
      <c r="W1583" s="573"/>
      <c r="X1583" s="574">
        <f t="shared" si="202"/>
        <v>0</v>
      </c>
      <c r="Y1583" s="487"/>
      <c r="Z1583" s="487"/>
      <c r="AA1583" s="276">
        <f t="shared" si="203"/>
        <v>0</v>
      </c>
      <c r="AB1583" s="573"/>
      <c r="AC1583" s="487"/>
      <c r="AD1583" s="573"/>
      <c r="AE1583" s="487"/>
      <c r="AF1583" s="577">
        <f t="shared" si="199"/>
        <v>0</v>
      </c>
      <c r="AG1583" s="275">
        <f t="shared" si="200"/>
        <v>0</v>
      </c>
    </row>
    <row r="1584" spans="1:33" ht="12" customHeight="1">
      <c r="A1584" s="706" t="s">
        <v>1279</v>
      </c>
      <c r="B1584" s="707" t="s">
        <v>1583</v>
      </c>
      <c r="C1584" s="716" t="s">
        <v>841</v>
      </c>
      <c r="D1584" s="709"/>
      <c r="E1584" s="710"/>
      <c r="F1584" s="573"/>
      <c r="G1584" s="487"/>
      <c r="H1584" s="573"/>
      <c r="I1584" s="487"/>
      <c r="J1584" s="573"/>
      <c r="K1584" s="487"/>
      <c r="L1584" s="573"/>
      <c r="M1584" s="573"/>
      <c r="N1584" s="456">
        <f t="shared" si="201"/>
        <v>0</v>
      </c>
      <c r="O1584" s="487"/>
      <c r="P1584" s="487"/>
      <c r="Q1584" s="274">
        <f t="shared" si="196"/>
        <v>0</v>
      </c>
      <c r="R1584" s="574">
        <f t="shared" si="197"/>
        <v>0</v>
      </c>
      <c r="S1584" s="275">
        <f t="shared" si="198"/>
        <v>0</v>
      </c>
      <c r="T1584" s="575">
        <v>12000</v>
      </c>
      <c r="U1584" s="487">
        <v>4500</v>
      </c>
      <c r="V1584" s="576"/>
      <c r="W1584" s="573"/>
      <c r="X1584" s="574">
        <f t="shared" si="202"/>
        <v>0</v>
      </c>
      <c r="Y1584" s="487"/>
      <c r="Z1584" s="487"/>
      <c r="AA1584" s="276">
        <f t="shared" si="203"/>
        <v>0</v>
      </c>
      <c r="AB1584" s="573"/>
      <c r="AC1584" s="487"/>
      <c r="AD1584" s="573"/>
      <c r="AE1584" s="487"/>
      <c r="AF1584" s="577">
        <f t="shared" si="199"/>
        <v>12000</v>
      </c>
      <c r="AG1584" s="275">
        <f t="shared" si="200"/>
        <v>4500</v>
      </c>
    </row>
    <row r="1585" spans="1:33" ht="12" customHeight="1">
      <c r="A1585" s="706" t="s">
        <v>1279</v>
      </c>
      <c r="B1585" s="715" t="s">
        <v>1805</v>
      </c>
      <c r="C1585" s="474" t="s">
        <v>1295</v>
      </c>
      <c r="D1585" s="709"/>
      <c r="E1585" s="710"/>
      <c r="F1585" s="573"/>
      <c r="G1585" s="487"/>
      <c r="H1585" s="573"/>
      <c r="I1585" s="487"/>
      <c r="J1585" s="573"/>
      <c r="K1585" s="487"/>
      <c r="L1585" s="573"/>
      <c r="M1585" s="573"/>
      <c r="N1585" s="456">
        <f t="shared" si="201"/>
        <v>0</v>
      </c>
      <c r="O1585" s="487"/>
      <c r="P1585" s="487"/>
      <c r="Q1585" s="274">
        <f t="shared" si="196"/>
        <v>0</v>
      </c>
      <c r="R1585" s="574">
        <f t="shared" si="197"/>
        <v>0</v>
      </c>
      <c r="S1585" s="275">
        <f t="shared" si="198"/>
        <v>0</v>
      </c>
      <c r="T1585" s="575"/>
      <c r="U1585" s="487"/>
      <c r="V1585" s="576"/>
      <c r="W1585" s="573"/>
      <c r="X1585" s="574">
        <f t="shared" si="202"/>
        <v>0</v>
      </c>
      <c r="Y1585" s="487"/>
      <c r="Z1585" s="487"/>
      <c r="AA1585" s="276">
        <f t="shared" si="203"/>
        <v>0</v>
      </c>
      <c r="AB1585" s="573"/>
      <c r="AC1585" s="487"/>
      <c r="AD1585" s="573"/>
      <c r="AE1585" s="487"/>
      <c r="AF1585" s="577">
        <f t="shared" si="199"/>
        <v>0</v>
      </c>
      <c r="AG1585" s="275">
        <f t="shared" si="200"/>
        <v>0</v>
      </c>
    </row>
    <row r="1586" spans="1:33" ht="12" customHeight="1">
      <c r="A1586" s="706" t="s">
        <v>1279</v>
      </c>
      <c r="B1586" s="707" t="s">
        <v>1510</v>
      </c>
      <c r="C1586" s="716" t="s">
        <v>421</v>
      </c>
      <c r="D1586" s="709"/>
      <c r="E1586" s="710"/>
      <c r="F1586" s="573"/>
      <c r="G1586" s="487"/>
      <c r="H1586" s="573"/>
      <c r="I1586" s="487"/>
      <c r="J1586" s="573"/>
      <c r="K1586" s="487"/>
      <c r="L1586" s="573"/>
      <c r="M1586" s="573"/>
      <c r="N1586" s="456">
        <f t="shared" si="201"/>
        <v>0</v>
      </c>
      <c r="O1586" s="487"/>
      <c r="P1586" s="487"/>
      <c r="Q1586" s="274">
        <f t="shared" si="196"/>
        <v>0</v>
      </c>
      <c r="R1586" s="574">
        <f t="shared" si="197"/>
        <v>0</v>
      </c>
      <c r="S1586" s="275">
        <f t="shared" si="198"/>
        <v>0</v>
      </c>
      <c r="T1586" s="575"/>
      <c r="U1586" s="487"/>
      <c r="V1586" s="576"/>
      <c r="W1586" s="573"/>
      <c r="X1586" s="574">
        <f t="shared" si="202"/>
        <v>0</v>
      </c>
      <c r="Y1586" s="487"/>
      <c r="Z1586" s="487"/>
      <c r="AA1586" s="276">
        <f t="shared" si="203"/>
        <v>0</v>
      </c>
      <c r="AB1586" s="573"/>
      <c r="AC1586" s="487"/>
      <c r="AD1586" s="573"/>
      <c r="AE1586" s="487"/>
      <c r="AF1586" s="577">
        <f t="shared" si="199"/>
        <v>0</v>
      </c>
      <c r="AG1586" s="275">
        <f t="shared" si="200"/>
        <v>0</v>
      </c>
    </row>
    <row r="1587" spans="1:33" ht="12" customHeight="1">
      <c r="A1587" s="706" t="s">
        <v>1279</v>
      </c>
      <c r="B1587" s="707" t="s">
        <v>1511</v>
      </c>
      <c r="C1587" s="716" t="s">
        <v>1883</v>
      </c>
      <c r="D1587" s="709"/>
      <c r="E1587" s="710"/>
      <c r="F1587" s="573"/>
      <c r="G1587" s="487"/>
      <c r="H1587" s="573"/>
      <c r="I1587" s="487"/>
      <c r="J1587" s="573"/>
      <c r="K1587" s="487"/>
      <c r="L1587" s="573"/>
      <c r="M1587" s="573"/>
      <c r="N1587" s="456">
        <f t="shared" si="201"/>
        <v>0</v>
      </c>
      <c r="O1587" s="487"/>
      <c r="P1587" s="487"/>
      <c r="Q1587" s="274">
        <f t="shared" si="196"/>
        <v>0</v>
      </c>
      <c r="R1587" s="574">
        <f t="shared" si="197"/>
        <v>0</v>
      </c>
      <c r="S1587" s="275">
        <f t="shared" si="198"/>
        <v>0</v>
      </c>
      <c r="T1587" s="575"/>
      <c r="U1587" s="487"/>
      <c r="V1587" s="576"/>
      <c r="W1587" s="573"/>
      <c r="X1587" s="574">
        <f t="shared" si="202"/>
        <v>0</v>
      </c>
      <c r="Y1587" s="487"/>
      <c r="Z1587" s="487"/>
      <c r="AA1587" s="276">
        <f t="shared" si="203"/>
        <v>0</v>
      </c>
      <c r="AB1587" s="573"/>
      <c r="AC1587" s="487"/>
      <c r="AD1587" s="573"/>
      <c r="AE1587" s="487"/>
      <c r="AF1587" s="577">
        <f t="shared" si="199"/>
        <v>0</v>
      </c>
      <c r="AG1587" s="275">
        <f t="shared" si="200"/>
        <v>0</v>
      </c>
    </row>
    <row r="1588" spans="1:33" ht="12" customHeight="1">
      <c r="A1588" s="706" t="s">
        <v>1279</v>
      </c>
      <c r="B1588" s="707" t="s">
        <v>1412</v>
      </c>
      <c r="C1588" s="716" t="s">
        <v>841</v>
      </c>
      <c r="D1588" s="709"/>
      <c r="E1588" s="710"/>
      <c r="F1588" s="573"/>
      <c r="G1588" s="487"/>
      <c r="H1588" s="573"/>
      <c r="I1588" s="487"/>
      <c r="J1588" s="573"/>
      <c r="K1588" s="487"/>
      <c r="L1588" s="573"/>
      <c r="M1588" s="573"/>
      <c r="N1588" s="456">
        <f t="shared" si="201"/>
        <v>0</v>
      </c>
      <c r="O1588" s="487"/>
      <c r="P1588" s="487"/>
      <c r="Q1588" s="274">
        <f t="shared" si="196"/>
        <v>0</v>
      </c>
      <c r="R1588" s="574">
        <f t="shared" si="197"/>
        <v>0</v>
      </c>
      <c r="S1588" s="275">
        <f t="shared" si="198"/>
        <v>0</v>
      </c>
      <c r="T1588" s="575">
        <v>742310</v>
      </c>
      <c r="U1588" s="487">
        <f>105710+13628</f>
        <v>119338</v>
      </c>
      <c r="V1588" s="576"/>
      <c r="W1588" s="573"/>
      <c r="X1588" s="574">
        <f t="shared" si="202"/>
        <v>0</v>
      </c>
      <c r="Y1588" s="487"/>
      <c r="Z1588" s="487"/>
      <c r="AA1588" s="276">
        <f t="shared" si="203"/>
        <v>0</v>
      </c>
      <c r="AB1588" s="573"/>
      <c r="AC1588" s="487"/>
      <c r="AD1588" s="573"/>
      <c r="AE1588" s="487"/>
      <c r="AF1588" s="577">
        <f t="shared" si="199"/>
        <v>742310</v>
      </c>
      <c r="AG1588" s="275">
        <f t="shared" si="200"/>
        <v>119338</v>
      </c>
    </row>
    <row r="1589" spans="1:33" ht="12" customHeight="1">
      <c r="A1589" s="706" t="s">
        <v>1279</v>
      </c>
      <c r="B1589" s="714" t="s">
        <v>1413</v>
      </c>
      <c r="C1589" s="713" t="s">
        <v>422</v>
      </c>
      <c r="D1589" s="709"/>
      <c r="E1589" s="710"/>
      <c r="F1589" s="573"/>
      <c r="G1589" s="487"/>
      <c r="H1589" s="573"/>
      <c r="I1589" s="487"/>
      <c r="J1589" s="573"/>
      <c r="K1589" s="487"/>
      <c r="L1589" s="573"/>
      <c r="M1589" s="573"/>
      <c r="N1589" s="456">
        <f t="shared" si="201"/>
        <v>0</v>
      </c>
      <c r="O1589" s="487"/>
      <c r="P1589" s="487"/>
      <c r="Q1589" s="274">
        <f t="shared" si="196"/>
        <v>0</v>
      </c>
      <c r="R1589" s="574">
        <f t="shared" si="197"/>
        <v>0</v>
      </c>
      <c r="S1589" s="275">
        <f t="shared" si="198"/>
        <v>0</v>
      </c>
      <c r="T1589" s="575"/>
      <c r="U1589" s="487"/>
      <c r="V1589" s="576"/>
      <c r="W1589" s="573"/>
      <c r="X1589" s="574">
        <f t="shared" si="202"/>
        <v>0</v>
      </c>
      <c r="Y1589" s="487"/>
      <c r="Z1589" s="487"/>
      <c r="AA1589" s="276">
        <f t="shared" si="203"/>
        <v>0</v>
      </c>
      <c r="AB1589" s="573"/>
      <c r="AC1589" s="487"/>
      <c r="AD1589" s="573"/>
      <c r="AE1589" s="487"/>
      <c r="AF1589" s="577">
        <f t="shared" si="199"/>
        <v>0</v>
      </c>
      <c r="AG1589" s="275">
        <f t="shared" si="200"/>
        <v>0</v>
      </c>
    </row>
    <row r="1590" spans="1:33" ht="12" customHeight="1">
      <c r="A1590" s="706" t="s">
        <v>1279</v>
      </c>
      <c r="B1590" s="714" t="s">
        <v>1582</v>
      </c>
      <c r="C1590" s="713" t="s">
        <v>1883</v>
      </c>
      <c r="D1590" s="709"/>
      <c r="E1590" s="710"/>
      <c r="F1590" s="573"/>
      <c r="G1590" s="487"/>
      <c r="H1590" s="573"/>
      <c r="I1590" s="487"/>
      <c r="J1590" s="573"/>
      <c r="K1590" s="487"/>
      <c r="L1590" s="573"/>
      <c r="M1590" s="573"/>
      <c r="N1590" s="456">
        <f t="shared" si="201"/>
        <v>0</v>
      </c>
      <c r="O1590" s="487"/>
      <c r="P1590" s="487"/>
      <c r="Q1590" s="274">
        <f t="shared" si="196"/>
        <v>0</v>
      </c>
      <c r="R1590" s="574">
        <f t="shared" si="197"/>
        <v>0</v>
      </c>
      <c r="S1590" s="275">
        <f t="shared" si="198"/>
        <v>0</v>
      </c>
      <c r="T1590" s="575"/>
      <c r="U1590" s="487"/>
      <c r="V1590" s="576"/>
      <c r="W1590" s="573"/>
      <c r="X1590" s="574">
        <f t="shared" si="202"/>
        <v>0</v>
      </c>
      <c r="Y1590" s="487"/>
      <c r="Z1590" s="487"/>
      <c r="AA1590" s="276">
        <f t="shared" si="203"/>
        <v>0</v>
      </c>
      <c r="AB1590" s="573"/>
      <c r="AC1590" s="487"/>
      <c r="AD1590" s="573"/>
      <c r="AE1590" s="487"/>
      <c r="AF1590" s="577">
        <f t="shared" si="199"/>
        <v>0</v>
      </c>
      <c r="AG1590" s="275">
        <f t="shared" si="200"/>
        <v>0</v>
      </c>
    </row>
    <row r="1591" spans="1:33" ht="12" customHeight="1">
      <c r="A1591" s="706" t="s">
        <v>1279</v>
      </c>
      <c r="B1591" s="707" t="s">
        <v>1583</v>
      </c>
      <c r="C1591" s="716" t="s">
        <v>841</v>
      </c>
      <c r="D1591" s="709"/>
      <c r="E1591" s="710"/>
      <c r="F1591" s="573"/>
      <c r="G1591" s="487"/>
      <c r="H1591" s="573"/>
      <c r="I1591" s="487"/>
      <c r="J1591" s="573"/>
      <c r="K1591" s="487"/>
      <c r="L1591" s="573"/>
      <c r="M1591" s="573"/>
      <c r="N1591" s="456">
        <f t="shared" si="201"/>
        <v>0</v>
      </c>
      <c r="O1591" s="487"/>
      <c r="P1591" s="487"/>
      <c r="Q1591" s="274">
        <f t="shared" si="196"/>
        <v>0</v>
      </c>
      <c r="R1591" s="574">
        <f t="shared" si="197"/>
        <v>0</v>
      </c>
      <c r="S1591" s="275">
        <f t="shared" si="198"/>
        <v>0</v>
      </c>
      <c r="T1591" s="575">
        <v>217500</v>
      </c>
      <c r="U1591" s="487">
        <v>96000</v>
      </c>
      <c r="V1591" s="576"/>
      <c r="W1591" s="573"/>
      <c r="X1591" s="574">
        <f t="shared" si="202"/>
        <v>0</v>
      </c>
      <c r="Y1591" s="487"/>
      <c r="Z1591" s="487"/>
      <c r="AA1591" s="276">
        <f t="shared" si="203"/>
        <v>0</v>
      </c>
      <c r="AB1591" s="573"/>
      <c r="AC1591" s="487"/>
      <c r="AD1591" s="573"/>
      <c r="AE1591" s="487"/>
      <c r="AF1591" s="577">
        <f t="shared" si="199"/>
        <v>217500</v>
      </c>
      <c r="AG1591" s="275">
        <f t="shared" si="200"/>
        <v>96000</v>
      </c>
    </row>
    <row r="1592" spans="1:33" ht="12" customHeight="1">
      <c r="A1592" s="706" t="s">
        <v>1279</v>
      </c>
      <c r="B1592" s="715" t="s">
        <v>1805</v>
      </c>
      <c r="C1592" s="474" t="s">
        <v>1296</v>
      </c>
      <c r="D1592" s="709"/>
      <c r="E1592" s="710"/>
      <c r="F1592" s="573"/>
      <c r="G1592" s="487"/>
      <c r="H1592" s="573"/>
      <c r="I1592" s="487"/>
      <c r="J1592" s="573"/>
      <c r="K1592" s="487"/>
      <c r="L1592" s="573"/>
      <c r="M1592" s="573"/>
      <c r="N1592" s="456">
        <f t="shared" si="201"/>
        <v>0</v>
      </c>
      <c r="O1592" s="487"/>
      <c r="P1592" s="487"/>
      <c r="Q1592" s="274">
        <f t="shared" si="196"/>
        <v>0</v>
      </c>
      <c r="R1592" s="574">
        <f t="shared" si="197"/>
        <v>0</v>
      </c>
      <c r="S1592" s="275">
        <f t="shared" si="198"/>
        <v>0</v>
      </c>
      <c r="T1592" s="575"/>
      <c r="U1592" s="487"/>
      <c r="V1592" s="576"/>
      <c r="W1592" s="573"/>
      <c r="X1592" s="574">
        <f t="shared" si="202"/>
        <v>0</v>
      </c>
      <c r="Y1592" s="487"/>
      <c r="Z1592" s="487"/>
      <c r="AA1592" s="276">
        <f t="shared" si="203"/>
        <v>0</v>
      </c>
      <c r="AB1592" s="573"/>
      <c r="AC1592" s="487"/>
      <c r="AD1592" s="573"/>
      <c r="AE1592" s="487"/>
      <c r="AF1592" s="577">
        <f t="shared" si="199"/>
        <v>0</v>
      </c>
      <c r="AG1592" s="275">
        <f t="shared" si="200"/>
        <v>0</v>
      </c>
    </row>
    <row r="1593" spans="1:33" ht="12" customHeight="1">
      <c r="A1593" s="706" t="s">
        <v>1279</v>
      </c>
      <c r="B1593" s="707" t="s">
        <v>1510</v>
      </c>
      <c r="C1593" s="716" t="s">
        <v>421</v>
      </c>
      <c r="D1593" s="709"/>
      <c r="E1593" s="710"/>
      <c r="F1593" s="573"/>
      <c r="G1593" s="487"/>
      <c r="H1593" s="573"/>
      <c r="I1593" s="487"/>
      <c r="J1593" s="573"/>
      <c r="K1593" s="487"/>
      <c r="L1593" s="573"/>
      <c r="M1593" s="573"/>
      <c r="N1593" s="456">
        <f t="shared" si="201"/>
        <v>0</v>
      </c>
      <c r="O1593" s="487"/>
      <c r="P1593" s="487"/>
      <c r="Q1593" s="274">
        <f t="shared" si="196"/>
        <v>0</v>
      </c>
      <c r="R1593" s="574">
        <f t="shared" si="197"/>
        <v>0</v>
      </c>
      <c r="S1593" s="275">
        <f t="shared" si="198"/>
        <v>0</v>
      </c>
      <c r="T1593" s="575"/>
      <c r="U1593" s="487"/>
      <c r="V1593" s="576"/>
      <c r="W1593" s="573"/>
      <c r="X1593" s="574">
        <f t="shared" si="202"/>
        <v>0</v>
      </c>
      <c r="Y1593" s="487"/>
      <c r="Z1593" s="487"/>
      <c r="AA1593" s="276">
        <f t="shared" si="203"/>
        <v>0</v>
      </c>
      <c r="AB1593" s="573"/>
      <c r="AC1593" s="487"/>
      <c r="AD1593" s="573"/>
      <c r="AE1593" s="487"/>
      <c r="AF1593" s="577">
        <f t="shared" si="199"/>
        <v>0</v>
      </c>
      <c r="AG1593" s="275">
        <f t="shared" si="200"/>
        <v>0</v>
      </c>
    </row>
    <row r="1594" spans="1:33" ht="12" customHeight="1">
      <c r="A1594" s="706" t="s">
        <v>1279</v>
      </c>
      <c r="B1594" s="707" t="s">
        <v>1511</v>
      </c>
      <c r="C1594" s="716" t="s">
        <v>1883</v>
      </c>
      <c r="D1594" s="709"/>
      <c r="E1594" s="710"/>
      <c r="F1594" s="573"/>
      <c r="G1594" s="487"/>
      <c r="H1594" s="573"/>
      <c r="I1594" s="487"/>
      <c r="J1594" s="573"/>
      <c r="K1594" s="487"/>
      <c r="L1594" s="573"/>
      <c r="M1594" s="573"/>
      <c r="N1594" s="456">
        <f t="shared" si="201"/>
        <v>0</v>
      </c>
      <c r="O1594" s="487"/>
      <c r="P1594" s="487"/>
      <c r="Q1594" s="274">
        <f t="shared" si="196"/>
        <v>0</v>
      </c>
      <c r="R1594" s="574">
        <f t="shared" si="197"/>
        <v>0</v>
      </c>
      <c r="S1594" s="275">
        <f t="shared" si="198"/>
        <v>0</v>
      </c>
      <c r="T1594" s="575"/>
      <c r="U1594" s="487"/>
      <c r="V1594" s="576"/>
      <c r="W1594" s="573"/>
      <c r="X1594" s="574">
        <f t="shared" si="202"/>
        <v>0</v>
      </c>
      <c r="Y1594" s="487"/>
      <c r="Z1594" s="487"/>
      <c r="AA1594" s="276">
        <f t="shared" si="203"/>
        <v>0</v>
      </c>
      <c r="AB1594" s="573"/>
      <c r="AC1594" s="487"/>
      <c r="AD1594" s="573"/>
      <c r="AE1594" s="487"/>
      <c r="AF1594" s="577">
        <f t="shared" si="199"/>
        <v>0</v>
      </c>
      <c r="AG1594" s="275">
        <f t="shared" si="200"/>
        <v>0</v>
      </c>
    </row>
    <row r="1595" spans="1:33" ht="12" customHeight="1">
      <c r="A1595" s="706" t="s">
        <v>1279</v>
      </c>
      <c r="B1595" s="707" t="s">
        <v>1412</v>
      </c>
      <c r="C1595" s="716" t="s">
        <v>841</v>
      </c>
      <c r="D1595" s="709"/>
      <c r="E1595" s="710"/>
      <c r="F1595" s="573"/>
      <c r="G1595" s="487"/>
      <c r="H1595" s="573"/>
      <c r="I1595" s="487"/>
      <c r="J1595" s="573"/>
      <c r="K1595" s="487"/>
      <c r="L1595" s="573"/>
      <c r="M1595" s="573"/>
      <c r="N1595" s="456">
        <f t="shared" si="201"/>
        <v>0</v>
      </c>
      <c r="O1595" s="487"/>
      <c r="P1595" s="487"/>
      <c r="Q1595" s="274">
        <f t="shared" si="196"/>
        <v>0</v>
      </c>
      <c r="R1595" s="574">
        <f t="shared" si="197"/>
        <v>0</v>
      </c>
      <c r="S1595" s="275">
        <f t="shared" si="198"/>
        <v>0</v>
      </c>
      <c r="T1595" s="575">
        <v>8000</v>
      </c>
      <c r="U1595" s="487">
        <v>2000</v>
      </c>
      <c r="V1595" s="576"/>
      <c r="W1595" s="573"/>
      <c r="X1595" s="574">
        <f t="shared" si="202"/>
        <v>0</v>
      </c>
      <c r="Y1595" s="487"/>
      <c r="Z1595" s="487"/>
      <c r="AA1595" s="276">
        <f t="shared" si="203"/>
        <v>0</v>
      </c>
      <c r="AB1595" s="573"/>
      <c r="AC1595" s="487"/>
      <c r="AD1595" s="573"/>
      <c r="AE1595" s="487"/>
      <c r="AF1595" s="577">
        <f t="shared" si="199"/>
        <v>8000</v>
      </c>
      <c r="AG1595" s="275">
        <f t="shared" si="200"/>
        <v>2000</v>
      </c>
    </row>
    <row r="1596" spans="1:33" ht="12" customHeight="1">
      <c r="A1596" s="706" t="s">
        <v>1279</v>
      </c>
      <c r="B1596" s="714" t="s">
        <v>1413</v>
      </c>
      <c r="C1596" s="713" t="s">
        <v>422</v>
      </c>
      <c r="D1596" s="709"/>
      <c r="E1596" s="710"/>
      <c r="F1596" s="573"/>
      <c r="G1596" s="487"/>
      <c r="H1596" s="573"/>
      <c r="I1596" s="487"/>
      <c r="J1596" s="573"/>
      <c r="K1596" s="487"/>
      <c r="L1596" s="573"/>
      <c r="M1596" s="573"/>
      <c r="N1596" s="456">
        <f t="shared" si="201"/>
        <v>0</v>
      </c>
      <c r="O1596" s="487"/>
      <c r="P1596" s="487"/>
      <c r="Q1596" s="274">
        <f t="shared" si="196"/>
        <v>0</v>
      </c>
      <c r="R1596" s="574">
        <f t="shared" si="197"/>
        <v>0</v>
      </c>
      <c r="S1596" s="275">
        <f t="shared" si="198"/>
        <v>0</v>
      </c>
      <c r="T1596" s="1144" t="s">
        <v>1220</v>
      </c>
      <c r="U1596" s="487"/>
      <c r="V1596" s="576"/>
      <c r="W1596" s="573"/>
      <c r="X1596" s="574">
        <f t="shared" si="202"/>
        <v>0</v>
      </c>
      <c r="Y1596" s="487"/>
      <c r="Z1596" s="487"/>
      <c r="AA1596" s="276">
        <f t="shared" si="203"/>
        <v>0</v>
      </c>
      <c r="AB1596" s="573"/>
      <c r="AC1596" s="487"/>
      <c r="AD1596" s="573"/>
      <c r="AE1596" s="487"/>
      <c r="AF1596" s="577">
        <f t="shared" si="199"/>
        <v>0</v>
      </c>
      <c r="AG1596" s="275">
        <f t="shared" si="200"/>
        <v>0</v>
      </c>
    </row>
    <row r="1597" spans="1:33" ht="12" customHeight="1">
      <c r="A1597" s="706" t="s">
        <v>1279</v>
      </c>
      <c r="B1597" s="714" t="s">
        <v>1582</v>
      </c>
      <c r="C1597" s="713" t="s">
        <v>1883</v>
      </c>
      <c r="D1597" s="709"/>
      <c r="E1597" s="710"/>
      <c r="F1597" s="573"/>
      <c r="G1597" s="487"/>
      <c r="H1597" s="573"/>
      <c r="I1597" s="487"/>
      <c r="J1597" s="573"/>
      <c r="K1597" s="487"/>
      <c r="L1597" s="573"/>
      <c r="M1597" s="573"/>
      <c r="N1597" s="456">
        <f t="shared" si="201"/>
        <v>0</v>
      </c>
      <c r="O1597" s="487"/>
      <c r="P1597" s="487"/>
      <c r="Q1597" s="274">
        <f t="shared" si="196"/>
        <v>0</v>
      </c>
      <c r="R1597" s="574">
        <f t="shared" si="197"/>
        <v>0</v>
      </c>
      <c r="S1597" s="275">
        <f t="shared" si="198"/>
        <v>0</v>
      </c>
      <c r="T1597" s="1147"/>
      <c r="U1597" s="487"/>
      <c r="V1597" s="576"/>
      <c r="W1597" s="573"/>
      <c r="X1597" s="574">
        <f t="shared" si="202"/>
        <v>0</v>
      </c>
      <c r="Y1597" s="487"/>
      <c r="Z1597" s="487"/>
      <c r="AA1597" s="276">
        <f t="shared" si="203"/>
        <v>0</v>
      </c>
      <c r="AB1597" s="573"/>
      <c r="AC1597" s="487"/>
      <c r="AD1597" s="573"/>
      <c r="AE1597" s="487"/>
      <c r="AF1597" s="577">
        <f t="shared" si="199"/>
        <v>0</v>
      </c>
      <c r="AG1597" s="275">
        <f t="shared" si="200"/>
        <v>0</v>
      </c>
    </row>
    <row r="1598" spans="1:33" ht="12" customHeight="1">
      <c r="A1598" s="706" t="s">
        <v>1279</v>
      </c>
      <c r="B1598" s="707" t="s">
        <v>1583</v>
      </c>
      <c r="C1598" s="716" t="s">
        <v>841</v>
      </c>
      <c r="D1598" s="709"/>
      <c r="E1598" s="710"/>
      <c r="F1598" s="573"/>
      <c r="G1598" s="487"/>
      <c r="H1598" s="573"/>
      <c r="I1598" s="487"/>
      <c r="J1598" s="573"/>
      <c r="K1598" s="487"/>
      <c r="L1598" s="573"/>
      <c r="M1598" s="573"/>
      <c r="N1598" s="456">
        <f t="shared" si="201"/>
        <v>0</v>
      </c>
      <c r="O1598" s="487"/>
      <c r="P1598" s="487"/>
      <c r="Q1598" s="274">
        <f t="shared" si="196"/>
        <v>0</v>
      </c>
      <c r="R1598" s="574">
        <f t="shared" si="197"/>
        <v>0</v>
      </c>
      <c r="S1598" s="275">
        <f t="shared" si="198"/>
        <v>0</v>
      </c>
      <c r="T1598" s="575"/>
      <c r="U1598" s="487"/>
      <c r="V1598" s="576"/>
      <c r="W1598" s="573"/>
      <c r="X1598" s="574">
        <f t="shared" si="202"/>
        <v>0</v>
      </c>
      <c r="Y1598" s="487"/>
      <c r="Z1598" s="487"/>
      <c r="AA1598" s="276">
        <f t="shared" si="203"/>
        <v>0</v>
      </c>
      <c r="AB1598" s="573"/>
      <c r="AC1598" s="487"/>
      <c r="AD1598" s="573"/>
      <c r="AE1598" s="487"/>
      <c r="AF1598" s="577">
        <f t="shared" si="199"/>
        <v>0</v>
      </c>
      <c r="AG1598" s="275">
        <f t="shared" si="200"/>
        <v>0</v>
      </c>
    </row>
    <row r="1599" spans="1:33" ht="12" customHeight="1">
      <c r="A1599" s="706" t="s">
        <v>1279</v>
      </c>
      <c r="B1599" s="715" t="s">
        <v>1805</v>
      </c>
      <c r="C1599" s="474" t="s">
        <v>182</v>
      </c>
      <c r="D1599" s="709"/>
      <c r="E1599" s="710"/>
      <c r="F1599" s="573"/>
      <c r="G1599" s="487"/>
      <c r="H1599" s="573"/>
      <c r="I1599" s="487"/>
      <c r="J1599" s="573"/>
      <c r="K1599" s="487"/>
      <c r="L1599" s="573"/>
      <c r="M1599" s="573"/>
      <c r="N1599" s="456">
        <f t="shared" si="201"/>
        <v>0</v>
      </c>
      <c r="O1599" s="487"/>
      <c r="P1599" s="487"/>
      <c r="Q1599" s="274">
        <f t="shared" si="196"/>
        <v>0</v>
      </c>
      <c r="R1599" s="574">
        <f t="shared" si="197"/>
        <v>0</v>
      </c>
      <c r="S1599" s="275">
        <f t="shared" si="198"/>
        <v>0</v>
      </c>
      <c r="T1599" s="575"/>
      <c r="U1599" s="487"/>
      <c r="V1599" s="576"/>
      <c r="W1599" s="573"/>
      <c r="X1599" s="574">
        <f t="shared" si="202"/>
        <v>0</v>
      </c>
      <c r="Y1599" s="487"/>
      <c r="Z1599" s="487"/>
      <c r="AA1599" s="276">
        <f t="shared" si="203"/>
        <v>0</v>
      </c>
      <c r="AB1599" s="573"/>
      <c r="AC1599" s="487"/>
      <c r="AD1599" s="573"/>
      <c r="AE1599" s="487"/>
      <c r="AF1599" s="577">
        <f t="shared" si="199"/>
        <v>0</v>
      </c>
      <c r="AG1599" s="275">
        <f t="shared" si="200"/>
        <v>0</v>
      </c>
    </row>
    <row r="1600" spans="1:33" ht="12" customHeight="1">
      <c r="A1600" s="706" t="s">
        <v>1279</v>
      </c>
      <c r="B1600" s="707" t="s">
        <v>1510</v>
      </c>
      <c r="C1600" s="716" t="s">
        <v>421</v>
      </c>
      <c r="D1600" s="709"/>
      <c r="E1600" s="710"/>
      <c r="F1600" s="573"/>
      <c r="G1600" s="487"/>
      <c r="H1600" s="573"/>
      <c r="I1600" s="487"/>
      <c r="J1600" s="573"/>
      <c r="K1600" s="487"/>
      <c r="L1600" s="573"/>
      <c r="M1600" s="573"/>
      <c r="N1600" s="456">
        <f t="shared" si="201"/>
        <v>0</v>
      </c>
      <c r="O1600" s="487"/>
      <c r="P1600" s="487"/>
      <c r="Q1600" s="274">
        <f t="shared" si="196"/>
        <v>0</v>
      </c>
      <c r="R1600" s="574">
        <f t="shared" si="197"/>
        <v>0</v>
      </c>
      <c r="S1600" s="275">
        <f t="shared" si="198"/>
        <v>0</v>
      </c>
      <c r="T1600" s="575"/>
      <c r="U1600" s="487"/>
      <c r="V1600" s="576"/>
      <c r="W1600" s="573"/>
      <c r="X1600" s="574">
        <f t="shared" si="202"/>
        <v>0</v>
      </c>
      <c r="Y1600" s="487"/>
      <c r="Z1600" s="487"/>
      <c r="AA1600" s="276">
        <f t="shared" si="203"/>
        <v>0</v>
      </c>
      <c r="AB1600" s="573"/>
      <c r="AC1600" s="487"/>
      <c r="AD1600" s="573"/>
      <c r="AE1600" s="487"/>
      <c r="AF1600" s="577">
        <f t="shared" si="199"/>
        <v>0</v>
      </c>
      <c r="AG1600" s="275">
        <f t="shared" si="200"/>
        <v>0</v>
      </c>
    </row>
    <row r="1601" spans="1:33" ht="12" customHeight="1">
      <c r="A1601" s="706" t="s">
        <v>1279</v>
      </c>
      <c r="B1601" s="707" t="s">
        <v>1511</v>
      </c>
      <c r="C1601" s="716" t="s">
        <v>1883</v>
      </c>
      <c r="D1601" s="709"/>
      <c r="E1601" s="710"/>
      <c r="F1601" s="573"/>
      <c r="G1601" s="487"/>
      <c r="H1601" s="573"/>
      <c r="I1601" s="487"/>
      <c r="J1601" s="573"/>
      <c r="K1601" s="487"/>
      <c r="L1601" s="573"/>
      <c r="M1601" s="573"/>
      <c r="N1601" s="456">
        <f t="shared" si="201"/>
        <v>0</v>
      </c>
      <c r="O1601" s="487"/>
      <c r="P1601" s="487"/>
      <c r="Q1601" s="274">
        <f t="shared" si="196"/>
        <v>0</v>
      </c>
      <c r="R1601" s="574">
        <f t="shared" si="197"/>
        <v>0</v>
      </c>
      <c r="S1601" s="275">
        <f t="shared" si="198"/>
        <v>0</v>
      </c>
      <c r="T1601" s="575"/>
      <c r="U1601" s="487"/>
      <c r="V1601" s="576"/>
      <c r="W1601" s="573"/>
      <c r="X1601" s="574">
        <f t="shared" si="202"/>
        <v>0</v>
      </c>
      <c r="Y1601" s="487"/>
      <c r="Z1601" s="487"/>
      <c r="AA1601" s="276">
        <f t="shared" si="203"/>
        <v>0</v>
      </c>
      <c r="AB1601" s="573"/>
      <c r="AC1601" s="487"/>
      <c r="AD1601" s="573"/>
      <c r="AE1601" s="487"/>
      <c r="AF1601" s="577">
        <f t="shared" si="199"/>
        <v>0</v>
      </c>
      <c r="AG1601" s="275">
        <f t="shared" si="200"/>
        <v>0</v>
      </c>
    </row>
    <row r="1602" spans="1:33" ht="12" customHeight="1">
      <c r="A1602" s="706" t="s">
        <v>1279</v>
      </c>
      <c r="B1602" s="707" t="s">
        <v>1412</v>
      </c>
      <c r="C1602" s="716" t="s">
        <v>841</v>
      </c>
      <c r="D1602" s="709"/>
      <c r="E1602" s="710"/>
      <c r="F1602" s="573"/>
      <c r="G1602" s="487"/>
      <c r="H1602" s="573"/>
      <c r="I1602" s="487"/>
      <c r="J1602" s="573"/>
      <c r="K1602" s="487"/>
      <c r="L1602" s="573"/>
      <c r="M1602" s="573"/>
      <c r="N1602" s="456">
        <f t="shared" si="201"/>
        <v>0</v>
      </c>
      <c r="O1602" s="487"/>
      <c r="P1602" s="487"/>
      <c r="Q1602" s="274">
        <f t="shared" si="196"/>
        <v>0</v>
      </c>
      <c r="R1602" s="574">
        <f t="shared" si="197"/>
        <v>0</v>
      </c>
      <c r="S1602" s="275">
        <f t="shared" si="198"/>
        <v>0</v>
      </c>
      <c r="T1602" s="575">
        <v>23125</v>
      </c>
      <c r="U1602" s="487">
        <f>5000+4000</f>
        <v>9000</v>
      </c>
      <c r="V1602" s="576"/>
      <c r="W1602" s="573"/>
      <c r="X1602" s="574">
        <f t="shared" si="202"/>
        <v>0</v>
      </c>
      <c r="Y1602" s="487"/>
      <c r="Z1602" s="487"/>
      <c r="AA1602" s="276">
        <f t="shared" si="203"/>
        <v>0</v>
      </c>
      <c r="AB1602" s="573"/>
      <c r="AC1602" s="487"/>
      <c r="AD1602" s="573"/>
      <c r="AE1602" s="487"/>
      <c r="AF1602" s="577">
        <f t="shared" si="199"/>
        <v>23125</v>
      </c>
      <c r="AG1602" s="275">
        <f t="shared" si="200"/>
        <v>9000</v>
      </c>
    </row>
    <row r="1603" spans="1:33" ht="12" customHeight="1">
      <c r="A1603" s="706" t="s">
        <v>1279</v>
      </c>
      <c r="B1603" s="714" t="s">
        <v>1413</v>
      </c>
      <c r="C1603" s="713" t="s">
        <v>422</v>
      </c>
      <c r="D1603" s="709"/>
      <c r="E1603" s="710"/>
      <c r="F1603" s="573"/>
      <c r="G1603" s="487"/>
      <c r="H1603" s="573"/>
      <c r="I1603" s="487"/>
      <c r="J1603" s="573"/>
      <c r="K1603" s="487"/>
      <c r="L1603" s="573"/>
      <c r="M1603" s="573"/>
      <c r="N1603" s="456">
        <f t="shared" si="201"/>
        <v>0</v>
      </c>
      <c r="O1603" s="487"/>
      <c r="P1603" s="487"/>
      <c r="Q1603" s="274">
        <f t="shared" si="196"/>
        <v>0</v>
      </c>
      <c r="R1603" s="574">
        <f t="shared" si="197"/>
        <v>0</v>
      </c>
      <c r="S1603" s="275">
        <f t="shared" si="198"/>
        <v>0</v>
      </c>
      <c r="T1603" s="575"/>
      <c r="U1603" s="487"/>
      <c r="V1603" s="576"/>
      <c r="W1603" s="573"/>
      <c r="X1603" s="574">
        <f t="shared" si="202"/>
        <v>0</v>
      </c>
      <c r="Y1603" s="487"/>
      <c r="Z1603" s="487"/>
      <c r="AA1603" s="276">
        <f t="shared" si="203"/>
        <v>0</v>
      </c>
      <c r="AB1603" s="573"/>
      <c r="AC1603" s="487"/>
      <c r="AD1603" s="573"/>
      <c r="AE1603" s="487"/>
      <c r="AF1603" s="577">
        <f t="shared" si="199"/>
        <v>0</v>
      </c>
      <c r="AG1603" s="275">
        <f t="shared" si="200"/>
        <v>0</v>
      </c>
    </row>
    <row r="1604" spans="1:33" ht="12" customHeight="1">
      <c r="A1604" s="706" t="s">
        <v>1279</v>
      </c>
      <c r="B1604" s="714" t="s">
        <v>1582</v>
      </c>
      <c r="C1604" s="713" t="s">
        <v>1883</v>
      </c>
      <c r="D1604" s="709"/>
      <c r="E1604" s="710"/>
      <c r="F1604" s="573"/>
      <c r="G1604" s="487"/>
      <c r="H1604" s="573"/>
      <c r="I1604" s="487"/>
      <c r="J1604" s="573"/>
      <c r="K1604" s="487"/>
      <c r="L1604" s="573"/>
      <c r="M1604" s="573"/>
      <c r="N1604" s="456">
        <f t="shared" si="201"/>
        <v>0</v>
      </c>
      <c r="O1604" s="487"/>
      <c r="P1604" s="487"/>
      <c r="Q1604" s="274">
        <f t="shared" si="196"/>
        <v>0</v>
      </c>
      <c r="R1604" s="574">
        <f t="shared" si="197"/>
        <v>0</v>
      </c>
      <c r="S1604" s="275">
        <f t="shared" si="198"/>
        <v>0</v>
      </c>
      <c r="T1604" s="575"/>
      <c r="U1604" s="487"/>
      <c r="V1604" s="576"/>
      <c r="W1604" s="573"/>
      <c r="X1604" s="574">
        <f t="shared" si="202"/>
        <v>0</v>
      </c>
      <c r="Y1604" s="487"/>
      <c r="Z1604" s="487"/>
      <c r="AA1604" s="276">
        <f t="shared" si="203"/>
        <v>0</v>
      </c>
      <c r="AB1604" s="573"/>
      <c r="AC1604" s="487"/>
      <c r="AD1604" s="573"/>
      <c r="AE1604" s="487"/>
      <c r="AF1604" s="577">
        <f t="shared" si="199"/>
        <v>0</v>
      </c>
      <c r="AG1604" s="275">
        <f t="shared" si="200"/>
        <v>0</v>
      </c>
    </row>
    <row r="1605" spans="1:33" ht="12" customHeight="1">
      <c r="A1605" s="706" t="s">
        <v>1279</v>
      </c>
      <c r="B1605" s="707" t="s">
        <v>1583</v>
      </c>
      <c r="C1605" s="716" t="s">
        <v>841</v>
      </c>
      <c r="D1605" s="709"/>
      <c r="E1605" s="710"/>
      <c r="F1605" s="573"/>
      <c r="G1605" s="487"/>
      <c r="H1605" s="573"/>
      <c r="I1605" s="487"/>
      <c r="J1605" s="573"/>
      <c r="K1605" s="487"/>
      <c r="L1605" s="573"/>
      <c r="M1605" s="573"/>
      <c r="N1605" s="456">
        <f t="shared" si="201"/>
        <v>0</v>
      </c>
      <c r="O1605" s="487"/>
      <c r="P1605" s="487"/>
      <c r="Q1605" s="274">
        <f t="shared" si="196"/>
        <v>0</v>
      </c>
      <c r="R1605" s="574">
        <f t="shared" si="197"/>
        <v>0</v>
      </c>
      <c r="S1605" s="275">
        <f t="shared" si="198"/>
        <v>0</v>
      </c>
      <c r="T1605" s="575">
        <v>4000</v>
      </c>
      <c r="U1605" s="487">
        <v>1500</v>
      </c>
      <c r="V1605" s="576"/>
      <c r="W1605" s="573"/>
      <c r="X1605" s="574">
        <f t="shared" si="202"/>
        <v>0</v>
      </c>
      <c r="Y1605" s="487"/>
      <c r="Z1605" s="487"/>
      <c r="AA1605" s="276">
        <f t="shared" si="203"/>
        <v>0</v>
      </c>
      <c r="AB1605" s="573"/>
      <c r="AC1605" s="487"/>
      <c r="AD1605" s="573"/>
      <c r="AE1605" s="487"/>
      <c r="AF1605" s="577">
        <f t="shared" si="199"/>
        <v>4000</v>
      </c>
      <c r="AG1605" s="275">
        <f t="shared" si="200"/>
        <v>1500</v>
      </c>
    </row>
    <row r="1606" spans="1:33" ht="12" customHeight="1">
      <c r="A1606" s="706" t="s">
        <v>1279</v>
      </c>
      <c r="B1606" s="715" t="s">
        <v>1805</v>
      </c>
      <c r="C1606" s="474" t="s">
        <v>183</v>
      </c>
      <c r="D1606" s="709"/>
      <c r="E1606" s="710"/>
      <c r="F1606" s="573"/>
      <c r="G1606" s="487"/>
      <c r="H1606" s="573"/>
      <c r="I1606" s="487"/>
      <c r="J1606" s="573"/>
      <c r="K1606" s="487"/>
      <c r="L1606" s="573"/>
      <c r="M1606" s="573"/>
      <c r="N1606" s="456">
        <f t="shared" si="201"/>
        <v>0</v>
      </c>
      <c r="O1606" s="487"/>
      <c r="P1606" s="487"/>
      <c r="Q1606" s="274">
        <f t="shared" si="196"/>
        <v>0</v>
      </c>
      <c r="R1606" s="574">
        <f t="shared" si="197"/>
        <v>0</v>
      </c>
      <c r="S1606" s="275">
        <f t="shared" si="198"/>
        <v>0</v>
      </c>
      <c r="T1606" s="575"/>
      <c r="U1606" s="487"/>
      <c r="V1606" s="576"/>
      <c r="W1606" s="573"/>
      <c r="X1606" s="574">
        <f t="shared" si="202"/>
        <v>0</v>
      </c>
      <c r="Y1606" s="487"/>
      <c r="Z1606" s="487"/>
      <c r="AA1606" s="276">
        <f t="shared" si="203"/>
        <v>0</v>
      </c>
      <c r="AB1606" s="573"/>
      <c r="AC1606" s="487"/>
      <c r="AD1606" s="573"/>
      <c r="AE1606" s="487"/>
      <c r="AF1606" s="577">
        <f t="shared" si="199"/>
        <v>0</v>
      </c>
      <c r="AG1606" s="275">
        <f t="shared" si="200"/>
        <v>0</v>
      </c>
    </row>
    <row r="1607" spans="1:33" ht="12" customHeight="1">
      <c r="A1607" s="706" t="s">
        <v>1279</v>
      </c>
      <c r="B1607" s="707" t="s">
        <v>1510</v>
      </c>
      <c r="C1607" s="716" t="s">
        <v>421</v>
      </c>
      <c r="D1607" s="709"/>
      <c r="E1607" s="710"/>
      <c r="F1607" s="573"/>
      <c r="G1607" s="487"/>
      <c r="H1607" s="573"/>
      <c r="I1607" s="487"/>
      <c r="J1607" s="573"/>
      <c r="K1607" s="487"/>
      <c r="L1607" s="573"/>
      <c r="M1607" s="573"/>
      <c r="N1607" s="456">
        <f t="shared" si="201"/>
        <v>0</v>
      </c>
      <c r="O1607" s="487"/>
      <c r="P1607" s="487"/>
      <c r="Q1607" s="274">
        <f t="shared" si="196"/>
        <v>0</v>
      </c>
      <c r="R1607" s="574">
        <f t="shared" si="197"/>
        <v>0</v>
      </c>
      <c r="S1607" s="275">
        <f t="shared" si="198"/>
        <v>0</v>
      </c>
      <c r="T1607" s="575"/>
      <c r="U1607" s="487"/>
      <c r="V1607" s="576"/>
      <c r="W1607" s="573"/>
      <c r="X1607" s="574">
        <f t="shared" si="202"/>
        <v>0</v>
      </c>
      <c r="Y1607" s="487"/>
      <c r="Z1607" s="487"/>
      <c r="AA1607" s="276">
        <f t="shared" si="203"/>
        <v>0</v>
      </c>
      <c r="AB1607" s="573"/>
      <c r="AC1607" s="487"/>
      <c r="AD1607" s="573"/>
      <c r="AE1607" s="487"/>
      <c r="AF1607" s="577">
        <f t="shared" si="199"/>
        <v>0</v>
      </c>
      <c r="AG1607" s="275">
        <f t="shared" si="200"/>
        <v>0</v>
      </c>
    </row>
    <row r="1608" spans="1:33" ht="12" customHeight="1">
      <c r="A1608" s="706" t="s">
        <v>1279</v>
      </c>
      <c r="B1608" s="707" t="s">
        <v>1511</v>
      </c>
      <c r="C1608" s="716" t="s">
        <v>1883</v>
      </c>
      <c r="D1608" s="709"/>
      <c r="E1608" s="710"/>
      <c r="F1608" s="573"/>
      <c r="G1608" s="487"/>
      <c r="H1608" s="573"/>
      <c r="I1608" s="487"/>
      <c r="J1608" s="573"/>
      <c r="K1608" s="487"/>
      <c r="L1608" s="573"/>
      <c r="M1608" s="573"/>
      <c r="N1608" s="456">
        <f t="shared" si="201"/>
        <v>0</v>
      </c>
      <c r="O1608" s="487"/>
      <c r="P1608" s="487"/>
      <c r="Q1608" s="274">
        <f t="shared" si="196"/>
        <v>0</v>
      </c>
      <c r="R1608" s="574">
        <f t="shared" si="197"/>
        <v>0</v>
      </c>
      <c r="S1608" s="275">
        <f t="shared" si="198"/>
        <v>0</v>
      </c>
      <c r="T1608" s="575"/>
      <c r="U1608" s="487"/>
      <c r="V1608" s="576"/>
      <c r="W1608" s="573"/>
      <c r="X1608" s="574">
        <f t="shared" si="202"/>
        <v>0</v>
      </c>
      <c r="Y1608" s="487"/>
      <c r="Z1608" s="487"/>
      <c r="AA1608" s="276">
        <f t="shared" si="203"/>
        <v>0</v>
      </c>
      <c r="AB1608" s="573"/>
      <c r="AC1608" s="487"/>
      <c r="AD1608" s="573"/>
      <c r="AE1608" s="487"/>
      <c r="AF1608" s="577">
        <f t="shared" si="199"/>
        <v>0</v>
      </c>
      <c r="AG1608" s="275">
        <f t="shared" si="200"/>
        <v>0</v>
      </c>
    </row>
    <row r="1609" spans="1:33" ht="12" customHeight="1">
      <c r="A1609" s="706" t="s">
        <v>1279</v>
      </c>
      <c r="B1609" s="707" t="s">
        <v>1412</v>
      </c>
      <c r="C1609" s="716" t="s">
        <v>841</v>
      </c>
      <c r="D1609" s="709"/>
      <c r="E1609" s="710"/>
      <c r="F1609" s="573"/>
      <c r="G1609" s="487"/>
      <c r="H1609" s="573"/>
      <c r="I1609" s="487"/>
      <c r="J1609" s="573"/>
      <c r="K1609" s="487"/>
      <c r="L1609" s="573"/>
      <c r="M1609" s="573"/>
      <c r="N1609" s="456">
        <f t="shared" si="201"/>
        <v>0</v>
      </c>
      <c r="O1609" s="487"/>
      <c r="P1609" s="487"/>
      <c r="Q1609" s="274">
        <f t="shared" si="196"/>
        <v>0</v>
      </c>
      <c r="R1609" s="574">
        <f t="shared" si="197"/>
        <v>0</v>
      </c>
      <c r="S1609" s="275">
        <f t="shared" si="198"/>
        <v>0</v>
      </c>
      <c r="T1609" s="575">
        <v>47500</v>
      </c>
      <c r="U1609" s="487">
        <v>0</v>
      </c>
      <c r="V1609" s="576"/>
      <c r="W1609" s="573"/>
      <c r="X1609" s="574">
        <f t="shared" si="202"/>
        <v>0</v>
      </c>
      <c r="Y1609" s="487"/>
      <c r="Z1609" s="487"/>
      <c r="AA1609" s="276">
        <f t="shared" si="203"/>
        <v>0</v>
      </c>
      <c r="AB1609" s="573"/>
      <c r="AC1609" s="487"/>
      <c r="AD1609" s="573"/>
      <c r="AE1609" s="487"/>
      <c r="AF1609" s="577">
        <f t="shared" si="199"/>
        <v>47500</v>
      </c>
      <c r="AG1609" s="275">
        <f t="shared" si="200"/>
        <v>0</v>
      </c>
    </row>
    <row r="1610" spans="1:33" ht="12" customHeight="1">
      <c r="A1610" s="706" t="s">
        <v>1279</v>
      </c>
      <c r="B1610" s="714" t="s">
        <v>1413</v>
      </c>
      <c r="C1610" s="713" t="s">
        <v>422</v>
      </c>
      <c r="D1610" s="709"/>
      <c r="E1610" s="710"/>
      <c r="F1610" s="573"/>
      <c r="G1610" s="487"/>
      <c r="H1610" s="573"/>
      <c r="I1610" s="487"/>
      <c r="J1610" s="573"/>
      <c r="K1610" s="487"/>
      <c r="L1610" s="573"/>
      <c r="M1610" s="573"/>
      <c r="N1610" s="456">
        <f t="shared" si="201"/>
        <v>0</v>
      </c>
      <c r="O1610" s="487"/>
      <c r="P1610" s="487"/>
      <c r="Q1610" s="274">
        <f t="shared" ref="Q1610:Q1673" si="204">SUM(O1610:P1610)</f>
        <v>0</v>
      </c>
      <c r="R1610" s="574">
        <f t="shared" ref="R1610:R1673" si="205">SUM(F1610,H1610,J1610,L1610)</f>
        <v>0</v>
      </c>
      <c r="S1610" s="275">
        <f t="shared" ref="S1610:S1673" si="206">SUM(G1610,I1610,K1610,O1610)</f>
        <v>0</v>
      </c>
      <c r="T1610" s="575"/>
      <c r="U1610" s="487"/>
      <c r="V1610" s="576"/>
      <c r="W1610" s="573"/>
      <c r="X1610" s="574">
        <f t="shared" si="202"/>
        <v>0</v>
      </c>
      <c r="Y1610" s="487"/>
      <c r="Z1610" s="487"/>
      <c r="AA1610" s="276">
        <f t="shared" si="203"/>
        <v>0</v>
      </c>
      <c r="AB1610" s="573"/>
      <c r="AC1610" s="487"/>
      <c r="AD1610" s="573"/>
      <c r="AE1610" s="487"/>
      <c r="AF1610" s="577">
        <f t="shared" ref="AF1610:AF1673" si="207">SUM(R1610,T1610,V1610,AB1610,AD1610)</f>
        <v>0</v>
      </c>
      <c r="AG1610" s="275">
        <f t="shared" ref="AG1610:AG1673" si="208">SUM(S1610,U1610,Y1610,AC1610,AE1610)</f>
        <v>0</v>
      </c>
    </row>
    <row r="1611" spans="1:33" ht="12" customHeight="1">
      <c r="A1611" s="706" t="s">
        <v>1279</v>
      </c>
      <c r="B1611" s="714" t="s">
        <v>1582</v>
      </c>
      <c r="C1611" s="713" t="s">
        <v>1883</v>
      </c>
      <c r="D1611" s="709"/>
      <c r="E1611" s="710"/>
      <c r="F1611" s="573"/>
      <c r="G1611" s="487"/>
      <c r="H1611" s="573"/>
      <c r="I1611" s="487"/>
      <c r="J1611" s="573"/>
      <c r="K1611" s="487"/>
      <c r="L1611" s="573"/>
      <c r="M1611" s="573"/>
      <c r="N1611" s="456">
        <f t="shared" si="201"/>
        <v>0</v>
      </c>
      <c r="O1611" s="487"/>
      <c r="P1611" s="487"/>
      <c r="Q1611" s="274">
        <f t="shared" si="204"/>
        <v>0</v>
      </c>
      <c r="R1611" s="574">
        <f t="shared" si="205"/>
        <v>0</v>
      </c>
      <c r="S1611" s="275">
        <f t="shared" si="206"/>
        <v>0</v>
      </c>
      <c r="T1611" s="575"/>
      <c r="U1611" s="487"/>
      <c r="V1611" s="576"/>
      <c r="W1611" s="573"/>
      <c r="X1611" s="574">
        <f t="shared" si="202"/>
        <v>0</v>
      </c>
      <c r="Y1611" s="487"/>
      <c r="Z1611" s="487"/>
      <c r="AA1611" s="276">
        <f t="shared" si="203"/>
        <v>0</v>
      </c>
      <c r="AB1611" s="573"/>
      <c r="AC1611" s="487"/>
      <c r="AD1611" s="573"/>
      <c r="AE1611" s="487"/>
      <c r="AF1611" s="577">
        <f t="shared" si="207"/>
        <v>0</v>
      </c>
      <c r="AG1611" s="275">
        <f t="shared" si="208"/>
        <v>0</v>
      </c>
    </row>
    <row r="1612" spans="1:33" ht="12" customHeight="1">
      <c r="A1612" s="706" t="s">
        <v>1279</v>
      </c>
      <c r="B1612" s="707" t="s">
        <v>1583</v>
      </c>
      <c r="C1612" s="716" t="s">
        <v>841</v>
      </c>
      <c r="D1612" s="709"/>
      <c r="E1612" s="710"/>
      <c r="F1612" s="573"/>
      <c r="G1612" s="487"/>
      <c r="H1612" s="573"/>
      <c r="I1612" s="487"/>
      <c r="J1612" s="573"/>
      <c r="K1612" s="487"/>
      <c r="L1612" s="573"/>
      <c r="M1612" s="573"/>
      <c r="N1612" s="456">
        <f t="shared" si="201"/>
        <v>0</v>
      </c>
      <c r="O1612" s="487"/>
      <c r="P1612" s="487"/>
      <c r="Q1612" s="274">
        <f t="shared" si="204"/>
        <v>0</v>
      </c>
      <c r="R1612" s="574">
        <f t="shared" si="205"/>
        <v>0</v>
      </c>
      <c r="S1612" s="275">
        <f t="shared" si="206"/>
        <v>0</v>
      </c>
      <c r="T1612" s="575">
        <v>2500</v>
      </c>
      <c r="U1612" s="487">
        <v>0</v>
      </c>
      <c r="V1612" s="576"/>
      <c r="W1612" s="573"/>
      <c r="X1612" s="574">
        <f t="shared" si="202"/>
        <v>0</v>
      </c>
      <c r="Y1612" s="487"/>
      <c r="Z1612" s="487"/>
      <c r="AA1612" s="276">
        <f t="shared" si="203"/>
        <v>0</v>
      </c>
      <c r="AB1612" s="573"/>
      <c r="AC1612" s="487"/>
      <c r="AD1612" s="573"/>
      <c r="AE1612" s="487"/>
      <c r="AF1612" s="577">
        <f t="shared" si="207"/>
        <v>2500</v>
      </c>
      <c r="AG1612" s="275">
        <f t="shared" si="208"/>
        <v>0</v>
      </c>
    </row>
    <row r="1613" spans="1:33" ht="12" customHeight="1">
      <c r="A1613" s="706" t="s">
        <v>1279</v>
      </c>
      <c r="B1613" s="715" t="s">
        <v>1805</v>
      </c>
      <c r="C1613" s="474" t="s">
        <v>184</v>
      </c>
      <c r="D1613" s="709"/>
      <c r="E1613" s="710"/>
      <c r="F1613" s="573"/>
      <c r="G1613" s="487"/>
      <c r="H1613" s="573"/>
      <c r="I1613" s="487"/>
      <c r="J1613" s="573"/>
      <c r="K1613" s="487"/>
      <c r="L1613" s="573"/>
      <c r="M1613" s="573"/>
      <c r="N1613" s="456">
        <f t="shared" si="201"/>
        <v>0</v>
      </c>
      <c r="O1613" s="487"/>
      <c r="P1613" s="487"/>
      <c r="Q1613" s="274">
        <f t="shared" si="204"/>
        <v>0</v>
      </c>
      <c r="R1613" s="574">
        <f t="shared" si="205"/>
        <v>0</v>
      </c>
      <c r="S1613" s="275">
        <f t="shared" si="206"/>
        <v>0</v>
      </c>
      <c r="T1613" s="575"/>
      <c r="U1613" s="487"/>
      <c r="V1613" s="576"/>
      <c r="W1613" s="573"/>
      <c r="X1613" s="574">
        <f t="shared" si="202"/>
        <v>0</v>
      </c>
      <c r="Y1613" s="487"/>
      <c r="Z1613" s="487"/>
      <c r="AA1613" s="276">
        <f t="shared" si="203"/>
        <v>0</v>
      </c>
      <c r="AB1613" s="573"/>
      <c r="AC1613" s="487"/>
      <c r="AD1613" s="573"/>
      <c r="AE1613" s="487"/>
      <c r="AF1613" s="577">
        <f t="shared" si="207"/>
        <v>0</v>
      </c>
      <c r="AG1613" s="275">
        <f t="shared" si="208"/>
        <v>0</v>
      </c>
    </row>
    <row r="1614" spans="1:33" ht="12" customHeight="1">
      <c r="A1614" s="706" t="s">
        <v>1279</v>
      </c>
      <c r="B1614" s="707" t="s">
        <v>1510</v>
      </c>
      <c r="C1614" s="716" t="s">
        <v>421</v>
      </c>
      <c r="D1614" s="709"/>
      <c r="E1614" s="710"/>
      <c r="F1614" s="573"/>
      <c r="G1614" s="487"/>
      <c r="H1614" s="573"/>
      <c r="I1614" s="487"/>
      <c r="J1614" s="573"/>
      <c r="K1614" s="487"/>
      <c r="L1614" s="573"/>
      <c r="M1614" s="573"/>
      <c r="N1614" s="456">
        <f t="shared" si="201"/>
        <v>0</v>
      </c>
      <c r="O1614" s="487"/>
      <c r="P1614" s="487"/>
      <c r="Q1614" s="274">
        <f t="shared" si="204"/>
        <v>0</v>
      </c>
      <c r="R1614" s="574">
        <f t="shared" si="205"/>
        <v>0</v>
      </c>
      <c r="S1614" s="275">
        <f t="shared" si="206"/>
        <v>0</v>
      </c>
      <c r="T1614" s="575"/>
      <c r="U1614" s="487"/>
      <c r="V1614" s="576"/>
      <c r="W1614" s="573"/>
      <c r="X1614" s="574">
        <f t="shared" si="202"/>
        <v>0</v>
      </c>
      <c r="Y1614" s="487"/>
      <c r="Z1614" s="487"/>
      <c r="AA1614" s="276">
        <f t="shared" si="203"/>
        <v>0</v>
      </c>
      <c r="AB1614" s="573"/>
      <c r="AC1614" s="487"/>
      <c r="AD1614" s="573"/>
      <c r="AE1614" s="487"/>
      <c r="AF1614" s="577">
        <f t="shared" si="207"/>
        <v>0</v>
      </c>
      <c r="AG1614" s="275">
        <f t="shared" si="208"/>
        <v>0</v>
      </c>
    </row>
    <row r="1615" spans="1:33" ht="12" customHeight="1">
      <c r="A1615" s="706" t="s">
        <v>1279</v>
      </c>
      <c r="B1615" s="707" t="s">
        <v>1511</v>
      </c>
      <c r="C1615" s="716" t="s">
        <v>1883</v>
      </c>
      <c r="D1615" s="709"/>
      <c r="E1615" s="710"/>
      <c r="F1615" s="573"/>
      <c r="G1615" s="487"/>
      <c r="H1615" s="573"/>
      <c r="I1615" s="487"/>
      <c r="J1615" s="573"/>
      <c r="K1615" s="487"/>
      <c r="L1615" s="573"/>
      <c r="M1615" s="573"/>
      <c r="N1615" s="456">
        <f t="shared" si="201"/>
        <v>0</v>
      </c>
      <c r="O1615" s="487"/>
      <c r="P1615" s="487"/>
      <c r="Q1615" s="274">
        <f t="shared" si="204"/>
        <v>0</v>
      </c>
      <c r="R1615" s="574">
        <f t="shared" si="205"/>
        <v>0</v>
      </c>
      <c r="S1615" s="275">
        <f t="shared" si="206"/>
        <v>0</v>
      </c>
      <c r="T1615" s="575"/>
      <c r="U1615" s="487"/>
      <c r="V1615" s="576"/>
      <c r="W1615" s="573"/>
      <c r="X1615" s="574">
        <f t="shared" si="202"/>
        <v>0</v>
      </c>
      <c r="Y1615" s="487"/>
      <c r="Z1615" s="487"/>
      <c r="AA1615" s="276">
        <f t="shared" si="203"/>
        <v>0</v>
      </c>
      <c r="AB1615" s="573"/>
      <c r="AC1615" s="487"/>
      <c r="AD1615" s="573"/>
      <c r="AE1615" s="487"/>
      <c r="AF1615" s="577">
        <f t="shared" si="207"/>
        <v>0</v>
      </c>
      <c r="AG1615" s="275">
        <f t="shared" si="208"/>
        <v>0</v>
      </c>
    </row>
    <row r="1616" spans="1:33" ht="12" customHeight="1">
      <c r="A1616" s="706" t="s">
        <v>1279</v>
      </c>
      <c r="B1616" s="707" t="s">
        <v>1412</v>
      </c>
      <c r="C1616" s="716" t="s">
        <v>841</v>
      </c>
      <c r="D1616" s="709"/>
      <c r="E1616" s="710"/>
      <c r="F1616" s="573"/>
      <c r="G1616" s="487"/>
      <c r="H1616" s="573"/>
      <c r="I1616" s="487"/>
      <c r="J1616" s="573"/>
      <c r="K1616" s="487"/>
      <c r="L1616" s="573"/>
      <c r="M1616" s="573"/>
      <c r="N1616" s="456">
        <f t="shared" si="201"/>
        <v>0</v>
      </c>
      <c r="O1616" s="487"/>
      <c r="P1616" s="487"/>
      <c r="Q1616" s="274">
        <f t="shared" si="204"/>
        <v>0</v>
      </c>
      <c r="R1616" s="574">
        <f t="shared" si="205"/>
        <v>0</v>
      </c>
      <c r="S1616" s="275">
        <f t="shared" si="206"/>
        <v>0</v>
      </c>
      <c r="T1616" s="575">
        <v>3000</v>
      </c>
      <c r="U1616" s="487">
        <v>0</v>
      </c>
      <c r="V1616" s="576"/>
      <c r="W1616" s="573"/>
      <c r="X1616" s="574">
        <f t="shared" si="202"/>
        <v>0</v>
      </c>
      <c r="Y1616" s="487"/>
      <c r="Z1616" s="487"/>
      <c r="AA1616" s="276">
        <f t="shared" si="203"/>
        <v>0</v>
      </c>
      <c r="AB1616" s="573"/>
      <c r="AC1616" s="487"/>
      <c r="AD1616" s="573"/>
      <c r="AE1616" s="487"/>
      <c r="AF1616" s="577">
        <f t="shared" si="207"/>
        <v>3000</v>
      </c>
      <c r="AG1616" s="275">
        <f t="shared" si="208"/>
        <v>0</v>
      </c>
    </row>
    <row r="1617" spans="1:33" ht="12" customHeight="1">
      <c r="A1617" s="706" t="s">
        <v>1279</v>
      </c>
      <c r="B1617" s="714" t="s">
        <v>1413</v>
      </c>
      <c r="C1617" s="713" t="s">
        <v>422</v>
      </c>
      <c r="D1617" s="709"/>
      <c r="E1617" s="710"/>
      <c r="F1617" s="573"/>
      <c r="G1617" s="487"/>
      <c r="H1617" s="573"/>
      <c r="I1617" s="487"/>
      <c r="J1617" s="573"/>
      <c r="K1617" s="487"/>
      <c r="L1617" s="573"/>
      <c r="M1617" s="573"/>
      <c r="N1617" s="456">
        <f t="shared" si="201"/>
        <v>0</v>
      </c>
      <c r="O1617" s="487"/>
      <c r="P1617" s="487"/>
      <c r="Q1617" s="274">
        <f t="shared" si="204"/>
        <v>0</v>
      </c>
      <c r="R1617" s="574">
        <f t="shared" si="205"/>
        <v>0</v>
      </c>
      <c r="S1617" s="275">
        <f t="shared" si="206"/>
        <v>0</v>
      </c>
      <c r="T1617" s="575"/>
      <c r="U1617" s="487"/>
      <c r="V1617" s="576"/>
      <c r="W1617" s="573"/>
      <c r="X1617" s="574">
        <f t="shared" si="202"/>
        <v>0</v>
      </c>
      <c r="Y1617" s="487"/>
      <c r="Z1617" s="487"/>
      <c r="AA1617" s="276">
        <f t="shared" si="203"/>
        <v>0</v>
      </c>
      <c r="AB1617" s="573"/>
      <c r="AC1617" s="487"/>
      <c r="AD1617" s="573"/>
      <c r="AE1617" s="487"/>
      <c r="AF1617" s="577">
        <f t="shared" si="207"/>
        <v>0</v>
      </c>
      <c r="AG1617" s="275">
        <f t="shared" si="208"/>
        <v>0</v>
      </c>
    </row>
    <row r="1618" spans="1:33" ht="12" customHeight="1">
      <c r="A1618" s="706" t="s">
        <v>1279</v>
      </c>
      <c r="B1618" s="714" t="s">
        <v>1582</v>
      </c>
      <c r="C1618" s="713" t="s">
        <v>1883</v>
      </c>
      <c r="D1618" s="709"/>
      <c r="E1618" s="710"/>
      <c r="F1618" s="573"/>
      <c r="G1618" s="487"/>
      <c r="H1618" s="573"/>
      <c r="I1618" s="487"/>
      <c r="J1618" s="573"/>
      <c r="K1618" s="487"/>
      <c r="L1618" s="573"/>
      <c r="M1618" s="573"/>
      <c r="N1618" s="456">
        <f t="shared" si="201"/>
        <v>0</v>
      </c>
      <c r="O1618" s="487"/>
      <c r="P1618" s="487"/>
      <c r="Q1618" s="274">
        <f t="shared" si="204"/>
        <v>0</v>
      </c>
      <c r="R1618" s="574">
        <f t="shared" si="205"/>
        <v>0</v>
      </c>
      <c r="S1618" s="275">
        <f t="shared" si="206"/>
        <v>0</v>
      </c>
      <c r="T1618" s="575"/>
      <c r="U1618" s="487"/>
      <c r="V1618" s="576"/>
      <c r="W1618" s="573"/>
      <c r="X1618" s="574">
        <f t="shared" si="202"/>
        <v>0</v>
      </c>
      <c r="Y1618" s="487"/>
      <c r="Z1618" s="487"/>
      <c r="AA1618" s="276">
        <f t="shared" si="203"/>
        <v>0</v>
      </c>
      <c r="AB1618" s="573"/>
      <c r="AC1618" s="487"/>
      <c r="AD1618" s="573"/>
      <c r="AE1618" s="487"/>
      <c r="AF1618" s="577">
        <f t="shared" si="207"/>
        <v>0</v>
      </c>
      <c r="AG1618" s="275">
        <f t="shared" si="208"/>
        <v>0</v>
      </c>
    </row>
    <row r="1619" spans="1:33" ht="12" customHeight="1">
      <c r="A1619" s="706" t="s">
        <v>1279</v>
      </c>
      <c r="B1619" s="707" t="s">
        <v>1583</v>
      </c>
      <c r="C1619" s="716" t="s">
        <v>841</v>
      </c>
      <c r="D1619" s="709"/>
      <c r="E1619" s="710"/>
      <c r="F1619" s="573"/>
      <c r="G1619" s="487"/>
      <c r="H1619" s="573"/>
      <c r="I1619" s="487"/>
      <c r="J1619" s="573"/>
      <c r="K1619" s="487"/>
      <c r="L1619" s="573"/>
      <c r="M1619" s="573"/>
      <c r="N1619" s="456">
        <f t="shared" ref="N1619:N1682" si="209">SUM(L1619:M1619)</f>
        <v>0</v>
      </c>
      <c r="O1619" s="487"/>
      <c r="P1619" s="487"/>
      <c r="Q1619" s="274">
        <f t="shared" si="204"/>
        <v>0</v>
      </c>
      <c r="R1619" s="574">
        <f t="shared" si="205"/>
        <v>0</v>
      </c>
      <c r="S1619" s="275">
        <f t="shared" si="206"/>
        <v>0</v>
      </c>
      <c r="T1619" s="575"/>
      <c r="U1619" s="487"/>
      <c r="V1619" s="576"/>
      <c r="W1619" s="573"/>
      <c r="X1619" s="574">
        <f t="shared" ref="X1619:X1682" si="210">SUM(V1619:W1619)</f>
        <v>0</v>
      </c>
      <c r="Y1619" s="487"/>
      <c r="Z1619" s="487"/>
      <c r="AA1619" s="276">
        <f t="shared" ref="AA1619:AA1682" si="211">SUM(Y1619:Z1619)</f>
        <v>0</v>
      </c>
      <c r="AB1619" s="573"/>
      <c r="AC1619" s="487"/>
      <c r="AD1619" s="573"/>
      <c r="AE1619" s="487"/>
      <c r="AF1619" s="577">
        <f t="shared" si="207"/>
        <v>0</v>
      </c>
      <c r="AG1619" s="275">
        <f t="shared" si="208"/>
        <v>0</v>
      </c>
    </row>
    <row r="1620" spans="1:33" ht="12" customHeight="1">
      <c r="A1620" s="706" t="s">
        <v>1279</v>
      </c>
      <c r="B1620" s="715" t="s">
        <v>1805</v>
      </c>
      <c r="C1620" s="474" t="s">
        <v>185</v>
      </c>
      <c r="D1620" s="709"/>
      <c r="E1620" s="710"/>
      <c r="F1620" s="573"/>
      <c r="G1620" s="487"/>
      <c r="H1620" s="573"/>
      <c r="I1620" s="487"/>
      <c r="J1620" s="573"/>
      <c r="K1620" s="487"/>
      <c r="L1620" s="573"/>
      <c r="M1620" s="573"/>
      <c r="N1620" s="456">
        <f t="shared" si="209"/>
        <v>0</v>
      </c>
      <c r="O1620" s="487"/>
      <c r="P1620" s="487"/>
      <c r="Q1620" s="274">
        <f t="shared" si="204"/>
        <v>0</v>
      </c>
      <c r="R1620" s="574">
        <f t="shared" si="205"/>
        <v>0</v>
      </c>
      <c r="S1620" s="275">
        <f t="shared" si="206"/>
        <v>0</v>
      </c>
      <c r="T1620" s="575"/>
      <c r="U1620" s="487"/>
      <c r="V1620" s="576"/>
      <c r="W1620" s="573"/>
      <c r="X1620" s="574">
        <f t="shared" si="210"/>
        <v>0</v>
      </c>
      <c r="Y1620" s="487"/>
      <c r="Z1620" s="487"/>
      <c r="AA1620" s="276">
        <f t="shared" si="211"/>
        <v>0</v>
      </c>
      <c r="AB1620" s="573"/>
      <c r="AC1620" s="487"/>
      <c r="AD1620" s="573"/>
      <c r="AE1620" s="487"/>
      <c r="AF1620" s="577">
        <f t="shared" si="207"/>
        <v>0</v>
      </c>
      <c r="AG1620" s="275">
        <f t="shared" si="208"/>
        <v>0</v>
      </c>
    </row>
    <row r="1621" spans="1:33" ht="12" customHeight="1">
      <c r="A1621" s="706" t="s">
        <v>1279</v>
      </c>
      <c r="B1621" s="707" t="s">
        <v>1510</v>
      </c>
      <c r="C1621" s="716" t="s">
        <v>421</v>
      </c>
      <c r="D1621" s="709"/>
      <c r="E1621" s="710"/>
      <c r="F1621" s="573"/>
      <c r="G1621" s="487"/>
      <c r="H1621" s="573"/>
      <c r="I1621" s="487"/>
      <c r="J1621" s="573"/>
      <c r="K1621" s="487"/>
      <c r="L1621" s="573"/>
      <c r="M1621" s="573"/>
      <c r="N1621" s="456">
        <f t="shared" si="209"/>
        <v>0</v>
      </c>
      <c r="O1621" s="487"/>
      <c r="P1621" s="487"/>
      <c r="Q1621" s="274">
        <f t="shared" si="204"/>
        <v>0</v>
      </c>
      <c r="R1621" s="574">
        <f t="shared" si="205"/>
        <v>0</v>
      </c>
      <c r="S1621" s="275">
        <f t="shared" si="206"/>
        <v>0</v>
      </c>
      <c r="T1621" s="575"/>
      <c r="U1621" s="487"/>
      <c r="V1621" s="576"/>
      <c r="W1621" s="573"/>
      <c r="X1621" s="574">
        <f t="shared" si="210"/>
        <v>0</v>
      </c>
      <c r="Y1621" s="487"/>
      <c r="Z1621" s="487"/>
      <c r="AA1621" s="276">
        <f t="shared" si="211"/>
        <v>0</v>
      </c>
      <c r="AB1621" s="573"/>
      <c r="AC1621" s="487"/>
      <c r="AD1621" s="573"/>
      <c r="AE1621" s="487"/>
      <c r="AF1621" s="577">
        <f t="shared" si="207"/>
        <v>0</v>
      </c>
      <c r="AG1621" s="275">
        <f t="shared" si="208"/>
        <v>0</v>
      </c>
    </row>
    <row r="1622" spans="1:33" ht="12" customHeight="1">
      <c r="A1622" s="706" t="s">
        <v>1279</v>
      </c>
      <c r="B1622" s="707" t="s">
        <v>1511</v>
      </c>
      <c r="C1622" s="716" t="s">
        <v>1883</v>
      </c>
      <c r="D1622" s="709"/>
      <c r="E1622" s="710"/>
      <c r="F1622" s="573"/>
      <c r="G1622" s="487"/>
      <c r="H1622" s="573"/>
      <c r="I1622" s="487"/>
      <c r="J1622" s="573"/>
      <c r="K1622" s="487"/>
      <c r="L1622" s="573"/>
      <c r="M1622" s="573"/>
      <c r="N1622" s="456">
        <f t="shared" si="209"/>
        <v>0</v>
      </c>
      <c r="O1622" s="487"/>
      <c r="P1622" s="487"/>
      <c r="Q1622" s="274">
        <f t="shared" si="204"/>
        <v>0</v>
      </c>
      <c r="R1622" s="574">
        <f t="shared" si="205"/>
        <v>0</v>
      </c>
      <c r="S1622" s="275">
        <f t="shared" si="206"/>
        <v>0</v>
      </c>
      <c r="T1622" s="575"/>
      <c r="U1622" s="487"/>
      <c r="V1622" s="576"/>
      <c r="W1622" s="573"/>
      <c r="X1622" s="574">
        <f t="shared" si="210"/>
        <v>0</v>
      </c>
      <c r="Y1622" s="487"/>
      <c r="Z1622" s="487"/>
      <c r="AA1622" s="276">
        <f t="shared" si="211"/>
        <v>0</v>
      </c>
      <c r="AB1622" s="573"/>
      <c r="AC1622" s="487"/>
      <c r="AD1622" s="573"/>
      <c r="AE1622" s="487"/>
      <c r="AF1622" s="577">
        <f t="shared" si="207"/>
        <v>0</v>
      </c>
      <c r="AG1622" s="275">
        <f t="shared" si="208"/>
        <v>0</v>
      </c>
    </row>
    <row r="1623" spans="1:33" ht="12" customHeight="1">
      <c r="A1623" s="706" t="s">
        <v>1279</v>
      </c>
      <c r="B1623" s="707" t="s">
        <v>1412</v>
      </c>
      <c r="C1623" s="716" t="s">
        <v>841</v>
      </c>
      <c r="D1623" s="709"/>
      <c r="E1623" s="710"/>
      <c r="F1623" s="573"/>
      <c r="G1623" s="487"/>
      <c r="H1623" s="573"/>
      <c r="I1623" s="487"/>
      <c r="J1623" s="573"/>
      <c r="K1623" s="487"/>
      <c r="L1623" s="573"/>
      <c r="M1623" s="573"/>
      <c r="N1623" s="456">
        <f t="shared" si="209"/>
        <v>0</v>
      </c>
      <c r="O1623" s="487"/>
      <c r="P1623" s="487"/>
      <c r="Q1623" s="274">
        <f t="shared" si="204"/>
        <v>0</v>
      </c>
      <c r="R1623" s="574">
        <f t="shared" si="205"/>
        <v>0</v>
      </c>
      <c r="S1623" s="275">
        <f t="shared" si="206"/>
        <v>0</v>
      </c>
      <c r="T1623" s="575">
        <v>239450</v>
      </c>
      <c r="U1623" s="487">
        <f>35550+6150</f>
        <v>41700</v>
      </c>
      <c r="V1623" s="576"/>
      <c r="W1623" s="573"/>
      <c r="X1623" s="574">
        <f t="shared" si="210"/>
        <v>0</v>
      </c>
      <c r="Y1623" s="487"/>
      <c r="Z1623" s="487"/>
      <c r="AA1623" s="276">
        <f t="shared" si="211"/>
        <v>0</v>
      </c>
      <c r="AB1623" s="573"/>
      <c r="AC1623" s="487"/>
      <c r="AD1623" s="573"/>
      <c r="AE1623" s="487"/>
      <c r="AF1623" s="577">
        <f t="shared" si="207"/>
        <v>239450</v>
      </c>
      <c r="AG1623" s="275">
        <f t="shared" si="208"/>
        <v>41700</v>
      </c>
    </row>
    <row r="1624" spans="1:33" ht="12" customHeight="1">
      <c r="A1624" s="706" t="s">
        <v>1279</v>
      </c>
      <c r="B1624" s="714" t="s">
        <v>1413</v>
      </c>
      <c r="C1624" s="713" t="s">
        <v>422</v>
      </c>
      <c r="D1624" s="709"/>
      <c r="E1624" s="710"/>
      <c r="F1624" s="573"/>
      <c r="G1624" s="487"/>
      <c r="H1624" s="573"/>
      <c r="I1624" s="487"/>
      <c r="J1624" s="573"/>
      <c r="K1624" s="487"/>
      <c r="L1624" s="573"/>
      <c r="M1624" s="573"/>
      <c r="N1624" s="456">
        <f t="shared" si="209"/>
        <v>0</v>
      </c>
      <c r="O1624" s="487"/>
      <c r="P1624" s="487"/>
      <c r="Q1624" s="274">
        <f t="shared" si="204"/>
        <v>0</v>
      </c>
      <c r="R1624" s="574">
        <f t="shared" si="205"/>
        <v>0</v>
      </c>
      <c r="S1624" s="275">
        <f t="shared" si="206"/>
        <v>0</v>
      </c>
      <c r="T1624" s="575"/>
      <c r="U1624" s="487"/>
      <c r="V1624" s="576"/>
      <c r="W1624" s="573"/>
      <c r="X1624" s="574">
        <f t="shared" si="210"/>
        <v>0</v>
      </c>
      <c r="Y1624" s="487"/>
      <c r="Z1624" s="487"/>
      <c r="AA1624" s="276">
        <f t="shared" si="211"/>
        <v>0</v>
      </c>
      <c r="AB1624" s="573"/>
      <c r="AC1624" s="487"/>
      <c r="AD1624" s="573"/>
      <c r="AE1624" s="487"/>
      <c r="AF1624" s="577">
        <f t="shared" si="207"/>
        <v>0</v>
      </c>
      <c r="AG1624" s="275">
        <f t="shared" si="208"/>
        <v>0</v>
      </c>
    </row>
    <row r="1625" spans="1:33" ht="12" customHeight="1">
      <c r="A1625" s="706" t="s">
        <v>1279</v>
      </c>
      <c r="B1625" s="714" t="s">
        <v>1582</v>
      </c>
      <c r="C1625" s="713" t="s">
        <v>1883</v>
      </c>
      <c r="D1625" s="709"/>
      <c r="E1625" s="710"/>
      <c r="F1625" s="573"/>
      <c r="G1625" s="487"/>
      <c r="H1625" s="573"/>
      <c r="I1625" s="487"/>
      <c r="J1625" s="573"/>
      <c r="K1625" s="487"/>
      <c r="L1625" s="573"/>
      <c r="M1625" s="573"/>
      <c r="N1625" s="456">
        <f t="shared" si="209"/>
        <v>0</v>
      </c>
      <c r="O1625" s="487"/>
      <c r="P1625" s="487"/>
      <c r="Q1625" s="274">
        <f t="shared" si="204"/>
        <v>0</v>
      </c>
      <c r="R1625" s="574">
        <f t="shared" si="205"/>
        <v>0</v>
      </c>
      <c r="S1625" s="275">
        <f t="shared" si="206"/>
        <v>0</v>
      </c>
      <c r="T1625" s="575"/>
      <c r="U1625" s="487"/>
      <c r="V1625" s="576"/>
      <c r="W1625" s="573"/>
      <c r="X1625" s="574">
        <f t="shared" si="210"/>
        <v>0</v>
      </c>
      <c r="Y1625" s="487"/>
      <c r="Z1625" s="487"/>
      <c r="AA1625" s="276">
        <f t="shared" si="211"/>
        <v>0</v>
      </c>
      <c r="AB1625" s="573"/>
      <c r="AC1625" s="487"/>
      <c r="AD1625" s="573"/>
      <c r="AE1625" s="487"/>
      <c r="AF1625" s="577">
        <f t="shared" si="207"/>
        <v>0</v>
      </c>
      <c r="AG1625" s="275">
        <f t="shared" si="208"/>
        <v>0</v>
      </c>
    </row>
    <row r="1626" spans="1:33" ht="12" customHeight="1">
      <c r="A1626" s="706" t="s">
        <v>1279</v>
      </c>
      <c r="B1626" s="707" t="s">
        <v>1583</v>
      </c>
      <c r="C1626" s="716" t="s">
        <v>841</v>
      </c>
      <c r="D1626" s="709"/>
      <c r="E1626" s="710"/>
      <c r="F1626" s="573"/>
      <c r="G1626" s="487"/>
      <c r="H1626" s="573"/>
      <c r="I1626" s="487"/>
      <c r="J1626" s="573"/>
      <c r="K1626" s="487"/>
      <c r="L1626" s="573"/>
      <c r="M1626" s="573"/>
      <c r="N1626" s="456">
        <f t="shared" si="209"/>
        <v>0</v>
      </c>
      <c r="O1626" s="487"/>
      <c r="P1626" s="487"/>
      <c r="Q1626" s="274">
        <f t="shared" si="204"/>
        <v>0</v>
      </c>
      <c r="R1626" s="574">
        <f t="shared" si="205"/>
        <v>0</v>
      </c>
      <c r="S1626" s="275">
        <f t="shared" si="206"/>
        <v>0</v>
      </c>
      <c r="T1626" s="575">
        <v>49750</v>
      </c>
      <c r="U1626" s="487">
        <f>8400</f>
        <v>8400</v>
      </c>
      <c r="V1626" s="576"/>
      <c r="W1626" s="573"/>
      <c r="X1626" s="574">
        <f t="shared" si="210"/>
        <v>0</v>
      </c>
      <c r="Y1626" s="487"/>
      <c r="Z1626" s="487"/>
      <c r="AA1626" s="276">
        <f t="shared" si="211"/>
        <v>0</v>
      </c>
      <c r="AB1626" s="573"/>
      <c r="AC1626" s="487"/>
      <c r="AD1626" s="573"/>
      <c r="AE1626" s="487"/>
      <c r="AF1626" s="577">
        <f t="shared" si="207"/>
        <v>49750</v>
      </c>
      <c r="AG1626" s="275">
        <f t="shared" si="208"/>
        <v>8400</v>
      </c>
    </row>
    <row r="1627" spans="1:33" ht="12" customHeight="1">
      <c r="A1627" s="706" t="s">
        <v>1279</v>
      </c>
      <c r="B1627" s="715" t="s">
        <v>1805</v>
      </c>
      <c r="C1627" s="474" t="s">
        <v>186</v>
      </c>
      <c r="D1627" s="709"/>
      <c r="E1627" s="710"/>
      <c r="F1627" s="573"/>
      <c r="G1627" s="487"/>
      <c r="H1627" s="573"/>
      <c r="I1627" s="487"/>
      <c r="J1627" s="573"/>
      <c r="K1627" s="487"/>
      <c r="L1627" s="573"/>
      <c r="M1627" s="573"/>
      <c r="N1627" s="456">
        <f t="shared" si="209"/>
        <v>0</v>
      </c>
      <c r="O1627" s="487"/>
      <c r="P1627" s="487"/>
      <c r="Q1627" s="274">
        <f t="shared" si="204"/>
        <v>0</v>
      </c>
      <c r="R1627" s="574">
        <f t="shared" si="205"/>
        <v>0</v>
      </c>
      <c r="S1627" s="275">
        <f t="shared" si="206"/>
        <v>0</v>
      </c>
      <c r="T1627" s="575"/>
      <c r="U1627" s="487"/>
      <c r="V1627" s="576"/>
      <c r="W1627" s="573"/>
      <c r="X1627" s="574">
        <f t="shared" si="210"/>
        <v>0</v>
      </c>
      <c r="Y1627" s="487"/>
      <c r="Z1627" s="487"/>
      <c r="AA1627" s="276">
        <f t="shared" si="211"/>
        <v>0</v>
      </c>
      <c r="AB1627" s="573"/>
      <c r="AC1627" s="487"/>
      <c r="AD1627" s="573"/>
      <c r="AE1627" s="487"/>
      <c r="AF1627" s="577">
        <f t="shared" si="207"/>
        <v>0</v>
      </c>
      <c r="AG1627" s="275">
        <f t="shared" si="208"/>
        <v>0</v>
      </c>
    </row>
    <row r="1628" spans="1:33" ht="12" customHeight="1">
      <c r="A1628" s="706" t="s">
        <v>1279</v>
      </c>
      <c r="B1628" s="707" t="s">
        <v>1510</v>
      </c>
      <c r="C1628" s="716" t="s">
        <v>421</v>
      </c>
      <c r="D1628" s="709"/>
      <c r="E1628" s="710"/>
      <c r="F1628" s="573"/>
      <c r="G1628" s="487"/>
      <c r="H1628" s="573"/>
      <c r="I1628" s="487"/>
      <c r="J1628" s="573"/>
      <c r="K1628" s="487"/>
      <c r="L1628" s="573"/>
      <c r="M1628" s="573"/>
      <c r="N1628" s="456">
        <f t="shared" si="209"/>
        <v>0</v>
      </c>
      <c r="O1628" s="487"/>
      <c r="P1628" s="487"/>
      <c r="Q1628" s="274">
        <f t="shared" si="204"/>
        <v>0</v>
      </c>
      <c r="R1628" s="574">
        <f t="shared" si="205"/>
        <v>0</v>
      </c>
      <c r="S1628" s="275">
        <f t="shared" si="206"/>
        <v>0</v>
      </c>
      <c r="T1628" s="575"/>
      <c r="U1628" s="487"/>
      <c r="V1628" s="576"/>
      <c r="W1628" s="573"/>
      <c r="X1628" s="574">
        <f t="shared" si="210"/>
        <v>0</v>
      </c>
      <c r="Y1628" s="487"/>
      <c r="Z1628" s="487"/>
      <c r="AA1628" s="276">
        <f t="shared" si="211"/>
        <v>0</v>
      </c>
      <c r="AB1628" s="573"/>
      <c r="AC1628" s="487"/>
      <c r="AD1628" s="573"/>
      <c r="AE1628" s="487"/>
      <c r="AF1628" s="577">
        <f t="shared" si="207"/>
        <v>0</v>
      </c>
      <c r="AG1628" s="275">
        <f t="shared" si="208"/>
        <v>0</v>
      </c>
    </row>
    <row r="1629" spans="1:33" ht="12" customHeight="1">
      <c r="A1629" s="706" t="s">
        <v>1279</v>
      </c>
      <c r="B1629" s="707" t="s">
        <v>1511</v>
      </c>
      <c r="C1629" s="716" t="s">
        <v>1883</v>
      </c>
      <c r="D1629" s="709"/>
      <c r="E1629" s="710"/>
      <c r="F1629" s="573"/>
      <c r="G1629" s="487"/>
      <c r="H1629" s="573"/>
      <c r="I1629" s="487"/>
      <c r="J1629" s="573"/>
      <c r="K1629" s="487"/>
      <c r="L1629" s="573"/>
      <c r="M1629" s="573"/>
      <c r="N1629" s="456">
        <f t="shared" si="209"/>
        <v>0</v>
      </c>
      <c r="O1629" s="487"/>
      <c r="P1629" s="487"/>
      <c r="Q1629" s="274">
        <f t="shared" si="204"/>
        <v>0</v>
      </c>
      <c r="R1629" s="574">
        <f t="shared" si="205"/>
        <v>0</v>
      </c>
      <c r="S1629" s="275">
        <f t="shared" si="206"/>
        <v>0</v>
      </c>
      <c r="T1629" s="575"/>
      <c r="U1629" s="487"/>
      <c r="V1629" s="576"/>
      <c r="W1629" s="573"/>
      <c r="X1629" s="574">
        <f t="shared" si="210"/>
        <v>0</v>
      </c>
      <c r="Y1629" s="487"/>
      <c r="Z1629" s="487"/>
      <c r="AA1629" s="276">
        <f t="shared" si="211"/>
        <v>0</v>
      </c>
      <c r="AB1629" s="573"/>
      <c r="AC1629" s="487"/>
      <c r="AD1629" s="573"/>
      <c r="AE1629" s="487"/>
      <c r="AF1629" s="577">
        <f t="shared" si="207"/>
        <v>0</v>
      </c>
      <c r="AG1629" s="275">
        <f t="shared" si="208"/>
        <v>0</v>
      </c>
    </row>
    <row r="1630" spans="1:33" ht="12" customHeight="1">
      <c r="A1630" s="706" t="s">
        <v>1279</v>
      </c>
      <c r="B1630" s="707" t="s">
        <v>1412</v>
      </c>
      <c r="C1630" s="716" t="s">
        <v>841</v>
      </c>
      <c r="D1630" s="709"/>
      <c r="E1630" s="710"/>
      <c r="F1630" s="573"/>
      <c r="G1630" s="487"/>
      <c r="H1630" s="573"/>
      <c r="I1630" s="487"/>
      <c r="J1630" s="573"/>
      <c r="K1630" s="487"/>
      <c r="L1630" s="573"/>
      <c r="M1630" s="573"/>
      <c r="N1630" s="456">
        <f t="shared" si="209"/>
        <v>0</v>
      </c>
      <c r="O1630" s="487"/>
      <c r="P1630" s="487"/>
      <c r="Q1630" s="274">
        <f t="shared" si="204"/>
        <v>0</v>
      </c>
      <c r="R1630" s="574">
        <f t="shared" si="205"/>
        <v>0</v>
      </c>
      <c r="S1630" s="275">
        <f t="shared" si="206"/>
        <v>0</v>
      </c>
      <c r="T1630" s="575">
        <v>105567</v>
      </c>
      <c r="U1630" s="487">
        <v>26934</v>
      </c>
      <c r="V1630" s="576"/>
      <c r="W1630" s="573"/>
      <c r="X1630" s="574">
        <f t="shared" si="210"/>
        <v>0</v>
      </c>
      <c r="Y1630" s="487"/>
      <c r="Z1630" s="487"/>
      <c r="AA1630" s="276">
        <f t="shared" si="211"/>
        <v>0</v>
      </c>
      <c r="AB1630" s="573"/>
      <c r="AC1630" s="487"/>
      <c r="AD1630" s="573"/>
      <c r="AE1630" s="487"/>
      <c r="AF1630" s="577">
        <f t="shared" si="207"/>
        <v>105567</v>
      </c>
      <c r="AG1630" s="275">
        <f t="shared" si="208"/>
        <v>26934</v>
      </c>
    </row>
    <row r="1631" spans="1:33" ht="12" customHeight="1">
      <c r="A1631" s="706" t="s">
        <v>1279</v>
      </c>
      <c r="B1631" s="714" t="s">
        <v>1413</v>
      </c>
      <c r="C1631" s="713" t="s">
        <v>422</v>
      </c>
      <c r="D1631" s="709"/>
      <c r="E1631" s="710"/>
      <c r="F1631" s="573"/>
      <c r="G1631" s="487"/>
      <c r="H1631" s="573"/>
      <c r="I1631" s="487"/>
      <c r="J1631" s="573"/>
      <c r="K1631" s="487"/>
      <c r="L1631" s="573"/>
      <c r="M1631" s="573"/>
      <c r="N1631" s="456">
        <f t="shared" si="209"/>
        <v>0</v>
      </c>
      <c r="O1631" s="487"/>
      <c r="P1631" s="487"/>
      <c r="Q1631" s="274">
        <f t="shared" si="204"/>
        <v>0</v>
      </c>
      <c r="R1631" s="574">
        <f t="shared" si="205"/>
        <v>0</v>
      </c>
      <c r="S1631" s="275">
        <f t="shared" si="206"/>
        <v>0</v>
      </c>
      <c r="T1631" s="575"/>
      <c r="U1631" s="487"/>
      <c r="V1631" s="576"/>
      <c r="W1631" s="573"/>
      <c r="X1631" s="574">
        <f t="shared" si="210"/>
        <v>0</v>
      </c>
      <c r="Y1631" s="487"/>
      <c r="Z1631" s="487"/>
      <c r="AA1631" s="276">
        <f t="shared" si="211"/>
        <v>0</v>
      </c>
      <c r="AB1631" s="573"/>
      <c r="AC1631" s="487"/>
      <c r="AD1631" s="573"/>
      <c r="AE1631" s="487"/>
      <c r="AF1631" s="577">
        <f t="shared" si="207"/>
        <v>0</v>
      </c>
      <c r="AG1631" s="275">
        <f t="shared" si="208"/>
        <v>0</v>
      </c>
    </row>
    <row r="1632" spans="1:33" ht="12" customHeight="1">
      <c r="A1632" s="706" t="s">
        <v>1279</v>
      </c>
      <c r="B1632" s="714" t="s">
        <v>1582</v>
      </c>
      <c r="C1632" s="713" t="s">
        <v>1883</v>
      </c>
      <c r="D1632" s="709"/>
      <c r="E1632" s="710"/>
      <c r="F1632" s="573"/>
      <c r="G1632" s="487"/>
      <c r="H1632" s="573"/>
      <c r="I1632" s="487"/>
      <c r="J1632" s="573"/>
      <c r="K1632" s="487"/>
      <c r="L1632" s="573"/>
      <c r="M1632" s="573"/>
      <c r="N1632" s="456">
        <f t="shared" si="209"/>
        <v>0</v>
      </c>
      <c r="O1632" s="487"/>
      <c r="P1632" s="487"/>
      <c r="Q1632" s="274">
        <f t="shared" si="204"/>
        <v>0</v>
      </c>
      <c r="R1632" s="574">
        <f t="shared" si="205"/>
        <v>0</v>
      </c>
      <c r="S1632" s="275">
        <f t="shared" si="206"/>
        <v>0</v>
      </c>
      <c r="T1632" s="575"/>
      <c r="U1632" s="487"/>
      <c r="V1632" s="576"/>
      <c r="W1632" s="573"/>
      <c r="X1632" s="574">
        <f t="shared" si="210"/>
        <v>0</v>
      </c>
      <c r="Y1632" s="487"/>
      <c r="Z1632" s="487"/>
      <c r="AA1632" s="276">
        <f t="shared" si="211"/>
        <v>0</v>
      </c>
      <c r="AB1632" s="573"/>
      <c r="AC1632" s="487"/>
      <c r="AD1632" s="573"/>
      <c r="AE1632" s="487"/>
      <c r="AF1632" s="577">
        <f t="shared" si="207"/>
        <v>0</v>
      </c>
      <c r="AG1632" s="275">
        <f t="shared" si="208"/>
        <v>0</v>
      </c>
    </row>
    <row r="1633" spans="1:33" ht="12" customHeight="1">
      <c r="A1633" s="706" t="s">
        <v>1279</v>
      </c>
      <c r="B1633" s="707" t="s">
        <v>1583</v>
      </c>
      <c r="C1633" s="716" t="s">
        <v>841</v>
      </c>
      <c r="D1633" s="709"/>
      <c r="E1633" s="710"/>
      <c r="F1633" s="573"/>
      <c r="G1633" s="487"/>
      <c r="H1633" s="573"/>
      <c r="I1633" s="487"/>
      <c r="J1633" s="573"/>
      <c r="K1633" s="487"/>
      <c r="L1633" s="573"/>
      <c r="M1633" s="573"/>
      <c r="N1633" s="456">
        <f t="shared" si="209"/>
        <v>0</v>
      </c>
      <c r="O1633" s="487"/>
      <c r="P1633" s="487"/>
      <c r="Q1633" s="274">
        <f t="shared" si="204"/>
        <v>0</v>
      </c>
      <c r="R1633" s="574">
        <f t="shared" si="205"/>
        <v>0</v>
      </c>
      <c r="S1633" s="275">
        <f t="shared" si="206"/>
        <v>0</v>
      </c>
      <c r="T1633" s="575">
        <v>17956</v>
      </c>
      <c r="U1633" s="487">
        <v>8978</v>
      </c>
      <c r="V1633" s="576"/>
      <c r="W1633" s="573"/>
      <c r="X1633" s="574">
        <f t="shared" si="210"/>
        <v>0</v>
      </c>
      <c r="Y1633" s="487"/>
      <c r="Z1633" s="487"/>
      <c r="AA1633" s="276">
        <f t="shared" si="211"/>
        <v>0</v>
      </c>
      <c r="AB1633" s="573"/>
      <c r="AC1633" s="487"/>
      <c r="AD1633" s="573"/>
      <c r="AE1633" s="487"/>
      <c r="AF1633" s="577">
        <f t="shared" si="207"/>
        <v>17956</v>
      </c>
      <c r="AG1633" s="275">
        <f t="shared" si="208"/>
        <v>8978</v>
      </c>
    </row>
    <row r="1634" spans="1:33" ht="12" customHeight="1">
      <c r="A1634" s="706" t="s">
        <v>1279</v>
      </c>
      <c r="B1634" s="715" t="s">
        <v>1805</v>
      </c>
      <c r="C1634" s="281" t="s">
        <v>187</v>
      </c>
      <c r="D1634" s="709"/>
      <c r="E1634" s="710"/>
      <c r="F1634" s="573"/>
      <c r="G1634" s="487"/>
      <c r="H1634" s="573"/>
      <c r="I1634" s="487"/>
      <c r="J1634" s="573"/>
      <c r="K1634" s="487"/>
      <c r="L1634" s="573"/>
      <c r="M1634" s="573"/>
      <c r="N1634" s="456">
        <f t="shared" si="209"/>
        <v>0</v>
      </c>
      <c r="O1634" s="487"/>
      <c r="P1634" s="487"/>
      <c r="Q1634" s="274">
        <f t="shared" si="204"/>
        <v>0</v>
      </c>
      <c r="R1634" s="574">
        <f t="shared" si="205"/>
        <v>0</v>
      </c>
      <c r="S1634" s="275">
        <f t="shared" si="206"/>
        <v>0</v>
      </c>
      <c r="T1634" s="575"/>
      <c r="U1634" s="487"/>
      <c r="V1634" s="576"/>
      <c r="W1634" s="573"/>
      <c r="X1634" s="574">
        <f t="shared" si="210"/>
        <v>0</v>
      </c>
      <c r="Y1634" s="487"/>
      <c r="Z1634" s="487"/>
      <c r="AA1634" s="276">
        <f t="shared" si="211"/>
        <v>0</v>
      </c>
      <c r="AB1634" s="573"/>
      <c r="AC1634" s="487"/>
      <c r="AD1634" s="573"/>
      <c r="AE1634" s="487"/>
      <c r="AF1634" s="577">
        <f t="shared" si="207"/>
        <v>0</v>
      </c>
      <c r="AG1634" s="275">
        <f t="shared" si="208"/>
        <v>0</v>
      </c>
    </row>
    <row r="1635" spans="1:33" ht="12" customHeight="1">
      <c r="A1635" s="706" t="s">
        <v>1279</v>
      </c>
      <c r="B1635" s="707" t="s">
        <v>1510</v>
      </c>
      <c r="C1635" s="716" t="s">
        <v>421</v>
      </c>
      <c r="D1635" s="709"/>
      <c r="E1635" s="710"/>
      <c r="F1635" s="573"/>
      <c r="G1635" s="487"/>
      <c r="H1635" s="573"/>
      <c r="I1635" s="487"/>
      <c r="J1635" s="573"/>
      <c r="K1635" s="487"/>
      <c r="L1635" s="573"/>
      <c r="M1635" s="573"/>
      <c r="N1635" s="456">
        <f t="shared" si="209"/>
        <v>0</v>
      </c>
      <c r="O1635" s="487"/>
      <c r="P1635" s="487"/>
      <c r="Q1635" s="274">
        <f t="shared" si="204"/>
        <v>0</v>
      </c>
      <c r="R1635" s="574">
        <f t="shared" si="205"/>
        <v>0</v>
      </c>
      <c r="S1635" s="275">
        <f t="shared" si="206"/>
        <v>0</v>
      </c>
      <c r="T1635" s="575"/>
      <c r="U1635" s="487"/>
      <c r="V1635" s="576"/>
      <c r="W1635" s="573"/>
      <c r="X1635" s="574">
        <f t="shared" si="210"/>
        <v>0</v>
      </c>
      <c r="Y1635" s="487"/>
      <c r="Z1635" s="487"/>
      <c r="AA1635" s="276">
        <f t="shared" si="211"/>
        <v>0</v>
      </c>
      <c r="AB1635" s="573"/>
      <c r="AC1635" s="487"/>
      <c r="AD1635" s="573"/>
      <c r="AE1635" s="487"/>
      <c r="AF1635" s="577">
        <f t="shared" si="207"/>
        <v>0</v>
      </c>
      <c r="AG1635" s="275">
        <f t="shared" si="208"/>
        <v>0</v>
      </c>
    </row>
    <row r="1636" spans="1:33" ht="12" customHeight="1">
      <c r="A1636" s="706" t="s">
        <v>1279</v>
      </c>
      <c r="B1636" s="707" t="s">
        <v>1511</v>
      </c>
      <c r="C1636" s="716" t="s">
        <v>1883</v>
      </c>
      <c r="D1636" s="709"/>
      <c r="E1636" s="710"/>
      <c r="F1636" s="573"/>
      <c r="G1636" s="487"/>
      <c r="H1636" s="573"/>
      <c r="I1636" s="487"/>
      <c r="J1636" s="573"/>
      <c r="K1636" s="487"/>
      <c r="L1636" s="573"/>
      <c r="M1636" s="573"/>
      <c r="N1636" s="456">
        <f t="shared" si="209"/>
        <v>0</v>
      </c>
      <c r="O1636" s="487"/>
      <c r="P1636" s="487"/>
      <c r="Q1636" s="274">
        <f t="shared" si="204"/>
        <v>0</v>
      </c>
      <c r="R1636" s="574">
        <f t="shared" si="205"/>
        <v>0</v>
      </c>
      <c r="S1636" s="275">
        <f t="shared" si="206"/>
        <v>0</v>
      </c>
      <c r="T1636" s="575"/>
      <c r="U1636" s="487"/>
      <c r="V1636" s="576"/>
      <c r="W1636" s="573"/>
      <c r="X1636" s="574">
        <f t="shared" si="210"/>
        <v>0</v>
      </c>
      <c r="Y1636" s="487"/>
      <c r="Z1636" s="487"/>
      <c r="AA1636" s="276">
        <f t="shared" si="211"/>
        <v>0</v>
      </c>
      <c r="AB1636" s="573"/>
      <c r="AC1636" s="487"/>
      <c r="AD1636" s="573"/>
      <c r="AE1636" s="487"/>
      <c r="AF1636" s="577">
        <f t="shared" si="207"/>
        <v>0</v>
      </c>
      <c r="AG1636" s="275">
        <f t="shared" si="208"/>
        <v>0</v>
      </c>
    </row>
    <row r="1637" spans="1:33" ht="12" customHeight="1">
      <c r="A1637" s="706" t="s">
        <v>1279</v>
      </c>
      <c r="B1637" s="707" t="s">
        <v>1412</v>
      </c>
      <c r="C1637" s="716" t="s">
        <v>841</v>
      </c>
      <c r="D1637" s="709"/>
      <c r="E1637" s="710"/>
      <c r="F1637" s="573"/>
      <c r="G1637" s="487"/>
      <c r="H1637" s="573"/>
      <c r="I1637" s="487"/>
      <c r="J1637" s="573"/>
      <c r="K1637" s="487"/>
      <c r="L1637" s="573"/>
      <c r="M1637" s="573"/>
      <c r="N1637" s="456">
        <f t="shared" si="209"/>
        <v>0</v>
      </c>
      <c r="O1637" s="487"/>
      <c r="P1637" s="487"/>
      <c r="Q1637" s="274">
        <f t="shared" si="204"/>
        <v>0</v>
      </c>
      <c r="R1637" s="574">
        <f t="shared" si="205"/>
        <v>0</v>
      </c>
      <c r="S1637" s="275">
        <f t="shared" si="206"/>
        <v>0</v>
      </c>
      <c r="T1637" s="575">
        <v>276000</v>
      </c>
      <c r="U1637" s="487">
        <f>276000</f>
        <v>276000</v>
      </c>
      <c r="V1637" s="576"/>
      <c r="W1637" s="573"/>
      <c r="X1637" s="574">
        <f t="shared" si="210"/>
        <v>0</v>
      </c>
      <c r="Y1637" s="487"/>
      <c r="Z1637" s="487"/>
      <c r="AA1637" s="276">
        <f t="shared" si="211"/>
        <v>0</v>
      </c>
      <c r="AB1637" s="573"/>
      <c r="AC1637" s="487"/>
      <c r="AD1637" s="573"/>
      <c r="AE1637" s="487"/>
      <c r="AF1637" s="577">
        <f t="shared" si="207"/>
        <v>276000</v>
      </c>
      <c r="AG1637" s="275">
        <f t="shared" si="208"/>
        <v>276000</v>
      </c>
    </row>
    <row r="1638" spans="1:33" ht="12" customHeight="1">
      <c r="A1638" s="706" t="s">
        <v>1279</v>
      </c>
      <c r="B1638" s="714" t="s">
        <v>1413</v>
      </c>
      <c r="C1638" s="713" t="s">
        <v>422</v>
      </c>
      <c r="D1638" s="709"/>
      <c r="E1638" s="710"/>
      <c r="F1638" s="573"/>
      <c r="G1638" s="487"/>
      <c r="H1638" s="573"/>
      <c r="I1638" s="487"/>
      <c r="J1638" s="573"/>
      <c r="K1638" s="487"/>
      <c r="L1638" s="573"/>
      <c r="M1638" s="573"/>
      <c r="N1638" s="456">
        <f t="shared" si="209"/>
        <v>0</v>
      </c>
      <c r="O1638" s="487"/>
      <c r="P1638" s="487"/>
      <c r="Q1638" s="274">
        <f t="shared" si="204"/>
        <v>0</v>
      </c>
      <c r="R1638" s="574">
        <f t="shared" si="205"/>
        <v>0</v>
      </c>
      <c r="S1638" s="275">
        <f t="shared" si="206"/>
        <v>0</v>
      </c>
      <c r="T1638" s="575"/>
      <c r="U1638" s="487"/>
      <c r="V1638" s="576"/>
      <c r="W1638" s="573"/>
      <c r="X1638" s="574">
        <f t="shared" si="210"/>
        <v>0</v>
      </c>
      <c r="Y1638" s="487"/>
      <c r="Z1638" s="487"/>
      <c r="AA1638" s="276">
        <f t="shared" si="211"/>
        <v>0</v>
      </c>
      <c r="AB1638" s="573"/>
      <c r="AC1638" s="487"/>
      <c r="AD1638" s="573"/>
      <c r="AE1638" s="487"/>
      <c r="AF1638" s="577">
        <f t="shared" si="207"/>
        <v>0</v>
      </c>
      <c r="AG1638" s="275">
        <f t="shared" si="208"/>
        <v>0</v>
      </c>
    </row>
    <row r="1639" spans="1:33" ht="12" customHeight="1">
      <c r="A1639" s="706" t="s">
        <v>1279</v>
      </c>
      <c r="B1639" s="714" t="s">
        <v>1582</v>
      </c>
      <c r="C1639" s="713" t="s">
        <v>1883</v>
      </c>
      <c r="D1639" s="709"/>
      <c r="E1639" s="710"/>
      <c r="F1639" s="573"/>
      <c r="G1639" s="487"/>
      <c r="H1639" s="573"/>
      <c r="I1639" s="487"/>
      <c r="J1639" s="573"/>
      <c r="K1639" s="487"/>
      <c r="L1639" s="573"/>
      <c r="M1639" s="573"/>
      <c r="N1639" s="456">
        <f t="shared" si="209"/>
        <v>0</v>
      </c>
      <c r="O1639" s="487"/>
      <c r="P1639" s="487"/>
      <c r="Q1639" s="274">
        <f t="shared" si="204"/>
        <v>0</v>
      </c>
      <c r="R1639" s="574">
        <f t="shared" si="205"/>
        <v>0</v>
      </c>
      <c r="S1639" s="275">
        <f t="shared" si="206"/>
        <v>0</v>
      </c>
      <c r="T1639" s="575"/>
      <c r="U1639" s="487"/>
      <c r="V1639" s="576"/>
      <c r="W1639" s="573"/>
      <c r="X1639" s="574">
        <f t="shared" si="210"/>
        <v>0</v>
      </c>
      <c r="Y1639" s="487"/>
      <c r="Z1639" s="487"/>
      <c r="AA1639" s="276">
        <f t="shared" si="211"/>
        <v>0</v>
      </c>
      <c r="AB1639" s="573"/>
      <c r="AC1639" s="487"/>
      <c r="AD1639" s="573"/>
      <c r="AE1639" s="487"/>
      <c r="AF1639" s="577">
        <f t="shared" si="207"/>
        <v>0</v>
      </c>
      <c r="AG1639" s="275">
        <f t="shared" si="208"/>
        <v>0</v>
      </c>
    </row>
    <row r="1640" spans="1:33" ht="12" customHeight="1">
      <c r="A1640" s="706" t="s">
        <v>1279</v>
      </c>
      <c r="B1640" s="707" t="s">
        <v>1583</v>
      </c>
      <c r="C1640" s="716" t="s">
        <v>841</v>
      </c>
      <c r="D1640" s="709"/>
      <c r="E1640" s="710"/>
      <c r="F1640" s="573"/>
      <c r="G1640" s="487"/>
      <c r="H1640" s="573"/>
      <c r="I1640" s="487"/>
      <c r="J1640" s="573"/>
      <c r="K1640" s="487"/>
      <c r="L1640" s="573"/>
      <c r="M1640" s="573"/>
      <c r="N1640" s="456">
        <f t="shared" si="209"/>
        <v>0</v>
      </c>
      <c r="O1640" s="487"/>
      <c r="P1640" s="487"/>
      <c r="Q1640" s="274">
        <f t="shared" si="204"/>
        <v>0</v>
      </c>
      <c r="R1640" s="574">
        <f t="shared" si="205"/>
        <v>0</v>
      </c>
      <c r="S1640" s="275">
        <f t="shared" si="206"/>
        <v>0</v>
      </c>
      <c r="T1640" s="575">
        <v>25500</v>
      </c>
      <c r="U1640" s="487">
        <v>40500</v>
      </c>
      <c r="V1640" s="576"/>
      <c r="W1640" s="573"/>
      <c r="X1640" s="574">
        <f t="shared" si="210"/>
        <v>0</v>
      </c>
      <c r="Y1640" s="487"/>
      <c r="Z1640" s="487"/>
      <c r="AA1640" s="276">
        <f t="shared" si="211"/>
        <v>0</v>
      </c>
      <c r="AB1640" s="573"/>
      <c r="AC1640" s="487"/>
      <c r="AD1640" s="573"/>
      <c r="AE1640" s="487"/>
      <c r="AF1640" s="577">
        <f t="shared" si="207"/>
        <v>25500</v>
      </c>
      <c r="AG1640" s="275">
        <f t="shared" si="208"/>
        <v>40500</v>
      </c>
    </row>
    <row r="1641" spans="1:33" ht="12" customHeight="1">
      <c r="A1641" s="706" t="s">
        <v>1279</v>
      </c>
      <c r="B1641" s="715" t="s">
        <v>1805</v>
      </c>
      <c r="C1641" s="474" t="s">
        <v>188</v>
      </c>
      <c r="D1641" s="709"/>
      <c r="E1641" s="710"/>
      <c r="F1641" s="573"/>
      <c r="G1641" s="487"/>
      <c r="H1641" s="573"/>
      <c r="I1641" s="487"/>
      <c r="J1641" s="573"/>
      <c r="K1641" s="487"/>
      <c r="L1641" s="573"/>
      <c r="M1641" s="573"/>
      <c r="N1641" s="456">
        <f t="shared" si="209"/>
        <v>0</v>
      </c>
      <c r="O1641" s="487"/>
      <c r="P1641" s="487"/>
      <c r="Q1641" s="274">
        <f t="shared" si="204"/>
        <v>0</v>
      </c>
      <c r="R1641" s="574">
        <f t="shared" si="205"/>
        <v>0</v>
      </c>
      <c r="S1641" s="275">
        <f t="shared" si="206"/>
        <v>0</v>
      </c>
      <c r="T1641" s="575"/>
      <c r="U1641" s="487"/>
      <c r="V1641" s="576"/>
      <c r="W1641" s="573"/>
      <c r="X1641" s="574">
        <f t="shared" si="210"/>
        <v>0</v>
      </c>
      <c r="Y1641" s="487"/>
      <c r="Z1641" s="487"/>
      <c r="AA1641" s="276">
        <f t="shared" si="211"/>
        <v>0</v>
      </c>
      <c r="AB1641" s="573"/>
      <c r="AC1641" s="487"/>
      <c r="AD1641" s="573"/>
      <c r="AE1641" s="487"/>
      <c r="AF1641" s="577">
        <f t="shared" si="207"/>
        <v>0</v>
      </c>
      <c r="AG1641" s="275">
        <f t="shared" si="208"/>
        <v>0</v>
      </c>
    </row>
    <row r="1642" spans="1:33" ht="12" customHeight="1">
      <c r="A1642" s="706" t="s">
        <v>1279</v>
      </c>
      <c r="B1642" s="707" t="s">
        <v>1882</v>
      </c>
      <c r="C1642" s="713" t="s">
        <v>1883</v>
      </c>
      <c r="D1642" s="709"/>
      <c r="E1642" s="710"/>
      <c r="F1642" s="573"/>
      <c r="G1642" s="487"/>
      <c r="H1642" s="573"/>
      <c r="I1642" s="487"/>
      <c r="J1642" s="573"/>
      <c r="K1642" s="487"/>
      <c r="L1642" s="573"/>
      <c r="M1642" s="573"/>
      <c r="N1642" s="456">
        <f t="shared" si="209"/>
        <v>0</v>
      </c>
      <c r="O1642" s="487"/>
      <c r="P1642" s="487"/>
      <c r="Q1642" s="274">
        <f t="shared" si="204"/>
        <v>0</v>
      </c>
      <c r="R1642" s="574">
        <f t="shared" si="205"/>
        <v>0</v>
      </c>
      <c r="S1642" s="275">
        <f t="shared" si="206"/>
        <v>0</v>
      </c>
      <c r="T1642" s="575">
        <v>255880</v>
      </c>
      <c r="U1642" s="487"/>
      <c r="V1642" s="576"/>
      <c r="W1642" s="573"/>
      <c r="X1642" s="574">
        <f t="shared" si="210"/>
        <v>0</v>
      </c>
      <c r="Y1642" s="487"/>
      <c r="Z1642" s="487"/>
      <c r="AA1642" s="276">
        <f t="shared" si="211"/>
        <v>0</v>
      </c>
      <c r="AB1642" s="573"/>
      <c r="AC1642" s="487"/>
      <c r="AD1642" s="573"/>
      <c r="AE1642" s="487"/>
      <c r="AF1642" s="577">
        <f t="shared" si="207"/>
        <v>255880</v>
      </c>
      <c r="AG1642" s="275">
        <f t="shared" si="208"/>
        <v>0</v>
      </c>
    </row>
    <row r="1643" spans="1:33" ht="12" customHeight="1">
      <c r="A1643" s="706" t="s">
        <v>1279</v>
      </c>
      <c r="B1643" s="707" t="s">
        <v>1510</v>
      </c>
      <c r="C1643" s="716" t="s">
        <v>421</v>
      </c>
      <c r="D1643" s="709"/>
      <c r="E1643" s="710"/>
      <c r="F1643" s="573"/>
      <c r="G1643" s="487"/>
      <c r="H1643" s="573"/>
      <c r="I1643" s="487"/>
      <c r="J1643" s="573"/>
      <c r="K1643" s="487"/>
      <c r="L1643" s="573"/>
      <c r="M1643" s="573"/>
      <c r="N1643" s="456">
        <f t="shared" si="209"/>
        <v>0</v>
      </c>
      <c r="O1643" s="487"/>
      <c r="P1643" s="487"/>
      <c r="Q1643" s="274">
        <f t="shared" si="204"/>
        <v>0</v>
      </c>
      <c r="R1643" s="574">
        <f t="shared" si="205"/>
        <v>0</v>
      </c>
      <c r="S1643" s="275">
        <f t="shared" si="206"/>
        <v>0</v>
      </c>
      <c r="T1643" s="575"/>
      <c r="U1643" s="487"/>
      <c r="V1643" s="576"/>
      <c r="W1643" s="573"/>
      <c r="X1643" s="574">
        <f t="shared" si="210"/>
        <v>0</v>
      </c>
      <c r="Y1643" s="487"/>
      <c r="Z1643" s="487"/>
      <c r="AA1643" s="276">
        <f t="shared" si="211"/>
        <v>0</v>
      </c>
      <c r="AB1643" s="573"/>
      <c r="AC1643" s="487"/>
      <c r="AD1643" s="573"/>
      <c r="AE1643" s="487"/>
      <c r="AF1643" s="577">
        <f t="shared" si="207"/>
        <v>0</v>
      </c>
      <c r="AG1643" s="275">
        <f t="shared" si="208"/>
        <v>0</v>
      </c>
    </row>
    <row r="1644" spans="1:33" ht="12" customHeight="1">
      <c r="A1644" s="706" t="s">
        <v>1279</v>
      </c>
      <c r="B1644" s="707" t="s">
        <v>1511</v>
      </c>
      <c r="C1644" s="716" t="s">
        <v>1883</v>
      </c>
      <c r="D1644" s="709"/>
      <c r="E1644" s="710"/>
      <c r="F1644" s="573"/>
      <c r="G1644" s="487"/>
      <c r="H1644" s="573"/>
      <c r="I1644" s="487"/>
      <c r="J1644" s="573"/>
      <c r="K1644" s="487"/>
      <c r="L1644" s="573"/>
      <c r="M1644" s="573"/>
      <c r="N1644" s="456">
        <f t="shared" si="209"/>
        <v>0</v>
      </c>
      <c r="O1644" s="487"/>
      <c r="P1644" s="487"/>
      <c r="Q1644" s="274">
        <f t="shared" si="204"/>
        <v>0</v>
      </c>
      <c r="R1644" s="574">
        <f t="shared" si="205"/>
        <v>0</v>
      </c>
      <c r="S1644" s="275">
        <f t="shared" si="206"/>
        <v>0</v>
      </c>
      <c r="T1644" s="575">
        <v>359685</v>
      </c>
      <c r="U1644" s="487">
        <f>415750+110405</f>
        <v>526155</v>
      </c>
      <c r="V1644" s="576"/>
      <c r="W1644" s="573"/>
      <c r="X1644" s="574">
        <f t="shared" si="210"/>
        <v>0</v>
      </c>
      <c r="Y1644" s="487"/>
      <c r="Z1644" s="487"/>
      <c r="AA1644" s="276">
        <f t="shared" si="211"/>
        <v>0</v>
      </c>
      <c r="AB1644" s="573"/>
      <c r="AC1644" s="487"/>
      <c r="AD1644" s="573"/>
      <c r="AE1644" s="487"/>
      <c r="AF1644" s="577">
        <f t="shared" si="207"/>
        <v>359685</v>
      </c>
      <c r="AG1644" s="275">
        <f t="shared" si="208"/>
        <v>526155</v>
      </c>
    </row>
    <row r="1645" spans="1:33" ht="12" customHeight="1">
      <c r="A1645" s="706" t="s">
        <v>1279</v>
      </c>
      <c r="B1645" s="707" t="s">
        <v>1412</v>
      </c>
      <c r="C1645" s="716" t="s">
        <v>841</v>
      </c>
      <c r="D1645" s="709"/>
      <c r="E1645" s="710"/>
      <c r="F1645" s="573"/>
      <c r="G1645" s="487"/>
      <c r="H1645" s="573"/>
      <c r="I1645" s="487"/>
      <c r="J1645" s="573"/>
      <c r="K1645" s="487"/>
      <c r="L1645" s="573"/>
      <c r="M1645" s="573"/>
      <c r="N1645" s="456">
        <f t="shared" si="209"/>
        <v>0</v>
      </c>
      <c r="O1645" s="487"/>
      <c r="P1645" s="487"/>
      <c r="Q1645" s="274">
        <f t="shared" si="204"/>
        <v>0</v>
      </c>
      <c r="R1645" s="574">
        <f t="shared" si="205"/>
        <v>0</v>
      </c>
      <c r="S1645" s="275">
        <f t="shared" si="206"/>
        <v>0</v>
      </c>
      <c r="T1645" s="575"/>
      <c r="U1645" s="487"/>
      <c r="V1645" s="576"/>
      <c r="W1645" s="573"/>
      <c r="X1645" s="574">
        <f t="shared" si="210"/>
        <v>0</v>
      </c>
      <c r="Y1645" s="487"/>
      <c r="Z1645" s="487"/>
      <c r="AA1645" s="276">
        <f t="shared" si="211"/>
        <v>0</v>
      </c>
      <c r="AB1645" s="573"/>
      <c r="AC1645" s="487"/>
      <c r="AD1645" s="573"/>
      <c r="AE1645" s="487"/>
      <c r="AF1645" s="577">
        <f t="shared" si="207"/>
        <v>0</v>
      </c>
      <c r="AG1645" s="275">
        <f t="shared" si="208"/>
        <v>0</v>
      </c>
    </row>
    <row r="1646" spans="1:33" ht="12" customHeight="1">
      <c r="A1646" s="706" t="s">
        <v>1279</v>
      </c>
      <c r="B1646" s="714" t="s">
        <v>1413</v>
      </c>
      <c r="C1646" s="713" t="s">
        <v>422</v>
      </c>
      <c r="D1646" s="709"/>
      <c r="E1646" s="710"/>
      <c r="F1646" s="573"/>
      <c r="G1646" s="487"/>
      <c r="H1646" s="573"/>
      <c r="I1646" s="487"/>
      <c r="J1646" s="573"/>
      <c r="K1646" s="487"/>
      <c r="L1646" s="573"/>
      <c r="M1646" s="573"/>
      <c r="N1646" s="456">
        <f t="shared" si="209"/>
        <v>0</v>
      </c>
      <c r="O1646" s="487"/>
      <c r="P1646" s="487"/>
      <c r="Q1646" s="274">
        <f t="shared" si="204"/>
        <v>0</v>
      </c>
      <c r="R1646" s="574">
        <f t="shared" si="205"/>
        <v>0</v>
      </c>
      <c r="S1646" s="275">
        <f t="shared" si="206"/>
        <v>0</v>
      </c>
      <c r="T1646" s="575"/>
      <c r="U1646" s="487"/>
      <c r="V1646" s="576"/>
      <c r="W1646" s="573"/>
      <c r="X1646" s="574">
        <f t="shared" si="210"/>
        <v>0</v>
      </c>
      <c r="Y1646" s="487"/>
      <c r="Z1646" s="487"/>
      <c r="AA1646" s="276">
        <f t="shared" si="211"/>
        <v>0</v>
      </c>
      <c r="AB1646" s="573"/>
      <c r="AC1646" s="487"/>
      <c r="AD1646" s="573"/>
      <c r="AE1646" s="487"/>
      <c r="AF1646" s="577">
        <f t="shared" si="207"/>
        <v>0</v>
      </c>
      <c r="AG1646" s="275">
        <f t="shared" si="208"/>
        <v>0</v>
      </c>
    </row>
    <row r="1647" spans="1:33" ht="12" customHeight="1">
      <c r="A1647" s="706" t="s">
        <v>1279</v>
      </c>
      <c r="B1647" s="714" t="s">
        <v>1582</v>
      </c>
      <c r="C1647" s="713" t="s">
        <v>1883</v>
      </c>
      <c r="D1647" s="709"/>
      <c r="E1647" s="710"/>
      <c r="F1647" s="573"/>
      <c r="G1647" s="487"/>
      <c r="H1647" s="573"/>
      <c r="I1647" s="487"/>
      <c r="J1647" s="573"/>
      <c r="K1647" s="487"/>
      <c r="L1647" s="573"/>
      <c r="M1647" s="573"/>
      <c r="N1647" s="456">
        <f t="shared" si="209"/>
        <v>0</v>
      </c>
      <c r="O1647" s="487"/>
      <c r="P1647" s="487"/>
      <c r="Q1647" s="274">
        <f t="shared" si="204"/>
        <v>0</v>
      </c>
      <c r="R1647" s="574">
        <f t="shared" si="205"/>
        <v>0</v>
      </c>
      <c r="S1647" s="275">
        <f t="shared" si="206"/>
        <v>0</v>
      </c>
      <c r="T1647" s="575">
        <v>36090</v>
      </c>
      <c r="U1647" s="487">
        <v>90810</v>
      </c>
      <c r="V1647" s="576"/>
      <c r="W1647" s="573"/>
      <c r="X1647" s="574">
        <f t="shared" si="210"/>
        <v>0</v>
      </c>
      <c r="Y1647" s="487"/>
      <c r="Z1647" s="487"/>
      <c r="AA1647" s="276">
        <f t="shared" si="211"/>
        <v>0</v>
      </c>
      <c r="AB1647" s="573"/>
      <c r="AC1647" s="487"/>
      <c r="AD1647" s="573"/>
      <c r="AE1647" s="487"/>
      <c r="AF1647" s="577">
        <f t="shared" si="207"/>
        <v>36090</v>
      </c>
      <c r="AG1647" s="275">
        <f t="shared" si="208"/>
        <v>90810</v>
      </c>
    </row>
    <row r="1648" spans="1:33" ht="12" customHeight="1">
      <c r="A1648" s="706" t="s">
        <v>1279</v>
      </c>
      <c r="B1648" s="707" t="s">
        <v>1583</v>
      </c>
      <c r="C1648" s="716" t="s">
        <v>841</v>
      </c>
      <c r="D1648" s="709"/>
      <c r="E1648" s="710"/>
      <c r="F1648" s="573"/>
      <c r="G1648" s="487"/>
      <c r="H1648" s="573"/>
      <c r="I1648" s="487"/>
      <c r="J1648" s="573"/>
      <c r="K1648" s="487"/>
      <c r="L1648" s="573"/>
      <c r="M1648" s="573"/>
      <c r="N1648" s="456">
        <f t="shared" si="209"/>
        <v>0</v>
      </c>
      <c r="O1648" s="487"/>
      <c r="P1648" s="487"/>
      <c r="Q1648" s="274">
        <f t="shared" si="204"/>
        <v>0</v>
      </c>
      <c r="R1648" s="574">
        <f t="shared" si="205"/>
        <v>0</v>
      </c>
      <c r="S1648" s="275">
        <f t="shared" si="206"/>
        <v>0</v>
      </c>
      <c r="T1648" s="575"/>
      <c r="U1648" s="487"/>
      <c r="V1648" s="576"/>
      <c r="W1648" s="573"/>
      <c r="X1648" s="574">
        <f t="shared" si="210"/>
        <v>0</v>
      </c>
      <c r="Y1648" s="487"/>
      <c r="Z1648" s="487"/>
      <c r="AA1648" s="276">
        <f t="shared" si="211"/>
        <v>0</v>
      </c>
      <c r="AB1648" s="573"/>
      <c r="AC1648" s="487"/>
      <c r="AD1648" s="573"/>
      <c r="AE1648" s="487"/>
      <c r="AF1648" s="577">
        <f t="shared" si="207"/>
        <v>0</v>
      </c>
      <c r="AG1648" s="275">
        <f t="shared" si="208"/>
        <v>0</v>
      </c>
    </row>
    <row r="1649" spans="1:33" ht="12" customHeight="1">
      <c r="A1649" s="706" t="s">
        <v>1279</v>
      </c>
      <c r="B1649" s="715" t="s">
        <v>1805</v>
      </c>
      <c r="C1649" s="474" t="s">
        <v>189</v>
      </c>
      <c r="D1649" s="709"/>
      <c r="E1649" s="710"/>
      <c r="F1649" s="573"/>
      <c r="G1649" s="487"/>
      <c r="H1649" s="573"/>
      <c r="I1649" s="487"/>
      <c r="J1649" s="573"/>
      <c r="K1649" s="487"/>
      <c r="L1649" s="573"/>
      <c r="M1649" s="573"/>
      <c r="N1649" s="456">
        <f t="shared" si="209"/>
        <v>0</v>
      </c>
      <c r="O1649" s="487"/>
      <c r="P1649" s="487"/>
      <c r="Q1649" s="274">
        <f t="shared" si="204"/>
        <v>0</v>
      </c>
      <c r="R1649" s="574">
        <f t="shared" si="205"/>
        <v>0</v>
      </c>
      <c r="S1649" s="275">
        <f t="shared" si="206"/>
        <v>0</v>
      </c>
      <c r="T1649" s="575"/>
      <c r="U1649" s="487"/>
      <c r="V1649" s="576"/>
      <c r="W1649" s="573"/>
      <c r="X1649" s="574">
        <f t="shared" si="210"/>
        <v>0</v>
      </c>
      <c r="Y1649" s="487"/>
      <c r="Z1649" s="487"/>
      <c r="AA1649" s="276">
        <f t="shared" si="211"/>
        <v>0</v>
      </c>
      <c r="AB1649" s="573"/>
      <c r="AC1649" s="487"/>
      <c r="AD1649" s="573"/>
      <c r="AE1649" s="487"/>
      <c r="AF1649" s="577">
        <f t="shared" si="207"/>
        <v>0</v>
      </c>
      <c r="AG1649" s="275">
        <f t="shared" si="208"/>
        <v>0</v>
      </c>
    </row>
    <row r="1650" spans="1:33" ht="12" customHeight="1">
      <c r="A1650" s="706" t="s">
        <v>1279</v>
      </c>
      <c r="B1650" s="707" t="s">
        <v>1510</v>
      </c>
      <c r="C1650" s="716" t="s">
        <v>421</v>
      </c>
      <c r="D1650" s="709"/>
      <c r="E1650" s="710"/>
      <c r="F1650" s="573"/>
      <c r="G1650" s="487"/>
      <c r="H1650" s="573"/>
      <c r="I1650" s="487"/>
      <c r="J1650" s="573"/>
      <c r="K1650" s="487"/>
      <c r="L1650" s="573"/>
      <c r="M1650" s="573"/>
      <c r="N1650" s="456">
        <f t="shared" si="209"/>
        <v>0</v>
      </c>
      <c r="O1650" s="487"/>
      <c r="P1650" s="487"/>
      <c r="Q1650" s="274">
        <f t="shared" si="204"/>
        <v>0</v>
      </c>
      <c r="R1650" s="574">
        <f t="shared" si="205"/>
        <v>0</v>
      </c>
      <c r="S1650" s="275">
        <f t="shared" si="206"/>
        <v>0</v>
      </c>
      <c r="T1650" s="575"/>
      <c r="U1650" s="487"/>
      <c r="V1650" s="576"/>
      <c r="W1650" s="573"/>
      <c r="X1650" s="574">
        <f t="shared" si="210"/>
        <v>0</v>
      </c>
      <c r="Y1650" s="487"/>
      <c r="Z1650" s="487"/>
      <c r="AA1650" s="276">
        <f t="shared" si="211"/>
        <v>0</v>
      </c>
      <c r="AB1650" s="573"/>
      <c r="AC1650" s="487"/>
      <c r="AD1650" s="573"/>
      <c r="AE1650" s="487"/>
      <c r="AF1650" s="577">
        <f t="shared" si="207"/>
        <v>0</v>
      </c>
      <c r="AG1650" s="275">
        <f t="shared" si="208"/>
        <v>0</v>
      </c>
    </row>
    <row r="1651" spans="1:33" ht="12" customHeight="1">
      <c r="A1651" s="706" t="s">
        <v>1279</v>
      </c>
      <c r="B1651" s="707" t="s">
        <v>1511</v>
      </c>
      <c r="C1651" s="716" t="s">
        <v>1883</v>
      </c>
      <c r="D1651" s="709"/>
      <c r="E1651" s="710"/>
      <c r="F1651" s="573"/>
      <c r="G1651" s="487"/>
      <c r="H1651" s="573"/>
      <c r="I1651" s="487"/>
      <c r="J1651" s="573"/>
      <c r="K1651" s="487"/>
      <c r="L1651" s="573"/>
      <c r="M1651" s="573"/>
      <c r="N1651" s="456">
        <f t="shared" si="209"/>
        <v>0</v>
      </c>
      <c r="O1651" s="487"/>
      <c r="P1651" s="487"/>
      <c r="Q1651" s="274">
        <f t="shared" si="204"/>
        <v>0</v>
      </c>
      <c r="R1651" s="574">
        <f t="shared" si="205"/>
        <v>0</v>
      </c>
      <c r="S1651" s="275">
        <f t="shared" si="206"/>
        <v>0</v>
      </c>
      <c r="T1651" s="575"/>
      <c r="U1651" s="487"/>
      <c r="V1651" s="576"/>
      <c r="W1651" s="573"/>
      <c r="X1651" s="574">
        <f t="shared" si="210"/>
        <v>0</v>
      </c>
      <c r="Y1651" s="487"/>
      <c r="Z1651" s="487"/>
      <c r="AA1651" s="276">
        <f t="shared" si="211"/>
        <v>0</v>
      </c>
      <c r="AB1651" s="573"/>
      <c r="AC1651" s="487"/>
      <c r="AD1651" s="573"/>
      <c r="AE1651" s="487"/>
      <c r="AF1651" s="577">
        <f t="shared" si="207"/>
        <v>0</v>
      </c>
      <c r="AG1651" s="275">
        <f t="shared" si="208"/>
        <v>0</v>
      </c>
    </row>
    <row r="1652" spans="1:33" ht="12" customHeight="1">
      <c r="A1652" s="706" t="s">
        <v>1279</v>
      </c>
      <c r="B1652" s="707" t="s">
        <v>1412</v>
      </c>
      <c r="C1652" s="716" t="s">
        <v>841</v>
      </c>
      <c r="D1652" s="709"/>
      <c r="E1652" s="710"/>
      <c r="F1652" s="573"/>
      <c r="G1652" s="487"/>
      <c r="H1652" s="573"/>
      <c r="I1652" s="487"/>
      <c r="J1652" s="573"/>
      <c r="K1652" s="487"/>
      <c r="L1652" s="573"/>
      <c r="M1652" s="573"/>
      <c r="N1652" s="456">
        <f t="shared" si="209"/>
        <v>0</v>
      </c>
      <c r="O1652" s="487"/>
      <c r="P1652" s="487"/>
      <c r="Q1652" s="274">
        <f t="shared" si="204"/>
        <v>0</v>
      </c>
      <c r="R1652" s="574">
        <f t="shared" si="205"/>
        <v>0</v>
      </c>
      <c r="S1652" s="275">
        <f t="shared" si="206"/>
        <v>0</v>
      </c>
      <c r="T1652" s="575">
        <v>405888</v>
      </c>
      <c r="U1652" s="487">
        <v>707582</v>
      </c>
      <c r="V1652" s="576"/>
      <c r="W1652" s="573"/>
      <c r="X1652" s="574">
        <f t="shared" si="210"/>
        <v>0</v>
      </c>
      <c r="Y1652" s="487"/>
      <c r="Z1652" s="487"/>
      <c r="AA1652" s="276">
        <f t="shared" si="211"/>
        <v>0</v>
      </c>
      <c r="AB1652" s="573"/>
      <c r="AC1652" s="487"/>
      <c r="AD1652" s="573"/>
      <c r="AE1652" s="487"/>
      <c r="AF1652" s="577">
        <f t="shared" si="207"/>
        <v>405888</v>
      </c>
      <c r="AG1652" s="275">
        <f t="shared" si="208"/>
        <v>707582</v>
      </c>
    </row>
    <row r="1653" spans="1:33" ht="12" customHeight="1">
      <c r="A1653" s="706" t="s">
        <v>1279</v>
      </c>
      <c r="B1653" s="714" t="s">
        <v>1413</v>
      </c>
      <c r="C1653" s="713" t="s">
        <v>422</v>
      </c>
      <c r="D1653" s="709"/>
      <c r="E1653" s="710"/>
      <c r="F1653" s="573"/>
      <c r="G1653" s="487"/>
      <c r="H1653" s="573"/>
      <c r="I1653" s="487"/>
      <c r="J1653" s="573"/>
      <c r="K1653" s="487"/>
      <c r="L1653" s="573"/>
      <c r="M1653" s="573"/>
      <c r="N1653" s="456">
        <f t="shared" si="209"/>
        <v>0</v>
      </c>
      <c r="O1653" s="487"/>
      <c r="P1653" s="487"/>
      <c r="Q1653" s="274">
        <f t="shared" si="204"/>
        <v>0</v>
      </c>
      <c r="R1653" s="574">
        <f t="shared" si="205"/>
        <v>0</v>
      </c>
      <c r="S1653" s="275">
        <f t="shared" si="206"/>
        <v>0</v>
      </c>
      <c r="T1653" s="575"/>
      <c r="U1653" s="487"/>
      <c r="V1653" s="576"/>
      <c r="W1653" s="573"/>
      <c r="X1653" s="574">
        <f t="shared" si="210"/>
        <v>0</v>
      </c>
      <c r="Y1653" s="487"/>
      <c r="Z1653" s="487"/>
      <c r="AA1653" s="276">
        <f t="shared" si="211"/>
        <v>0</v>
      </c>
      <c r="AB1653" s="573"/>
      <c r="AC1653" s="487"/>
      <c r="AD1653" s="573"/>
      <c r="AE1653" s="487"/>
      <c r="AF1653" s="577">
        <f t="shared" si="207"/>
        <v>0</v>
      </c>
      <c r="AG1653" s="275">
        <f t="shared" si="208"/>
        <v>0</v>
      </c>
    </row>
    <row r="1654" spans="1:33" ht="12" customHeight="1">
      <c r="A1654" s="706" t="s">
        <v>1279</v>
      </c>
      <c r="B1654" s="714" t="s">
        <v>1582</v>
      </c>
      <c r="C1654" s="713" t="s">
        <v>1883</v>
      </c>
      <c r="D1654" s="709"/>
      <c r="E1654" s="710"/>
      <c r="F1654" s="573"/>
      <c r="G1654" s="487"/>
      <c r="H1654" s="573"/>
      <c r="I1654" s="487"/>
      <c r="J1654" s="573"/>
      <c r="K1654" s="487"/>
      <c r="L1654" s="573"/>
      <c r="M1654" s="573"/>
      <c r="N1654" s="456">
        <f t="shared" si="209"/>
        <v>0</v>
      </c>
      <c r="O1654" s="487"/>
      <c r="P1654" s="487"/>
      <c r="Q1654" s="274">
        <f t="shared" si="204"/>
        <v>0</v>
      </c>
      <c r="R1654" s="574">
        <f t="shared" si="205"/>
        <v>0</v>
      </c>
      <c r="S1654" s="275">
        <f t="shared" si="206"/>
        <v>0</v>
      </c>
      <c r="T1654" s="575"/>
      <c r="U1654" s="487"/>
      <c r="V1654" s="576"/>
      <c r="W1654" s="573"/>
      <c r="X1654" s="574">
        <f t="shared" si="210"/>
        <v>0</v>
      </c>
      <c r="Y1654" s="487"/>
      <c r="Z1654" s="487"/>
      <c r="AA1654" s="276">
        <f t="shared" si="211"/>
        <v>0</v>
      </c>
      <c r="AB1654" s="573"/>
      <c r="AC1654" s="487"/>
      <c r="AD1654" s="573"/>
      <c r="AE1654" s="487"/>
      <c r="AF1654" s="577">
        <f t="shared" si="207"/>
        <v>0</v>
      </c>
      <c r="AG1654" s="275">
        <f t="shared" si="208"/>
        <v>0</v>
      </c>
    </row>
    <row r="1655" spans="1:33" ht="12" customHeight="1">
      <c r="A1655" s="706" t="s">
        <v>1279</v>
      </c>
      <c r="B1655" s="707" t="s">
        <v>1583</v>
      </c>
      <c r="C1655" s="716" t="s">
        <v>841</v>
      </c>
      <c r="D1655" s="709"/>
      <c r="E1655" s="710"/>
      <c r="F1655" s="573"/>
      <c r="G1655" s="487"/>
      <c r="H1655" s="573"/>
      <c r="I1655" s="487"/>
      <c r="J1655" s="573"/>
      <c r="K1655" s="487"/>
      <c r="L1655" s="573"/>
      <c r="M1655" s="573"/>
      <c r="N1655" s="456">
        <f t="shared" si="209"/>
        <v>0</v>
      </c>
      <c r="O1655" s="487"/>
      <c r="P1655" s="487"/>
      <c r="Q1655" s="274">
        <f t="shared" si="204"/>
        <v>0</v>
      </c>
      <c r="R1655" s="574">
        <f t="shared" si="205"/>
        <v>0</v>
      </c>
      <c r="S1655" s="275">
        <f t="shared" si="206"/>
        <v>0</v>
      </c>
      <c r="T1655" s="575">
        <v>25284</v>
      </c>
      <c r="U1655" s="487">
        <v>114300</v>
      </c>
      <c r="V1655" s="576"/>
      <c r="W1655" s="573"/>
      <c r="X1655" s="574">
        <f t="shared" si="210"/>
        <v>0</v>
      </c>
      <c r="Y1655" s="487"/>
      <c r="Z1655" s="487"/>
      <c r="AA1655" s="276">
        <f t="shared" si="211"/>
        <v>0</v>
      </c>
      <c r="AB1655" s="573"/>
      <c r="AC1655" s="487"/>
      <c r="AD1655" s="573"/>
      <c r="AE1655" s="487"/>
      <c r="AF1655" s="577">
        <f t="shared" si="207"/>
        <v>25284</v>
      </c>
      <c r="AG1655" s="275">
        <f t="shared" si="208"/>
        <v>114300</v>
      </c>
    </row>
    <row r="1656" spans="1:33" ht="12" customHeight="1">
      <c r="A1656" s="706" t="s">
        <v>1279</v>
      </c>
      <c r="B1656" s="715" t="s">
        <v>1805</v>
      </c>
      <c r="C1656" s="474" t="s">
        <v>190</v>
      </c>
      <c r="D1656" s="709"/>
      <c r="E1656" s="710"/>
      <c r="F1656" s="573"/>
      <c r="G1656" s="487"/>
      <c r="H1656" s="573"/>
      <c r="I1656" s="487"/>
      <c r="J1656" s="573"/>
      <c r="K1656" s="487"/>
      <c r="L1656" s="573"/>
      <c r="M1656" s="573"/>
      <c r="N1656" s="456">
        <f t="shared" si="209"/>
        <v>0</v>
      </c>
      <c r="O1656" s="487"/>
      <c r="P1656" s="487"/>
      <c r="Q1656" s="274">
        <f t="shared" si="204"/>
        <v>0</v>
      </c>
      <c r="R1656" s="574">
        <f t="shared" si="205"/>
        <v>0</v>
      </c>
      <c r="S1656" s="275">
        <f t="shared" si="206"/>
        <v>0</v>
      </c>
      <c r="T1656" s="575"/>
      <c r="U1656" s="487"/>
      <c r="V1656" s="576"/>
      <c r="W1656" s="573"/>
      <c r="X1656" s="574">
        <f t="shared" si="210"/>
        <v>0</v>
      </c>
      <c r="Y1656" s="487"/>
      <c r="Z1656" s="487"/>
      <c r="AA1656" s="276">
        <f t="shared" si="211"/>
        <v>0</v>
      </c>
      <c r="AB1656" s="573"/>
      <c r="AC1656" s="487"/>
      <c r="AD1656" s="573"/>
      <c r="AE1656" s="487"/>
      <c r="AF1656" s="577">
        <f t="shared" si="207"/>
        <v>0</v>
      </c>
      <c r="AG1656" s="275">
        <f t="shared" si="208"/>
        <v>0</v>
      </c>
    </row>
    <row r="1657" spans="1:33" ht="12" customHeight="1">
      <c r="A1657" s="706" t="s">
        <v>1279</v>
      </c>
      <c r="B1657" s="707" t="s">
        <v>1510</v>
      </c>
      <c r="C1657" s="716" t="s">
        <v>421</v>
      </c>
      <c r="D1657" s="709"/>
      <c r="E1657" s="710"/>
      <c r="F1657" s="573"/>
      <c r="G1657" s="487"/>
      <c r="H1657" s="573"/>
      <c r="I1657" s="487"/>
      <c r="J1657" s="573"/>
      <c r="K1657" s="487"/>
      <c r="L1657" s="573"/>
      <c r="M1657" s="573"/>
      <c r="N1657" s="456">
        <f t="shared" si="209"/>
        <v>0</v>
      </c>
      <c r="O1657" s="487"/>
      <c r="P1657" s="487"/>
      <c r="Q1657" s="274">
        <f t="shared" si="204"/>
        <v>0</v>
      </c>
      <c r="R1657" s="574">
        <f t="shared" si="205"/>
        <v>0</v>
      </c>
      <c r="S1657" s="275">
        <f t="shared" si="206"/>
        <v>0</v>
      </c>
      <c r="T1657" s="575"/>
      <c r="U1657" s="487"/>
      <c r="V1657" s="576"/>
      <c r="W1657" s="573"/>
      <c r="X1657" s="574">
        <f t="shared" si="210"/>
        <v>0</v>
      </c>
      <c r="Y1657" s="487"/>
      <c r="Z1657" s="487"/>
      <c r="AA1657" s="276">
        <f t="shared" si="211"/>
        <v>0</v>
      </c>
      <c r="AB1657" s="573"/>
      <c r="AC1657" s="487"/>
      <c r="AD1657" s="573"/>
      <c r="AE1657" s="487"/>
      <c r="AF1657" s="577">
        <f t="shared" si="207"/>
        <v>0</v>
      </c>
      <c r="AG1657" s="275">
        <f t="shared" si="208"/>
        <v>0</v>
      </c>
    </row>
    <row r="1658" spans="1:33" ht="12" customHeight="1">
      <c r="A1658" s="706" t="s">
        <v>1279</v>
      </c>
      <c r="B1658" s="707" t="s">
        <v>1511</v>
      </c>
      <c r="C1658" s="716" t="s">
        <v>1883</v>
      </c>
      <c r="D1658" s="709"/>
      <c r="E1658" s="710"/>
      <c r="F1658" s="573"/>
      <c r="G1658" s="487"/>
      <c r="H1658" s="573"/>
      <c r="I1658" s="487"/>
      <c r="J1658" s="573"/>
      <c r="K1658" s="487"/>
      <c r="L1658" s="573"/>
      <c r="M1658" s="573"/>
      <c r="N1658" s="456">
        <f t="shared" si="209"/>
        <v>0</v>
      </c>
      <c r="O1658" s="487"/>
      <c r="P1658" s="487"/>
      <c r="Q1658" s="274">
        <f t="shared" si="204"/>
        <v>0</v>
      </c>
      <c r="R1658" s="574">
        <f t="shared" si="205"/>
        <v>0</v>
      </c>
      <c r="S1658" s="275">
        <f t="shared" si="206"/>
        <v>0</v>
      </c>
      <c r="T1658" s="575"/>
      <c r="U1658" s="487"/>
      <c r="V1658" s="576"/>
      <c r="W1658" s="573"/>
      <c r="X1658" s="574">
        <f t="shared" si="210"/>
        <v>0</v>
      </c>
      <c r="Y1658" s="487"/>
      <c r="Z1658" s="487"/>
      <c r="AA1658" s="276">
        <f t="shared" si="211"/>
        <v>0</v>
      </c>
      <c r="AB1658" s="573"/>
      <c r="AC1658" s="487"/>
      <c r="AD1658" s="573"/>
      <c r="AE1658" s="487"/>
      <c r="AF1658" s="577">
        <f t="shared" si="207"/>
        <v>0</v>
      </c>
      <c r="AG1658" s="275">
        <f t="shared" si="208"/>
        <v>0</v>
      </c>
    </row>
    <row r="1659" spans="1:33" ht="12" customHeight="1">
      <c r="A1659" s="706" t="s">
        <v>1279</v>
      </c>
      <c r="B1659" s="707" t="s">
        <v>1412</v>
      </c>
      <c r="C1659" s="716" t="s">
        <v>841</v>
      </c>
      <c r="D1659" s="709"/>
      <c r="E1659" s="710"/>
      <c r="F1659" s="573"/>
      <c r="G1659" s="487"/>
      <c r="H1659" s="573"/>
      <c r="I1659" s="487"/>
      <c r="J1659" s="573"/>
      <c r="K1659" s="487"/>
      <c r="L1659" s="573"/>
      <c r="M1659" s="573"/>
      <c r="N1659" s="456">
        <f t="shared" si="209"/>
        <v>0</v>
      </c>
      <c r="O1659" s="487"/>
      <c r="P1659" s="487"/>
      <c r="Q1659" s="274">
        <f t="shared" si="204"/>
        <v>0</v>
      </c>
      <c r="R1659" s="574">
        <f t="shared" si="205"/>
        <v>0</v>
      </c>
      <c r="S1659" s="275">
        <f t="shared" si="206"/>
        <v>0</v>
      </c>
      <c r="T1659" s="575">
        <v>531250</v>
      </c>
      <c r="U1659" s="487">
        <v>1131250</v>
      </c>
      <c r="V1659" s="576"/>
      <c r="W1659" s="573"/>
      <c r="X1659" s="574">
        <f t="shared" si="210"/>
        <v>0</v>
      </c>
      <c r="Y1659" s="487"/>
      <c r="Z1659" s="487"/>
      <c r="AA1659" s="276">
        <f t="shared" si="211"/>
        <v>0</v>
      </c>
      <c r="AB1659" s="573"/>
      <c r="AC1659" s="487"/>
      <c r="AD1659" s="573"/>
      <c r="AE1659" s="487"/>
      <c r="AF1659" s="577">
        <f t="shared" si="207"/>
        <v>531250</v>
      </c>
      <c r="AG1659" s="275">
        <f t="shared" si="208"/>
        <v>1131250</v>
      </c>
    </row>
    <row r="1660" spans="1:33" ht="12" customHeight="1">
      <c r="A1660" s="706" t="s">
        <v>1279</v>
      </c>
      <c r="B1660" s="714" t="s">
        <v>1413</v>
      </c>
      <c r="C1660" s="713" t="s">
        <v>422</v>
      </c>
      <c r="D1660" s="709"/>
      <c r="E1660" s="710"/>
      <c r="F1660" s="573"/>
      <c r="G1660" s="487"/>
      <c r="H1660" s="573"/>
      <c r="I1660" s="487"/>
      <c r="J1660" s="573"/>
      <c r="K1660" s="487"/>
      <c r="L1660" s="573"/>
      <c r="M1660" s="573"/>
      <c r="N1660" s="456">
        <f t="shared" si="209"/>
        <v>0</v>
      </c>
      <c r="O1660" s="487"/>
      <c r="P1660" s="487"/>
      <c r="Q1660" s="274">
        <f t="shared" si="204"/>
        <v>0</v>
      </c>
      <c r="R1660" s="574">
        <f t="shared" si="205"/>
        <v>0</v>
      </c>
      <c r="S1660" s="275">
        <f t="shared" si="206"/>
        <v>0</v>
      </c>
      <c r="T1660" s="575"/>
      <c r="U1660" s="487"/>
      <c r="V1660" s="576"/>
      <c r="W1660" s="573"/>
      <c r="X1660" s="574">
        <f t="shared" si="210"/>
        <v>0</v>
      </c>
      <c r="Y1660" s="487"/>
      <c r="Z1660" s="487"/>
      <c r="AA1660" s="276">
        <f t="shared" si="211"/>
        <v>0</v>
      </c>
      <c r="AB1660" s="573"/>
      <c r="AC1660" s="487"/>
      <c r="AD1660" s="573"/>
      <c r="AE1660" s="487"/>
      <c r="AF1660" s="577">
        <f t="shared" si="207"/>
        <v>0</v>
      </c>
      <c r="AG1660" s="275">
        <f t="shared" si="208"/>
        <v>0</v>
      </c>
    </row>
    <row r="1661" spans="1:33" ht="12" customHeight="1">
      <c r="A1661" s="706" t="s">
        <v>1279</v>
      </c>
      <c r="B1661" s="714" t="s">
        <v>1582</v>
      </c>
      <c r="C1661" s="713" t="s">
        <v>1883</v>
      </c>
      <c r="D1661" s="709"/>
      <c r="E1661" s="710"/>
      <c r="F1661" s="573"/>
      <c r="G1661" s="487"/>
      <c r="H1661" s="573"/>
      <c r="I1661" s="487"/>
      <c r="J1661" s="573"/>
      <c r="K1661" s="487"/>
      <c r="L1661" s="573"/>
      <c r="M1661" s="573"/>
      <c r="N1661" s="456">
        <f t="shared" si="209"/>
        <v>0</v>
      </c>
      <c r="O1661" s="487"/>
      <c r="P1661" s="487"/>
      <c r="Q1661" s="274">
        <f t="shared" si="204"/>
        <v>0</v>
      </c>
      <c r="R1661" s="574">
        <f t="shared" si="205"/>
        <v>0</v>
      </c>
      <c r="S1661" s="275">
        <f t="shared" si="206"/>
        <v>0</v>
      </c>
      <c r="T1661" s="575"/>
      <c r="U1661" s="487"/>
      <c r="V1661" s="576"/>
      <c r="W1661" s="573"/>
      <c r="X1661" s="574">
        <f t="shared" si="210"/>
        <v>0</v>
      </c>
      <c r="Y1661" s="487"/>
      <c r="Z1661" s="487"/>
      <c r="AA1661" s="276">
        <f t="shared" si="211"/>
        <v>0</v>
      </c>
      <c r="AB1661" s="573"/>
      <c r="AC1661" s="487"/>
      <c r="AD1661" s="573"/>
      <c r="AE1661" s="487"/>
      <c r="AF1661" s="577">
        <f t="shared" si="207"/>
        <v>0</v>
      </c>
      <c r="AG1661" s="275">
        <f t="shared" si="208"/>
        <v>0</v>
      </c>
    </row>
    <row r="1662" spans="1:33" ht="12" customHeight="1">
      <c r="A1662" s="706" t="s">
        <v>1279</v>
      </c>
      <c r="B1662" s="707" t="s">
        <v>1583</v>
      </c>
      <c r="C1662" s="716" t="s">
        <v>841</v>
      </c>
      <c r="D1662" s="709"/>
      <c r="E1662" s="710"/>
      <c r="F1662" s="573"/>
      <c r="G1662" s="487"/>
      <c r="H1662" s="573"/>
      <c r="I1662" s="487"/>
      <c r="J1662" s="573"/>
      <c r="K1662" s="487"/>
      <c r="L1662" s="573"/>
      <c r="M1662" s="573"/>
      <c r="N1662" s="456">
        <f t="shared" si="209"/>
        <v>0</v>
      </c>
      <c r="O1662" s="487"/>
      <c r="P1662" s="487"/>
      <c r="Q1662" s="274">
        <f t="shared" si="204"/>
        <v>0</v>
      </c>
      <c r="R1662" s="574">
        <f t="shared" si="205"/>
        <v>0</v>
      </c>
      <c r="S1662" s="275">
        <f t="shared" si="206"/>
        <v>0</v>
      </c>
      <c r="T1662" s="575">
        <v>37500</v>
      </c>
      <c r="U1662" s="487">
        <v>118750</v>
      </c>
      <c r="V1662" s="576"/>
      <c r="W1662" s="573"/>
      <c r="X1662" s="574">
        <f t="shared" si="210"/>
        <v>0</v>
      </c>
      <c r="Y1662" s="487"/>
      <c r="Z1662" s="487"/>
      <c r="AA1662" s="276">
        <f t="shared" si="211"/>
        <v>0</v>
      </c>
      <c r="AB1662" s="573"/>
      <c r="AC1662" s="487"/>
      <c r="AD1662" s="573"/>
      <c r="AE1662" s="487"/>
      <c r="AF1662" s="577">
        <f t="shared" si="207"/>
        <v>37500</v>
      </c>
      <c r="AG1662" s="275">
        <f t="shared" si="208"/>
        <v>118750</v>
      </c>
    </row>
    <row r="1663" spans="1:33" ht="12" customHeight="1">
      <c r="A1663" s="706" t="s">
        <v>1279</v>
      </c>
      <c r="B1663" s="715" t="s">
        <v>1805</v>
      </c>
      <c r="C1663" s="474" t="s">
        <v>191</v>
      </c>
      <c r="D1663" s="709"/>
      <c r="E1663" s="710"/>
      <c r="F1663" s="573"/>
      <c r="G1663" s="487"/>
      <c r="H1663" s="573"/>
      <c r="I1663" s="487"/>
      <c r="J1663" s="573"/>
      <c r="K1663" s="487"/>
      <c r="L1663" s="573"/>
      <c r="M1663" s="573"/>
      <c r="N1663" s="456">
        <f t="shared" si="209"/>
        <v>0</v>
      </c>
      <c r="O1663" s="487"/>
      <c r="P1663" s="487"/>
      <c r="Q1663" s="274">
        <f t="shared" si="204"/>
        <v>0</v>
      </c>
      <c r="R1663" s="574">
        <f t="shared" si="205"/>
        <v>0</v>
      </c>
      <c r="S1663" s="275">
        <f t="shared" si="206"/>
        <v>0</v>
      </c>
      <c r="T1663" s="575"/>
      <c r="U1663" s="487"/>
      <c r="V1663" s="576"/>
      <c r="W1663" s="573"/>
      <c r="X1663" s="574">
        <f t="shared" si="210"/>
        <v>0</v>
      </c>
      <c r="Y1663" s="487"/>
      <c r="Z1663" s="487"/>
      <c r="AA1663" s="276">
        <f t="shared" si="211"/>
        <v>0</v>
      </c>
      <c r="AB1663" s="573"/>
      <c r="AC1663" s="487"/>
      <c r="AD1663" s="573"/>
      <c r="AE1663" s="487"/>
      <c r="AF1663" s="577">
        <f t="shared" si="207"/>
        <v>0</v>
      </c>
      <c r="AG1663" s="275">
        <f t="shared" si="208"/>
        <v>0</v>
      </c>
    </row>
    <row r="1664" spans="1:33" ht="12" customHeight="1">
      <c r="A1664" s="706" t="s">
        <v>1279</v>
      </c>
      <c r="B1664" s="707" t="s">
        <v>1510</v>
      </c>
      <c r="C1664" s="716" t="s">
        <v>421</v>
      </c>
      <c r="D1664" s="709"/>
      <c r="E1664" s="710"/>
      <c r="F1664" s="573"/>
      <c r="G1664" s="487"/>
      <c r="H1664" s="573"/>
      <c r="I1664" s="487"/>
      <c r="J1664" s="573"/>
      <c r="K1664" s="487"/>
      <c r="L1664" s="573"/>
      <c r="M1664" s="573"/>
      <c r="N1664" s="456">
        <f t="shared" si="209"/>
        <v>0</v>
      </c>
      <c r="O1664" s="487"/>
      <c r="P1664" s="487"/>
      <c r="Q1664" s="274">
        <f t="shared" si="204"/>
        <v>0</v>
      </c>
      <c r="R1664" s="574">
        <f t="shared" si="205"/>
        <v>0</v>
      </c>
      <c r="S1664" s="275">
        <f t="shared" si="206"/>
        <v>0</v>
      </c>
      <c r="T1664" s="575"/>
      <c r="U1664" s="487"/>
      <c r="V1664" s="576"/>
      <c r="W1664" s="573"/>
      <c r="X1664" s="574">
        <f t="shared" si="210"/>
        <v>0</v>
      </c>
      <c r="Y1664" s="487"/>
      <c r="Z1664" s="487"/>
      <c r="AA1664" s="276">
        <f t="shared" si="211"/>
        <v>0</v>
      </c>
      <c r="AB1664" s="573"/>
      <c r="AC1664" s="487"/>
      <c r="AD1664" s="573"/>
      <c r="AE1664" s="487"/>
      <c r="AF1664" s="577">
        <f t="shared" si="207"/>
        <v>0</v>
      </c>
      <c r="AG1664" s="275">
        <f t="shared" si="208"/>
        <v>0</v>
      </c>
    </row>
    <row r="1665" spans="1:33" ht="12" customHeight="1">
      <c r="A1665" s="706" t="s">
        <v>1279</v>
      </c>
      <c r="B1665" s="707" t="s">
        <v>1511</v>
      </c>
      <c r="C1665" s="716" t="s">
        <v>1883</v>
      </c>
      <c r="D1665" s="709"/>
      <c r="E1665" s="710"/>
      <c r="F1665" s="573"/>
      <c r="G1665" s="487"/>
      <c r="H1665" s="573"/>
      <c r="I1665" s="487"/>
      <c r="J1665" s="573"/>
      <c r="K1665" s="487"/>
      <c r="L1665" s="573"/>
      <c r="M1665" s="573"/>
      <c r="N1665" s="456">
        <f t="shared" si="209"/>
        <v>0</v>
      </c>
      <c r="O1665" s="487"/>
      <c r="P1665" s="487"/>
      <c r="Q1665" s="274">
        <f t="shared" si="204"/>
        <v>0</v>
      </c>
      <c r="R1665" s="574">
        <f t="shared" si="205"/>
        <v>0</v>
      </c>
      <c r="S1665" s="275">
        <f t="shared" si="206"/>
        <v>0</v>
      </c>
      <c r="T1665" s="575"/>
      <c r="U1665" s="487"/>
      <c r="V1665" s="576"/>
      <c r="W1665" s="573"/>
      <c r="X1665" s="574">
        <f t="shared" si="210"/>
        <v>0</v>
      </c>
      <c r="Y1665" s="487"/>
      <c r="Z1665" s="487"/>
      <c r="AA1665" s="276">
        <f t="shared" si="211"/>
        <v>0</v>
      </c>
      <c r="AB1665" s="573"/>
      <c r="AC1665" s="487"/>
      <c r="AD1665" s="573"/>
      <c r="AE1665" s="487"/>
      <c r="AF1665" s="577">
        <f t="shared" si="207"/>
        <v>0</v>
      </c>
      <c r="AG1665" s="275">
        <f t="shared" si="208"/>
        <v>0</v>
      </c>
    </row>
    <row r="1666" spans="1:33" ht="12" customHeight="1">
      <c r="A1666" s="706" t="s">
        <v>1279</v>
      </c>
      <c r="B1666" s="707" t="s">
        <v>1412</v>
      </c>
      <c r="C1666" s="716" t="s">
        <v>841</v>
      </c>
      <c r="D1666" s="709"/>
      <c r="E1666" s="710"/>
      <c r="F1666" s="573"/>
      <c r="G1666" s="487"/>
      <c r="H1666" s="573"/>
      <c r="I1666" s="487"/>
      <c r="J1666" s="573"/>
      <c r="K1666" s="487"/>
      <c r="L1666" s="573"/>
      <c r="M1666" s="573"/>
      <c r="N1666" s="456">
        <f t="shared" si="209"/>
        <v>0</v>
      </c>
      <c r="O1666" s="487"/>
      <c r="P1666" s="487"/>
      <c r="Q1666" s="274">
        <f t="shared" si="204"/>
        <v>0</v>
      </c>
      <c r="R1666" s="574">
        <f t="shared" si="205"/>
        <v>0</v>
      </c>
      <c r="S1666" s="275">
        <f t="shared" si="206"/>
        <v>0</v>
      </c>
      <c r="T1666" s="575">
        <v>546880</v>
      </c>
      <c r="U1666" s="487">
        <f>580947+91346</f>
        <v>672293</v>
      </c>
      <c r="V1666" s="576"/>
      <c r="W1666" s="573"/>
      <c r="X1666" s="574">
        <f t="shared" si="210"/>
        <v>0</v>
      </c>
      <c r="Y1666" s="487"/>
      <c r="Z1666" s="487"/>
      <c r="AA1666" s="276">
        <f t="shared" si="211"/>
        <v>0</v>
      </c>
      <c r="AB1666" s="573"/>
      <c r="AC1666" s="487"/>
      <c r="AD1666" s="573"/>
      <c r="AE1666" s="487"/>
      <c r="AF1666" s="577">
        <f t="shared" si="207"/>
        <v>546880</v>
      </c>
      <c r="AG1666" s="275">
        <f t="shared" si="208"/>
        <v>672293</v>
      </c>
    </row>
    <row r="1667" spans="1:33" ht="12" customHeight="1">
      <c r="A1667" s="706" t="s">
        <v>1279</v>
      </c>
      <c r="B1667" s="714" t="s">
        <v>1413</v>
      </c>
      <c r="C1667" s="713" t="s">
        <v>422</v>
      </c>
      <c r="D1667" s="709"/>
      <c r="E1667" s="710"/>
      <c r="F1667" s="573"/>
      <c r="G1667" s="487"/>
      <c r="H1667" s="573"/>
      <c r="I1667" s="487"/>
      <c r="J1667" s="573"/>
      <c r="K1667" s="487"/>
      <c r="L1667" s="573"/>
      <c r="M1667" s="573"/>
      <c r="N1667" s="456">
        <f t="shared" si="209"/>
        <v>0</v>
      </c>
      <c r="O1667" s="487"/>
      <c r="P1667" s="487"/>
      <c r="Q1667" s="274">
        <f t="shared" si="204"/>
        <v>0</v>
      </c>
      <c r="R1667" s="574">
        <f t="shared" si="205"/>
        <v>0</v>
      </c>
      <c r="S1667" s="275">
        <f t="shared" si="206"/>
        <v>0</v>
      </c>
      <c r="T1667" s="575"/>
      <c r="U1667" s="487"/>
      <c r="V1667" s="576"/>
      <c r="W1667" s="573"/>
      <c r="X1667" s="574">
        <f t="shared" si="210"/>
        <v>0</v>
      </c>
      <c r="Y1667" s="487"/>
      <c r="Z1667" s="487"/>
      <c r="AA1667" s="276">
        <f t="shared" si="211"/>
        <v>0</v>
      </c>
      <c r="AB1667" s="573"/>
      <c r="AC1667" s="487"/>
      <c r="AD1667" s="573"/>
      <c r="AE1667" s="487"/>
      <c r="AF1667" s="577">
        <f t="shared" si="207"/>
        <v>0</v>
      </c>
      <c r="AG1667" s="275">
        <f t="shared" si="208"/>
        <v>0</v>
      </c>
    </row>
    <row r="1668" spans="1:33" ht="12" customHeight="1">
      <c r="A1668" s="706" t="s">
        <v>1279</v>
      </c>
      <c r="B1668" s="714" t="s">
        <v>1582</v>
      </c>
      <c r="C1668" s="713" t="s">
        <v>1883</v>
      </c>
      <c r="D1668" s="709"/>
      <c r="E1668" s="710"/>
      <c r="F1668" s="573"/>
      <c r="G1668" s="487"/>
      <c r="H1668" s="573"/>
      <c r="I1668" s="487"/>
      <c r="J1668" s="573"/>
      <c r="K1668" s="487"/>
      <c r="L1668" s="573"/>
      <c r="M1668" s="573"/>
      <c r="N1668" s="456">
        <f t="shared" si="209"/>
        <v>0</v>
      </c>
      <c r="O1668" s="487"/>
      <c r="P1668" s="487"/>
      <c r="Q1668" s="274">
        <f t="shared" si="204"/>
        <v>0</v>
      </c>
      <c r="R1668" s="574">
        <f t="shared" si="205"/>
        <v>0</v>
      </c>
      <c r="S1668" s="275">
        <f t="shared" si="206"/>
        <v>0</v>
      </c>
      <c r="T1668" s="575"/>
      <c r="U1668" s="487"/>
      <c r="V1668" s="576"/>
      <c r="W1668" s="573"/>
      <c r="X1668" s="574">
        <f t="shared" si="210"/>
        <v>0</v>
      </c>
      <c r="Y1668" s="487"/>
      <c r="Z1668" s="487"/>
      <c r="AA1668" s="276">
        <f t="shared" si="211"/>
        <v>0</v>
      </c>
      <c r="AB1668" s="573"/>
      <c r="AC1668" s="487"/>
      <c r="AD1668" s="573"/>
      <c r="AE1668" s="487"/>
      <c r="AF1668" s="577">
        <f t="shared" si="207"/>
        <v>0</v>
      </c>
      <c r="AG1668" s="275">
        <f t="shared" si="208"/>
        <v>0</v>
      </c>
    </row>
    <row r="1669" spans="1:33" ht="12" customHeight="1">
      <c r="A1669" s="706" t="s">
        <v>1279</v>
      </c>
      <c r="B1669" s="707" t="s">
        <v>1583</v>
      </c>
      <c r="C1669" s="716" t="s">
        <v>841</v>
      </c>
      <c r="D1669" s="709"/>
      <c r="E1669" s="710"/>
      <c r="F1669" s="573"/>
      <c r="G1669" s="487"/>
      <c r="H1669" s="573"/>
      <c r="I1669" s="487"/>
      <c r="J1669" s="573"/>
      <c r="K1669" s="487"/>
      <c r="L1669" s="573"/>
      <c r="M1669" s="573"/>
      <c r="N1669" s="456">
        <f t="shared" si="209"/>
        <v>0</v>
      </c>
      <c r="O1669" s="487"/>
      <c r="P1669" s="487"/>
      <c r="Q1669" s="274">
        <f t="shared" si="204"/>
        <v>0</v>
      </c>
      <c r="R1669" s="574">
        <f t="shared" si="205"/>
        <v>0</v>
      </c>
      <c r="S1669" s="275">
        <f t="shared" si="206"/>
        <v>0</v>
      </c>
      <c r="T1669" s="575">
        <v>51781</v>
      </c>
      <c r="U1669" s="487">
        <v>63178</v>
      </c>
      <c r="V1669" s="576"/>
      <c r="W1669" s="573"/>
      <c r="X1669" s="574">
        <f t="shared" si="210"/>
        <v>0</v>
      </c>
      <c r="Y1669" s="487"/>
      <c r="Z1669" s="487"/>
      <c r="AA1669" s="276">
        <f t="shared" si="211"/>
        <v>0</v>
      </c>
      <c r="AB1669" s="573"/>
      <c r="AC1669" s="487"/>
      <c r="AD1669" s="573"/>
      <c r="AE1669" s="487"/>
      <c r="AF1669" s="577">
        <f t="shared" si="207"/>
        <v>51781</v>
      </c>
      <c r="AG1669" s="275">
        <f t="shared" si="208"/>
        <v>63178</v>
      </c>
    </row>
    <row r="1670" spans="1:33" ht="12" customHeight="1">
      <c r="A1670" s="706" t="s">
        <v>1279</v>
      </c>
      <c r="B1670" s="715" t="s">
        <v>1805</v>
      </c>
      <c r="C1670" s="474" t="s">
        <v>192</v>
      </c>
      <c r="D1670" s="709"/>
      <c r="E1670" s="710"/>
      <c r="F1670" s="573"/>
      <c r="G1670" s="487"/>
      <c r="H1670" s="573"/>
      <c r="I1670" s="487"/>
      <c r="J1670" s="573"/>
      <c r="K1670" s="487"/>
      <c r="L1670" s="573"/>
      <c r="M1670" s="573"/>
      <c r="N1670" s="456">
        <f t="shared" si="209"/>
        <v>0</v>
      </c>
      <c r="O1670" s="487"/>
      <c r="P1670" s="487"/>
      <c r="Q1670" s="274">
        <f t="shared" si="204"/>
        <v>0</v>
      </c>
      <c r="R1670" s="574">
        <f t="shared" si="205"/>
        <v>0</v>
      </c>
      <c r="S1670" s="275">
        <f t="shared" si="206"/>
        <v>0</v>
      </c>
      <c r="T1670" s="575"/>
      <c r="U1670" s="487"/>
      <c r="V1670" s="576"/>
      <c r="W1670" s="573"/>
      <c r="X1670" s="574">
        <f t="shared" si="210"/>
        <v>0</v>
      </c>
      <c r="Y1670" s="487"/>
      <c r="Z1670" s="487"/>
      <c r="AA1670" s="276">
        <f t="shared" si="211"/>
        <v>0</v>
      </c>
      <c r="AB1670" s="573"/>
      <c r="AC1670" s="487"/>
      <c r="AD1670" s="573"/>
      <c r="AE1670" s="487"/>
      <c r="AF1670" s="577">
        <f t="shared" si="207"/>
        <v>0</v>
      </c>
      <c r="AG1670" s="275">
        <f t="shared" si="208"/>
        <v>0</v>
      </c>
    </row>
    <row r="1671" spans="1:33" ht="12" customHeight="1">
      <c r="A1671" s="706" t="s">
        <v>1279</v>
      </c>
      <c r="B1671" s="707" t="s">
        <v>1510</v>
      </c>
      <c r="C1671" s="716" t="s">
        <v>421</v>
      </c>
      <c r="D1671" s="709"/>
      <c r="E1671" s="710"/>
      <c r="F1671" s="573"/>
      <c r="G1671" s="487"/>
      <c r="H1671" s="573"/>
      <c r="I1671" s="487"/>
      <c r="J1671" s="573"/>
      <c r="K1671" s="487"/>
      <c r="L1671" s="573"/>
      <c r="M1671" s="573"/>
      <c r="N1671" s="456">
        <f t="shared" si="209"/>
        <v>0</v>
      </c>
      <c r="O1671" s="487"/>
      <c r="P1671" s="487"/>
      <c r="Q1671" s="274">
        <f t="shared" si="204"/>
        <v>0</v>
      </c>
      <c r="R1671" s="574">
        <f t="shared" si="205"/>
        <v>0</v>
      </c>
      <c r="S1671" s="275">
        <f t="shared" si="206"/>
        <v>0</v>
      </c>
      <c r="T1671" s="575"/>
      <c r="U1671" s="487"/>
      <c r="V1671" s="576"/>
      <c r="W1671" s="573"/>
      <c r="X1671" s="574">
        <f t="shared" si="210"/>
        <v>0</v>
      </c>
      <c r="Y1671" s="487"/>
      <c r="Z1671" s="487"/>
      <c r="AA1671" s="276">
        <f t="shared" si="211"/>
        <v>0</v>
      </c>
      <c r="AB1671" s="573"/>
      <c r="AC1671" s="487"/>
      <c r="AD1671" s="573"/>
      <c r="AE1671" s="487"/>
      <c r="AF1671" s="577">
        <f t="shared" si="207"/>
        <v>0</v>
      </c>
      <c r="AG1671" s="275">
        <f t="shared" si="208"/>
        <v>0</v>
      </c>
    </row>
    <row r="1672" spans="1:33" ht="12" customHeight="1">
      <c r="A1672" s="706" t="s">
        <v>1279</v>
      </c>
      <c r="B1672" s="707" t="s">
        <v>1511</v>
      </c>
      <c r="C1672" s="716" t="s">
        <v>1883</v>
      </c>
      <c r="D1672" s="709"/>
      <c r="E1672" s="710"/>
      <c r="F1672" s="573"/>
      <c r="G1672" s="487"/>
      <c r="H1672" s="573"/>
      <c r="I1672" s="487"/>
      <c r="J1672" s="573"/>
      <c r="K1672" s="487"/>
      <c r="L1672" s="573"/>
      <c r="M1672" s="573"/>
      <c r="N1672" s="456">
        <f t="shared" si="209"/>
        <v>0</v>
      </c>
      <c r="O1672" s="487"/>
      <c r="P1672" s="487"/>
      <c r="Q1672" s="274">
        <f t="shared" si="204"/>
        <v>0</v>
      </c>
      <c r="R1672" s="574">
        <f t="shared" si="205"/>
        <v>0</v>
      </c>
      <c r="S1672" s="275">
        <f t="shared" si="206"/>
        <v>0</v>
      </c>
      <c r="T1672" s="575"/>
      <c r="U1672" s="487"/>
      <c r="V1672" s="576"/>
      <c r="W1672" s="573"/>
      <c r="X1672" s="574">
        <f t="shared" si="210"/>
        <v>0</v>
      </c>
      <c r="Y1672" s="487"/>
      <c r="Z1672" s="487"/>
      <c r="AA1672" s="276">
        <f t="shared" si="211"/>
        <v>0</v>
      </c>
      <c r="AB1672" s="573"/>
      <c r="AC1672" s="487"/>
      <c r="AD1672" s="573"/>
      <c r="AE1672" s="487"/>
      <c r="AF1672" s="577">
        <f t="shared" si="207"/>
        <v>0</v>
      </c>
      <c r="AG1672" s="275">
        <f t="shared" si="208"/>
        <v>0</v>
      </c>
    </row>
    <row r="1673" spans="1:33" ht="12" customHeight="1">
      <c r="A1673" s="706" t="s">
        <v>1279</v>
      </c>
      <c r="B1673" s="707" t="s">
        <v>1412</v>
      </c>
      <c r="C1673" s="716" t="s">
        <v>841</v>
      </c>
      <c r="D1673" s="709"/>
      <c r="E1673" s="710"/>
      <c r="F1673" s="573"/>
      <c r="G1673" s="487"/>
      <c r="H1673" s="573"/>
      <c r="I1673" s="487"/>
      <c r="J1673" s="573"/>
      <c r="K1673" s="487"/>
      <c r="L1673" s="573"/>
      <c r="M1673" s="573"/>
      <c r="N1673" s="456">
        <f t="shared" si="209"/>
        <v>0</v>
      </c>
      <c r="O1673" s="487"/>
      <c r="P1673" s="487"/>
      <c r="Q1673" s="274">
        <f t="shared" si="204"/>
        <v>0</v>
      </c>
      <c r="R1673" s="574">
        <f t="shared" si="205"/>
        <v>0</v>
      </c>
      <c r="S1673" s="275">
        <f t="shared" si="206"/>
        <v>0</v>
      </c>
      <c r="T1673" s="575">
        <v>1633750</v>
      </c>
      <c r="U1673" s="487">
        <f>2350500+324250</f>
        <v>2674750</v>
      </c>
      <c r="V1673" s="576"/>
      <c r="W1673" s="573"/>
      <c r="X1673" s="574">
        <f t="shared" si="210"/>
        <v>0</v>
      </c>
      <c r="Y1673" s="487"/>
      <c r="Z1673" s="487"/>
      <c r="AA1673" s="276">
        <f t="shared" si="211"/>
        <v>0</v>
      </c>
      <c r="AB1673" s="573"/>
      <c r="AC1673" s="487"/>
      <c r="AD1673" s="573"/>
      <c r="AE1673" s="487"/>
      <c r="AF1673" s="577">
        <f t="shared" si="207"/>
        <v>1633750</v>
      </c>
      <c r="AG1673" s="275">
        <f t="shared" si="208"/>
        <v>2674750</v>
      </c>
    </row>
    <row r="1674" spans="1:33" ht="12" customHeight="1">
      <c r="A1674" s="706" t="s">
        <v>1279</v>
      </c>
      <c r="B1674" s="714" t="s">
        <v>1413</v>
      </c>
      <c r="C1674" s="713" t="s">
        <v>422</v>
      </c>
      <c r="D1674" s="709"/>
      <c r="E1674" s="710"/>
      <c r="F1674" s="573"/>
      <c r="G1674" s="487"/>
      <c r="H1674" s="573"/>
      <c r="I1674" s="487"/>
      <c r="J1674" s="573"/>
      <c r="K1674" s="487"/>
      <c r="L1674" s="573"/>
      <c r="M1674" s="573"/>
      <c r="N1674" s="456">
        <f t="shared" si="209"/>
        <v>0</v>
      </c>
      <c r="O1674" s="487"/>
      <c r="P1674" s="487"/>
      <c r="Q1674" s="274">
        <f t="shared" ref="Q1674:Q1737" si="212">SUM(O1674:P1674)</f>
        <v>0</v>
      </c>
      <c r="R1674" s="574">
        <f t="shared" ref="R1674:R1737" si="213">SUM(F1674,H1674,J1674,L1674)</f>
        <v>0</v>
      </c>
      <c r="S1674" s="275">
        <f t="shared" ref="S1674:S1737" si="214">SUM(G1674,I1674,K1674,O1674)</f>
        <v>0</v>
      </c>
      <c r="T1674" s="575"/>
      <c r="U1674" s="487"/>
      <c r="V1674" s="576"/>
      <c r="W1674" s="573"/>
      <c r="X1674" s="574">
        <f t="shared" si="210"/>
        <v>0</v>
      </c>
      <c r="Y1674" s="487"/>
      <c r="Z1674" s="487"/>
      <c r="AA1674" s="276">
        <f t="shared" si="211"/>
        <v>0</v>
      </c>
      <c r="AB1674" s="573"/>
      <c r="AC1674" s="487"/>
      <c r="AD1674" s="573"/>
      <c r="AE1674" s="487"/>
      <c r="AF1674" s="577">
        <f t="shared" ref="AF1674:AF1737" si="215">SUM(R1674,T1674,V1674,AB1674,AD1674)</f>
        <v>0</v>
      </c>
      <c r="AG1674" s="275">
        <f t="shared" ref="AG1674:AG1737" si="216">SUM(S1674,U1674,Y1674,AC1674,AE1674)</f>
        <v>0</v>
      </c>
    </row>
    <row r="1675" spans="1:33" ht="12" customHeight="1">
      <c r="A1675" s="706" t="s">
        <v>1279</v>
      </c>
      <c r="B1675" s="714" t="s">
        <v>1582</v>
      </c>
      <c r="C1675" s="713" t="s">
        <v>1883</v>
      </c>
      <c r="D1675" s="709"/>
      <c r="E1675" s="710"/>
      <c r="F1675" s="573"/>
      <c r="G1675" s="487"/>
      <c r="H1675" s="573"/>
      <c r="I1675" s="487"/>
      <c r="J1675" s="573"/>
      <c r="K1675" s="487"/>
      <c r="L1675" s="573"/>
      <c r="M1675" s="573"/>
      <c r="N1675" s="456">
        <f t="shared" si="209"/>
        <v>0</v>
      </c>
      <c r="O1675" s="487"/>
      <c r="P1675" s="487"/>
      <c r="Q1675" s="274">
        <f t="shared" si="212"/>
        <v>0</v>
      </c>
      <c r="R1675" s="574">
        <f t="shared" si="213"/>
        <v>0</v>
      </c>
      <c r="S1675" s="275">
        <f t="shared" si="214"/>
        <v>0</v>
      </c>
      <c r="T1675" s="575"/>
      <c r="U1675" s="487"/>
      <c r="V1675" s="576"/>
      <c r="W1675" s="573"/>
      <c r="X1675" s="574">
        <f t="shared" si="210"/>
        <v>0</v>
      </c>
      <c r="Y1675" s="487"/>
      <c r="Z1675" s="487"/>
      <c r="AA1675" s="276">
        <f t="shared" si="211"/>
        <v>0</v>
      </c>
      <c r="AB1675" s="573"/>
      <c r="AC1675" s="487"/>
      <c r="AD1675" s="573"/>
      <c r="AE1675" s="487"/>
      <c r="AF1675" s="577">
        <f t="shared" si="215"/>
        <v>0</v>
      </c>
      <c r="AG1675" s="275">
        <f t="shared" si="216"/>
        <v>0</v>
      </c>
    </row>
    <row r="1676" spans="1:33" ht="12" customHeight="1">
      <c r="A1676" s="706" t="s">
        <v>1279</v>
      </c>
      <c r="B1676" s="707" t="s">
        <v>1583</v>
      </c>
      <c r="C1676" s="716" t="s">
        <v>841</v>
      </c>
      <c r="D1676" s="709"/>
      <c r="E1676" s="710"/>
      <c r="F1676" s="573"/>
      <c r="G1676" s="487"/>
      <c r="H1676" s="573"/>
      <c r="I1676" s="487"/>
      <c r="J1676" s="573"/>
      <c r="K1676" s="487"/>
      <c r="L1676" s="573"/>
      <c r="M1676" s="573"/>
      <c r="N1676" s="456">
        <f t="shared" si="209"/>
        <v>0</v>
      </c>
      <c r="O1676" s="487"/>
      <c r="P1676" s="487"/>
      <c r="Q1676" s="274">
        <f t="shared" si="212"/>
        <v>0</v>
      </c>
      <c r="R1676" s="574">
        <f t="shared" si="213"/>
        <v>0</v>
      </c>
      <c r="S1676" s="275">
        <f t="shared" si="214"/>
        <v>0</v>
      </c>
      <c r="T1676" s="575">
        <v>476250</v>
      </c>
      <c r="U1676" s="487">
        <f>4000+810500</f>
        <v>814500</v>
      </c>
      <c r="V1676" s="576"/>
      <c r="W1676" s="573"/>
      <c r="X1676" s="574">
        <f t="shared" si="210"/>
        <v>0</v>
      </c>
      <c r="Y1676" s="487"/>
      <c r="Z1676" s="487"/>
      <c r="AA1676" s="276">
        <f t="shared" si="211"/>
        <v>0</v>
      </c>
      <c r="AB1676" s="573"/>
      <c r="AC1676" s="487"/>
      <c r="AD1676" s="573"/>
      <c r="AE1676" s="487"/>
      <c r="AF1676" s="577">
        <f t="shared" si="215"/>
        <v>476250</v>
      </c>
      <c r="AG1676" s="275">
        <f t="shared" si="216"/>
        <v>814500</v>
      </c>
    </row>
    <row r="1677" spans="1:33" ht="12" customHeight="1">
      <c r="A1677" s="706" t="s">
        <v>1279</v>
      </c>
      <c r="B1677" s="714" t="s">
        <v>1806</v>
      </c>
      <c r="C1677" s="475" t="s">
        <v>193</v>
      </c>
      <c r="D1677" s="717"/>
      <c r="E1677" s="718"/>
      <c r="F1677" s="573"/>
      <c r="G1677" s="487"/>
      <c r="H1677" s="573"/>
      <c r="I1677" s="487"/>
      <c r="J1677" s="573"/>
      <c r="K1677" s="487"/>
      <c r="L1677" s="573"/>
      <c r="M1677" s="573"/>
      <c r="N1677" s="456">
        <f t="shared" si="209"/>
        <v>0</v>
      </c>
      <c r="O1677" s="487"/>
      <c r="P1677" s="487"/>
      <c r="Q1677" s="274">
        <f t="shared" si="212"/>
        <v>0</v>
      </c>
      <c r="R1677" s="574">
        <f t="shared" si="213"/>
        <v>0</v>
      </c>
      <c r="S1677" s="275">
        <f t="shared" si="214"/>
        <v>0</v>
      </c>
      <c r="T1677" s="1144" t="s">
        <v>1222</v>
      </c>
      <c r="U1677" s="487"/>
      <c r="V1677" s="576"/>
      <c r="W1677" s="573"/>
      <c r="X1677" s="574">
        <f t="shared" si="210"/>
        <v>0</v>
      </c>
      <c r="Y1677" s="487"/>
      <c r="Z1677" s="487"/>
      <c r="AA1677" s="276">
        <f t="shared" si="211"/>
        <v>0</v>
      </c>
      <c r="AB1677" s="573"/>
      <c r="AC1677" s="487"/>
      <c r="AD1677" s="573"/>
      <c r="AE1677" s="487"/>
      <c r="AF1677" s="577">
        <f t="shared" si="215"/>
        <v>0</v>
      </c>
      <c r="AG1677" s="275">
        <f t="shared" si="216"/>
        <v>0</v>
      </c>
    </row>
    <row r="1678" spans="1:33" ht="12" customHeight="1">
      <c r="A1678" s="706" t="s">
        <v>1279</v>
      </c>
      <c r="B1678" s="714" t="s">
        <v>1764</v>
      </c>
      <c r="C1678" s="713" t="s">
        <v>1883</v>
      </c>
      <c r="D1678" s="717"/>
      <c r="E1678" s="718"/>
      <c r="F1678" s="573"/>
      <c r="G1678" s="487"/>
      <c r="H1678" s="573"/>
      <c r="I1678" s="487"/>
      <c r="J1678" s="573"/>
      <c r="K1678" s="487"/>
      <c r="L1678" s="573"/>
      <c r="M1678" s="573"/>
      <c r="N1678" s="456">
        <f t="shared" si="209"/>
        <v>0</v>
      </c>
      <c r="O1678" s="487"/>
      <c r="P1678" s="487"/>
      <c r="Q1678" s="274">
        <f t="shared" si="212"/>
        <v>0</v>
      </c>
      <c r="R1678" s="574">
        <f t="shared" si="213"/>
        <v>0</v>
      </c>
      <c r="S1678" s="275">
        <f t="shared" si="214"/>
        <v>0</v>
      </c>
      <c r="T1678" s="1145"/>
      <c r="U1678" s="487"/>
      <c r="V1678" s="576"/>
      <c r="W1678" s="573"/>
      <c r="X1678" s="574">
        <f t="shared" si="210"/>
        <v>0</v>
      </c>
      <c r="Y1678" s="487"/>
      <c r="Z1678" s="487"/>
      <c r="AA1678" s="276">
        <f t="shared" si="211"/>
        <v>0</v>
      </c>
      <c r="AB1678" s="573"/>
      <c r="AC1678" s="487"/>
      <c r="AD1678" s="573"/>
      <c r="AE1678" s="487"/>
      <c r="AF1678" s="577">
        <f t="shared" si="215"/>
        <v>0</v>
      </c>
      <c r="AG1678" s="275">
        <f t="shared" si="216"/>
        <v>0</v>
      </c>
    </row>
    <row r="1679" spans="1:33" ht="12" customHeight="1">
      <c r="A1679" s="706" t="s">
        <v>1279</v>
      </c>
      <c r="B1679" s="714" t="s">
        <v>1765</v>
      </c>
      <c r="C1679" s="713" t="s">
        <v>1761</v>
      </c>
      <c r="D1679" s="717"/>
      <c r="E1679" s="718"/>
      <c r="F1679" s="573"/>
      <c r="G1679" s="487"/>
      <c r="H1679" s="573"/>
      <c r="I1679" s="487"/>
      <c r="J1679" s="573"/>
      <c r="K1679" s="487"/>
      <c r="L1679" s="573"/>
      <c r="M1679" s="573"/>
      <c r="N1679" s="456">
        <f t="shared" si="209"/>
        <v>0</v>
      </c>
      <c r="O1679" s="487"/>
      <c r="P1679" s="487"/>
      <c r="Q1679" s="274">
        <f t="shared" si="212"/>
        <v>0</v>
      </c>
      <c r="R1679" s="574">
        <f t="shared" si="213"/>
        <v>0</v>
      </c>
      <c r="S1679" s="275">
        <f t="shared" si="214"/>
        <v>0</v>
      </c>
      <c r="T1679" s="1145"/>
      <c r="U1679" s="487"/>
      <c r="V1679" s="576"/>
      <c r="W1679" s="573"/>
      <c r="X1679" s="574">
        <f t="shared" si="210"/>
        <v>0</v>
      </c>
      <c r="Y1679" s="487"/>
      <c r="Z1679" s="487"/>
      <c r="AA1679" s="276">
        <f t="shared" si="211"/>
        <v>0</v>
      </c>
      <c r="AB1679" s="573"/>
      <c r="AC1679" s="487"/>
      <c r="AD1679" s="573"/>
      <c r="AE1679" s="487"/>
      <c r="AF1679" s="577">
        <f t="shared" si="215"/>
        <v>0</v>
      </c>
      <c r="AG1679" s="275">
        <f t="shared" si="216"/>
        <v>0</v>
      </c>
    </row>
    <row r="1680" spans="1:33" ht="12" customHeight="1">
      <c r="A1680" s="706" t="s">
        <v>1279</v>
      </c>
      <c r="B1680" s="707" t="s">
        <v>1807</v>
      </c>
      <c r="C1680" s="473" t="s">
        <v>1879</v>
      </c>
      <c r="D1680" s="709"/>
      <c r="E1680" s="710"/>
      <c r="F1680" s="573"/>
      <c r="G1680" s="487"/>
      <c r="H1680" s="573"/>
      <c r="I1680" s="487"/>
      <c r="J1680" s="573"/>
      <c r="K1680" s="487"/>
      <c r="L1680" s="573"/>
      <c r="M1680" s="573"/>
      <c r="N1680" s="456">
        <f t="shared" si="209"/>
        <v>0</v>
      </c>
      <c r="O1680" s="487"/>
      <c r="P1680" s="487"/>
      <c r="Q1680" s="274">
        <f t="shared" si="212"/>
        <v>0</v>
      </c>
      <c r="R1680" s="574">
        <f t="shared" si="213"/>
        <v>0</v>
      </c>
      <c r="S1680" s="275">
        <f t="shared" si="214"/>
        <v>0</v>
      </c>
      <c r="T1680" s="1145"/>
      <c r="U1680" s="487"/>
      <c r="V1680" s="576"/>
      <c r="W1680" s="573"/>
      <c r="X1680" s="574">
        <f t="shared" si="210"/>
        <v>0</v>
      </c>
      <c r="Y1680" s="487"/>
      <c r="Z1680" s="487"/>
      <c r="AA1680" s="276">
        <f t="shared" si="211"/>
        <v>0</v>
      </c>
      <c r="AB1680" s="573"/>
      <c r="AC1680" s="487"/>
      <c r="AD1680" s="573"/>
      <c r="AE1680" s="487"/>
      <c r="AF1680" s="577">
        <f t="shared" si="215"/>
        <v>0</v>
      </c>
      <c r="AG1680" s="275">
        <f t="shared" si="216"/>
        <v>0</v>
      </c>
    </row>
    <row r="1681" spans="1:34" ht="12" customHeight="1">
      <c r="A1681" s="706" t="s">
        <v>1279</v>
      </c>
      <c r="B1681" s="714" t="s">
        <v>1766</v>
      </c>
      <c r="C1681" s="713" t="s">
        <v>1883</v>
      </c>
      <c r="D1681" s="717"/>
      <c r="E1681" s="718"/>
      <c r="F1681" s="573"/>
      <c r="G1681" s="487"/>
      <c r="H1681" s="573"/>
      <c r="I1681" s="487"/>
      <c r="J1681" s="573"/>
      <c r="K1681" s="487"/>
      <c r="L1681" s="573"/>
      <c r="M1681" s="573"/>
      <c r="N1681" s="456">
        <f t="shared" si="209"/>
        <v>0</v>
      </c>
      <c r="O1681" s="487"/>
      <c r="P1681" s="487"/>
      <c r="Q1681" s="274">
        <f t="shared" si="212"/>
        <v>0</v>
      </c>
      <c r="R1681" s="574">
        <f t="shared" si="213"/>
        <v>0</v>
      </c>
      <c r="S1681" s="275">
        <f t="shared" si="214"/>
        <v>0</v>
      </c>
      <c r="T1681" s="1145"/>
      <c r="U1681" s="487"/>
      <c r="V1681" s="576"/>
      <c r="W1681" s="573"/>
      <c r="X1681" s="574">
        <f t="shared" si="210"/>
        <v>0</v>
      </c>
      <c r="Y1681" s="487"/>
      <c r="Z1681" s="487"/>
      <c r="AA1681" s="276">
        <f t="shared" si="211"/>
        <v>0</v>
      </c>
      <c r="AB1681" s="573"/>
      <c r="AC1681" s="487"/>
      <c r="AD1681" s="573"/>
      <c r="AE1681" s="487"/>
      <c r="AF1681" s="577">
        <f t="shared" si="215"/>
        <v>0</v>
      </c>
      <c r="AG1681" s="275">
        <f t="shared" si="216"/>
        <v>0</v>
      </c>
    </row>
    <row r="1682" spans="1:34" s="578" customFormat="1" ht="12" customHeight="1" thickBot="1">
      <c r="A1682" s="706" t="s">
        <v>1279</v>
      </c>
      <c r="B1682" s="714" t="s">
        <v>1767</v>
      </c>
      <c r="C1682" s="713" t="s">
        <v>1761</v>
      </c>
      <c r="D1682" s="717"/>
      <c r="E1682" s="718"/>
      <c r="F1682" s="573"/>
      <c r="G1682" s="487"/>
      <c r="H1682" s="573"/>
      <c r="I1682" s="487"/>
      <c r="J1682" s="573"/>
      <c r="K1682" s="487"/>
      <c r="L1682" s="573"/>
      <c r="M1682" s="573"/>
      <c r="N1682" s="456">
        <f t="shared" si="209"/>
        <v>0</v>
      </c>
      <c r="O1682" s="487"/>
      <c r="P1682" s="487"/>
      <c r="Q1682" s="274">
        <f t="shared" si="212"/>
        <v>0</v>
      </c>
      <c r="R1682" s="574">
        <f t="shared" si="213"/>
        <v>0</v>
      </c>
      <c r="S1682" s="275">
        <f t="shared" si="214"/>
        <v>0</v>
      </c>
      <c r="T1682" s="1146"/>
      <c r="U1682" s="487"/>
      <c r="V1682" s="576"/>
      <c r="W1682" s="573"/>
      <c r="X1682" s="574">
        <f t="shared" si="210"/>
        <v>0</v>
      </c>
      <c r="Y1682" s="487"/>
      <c r="Z1682" s="487"/>
      <c r="AA1682" s="276">
        <f t="shared" si="211"/>
        <v>0</v>
      </c>
      <c r="AB1682" s="573"/>
      <c r="AC1682" s="487"/>
      <c r="AD1682" s="573"/>
      <c r="AE1682" s="487"/>
      <c r="AF1682" s="577">
        <f t="shared" si="215"/>
        <v>0</v>
      </c>
      <c r="AG1682" s="275">
        <f t="shared" si="216"/>
        <v>0</v>
      </c>
      <c r="AH1682" s="602"/>
    </row>
    <row r="1683" spans="1:34" s="578" customFormat="1" ht="12" customHeight="1">
      <c r="A1683" s="719" t="s">
        <v>1280</v>
      </c>
      <c r="B1683" s="720" t="s">
        <v>1776</v>
      </c>
      <c r="C1683" s="719" t="s">
        <v>1123</v>
      </c>
      <c r="D1683" s="721">
        <v>176080</v>
      </c>
      <c r="E1683" s="722">
        <v>1</v>
      </c>
      <c r="F1683" s="573">
        <v>100701153</v>
      </c>
      <c r="G1683" s="487">
        <v>98807076.060000017</v>
      </c>
      <c r="H1683" s="573"/>
      <c r="I1683" s="487"/>
      <c r="J1683" s="573"/>
      <c r="K1683" s="487"/>
      <c r="L1683" s="573">
        <v>86339814</v>
      </c>
      <c r="M1683" s="573"/>
      <c r="N1683" s="456">
        <f t="shared" ref="N1683:N1746" si="217">SUM(L1683:M1683)</f>
        <v>86339814</v>
      </c>
      <c r="O1683" s="487">
        <v>101374729</v>
      </c>
      <c r="P1683" s="487"/>
      <c r="Q1683" s="274">
        <f t="shared" si="212"/>
        <v>101374729</v>
      </c>
      <c r="R1683" s="574">
        <f t="shared" si="213"/>
        <v>187040967</v>
      </c>
      <c r="S1683" s="275">
        <f t="shared" si="214"/>
        <v>200181805.06</v>
      </c>
      <c r="T1683" s="575"/>
      <c r="U1683" s="487"/>
      <c r="V1683" s="576"/>
      <c r="W1683" s="573"/>
      <c r="X1683" s="574">
        <f t="shared" ref="X1683:X1746" si="218">SUM(V1683:W1683)</f>
        <v>0</v>
      </c>
      <c r="Y1683" s="487"/>
      <c r="Z1683" s="487"/>
      <c r="AA1683" s="276">
        <f t="shared" ref="AA1683:AA1746" si="219">SUM(Y1683:Z1683)</f>
        <v>0</v>
      </c>
      <c r="AB1683" s="573"/>
      <c r="AC1683" s="487"/>
      <c r="AD1683" s="573"/>
      <c r="AE1683" s="487"/>
      <c r="AF1683" s="577">
        <f t="shared" si="215"/>
        <v>187040967</v>
      </c>
      <c r="AG1683" s="275">
        <f t="shared" si="216"/>
        <v>200181805.06</v>
      </c>
    </row>
    <row r="1684" spans="1:34" s="578" customFormat="1" ht="12" customHeight="1">
      <c r="A1684" s="719" t="s">
        <v>1280</v>
      </c>
      <c r="B1684" s="720" t="s">
        <v>1793</v>
      </c>
      <c r="C1684" s="723" t="s">
        <v>1317</v>
      </c>
      <c r="D1684" s="721">
        <v>176080</v>
      </c>
      <c r="E1684" s="722">
        <v>1</v>
      </c>
      <c r="F1684" s="573"/>
      <c r="G1684" s="487"/>
      <c r="H1684" s="573"/>
      <c r="I1684" s="487"/>
      <c r="J1684" s="573"/>
      <c r="K1684" s="487"/>
      <c r="L1684" s="573"/>
      <c r="M1684" s="573"/>
      <c r="N1684" s="456">
        <f t="shared" si="217"/>
        <v>0</v>
      </c>
      <c r="O1684" s="487"/>
      <c r="P1684" s="487"/>
      <c r="Q1684" s="274">
        <f t="shared" si="212"/>
        <v>0</v>
      </c>
      <c r="R1684" s="574">
        <f t="shared" si="213"/>
        <v>0</v>
      </c>
      <c r="S1684" s="275">
        <f t="shared" si="214"/>
        <v>0</v>
      </c>
      <c r="T1684" s="575"/>
      <c r="U1684" s="487"/>
      <c r="V1684" s="576"/>
      <c r="W1684" s="573"/>
      <c r="X1684" s="574">
        <f t="shared" si="218"/>
        <v>0</v>
      </c>
      <c r="Y1684" s="487"/>
      <c r="Z1684" s="487"/>
      <c r="AA1684" s="276">
        <f t="shared" si="219"/>
        <v>0</v>
      </c>
      <c r="AB1684" s="573">
        <v>17154751</v>
      </c>
      <c r="AC1684" s="949">
        <v>16598495</v>
      </c>
      <c r="AD1684" s="573">
        <v>5589000</v>
      </c>
      <c r="AE1684" s="487">
        <v>6700000</v>
      </c>
      <c r="AF1684" s="577">
        <f t="shared" si="215"/>
        <v>22743751</v>
      </c>
      <c r="AG1684" s="275">
        <f t="shared" si="216"/>
        <v>23298495</v>
      </c>
    </row>
    <row r="1685" spans="1:34" s="578" customFormat="1" ht="12" customHeight="1">
      <c r="A1685" s="719" t="s">
        <v>1280</v>
      </c>
      <c r="B1685" s="720" t="s">
        <v>1780</v>
      </c>
      <c r="C1685" s="513" t="s">
        <v>1124</v>
      </c>
      <c r="D1685" s="721">
        <v>176080</v>
      </c>
      <c r="E1685" s="722">
        <v>1</v>
      </c>
      <c r="F1685" s="573"/>
      <c r="G1685" s="487"/>
      <c r="H1685" s="573">
        <v>29374724</v>
      </c>
      <c r="I1685" s="487">
        <v>28822667.300000001</v>
      </c>
      <c r="J1685" s="573"/>
      <c r="K1685" s="487"/>
      <c r="L1685" s="573"/>
      <c r="M1685" s="573"/>
      <c r="N1685" s="456">
        <f t="shared" si="217"/>
        <v>0</v>
      </c>
      <c r="O1685" s="487"/>
      <c r="P1685" s="487"/>
      <c r="Q1685" s="274">
        <f t="shared" si="212"/>
        <v>0</v>
      </c>
      <c r="R1685" s="574">
        <f t="shared" si="213"/>
        <v>29374724</v>
      </c>
      <c r="S1685" s="275">
        <f t="shared" si="214"/>
        <v>28822667.300000001</v>
      </c>
      <c r="T1685" s="575"/>
      <c r="U1685" s="487"/>
      <c r="V1685" s="576"/>
      <c r="W1685" s="573"/>
      <c r="X1685" s="574">
        <f t="shared" si="218"/>
        <v>0</v>
      </c>
      <c r="Y1685" s="487"/>
      <c r="Z1685" s="487"/>
      <c r="AA1685" s="276">
        <f t="shared" si="219"/>
        <v>0</v>
      </c>
      <c r="AB1685" s="573"/>
      <c r="AC1685" s="487"/>
      <c r="AD1685" s="573"/>
      <c r="AE1685" s="487"/>
      <c r="AF1685" s="577">
        <f t="shared" si="215"/>
        <v>29374724</v>
      </c>
      <c r="AG1685" s="275">
        <f t="shared" si="216"/>
        <v>28822667.300000001</v>
      </c>
    </row>
    <row r="1686" spans="1:34" s="578" customFormat="1" ht="12" customHeight="1">
      <c r="A1686" s="719" t="s">
        <v>1280</v>
      </c>
      <c r="B1686" s="720" t="s">
        <v>1781</v>
      </c>
      <c r="C1686" s="513" t="s">
        <v>1125</v>
      </c>
      <c r="D1686" s="721">
        <v>176080</v>
      </c>
      <c r="E1686" s="722">
        <v>1</v>
      </c>
      <c r="F1686" s="573"/>
      <c r="G1686" s="487"/>
      <c r="H1686" s="573">
        <v>23699108</v>
      </c>
      <c r="I1686" s="487">
        <v>23242634.52</v>
      </c>
      <c r="J1686" s="573"/>
      <c r="K1686" s="487"/>
      <c r="L1686" s="573"/>
      <c r="M1686" s="573"/>
      <c r="N1686" s="456">
        <f t="shared" si="217"/>
        <v>0</v>
      </c>
      <c r="O1686" s="487"/>
      <c r="P1686" s="487"/>
      <c r="Q1686" s="274">
        <f t="shared" si="212"/>
        <v>0</v>
      </c>
      <c r="R1686" s="574">
        <f t="shared" si="213"/>
        <v>23699108</v>
      </c>
      <c r="S1686" s="275">
        <f t="shared" si="214"/>
        <v>23242634.52</v>
      </c>
      <c r="T1686" s="575"/>
      <c r="U1686" s="487"/>
      <c r="V1686" s="576"/>
      <c r="W1686" s="573"/>
      <c r="X1686" s="574">
        <f t="shared" si="218"/>
        <v>0</v>
      </c>
      <c r="Y1686" s="487"/>
      <c r="Z1686" s="487"/>
      <c r="AA1686" s="276">
        <f t="shared" si="219"/>
        <v>0</v>
      </c>
      <c r="AB1686" s="573"/>
      <c r="AC1686" s="487"/>
      <c r="AD1686" s="573"/>
      <c r="AE1686" s="487"/>
      <c r="AF1686" s="577">
        <f t="shared" si="215"/>
        <v>23699108</v>
      </c>
      <c r="AG1686" s="275">
        <f t="shared" si="216"/>
        <v>23242634.52</v>
      </c>
    </row>
    <row r="1687" spans="1:34" s="578" customFormat="1" ht="12" customHeight="1">
      <c r="A1687" s="719" t="s">
        <v>1280</v>
      </c>
      <c r="B1687" s="720" t="s">
        <v>1783</v>
      </c>
      <c r="C1687" s="513" t="s">
        <v>286</v>
      </c>
      <c r="D1687" s="721">
        <v>176080</v>
      </c>
      <c r="E1687" s="722">
        <v>1</v>
      </c>
      <c r="F1687" s="573"/>
      <c r="G1687" s="487"/>
      <c r="H1687" s="573"/>
      <c r="I1687" s="487"/>
      <c r="J1687" s="573"/>
      <c r="K1687" s="487"/>
      <c r="L1687" s="573"/>
      <c r="M1687" s="573"/>
      <c r="N1687" s="456">
        <f t="shared" si="217"/>
        <v>0</v>
      </c>
      <c r="O1687" s="487"/>
      <c r="P1687" s="487"/>
      <c r="Q1687" s="274">
        <f t="shared" si="212"/>
        <v>0</v>
      </c>
      <c r="R1687" s="574">
        <f t="shared" si="213"/>
        <v>0</v>
      </c>
      <c r="S1687" s="275">
        <f t="shared" si="214"/>
        <v>0</v>
      </c>
      <c r="T1687" s="575"/>
      <c r="U1687" s="487"/>
      <c r="V1687" s="576"/>
      <c r="W1687" s="573"/>
      <c r="X1687" s="574">
        <f t="shared" si="218"/>
        <v>0</v>
      </c>
      <c r="Y1687" s="487"/>
      <c r="Z1687" s="487"/>
      <c r="AA1687" s="276">
        <f t="shared" si="219"/>
        <v>0</v>
      </c>
      <c r="AB1687" s="573"/>
      <c r="AC1687" s="487"/>
      <c r="AD1687" s="573"/>
      <c r="AE1687" s="487"/>
      <c r="AF1687" s="577">
        <f t="shared" si="215"/>
        <v>0</v>
      </c>
      <c r="AG1687" s="275">
        <f t="shared" si="216"/>
        <v>0</v>
      </c>
    </row>
    <row r="1688" spans="1:34" s="578" customFormat="1" ht="12" customHeight="1">
      <c r="A1688" s="719" t="s">
        <v>1280</v>
      </c>
      <c r="B1688" s="720" t="s">
        <v>1783</v>
      </c>
      <c r="C1688" s="723" t="s">
        <v>1126</v>
      </c>
      <c r="D1688" s="721">
        <v>176080</v>
      </c>
      <c r="E1688" s="722">
        <v>1</v>
      </c>
      <c r="F1688" s="573"/>
      <c r="G1688" s="487"/>
      <c r="H1688" s="573">
        <v>1519477</v>
      </c>
      <c r="I1688" s="487">
        <v>1882568.24</v>
      </c>
      <c r="J1688" s="573"/>
      <c r="K1688" s="487"/>
      <c r="L1688" s="573"/>
      <c r="M1688" s="573"/>
      <c r="N1688" s="456">
        <f t="shared" si="217"/>
        <v>0</v>
      </c>
      <c r="O1688" s="487"/>
      <c r="P1688" s="487"/>
      <c r="Q1688" s="274">
        <f t="shared" si="212"/>
        <v>0</v>
      </c>
      <c r="R1688" s="574">
        <f t="shared" si="213"/>
        <v>1519477</v>
      </c>
      <c r="S1688" s="275">
        <f t="shared" si="214"/>
        <v>1882568.24</v>
      </c>
      <c r="T1688" s="575"/>
      <c r="U1688" s="487"/>
      <c r="V1688" s="576"/>
      <c r="W1688" s="573"/>
      <c r="X1688" s="574">
        <f t="shared" si="218"/>
        <v>0</v>
      </c>
      <c r="Y1688" s="487"/>
      <c r="Z1688" s="487"/>
      <c r="AA1688" s="276">
        <f t="shared" si="219"/>
        <v>0</v>
      </c>
      <c r="AB1688" s="573"/>
      <c r="AC1688" s="487"/>
      <c r="AD1688" s="573"/>
      <c r="AE1688" s="487"/>
      <c r="AF1688" s="577">
        <f t="shared" si="215"/>
        <v>1519477</v>
      </c>
      <c r="AG1688" s="275">
        <f t="shared" si="216"/>
        <v>1882568.24</v>
      </c>
    </row>
    <row r="1689" spans="1:34" s="578" customFormat="1" ht="12" customHeight="1">
      <c r="A1689" s="719" t="s">
        <v>1280</v>
      </c>
      <c r="B1689" s="720" t="s">
        <v>1783</v>
      </c>
      <c r="C1689" s="723" t="s">
        <v>1127</v>
      </c>
      <c r="D1689" s="721">
        <v>176080</v>
      </c>
      <c r="E1689" s="722">
        <v>1</v>
      </c>
      <c r="F1689" s="573"/>
      <c r="G1689" s="487"/>
      <c r="H1689" s="573">
        <v>6125405</v>
      </c>
      <c r="I1689" s="487">
        <v>6006178.9199999999</v>
      </c>
      <c r="J1689" s="573"/>
      <c r="K1689" s="487"/>
      <c r="L1689" s="573"/>
      <c r="M1689" s="573"/>
      <c r="N1689" s="456">
        <f t="shared" si="217"/>
        <v>0</v>
      </c>
      <c r="O1689" s="487"/>
      <c r="P1689" s="487"/>
      <c r="Q1689" s="274">
        <f t="shared" si="212"/>
        <v>0</v>
      </c>
      <c r="R1689" s="574">
        <f t="shared" si="213"/>
        <v>6125405</v>
      </c>
      <c r="S1689" s="275">
        <f t="shared" si="214"/>
        <v>6006178.9199999999</v>
      </c>
      <c r="T1689" s="575"/>
      <c r="U1689" s="487"/>
      <c r="V1689" s="576"/>
      <c r="W1689" s="573"/>
      <c r="X1689" s="574">
        <f t="shared" si="218"/>
        <v>0</v>
      </c>
      <c r="Y1689" s="487"/>
      <c r="Z1689" s="487"/>
      <c r="AA1689" s="276">
        <f t="shared" si="219"/>
        <v>0</v>
      </c>
      <c r="AB1689" s="573"/>
      <c r="AC1689" s="487"/>
      <c r="AD1689" s="573"/>
      <c r="AE1689" s="487"/>
      <c r="AF1689" s="577">
        <f t="shared" si="215"/>
        <v>6125405</v>
      </c>
      <c r="AG1689" s="275">
        <f t="shared" si="216"/>
        <v>6006178.9199999999</v>
      </c>
    </row>
    <row r="1690" spans="1:34" s="578" customFormat="1" ht="12" customHeight="1">
      <c r="A1690" s="719" t="s">
        <v>1280</v>
      </c>
      <c r="B1690" s="720" t="s">
        <v>1783</v>
      </c>
      <c r="C1690" s="723" t="s">
        <v>1128</v>
      </c>
      <c r="D1690" s="721">
        <v>176080</v>
      </c>
      <c r="E1690" s="722">
        <v>1</v>
      </c>
      <c r="F1690" s="573"/>
      <c r="G1690" s="487"/>
      <c r="H1690" s="573">
        <v>128331</v>
      </c>
      <c r="I1690" s="487">
        <v>125764.38</v>
      </c>
      <c r="J1690" s="573"/>
      <c r="K1690" s="487"/>
      <c r="L1690" s="573"/>
      <c r="M1690" s="573"/>
      <c r="N1690" s="456">
        <f t="shared" si="217"/>
        <v>0</v>
      </c>
      <c r="O1690" s="487"/>
      <c r="P1690" s="487"/>
      <c r="Q1690" s="274">
        <f t="shared" si="212"/>
        <v>0</v>
      </c>
      <c r="R1690" s="574">
        <f t="shared" si="213"/>
        <v>128331</v>
      </c>
      <c r="S1690" s="275">
        <f t="shared" si="214"/>
        <v>125764.38</v>
      </c>
      <c r="T1690" s="575"/>
      <c r="U1690" s="487"/>
      <c r="V1690" s="576"/>
      <c r="W1690" s="573"/>
      <c r="X1690" s="574">
        <f t="shared" si="218"/>
        <v>0</v>
      </c>
      <c r="Y1690" s="487"/>
      <c r="Z1690" s="487"/>
      <c r="AA1690" s="276">
        <f t="shared" si="219"/>
        <v>0</v>
      </c>
      <c r="AB1690" s="573"/>
      <c r="AC1690" s="487"/>
      <c r="AD1690" s="573"/>
      <c r="AE1690" s="487"/>
      <c r="AF1690" s="577">
        <f t="shared" si="215"/>
        <v>128331</v>
      </c>
      <c r="AG1690" s="275">
        <f t="shared" si="216"/>
        <v>125764.38</v>
      </c>
    </row>
    <row r="1691" spans="1:34" s="578" customFormat="1" ht="12" customHeight="1">
      <c r="A1691" s="719" t="s">
        <v>1280</v>
      </c>
      <c r="B1691" s="720" t="s">
        <v>1783</v>
      </c>
      <c r="C1691" s="723" t="s">
        <v>1129</v>
      </c>
      <c r="D1691" s="721">
        <v>176080</v>
      </c>
      <c r="E1691" s="722">
        <v>1</v>
      </c>
      <c r="F1691" s="573"/>
      <c r="G1691" s="487"/>
      <c r="H1691" s="573">
        <v>1085892</v>
      </c>
      <c r="I1691" s="487">
        <v>1064879.76</v>
      </c>
      <c r="J1691" s="573"/>
      <c r="K1691" s="487"/>
      <c r="L1691" s="573"/>
      <c r="M1691" s="573"/>
      <c r="N1691" s="456">
        <f t="shared" si="217"/>
        <v>0</v>
      </c>
      <c r="O1691" s="487"/>
      <c r="P1691" s="487"/>
      <c r="Q1691" s="274">
        <f t="shared" si="212"/>
        <v>0</v>
      </c>
      <c r="R1691" s="574">
        <f t="shared" si="213"/>
        <v>1085892</v>
      </c>
      <c r="S1691" s="275">
        <f t="shared" si="214"/>
        <v>1064879.76</v>
      </c>
      <c r="T1691" s="575"/>
      <c r="U1691" s="487"/>
      <c r="V1691" s="576"/>
      <c r="W1691" s="573"/>
      <c r="X1691" s="574">
        <f t="shared" si="218"/>
        <v>0</v>
      </c>
      <c r="Y1691" s="487"/>
      <c r="Z1691" s="487"/>
      <c r="AA1691" s="276">
        <f t="shared" si="219"/>
        <v>0</v>
      </c>
      <c r="AB1691" s="573"/>
      <c r="AC1691" s="487"/>
      <c r="AD1691" s="573"/>
      <c r="AE1691" s="487"/>
      <c r="AF1691" s="577">
        <f t="shared" si="215"/>
        <v>1085892</v>
      </c>
      <c r="AG1691" s="275">
        <f t="shared" si="216"/>
        <v>1064879.76</v>
      </c>
    </row>
    <row r="1692" spans="1:34" s="578" customFormat="1" ht="12" customHeight="1">
      <c r="A1692" s="719" t="s">
        <v>1280</v>
      </c>
      <c r="B1692" s="720" t="s">
        <v>1783</v>
      </c>
      <c r="C1692" s="723" t="s">
        <v>1130</v>
      </c>
      <c r="D1692" s="721">
        <v>176080</v>
      </c>
      <c r="E1692" s="722">
        <v>1</v>
      </c>
      <c r="F1692" s="573"/>
      <c r="G1692" s="487"/>
      <c r="H1692" s="573">
        <v>3802128</v>
      </c>
      <c r="I1692" s="487">
        <v>3729319.44</v>
      </c>
      <c r="J1692" s="573"/>
      <c r="K1692" s="487"/>
      <c r="L1692" s="573"/>
      <c r="M1692" s="573"/>
      <c r="N1692" s="456">
        <f t="shared" si="217"/>
        <v>0</v>
      </c>
      <c r="O1692" s="487"/>
      <c r="P1692" s="487"/>
      <c r="Q1692" s="274">
        <f t="shared" si="212"/>
        <v>0</v>
      </c>
      <c r="R1692" s="574">
        <f t="shared" si="213"/>
        <v>3802128</v>
      </c>
      <c r="S1692" s="275">
        <f t="shared" si="214"/>
        <v>3729319.44</v>
      </c>
      <c r="T1692" s="575"/>
      <c r="U1692" s="487"/>
      <c r="V1692" s="576"/>
      <c r="W1692" s="573"/>
      <c r="X1692" s="574">
        <f t="shared" si="218"/>
        <v>0</v>
      </c>
      <c r="Y1692" s="487"/>
      <c r="Z1692" s="487"/>
      <c r="AA1692" s="276">
        <f t="shared" si="219"/>
        <v>0</v>
      </c>
      <c r="AB1692" s="573"/>
      <c r="AC1692" s="487"/>
      <c r="AD1692" s="573"/>
      <c r="AE1692" s="487"/>
      <c r="AF1692" s="577">
        <f t="shared" si="215"/>
        <v>3802128</v>
      </c>
      <c r="AG1692" s="275">
        <f t="shared" si="216"/>
        <v>3729319.44</v>
      </c>
    </row>
    <row r="1693" spans="1:34" s="578" customFormat="1" ht="12" customHeight="1">
      <c r="A1693" s="719" t="s">
        <v>1280</v>
      </c>
      <c r="B1693" s="720" t="s">
        <v>1776</v>
      </c>
      <c r="C1693" s="719" t="s">
        <v>1131</v>
      </c>
      <c r="D1693" s="721">
        <v>176372</v>
      </c>
      <c r="E1693" s="722">
        <v>1</v>
      </c>
      <c r="F1693" s="573">
        <v>90745168</v>
      </c>
      <c r="G1693" s="487">
        <v>88918711.420000002</v>
      </c>
      <c r="H1693" s="573"/>
      <c r="I1693" s="487"/>
      <c r="J1693" s="573"/>
      <c r="K1693" s="487"/>
      <c r="L1693" s="573">
        <v>85704990</v>
      </c>
      <c r="M1693" s="573"/>
      <c r="N1693" s="456">
        <f t="shared" si="217"/>
        <v>85704990</v>
      </c>
      <c r="O1693" s="487">
        <v>84898191</v>
      </c>
      <c r="P1693" s="487"/>
      <c r="Q1693" s="274">
        <f t="shared" si="212"/>
        <v>84898191</v>
      </c>
      <c r="R1693" s="574">
        <f t="shared" si="213"/>
        <v>176450158</v>
      </c>
      <c r="S1693" s="275">
        <f t="shared" si="214"/>
        <v>173816902.42000002</v>
      </c>
      <c r="T1693" s="575"/>
      <c r="U1693" s="487"/>
      <c r="V1693" s="576"/>
      <c r="W1693" s="573"/>
      <c r="X1693" s="574">
        <f t="shared" si="218"/>
        <v>0</v>
      </c>
      <c r="Y1693" s="487"/>
      <c r="Z1693" s="487"/>
      <c r="AA1693" s="276">
        <f t="shared" si="219"/>
        <v>0</v>
      </c>
      <c r="AB1693" s="573"/>
      <c r="AC1693" s="487"/>
      <c r="AD1693" s="573"/>
      <c r="AE1693" s="487"/>
      <c r="AF1693" s="577">
        <f t="shared" si="215"/>
        <v>176450158</v>
      </c>
      <c r="AG1693" s="275">
        <f t="shared" si="216"/>
        <v>173816902.42000002</v>
      </c>
    </row>
    <row r="1694" spans="1:34" s="578" customFormat="1" ht="12" customHeight="1">
      <c r="A1694" s="719" t="s">
        <v>1280</v>
      </c>
      <c r="B1694" s="720" t="s">
        <v>1783</v>
      </c>
      <c r="C1694" s="513" t="s">
        <v>286</v>
      </c>
      <c r="D1694" s="721">
        <v>176372</v>
      </c>
      <c r="E1694" s="722">
        <v>1</v>
      </c>
      <c r="F1694" s="573"/>
      <c r="G1694" s="487"/>
      <c r="H1694" s="573"/>
      <c r="I1694" s="487"/>
      <c r="J1694" s="573"/>
      <c r="K1694" s="487"/>
      <c r="L1694" s="573"/>
      <c r="M1694" s="573"/>
      <c r="N1694" s="456">
        <f t="shared" si="217"/>
        <v>0</v>
      </c>
      <c r="O1694" s="487"/>
      <c r="P1694" s="487"/>
      <c r="Q1694" s="274">
        <f t="shared" si="212"/>
        <v>0</v>
      </c>
      <c r="R1694" s="574">
        <f t="shared" si="213"/>
        <v>0</v>
      </c>
      <c r="S1694" s="275">
        <f t="shared" si="214"/>
        <v>0</v>
      </c>
      <c r="T1694" s="575"/>
      <c r="U1694" s="487"/>
      <c r="V1694" s="576"/>
      <c r="W1694" s="573"/>
      <c r="X1694" s="574">
        <f t="shared" si="218"/>
        <v>0</v>
      </c>
      <c r="Y1694" s="487"/>
      <c r="Z1694" s="487"/>
      <c r="AA1694" s="276">
        <f t="shared" si="219"/>
        <v>0</v>
      </c>
      <c r="AB1694" s="573"/>
      <c r="AC1694" s="487"/>
      <c r="AD1694" s="573"/>
      <c r="AE1694" s="487"/>
      <c r="AF1694" s="577">
        <f t="shared" si="215"/>
        <v>0</v>
      </c>
      <c r="AG1694" s="275">
        <f t="shared" si="216"/>
        <v>0</v>
      </c>
    </row>
    <row r="1695" spans="1:34" s="578" customFormat="1" ht="12" customHeight="1">
      <c r="A1695" s="719" t="s">
        <v>1280</v>
      </c>
      <c r="B1695" s="720" t="s">
        <v>1783</v>
      </c>
      <c r="C1695" s="723" t="s">
        <v>1132</v>
      </c>
      <c r="D1695" s="721">
        <v>176372</v>
      </c>
      <c r="E1695" s="722">
        <v>1</v>
      </c>
      <c r="F1695" s="573"/>
      <c r="G1695" s="487"/>
      <c r="H1695" s="573">
        <v>3278394</v>
      </c>
      <c r="I1695" s="487">
        <v>3216906.84</v>
      </c>
      <c r="J1695" s="573"/>
      <c r="K1695" s="487"/>
      <c r="L1695" s="573"/>
      <c r="M1695" s="573"/>
      <c r="N1695" s="456">
        <f t="shared" si="217"/>
        <v>0</v>
      </c>
      <c r="O1695" s="487"/>
      <c r="P1695" s="487"/>
      <c r="Q1695" s="274">
        <f t="shared" si="212"/>
        <v>0</v>
      </c>
      <c r="R1695" s="574">
        <f t="shared" si="213"/>
        <v>3278394</v>
      </c>
      <c r="S1695" s="275">
        <f t="shared" si="214"/>
        <v>3216906.84</v>
      </c>
      <c r="T1695" s="575"/>
      <c r="U1695" s="487"/>
      <c r="V1695" s="576"/>
      <c r="W1695" s="573"/>
      <c r="X1695" s="574">
        <f t="shared" si="218"/>
        <v>0</v>
      </c>
      <c r="Y1695" s="487"/>
      <c r="Z1695" s="487"/>
      <c r="AA1695" s="276">
        <f t="shared" si="219"/>
        <v>0</v>
      </c>
      <c r="AB1695" s="573"/>
      <c r="AC1695" s="487"/>
      <c r="AD1695" s="573"/>
      <c r="AE1695" s="487"/>
      <c r="AF1695" s="577">
        <f t="shared" si="215"/>
        <v>3278394</v>
      </c>
      <c r="AG1695" s="275">
        <f t="shared" si="216"/>
        <v>3216906.84</v>
      </c>
    </row>
    <row r="1696" spans="1:34" s="578" customFormat="1" ht="12" customHeight="1">
      <c r="A1696" s="719" t="s">
        <v>1280</v>
      </c>
      <c r="B1696" s="720" t="s">
        <v>1783</v>
      </c>
      <c r="C1696" s="723" t="s">
        <v>1133</v>
      </c>
      <c r="D1696" s="721">
        <v>176372</v>
      </c>
      <c r="E1696" s="722">
        <v>1</v>
      </c>
      <c r="F1696" s="573"/>
      <c r="G1696" s="487"/>
      <c r="H1696" s="573">
        <v>569126</v>
      </c>
      <c r="I1696" s="487">
        <v>656096.28</v>
      </c>
      <c r="J1696" s="573"/>
      <c r="K1696" s="487"/>
      <c r="L1696" s="573"/>
      <c r="M1696" s="573"/>
      <c r="N1696" s="456">
        <f t="shared" si="217"/>
        <v>0</v>
      </c>
      <c r="O1696" s="487"/>
      <c r="P1696" s="487"/>
      <c r="Q1696" s="274">
        <f t="shared" si="212"/>
        <v>0</v>
      </c>
      <c r="R1696" s="574">
        <f t="shared" si="213"/>
        <v>569126</v>
      </c>
      <c r="S1696" s="275">
        <f t="shared" si="214"/>
        <v>656096.28</v>
      </c>
      <c r="T1696" s="575"/>
      <c r="U1696" s="487"/>
      <c r="V1696" s="576"/>
      <c r="W1696" s="573"/>
      <c r="X1696" s="574">
        <f t="shared" si="218"/>
        <v>0</v>
      </c>
      <c r="Y1696" s="487"/>
      <c r="Z1696" s="487"/>
      <c r="AA1696" s="276">
        <f t="shared" si="219"/>
        <v>0</v>
      </c>
      <c r="AB1696" s="573"/>
      <c r="AC1696" s="487"/>
      <c r="AD1696" s="573"/>
      <c r="AE1696" s="487"/>
      <c r="AF1696" s="577">
        <f t="shared" si="215"/>
        <v>569126</v>
      </c>
      <c r="AG1696" s="275">
        <f t="shared" si="216"/>
        <v>656096.28</v>
      </c>
    </row>
    <row r="1697" spans="1:33" s="578" customFormat="1" ht="12" customHeight="1">
      <c r="A1697" s="719" t="s">
        <v>1280</v>
      </c>
      <c r="B1697" s="720" t="s">
        <v>1783</v>
      </c>
      <c r="C1697" s="723" t="s">
        <v>1134</v>
      </c>
      <c r="D1697" s="721">
        <v>176372</v>
      </c>
      <c r="E1697" s="722">
        <v>1</v>
      </c>
      <c r="F1697" s="573"/>
      <c r="G1697" s="487"/>
      <c r="H1697" s="573">
        <v>546241</v>
      </c>
      <c r="I1697" s="487">
        <v>535668.98</v>
      </c>
      <c r="J1697" s="573"/>
      <c r="K1697" s="487"/>
      <c r="L1697" s="573"/>
      <c r="M1697" s="573"/>
      <c r="N1697" s="456">
        <f t="shared" si="217"/>
        <v>0</v>
      </c>
      <c r="O1697" s="487"/>
      <c r="P1697" s="487"/>
      <c r="Q1697" s="274">
        <f t="shared" si="212"/>
        <v>0</v>
      </c>
      <c r="R1697" s="574">
        <f t="shared" si="213"/>
        <v>546241</v>
      </c>
      <c r="S1697" s="275">
        <f t="shared" si="214"/>
        <v>535668.98</v>
      </c>
      <c r="T1697" s="575"/>
      <c r="U1697" s="487"/>
      <c r="V1697" s="576"/>
      <c r="W1697" s="573"/>
      <c r="X1697" s="574">
        <f t="shared" si="218"/>
        <v>0</v>
      </c>
      <c r="Y1697" s="487"/>
      <c r="Z1697" s="487"/>
      <c r="AA1697" s="276">
        <f t="shared" si="219"/>
        <v>0</v>
      </c>
      <c r="AB1697" s="573"/>
      <c r="AC1697" s="487"/>
      <c r="AD1697" s="573"/>
      <c r="AE1697" s="487"/>
      <c r="AF1697" s="577">
        <f t="shared" si="215"/>
        <v>546241</v>
      </c>
      <c r="AG1697" s="275">
        <f t="shared" si="216"/>
        <v>535668.98</v>
      </c>
    </row>
    <row r="1698" spans="1:33" s="578" customFormat="1" ht="12" customHeight="1">
      <c r="A1698" s="719" t="s">
        <v>1280</v>
      </c>
      <c r="B1698" s="720" t="s">
        <v>1776</v>
      </c>
      <c r="C1698" s="719" t="s">
        <v>1135</v>
      </c>
      <c r="D1698" s="721">
        <v>175856</v>
      </c>
      <c r="E1698" s="722">
        <v>2</v>
      </c>
      <c r="F1698" s="573">
        <v>53435608</v>
      </c>
      <c r="G1698" s="487">
        <v>52579782.100000009</v>
      </c>
      <c r="H1698" s="573"/>
      <c r="I1698" s="487"/>
      <c r="J1698" s="573"/>
      <c r="K1698" s="487"/>
      <c r="L1698" s="573">
        <v>40355670</v>
      </c>
      <c r="M1698" s="573"/>
      <c r="N1698" s="456">
        <f t="shared" si="217"/>
        <v>40355670</v>
      </c>
      <c r="O1698" s="487">
        <v>38037458</v>
      </c>
      <c r="P1698" s="487"/>
      <c r="Q1698" s="274">
        <f t="shared" si="212"/>
        <v>38037458</v>
      </c>
      <c r="R1698" s="574">
        <f t="shared" si="213"/>
        <v>93791278</v>
      </c>
      <c r="S1698" s="275">
        <f t="shared" si="214"/>
        <v>90617240.100000009</v>
      </c>
      <c r="T1698" s="575"/>
      <c r="U1698" s="487"/>
      <c r="V1698" s="576"/>
      <c r="W1698" s="573"/>
      <c r="X1698" s="574">
        <f t="shared" si="218"/>
        <v>0</v>
      </c>
      <c r="Y1698" s="487"/>
      <c r="Z1698" s="487"/>
      <c r="AA1698" s="276">
        <f t="shared" si="219"/>
        <v>0</v>
      </c>
      <c r="AB1698" s="573"/>
      <c r="AC1698" s="487"/>
      <c r="AD1698" s="573"/>
      <c r="AE1698" s="487"/>
      <c r="AF1698" s="577">
        <f t="shared" si="215"/>
        <v>93791278</v>
      </c>
      <c r="AG1698" s="275">
        <f t="shared" si="216"/>
        <v>90617240.100000009</v>
      </c>
    </row>
    <row r="1699" spans="1:33" s="578" customFormat="1" ht="12" customHeight="1">
      <c r="A1699" s="719" t="s">
        <v>1280</v>
      </c>
      <c r="B1699" s="720" t="s">
        <v>1783</v>
      </c>
      <c r="C1699" s="513" t="s">
        <v>1136</v>
      </c>
      <c r="D1699" s="721">
        <v>175856</v>
      </c>
      <c r="E1699" s="722">
        <v>2</v>
      </c>
      <c r="F1699" s="573"/>
      <c r="G1699" s="487"/>
      <c r="H1699" s="573">
        <v>535059</v>
      </c>
      <c r="I1699" s="487">
        <v>524945.81999999995</v>
      </c>
      <c r="J1699" s="573"/>
      <c r="K1699" s="487"/>
      <c r="L1699" s="573"/>
      <c r="M1699" s="573"/>
      <c r="N1699" s="456">
        <f t="shared" si="217"/>
        <v>0</v>
      </c>
      <c r="O1699" s="487"/>
      <c r="P1699" s="487"/>
      <c r="Q1699" s="274">
        <f t="shared" si="212"/>
        <v>0</v>
      </c>
      <c r="R1699" s="574">
        <f t="shared" si="213"/>
        <v>535059</v>
      </c>
      <c r="S1699" s="275">
        <f t="shared" si="214"/>
        <v>524945.81999999995</v>
      </c>
      <c r="T1699" s="575"/>
      <c r="U1699" s="487"/>
      <c r="V1699" s="576"/>
      <c r="W1699" s="573"/>
      <c r="X1699" s="574">
        <f t="shared" si="218"/>
        <v>0</v>
      </c>
      <c r="Y1699" s="487"/>
      <c r="Z1699" s="487"/>
      <c r="AA1699" s="276">
        <f t="shared" si="219"/>
        <v>0</v>
      </c>
      <c r="AB1699" s="573"/>
      <c r="AC1699" s="487"/>
      <c r="AD1699" s="573"/>
      <c r="AE1699" s="487"/>
      <c r="AF1699" s="577">
        <f t="shared" si="215"/>
        <v>535059</v>
      </c>
      <c r="AG1699" s="275">
        <f t="shared" si="216"/>
        <v>524945.81999999995</v>
      </c>
    </row>
    <row r="1700" spans="1:33" s="578" customFormat="1" ht="12" customHeight="1">
      <c r="A1700" s="719" t="s">
        <v>1280</v>
      </c>
      <c r="B1700" s="720" t="s">
        <v>1776</v>
      </c>
      <c r="C1700" s="719" t="s">
        <v>1137</v>
      </c>
      <c r="D1700" s="721">
        <v>176017</v>
      </c>
      <c r="E1700" s="722">
        <v>2</v>
      </c>
      <c r="F1700" s="573">
        <v>81126764</v>
      </c>
      <c r="G1700" s="487">
        <v>82443650.520000011</v>
      </c>
      <c r="H1700" s="573"/>
      <c r="I1700" s="487"/>
      <c r="J1700" s="573"/>
      <c r="K1700" s="487"/>
      <c r="L1700" s="573">
        <v>116619678</v>
      </c>
      <c r="M1700" s="573"/>
      <c r="N1700" s="456">
        <f t="shared" si="217"/>
        <v>116619678</v>
      </c>
      <c r="O1700" s="487">
        <v>113816274</v>
      </c>
      <c r="P1700" s="487"/>
      <c r="Q1700" s="274">
        <f t="shared" si="212"/>
        <v>113816274</v>
      </c>
      <c r="R1700" s="574">
        <f t="shared" si="213"/>
        <v>197746442</v>
      </c>
      <c r="S1700" s="275">
        <f t="shared" si="214"/>
        <v>196259924.52000001</v>
      </c>
      <c r="T1700" s="575"/>
      <c r="U1700" s="487"/>
      <c r="V1700" s="576"/>
      <c r="W1700" s="573"/>
      <c r="X1700" s="574">
        <f t="shared" si="218"/>
        <v>0</v>
      </c>
      <c r="Y1700" s="487"/>
      <c r="Z1700" s="487"/>
      <c r="AA1700" s="276">
        <f t="shared" si="219"/>
        <v>0</v>
      </c>
      <c r="AB1700" s="573"/>
      <c r="AC1700" s="487"/>
      <c r="AD1700" s="573"/>
      <c r="AE1700" s="487"/>
      <c r="AF1700" s="577">
        <f t="shared" si="215"/>
        <v>197746442</v>
      </c>
      <c r="AG1700" s="275">
        <f t="shared" si="216"/>
        <v>196259924.52000001</v>
      </c>
    </row>
    <row r="1701" spans="1:33" s="578" customFormat="1" ht="12" customHeight="1">
      <c r="A1701" s="719" t="s">
        <v>1280</v>
      </c>
      <c r="B1701" s="720" t="s">
        <v>1778</v>
      </c>
      <c r="C1701" s="513" t="s">
        <v>1138</v>
      </c>
      <c r="D1701" s="721">
        <v>176017</v>
      </c>
      <c r="E1701" s="722">
        <v>2</v>
      </c>
      <c r="F1701" s="573"/>
      <c r="G1701" s="487"/>
      <c r="H1701" s="573"/>
      <c r="I1701" s="487"/>
      <c r="J1701" s="573"/>
      <c r="K1701" s="487"/>
      <c r="L1701" s="573"/>
      <c r="M1701" s="573"/>
      <c r="N1701" s="456">
        <f t="shared" si="217"/>
        <v>0</v>
      </c>
      <c r="O1701" s="487"/>
      <c r="P1701" s="487"/>
      <c r="Q1701" s="274">
        <f t="shared" si="212"/>
        <v>0</v>
      </c>
      <c r="R1701" s="574">
        <f t="shared" si="213"/>
        <v>0</v>
      </c>
      <c r="S1701" s="275">
        <f t="shared" si="214"/>
        <v>0</v>
      </c>
      <c r="T1701" s="575"/>
      <c r="U1701" s="487"/>
      <c r="V1701" s="576"/>
      <c r="W1701" s="573"/>
      <c r="X1701" s="574">
        <f t="shared" si="218"/>
        <v>0</v>
      </c>
      <c r="Y1701" s="487"/>
      <c r="Z1701" s="487"/>
      <c r="AA1701" s="276">
        <f t="shared" si="219"/>
        <v>0</v>
      </c>
      <c r="AB1701" s="573"/>
      <c r="AC1701" s="487"/>
      <c r="AD1701" s="573"/>
      <c r="AE1701" s="487"/>
      <c r="AF1701" s="577">
        <f t="shared" si="215"/>
        <v>0</v>
      </c>
      <c r="AG1701" s="275">
        <f t="shared" si="216"/>
        <v>0</v>
      </c>
    </row>
    <row r="1702" spans="1:33" s="578" customFormat="1" ht="12" customHeight="1">
      <c r="A1702" s="719" t="s">
        <v>1280</v>
      </c>
      <c r="B1702" s="720" t="s">
        <v>1778</v>
      </c>
      <c r="C1702" s="723" t="s">
        <v>1139</v>
      </c>
      <c r="D1702" s="721">
        <v>176017</v>
      </c>
      <c r="E1702" s="722">
        <v>2</v>
      </c>
      <c r="F1702" s="573"/>
      <c r="G1702" s="487"/>
      <c r="H1702" s="573">
        <v>277003</v>
      </c>
      <c r="I1702" s="487">
        <v>271980.38</v>
      </c>
      <c r="J1702" s="573"/>
      <c r="K1702" s="487"/>
      <c r="L1702" s="573"/>
      <c r="M1702" s="573"/>
      <c r="N1702" s="456">
        <f t="shared" si="217"/>
        <v>0</v>
      </c>
      <c r="O1702" s="487"/>
      <c r="P1702" s="487"/>
      <c r="Q1702" s="274">
        <f t="shared" si="212"/>
        <v>0</v>
      </c>
      <c r="R1702" s="574">
        <f t="shared" si="213"/>
        <v>277003</v>
      </c>
      <c r="S1702" s="275">
        <f t="shared" si="214"/>
        <v>271980.38</v>
      </c>
      <c r="T1702" s="575"/>
      <c r="U1702" s="487"/>
      <c r="V1702" s="576"/>
      <c r="W1702" s="573"/>
      <c r="X1702" s="574">
        <f t="shared" si="218"/>
        <v>0</v>
      </c>
      <c r="Y1702" s="487"/>
      <c r="Z1702" s="487"/>
      <c r="AA1702" s="276">
        <f t="shared" si="219"/>
        <v>0</v>
      </c>
      <c r="AB1702" s="573"/>
      <c r="AC1702" s="487"/>
      <c r="AD1702" s="573"/>
      <c r="AE1702" s="487"/>
      <c r="AF1702" s="577">
        <f t="shared" si="215"/>
        <v>277003</v>
      </c>
      <c r="AG1702" s="275">
        <f t="shared" si="216"/>
        <v>271980.38</v>
      </c>
    </row>
    <row r="1703" spans="1:33" s="578" customFormat="1" ht="12" customHeight="1">
      <c r="A1703" s="719" t="s">
        <v>1280</v>
      </c>
      <c r="B1703" s="720" t="s">
        <v>1783</v>
      </c>
      <c r="C1703" s="513" t="s">
        <v>286</v>
      </c>
      <c r="D1703" s="721">
        <v>176017</v>
      </c>
      <c r="E1703" s="722">
        <v>2</v>
      </c>
      <c r="F1703" s="573"/>
      <c r="G1703" s="487"/>
      <c r="H1703" s="573"/>
      <c r="I1703" s="487"/>
      <c r="J1703" s="573"/>
      <c r="K1703" s="487"/>
      <c r="L1703" s="573"/>
      <c r="M1703" s="573"/>
      <c r="N1703" s="456">
        <f t="shared" si="217"/>
        <v>0</v>
      </c>
      <c r="O1703" s="487"/>
      <c r="P1703" s="487"/>
      <c r="Q1703" s="274">
        <f t="shared" si="212"/>
        <v>0</v>
      </c>
      <c r="R1703" s="574">
        <f t="shared" si="213"/>
        <v>0</v>
      </c>
      <c r="S1703" s="275">
        <f t="shared" si="214"/>
        <v>0</v>
      </c>
      <c r="T1703" s="575"/>
      <c r="U1703" s="487"/>
      <c r="V1703" s="576"/>
      <c r="W1703" s="573"/>
      <c r="X1703" s="574">
        <f t="shared" si="218"/>
        <v>0</v>
      </c>
      <c r="Y1703" s="487"/>
      <c r="Z1703" s="487"/>
      <c r="AA1703" s="276">
        <f t="shared" si="219"/>
        <v>0</v>
      </c>
      <c r="AB1703" s="573"/>
      <c r="AC1703" s="487"/>
      <c r="AD1703" s="573"/>
      <c r="AE1703" s="487"/>
      <c r="AF1703" s="577">
        <f t="shared" si="215"/>
        <v>0</v>
      </c>
      <c r="AG1703" s="275">
        <f t="shared" si="216"/>
        <v>0</v>
      </c>
    </row>
    <row r="1704" spans="1:33" s="578" customFormat="1" ht="12" customHeight="1">
      <c r="A1704" s="719" t="s">
        <v>1280</v>
      </c>
      <c r="B1704" s="720" t="s">
        <v>1783</v>
      </c>
      <c r="C1704" s="723" t="s">
        <v>1140</v>
      </c>
      <c r="D1704" s="721">
        <v>176017</v>
      </c>
      <c r="E1704" s="722">
        <v>2</v>
      </c>
      <c r="F1704" s="573"/>
      <c r="G1704" s="487"/>
      <c r="H1704" s="573">
        <v>3675791</v>
      </c>
      <c r="I1704" s="487">
        <v>3608214.96</v>
      </c>
      <c r="J1704" s="573"/>
      <c r="K1704" s="487"/>
      <c r="L1704" s="573"/>
      <c r="M1704" s="573"/>
      <c r="N1704" s="456">
        <f t="shared" si="217"/>
        <v>0</v>
      </c>
      <c r="O1704" s="487"/>
      <c r="P1704" s="487"/>
      <c r="Q1704" s="274">
        <f t="shared" si="212"/>
        <v>0</v>
      </c>
      <c r="R1704" s="574">
        <f t="shared" si="213"/>
        <v>3675791</v>
      </c>
      <c r="S1704" s="275">
        <f t="shared" si="214"/>
        <v>3608214.96</v>
      </c>
      <c r="T1704" s="575"/>
      <c r="U1704" s="487"/>
      <c r="V1704" s="576"/>
      <c r="W1704" s="573"/>
      <c r="X1704" s="574">
        <f t="shared" si="218"/>
        <v>0</v>
      </c>
      <c r="Y1704" s="487"/>
      <c r="Z1704" s="487"/>
      <c r="AA1704" s="276">
        <f t="shared" si="219"/>
        <v>0</v>
      </c>
      <c r="AB1704" s="573"/>
      <c r="AC1704" s="487"/>
      <c r="AD1704" s="573"/>
      <c r="AE1704" s="487"/>
      <c r="AF1704" s="577">
        <f t="shared" si="215"/>
        <v>3675791</v>
      </c>
      <c r="AG1704" s="275">
        <f t="shared" si="216"/>
        <v>3608214.96</v>
      </c>
    </row>
    <row r="1705" spans="1:33" s="578" customFormat="1" ht="12" customHeight="1">
      <c r="A1705" s="719" t="s">
        <v>1280</v>
      </c>
      <c r="B1705" s="720" t="s">
        <v>1783</v>
      </c>
      <c r="C1705" s="723" t="s">
        <v>1141</v>
      </c>
      <c r="D1705" s="721">
        <v>176017</v>
      </c>
      <c r="E1705" s="722">
        <v>2</v>
      </c>
      <c r="F1705" s="573"/>
      <c r="G1705" s="487"/>
      <c r="H1705" s="573">
        <v>882514</v>
      </c>
      <c r="I1705" s="487">
        <v>865456.62</v>
      </c>
      <c r="J1705" s="573"/>
      <c r="K1705" s="487"/>
      <c r="L1705" s="573"/>
      <c r="M1705" s="573"/>
      <c r="N1705" s="456">
        <f t="shared" si="217"/>
        <v>0</v>
      </c>
      <c r="O1705" s="487"/>
      <c r="P1705" s="487"/>
      <c r="Q1705" s="274">
        <f t="shared" si="212"/>
        <v>0</v>
      </c>
      <c r="R1705" s="574">
        <f t="shared" si="213"/>
        <v>882514</v>
      </c>
      <c r="S1705" s="275">
        <f t="shared" si="214"/>
        <v>865456.62</v>
      </c>
      <c r="T1705" s="575"/>
      <c r="U1705" s="487"/>
      <c r="V1705" s="576"/>
      <c r="W1705" s="573"/>
      <c r="X1705" s="574">
        <f t="shared" si="218"/>
        <v>0</v>
      </c>
      <c r="Y1705" s="487"/>
      <c r="Z1705" s="487"/>
      <c r="AA1705" s="276">
        <f t="shared" si="219"/>
        <v>0</v>
      </c>
      <c r="AB1705" s="573"/>
      <c r="AC1705" s="487"/>
      <c r="AD1705" s="573"/>
      <c r="AE1705" s="487"/>
      <c r="AF1705" s="577">
        <f t="shared" si="215"/>
        <v>882514</v>
      </c>
      <c r="AG1705" s="275">
        <f t="shared" si="216"/>
        <v>865456.62</v>
      </c>
    </row>
    <row r="1706" spans="1:33" s="578" customFormat="1" ht="12" customHeight="1">
      <c r="A1706" s="719" t="s">
        <v>1280</v>
      </c>
      <c r="B1706" s="720" t="s">
        <v>1783</v>
      </c>
      <c r="C1706" s="723" t="s">
        <v>1142</v>
      </c>
      <c r="D1706" s="721">
        <v>176017</v>
      </c>
      <c r="E1706" s="722">
        <v>2</v>
      </c>
      <c r="F1706" s="573"/>
      <c r="G1706" s="487"/>
      <c r="H1706" s="573">
        <v>496636</v>
      </c>
      <c r="I1706" s="487">
        <v>487586.26</v>
      </c>
      <c r="J1706" s="573"/>
      <c r="K1706" s="487"/>
      <c r="L1706" s="573"/>
      <c r="M1706" s="573"/>
      <c r="N1706" s="456">
        <f t="shared" si="217"/>
        <v>0</v>
      </c>
      <c r="O1706" s="487"/>
      <c r="P1706" s="487"/>
      <c r="Q1706" s="274">
        <f t="shared" si="212"/>
        <v>0</v>
      </c>
      <c r="R1706" s="574">
        <f t="shared" si="213"/>
        <v>496636</v>
      </c>
      <c r="S1706" s="275">
        <f t="shared" si="214"/>
        <v>487586.26</v>
      </c>
      <c r="T1706" s="575"/>
      <c r="U1706" s="487"/>
      <c r="V1706" s="576"/>
      <c r="W1706" s="573"/>
      <c r="X1706" s="574">
        <f t="shared" si="218"/>
        <v>0</v>
      </c>
      <c r="Y1706" s="487"/>
      <c r="Z1706" s="487"/>
      <c r="AA1706" s="276">
        <f t="shared" si="219"/>
        <v>0</v>
      </c>
      <c r="AB1706" s="573"/>
      <c r="AC1706" s="487"/>
      <c r="AD1706" s="573"/>
      <c r="AE1706" s="487"/>
      <c r="AF1706" s="577">
        <f t="shared" si="215"/>
        <v>496636</v>
      </c>
      <c r="AG1706" s="275">
        <f t="shared" si="216"/>
        <v>487586.26</v>
      </c>
    </row>
    <row r="1707" spans="1:33" s="578" customFormat="1" ht="12" customHeight="1">
      <c r="A1707" s="719" t="s">
        <v>1280</v>
      </c>
      <c r="B1707" s="720" t="s">
        <v>1783</v>
      </c>
      <c r="C1707" s="723" t="s">
        <v>1143</v>
      </c>
      <c r="D1707" s="721">
        <v>176017</v>
      </c>
      <c r="E1707" s="722">
        <v>2</v>
      </c>
      <c r="F1707" s="573"/>
      <c r="G1707" s="487"/>
      <c r="H1707" s="573">
        <v>845535</v>
      </c>
      <c r="I1707" s="487">
        <v>829028.06</v>
      </c>
      <c r="J1707" s="573"/>
      <c r="K1707" s="487"/>
      <c r="L1707" s="573"/>
      <c r="M1707" s="573"/>
      <c r="N1707" s="456">
        <f t="shared" si="217"/>
        <v>0</v>
      </c>
      <c r="O1707" s="487"/>
      <c r="P1707" s="487"/>
      <c r="Q1707" s="274">
        <f t="shared" si="212"/>
        <v>0</v>
      </c>
      <c r="R1707" s="574">
        <f t="shared" si="213"/>
        <v>845535</v>
      </c>
      <c r="S1707" s="275">
        <f t="shared" si="214"/>
        <v>829028.06</v>
      </c>
      <c r="T1707" s="575"/>
      <c r="U1707" s="487"/>
      <c r="V1707" s="576"/>
      <c r="W1707" s="573"/>
      <c r="X1707" s="574">
        <f t="shared" si="218"/>
        <v>0</v>
      </c>
      <c r="Y1707" s="487"/>
      <c r="Z1707" s="487"/>
      <c r="AA1707" s="276">
        <f t="shared" si="219"/>
        <v>0</v>
      </c>
      <c r="AB1707" s="573"/>
      <c r="AC1707" s="487"/>
      <c r="AD1707" s="573"/>
      <c r="AE1707" s="487"/>
      <c r="AF1707" s="577">
        <f t="shared" si="215"/>
        <v>845535</v>
      </c>
      <c r="AG1707" s="275">
        <f t="shared" si="216"/>
        <v>829028.06</v>
      </c>
    </row>
    <row r="1708" spans="1:33" s="578" customFormat="1" ht="12" customHeight="1">
      <c r="A1708" s="719" t="s">
        <v>1280</v>
      </c>
      <c r="B1708" s="720" t="s">
        <v>1776</v>
      </c>
      <c r="C1708" s="720" t="s">
        <v>1144</v>
      </c>
      <c r="D1708" s="721">
        <v>175342</v>
      </c>
      <c r="E1708" s="722">
        <v>4</v>
      </c>
      <c r="F1708" s="573">
        <v>24637172</v>
      </c>
      <c r="G1708" s="487">
        <v>24265171.919999994</v>
      </c>
      <c r="H1708" s="573"/>
      <c r="I1708" s="487"/>
      <c r="J1708" s="573"/>
      <c r="K1708" s="487"/>
      <c r="L1708" s="573">
        <v>16842866</v>
      </c>
      <c r="M1708" s="573"/>
      <c r="N1708" s="456">
        <f t="shared" si="217"/>
        <v>16842866</v>
      </c>
      <c r="O1708" s="487">
        <v>18571832</v>
      </c>
      <c r="P1708" s="487"/>
      <c r="Q1708" s="274">
        <f t="shared" si="212"/>
        <v>18571832</v>
      </c>
      <c r="R1708" s="574">
        <f t="shared" si="213"/>
        <v>41480038</v>
      </c>
      <c r="S1708" s="275">
        <f t="shared" si="214"/>
        <v>42837003.919999994</v>
      </c>
      <c r="T1708" s="575"/>
      <c r="U1708" s="487"/>
      <c r="V1708" s="576"/>
      <c r="W1708" s="573"/>
      <c r="X1708" s="574">
        <f t="shared" si="218"/>
        <v>0</v>
      </c>
      <c r="Y1708" s="487"/>
      <c r="Z1708" s="487"/>
      <c r="AA1708" s="276">
        <f t="shared" si="219"/>
        <v>0</v>
      </c>
      <c r="AB1708" s="573"/>
      <c r="AC1708" s="487"/>
      <c r="AD1708" s="573"/>
      <c r="AE1708" s="487"/>
      <c r="AF1708" s="577">
        <f t="shared" si="215"/>
        <v>41480038</v>
      </c>
      <c r="AG1708" s="275">
        <f t="shared" si="216"/>
        <v>42837003.919999994</v>
      </c>
    </row>
    <row r="1709" spans="1:33" s="578" customFormat="1" ht="12" customHeight="1">
      <c r="A1709" s="719" t="s">
        <v>1280</v>
      </c>
      <c r="B1709" s="720" t="s">
        <v>1780</v>
      </c>
      <c r="C1709" s="723" t="s">
        <v>1145</v>
      </c>
      <c r="D1709" s="721">
        <v>175342</v>
      </c>
      <c r="E1709" s="722">
        <v>4</v>
      </c>
      <c r="F1709" s="573"/>
      <c r="G1709" s="487"/>
      <c r="H1709" s="573">
        <v>4775687</v>
      </c>
      <c r="I1709" s="487">
        <v>4684014.8600000003</v>
      </c>
      <c r="J1709" s="573"/>
      <c r="K1709" s="487"/>
      <c r="L1709" s="573"/>
      <c r="M1709" s="573"/>
      <c r="N1709" s="456">
        <f t="shared" si="217"/>
        <v>0</v>
      </c>
      <c r="O1709" s="487"/>
      <c r="P1709" s="487"/>
      <c r="Q1709" s="274">
        <f t="shared" si="212"/>
        <v>0</v>
      </c>
      <c r="R1709" s="574">
        <f t="shared" si="213"/>
        <v>4775687</v>
      </c>
      <c r="S1709" s="275">
        <f t="shared" si="214"/>
        <v>4684014.8600000003</v>
      </c>
      <c r="T1709" s="575"/>
      <c r="U1709" s="487"/>
      <c r="V1709" s="576"/>
      <c r="W1709" s="573"/>
      <c r="X1709" s="574">
        <f t="shared" si="218"/>
        <v>0</v>
      </c>
      <c r="Y1709" s="487"/>
      <c r="Z1709" s="487"/>
      <c r="AA1709" s="276">
        <f t="shared" si="219"/>
        <v>0</v>
      </c>
      <c r="AB1709" s="573"/>
      <c r="AC1709" s="487"/>
      <c r="AD1709" s="573"/>
      <c r="AE1709" s="487"/>
      <c r="AF1709" s="577">
        <f t="shared" si="215"/>
        <v>4775687</v>
      </c>
      <c r="AG1709" s="275">
        <f t="shared" si="216"/>
        <v>4684014.8600000003</v>
      </c>
    </row>
    <row r="1710" spans="1:33" s="578" customFormat="1" ht="12" customHeight="1">
      <c r="A1710" s="719" t="s">
        <v>1280</v>
      </c>
      <c r="B1710" s="720" t="s">
        <v>1776</v>
      </c>
      <c r="C1710" s="719" t="s">
        <v>1146</v>
      </c>
      <c r="D1710" s="721">
        <v>175616</v>
      </c>
      <c r="E1710" s="722">
        <v>4</v>
      </c>
      <c r="F1710" s="573">
        <v>23960557</v>
      </c>
      <c r="G1710" s="487">
        <v>23431518.739999998</v>
      </c>
      <c r="H1710" s="573"/>
      <c r="I1710" s="487"/>
      <c r="J1710" s="573"/>
      <c r="K1710" s="487"/>
      <c r="L1710" s="573">
        <v>18297171</v>
      </c>
      <c r="M1710" s="573"/>
      <c r="N1710" s="456">
        <f t="shared" si="217"/>
        <v>18297171</v>
      </c>
      <c r="O1710" s="487">
        <v>18228368</v>
      </c>
      <c r="P1710" s="487"/>
      <c r="Q1710" s="274">
        <f t="shared" si="212"/>
        <v>18228368</v>
      </c>
      <c r="R1710" s="574">
        <f t="shared" si="213"/>
        <v>42257728</v>
      </c>
      <c r="S1710" s="275">
        <f t="shared" si="214"/>
        <v>41659886.739999995</v>
      </c>
      <c r="T1710" s="575"/>
      <c r="U1710" s="487"/>
      <c r="V1710" s="576"/>
      <c r="W1710" s="573"/>
      <c r="X1710" s="574">
        <f t="shared" si="218"/>
        <v>0</v>
      </c>
      <c r="Y1710" s="487"/>
      <c r="Z1710" s="487"/>
      <c r="AA1710" s="276">
        <f t="shared" si="219"/>
        <v>0</v>
      </c>
      <c r="AB1710" s="573"/>
      <c r="AC1710" s="487"/>
      <c r="AD1710" s="573"/>
      <c r="AE1710" s="487"/>
      <c r="AF1710" s="577">
        <f t="shared" si="215"/>
        <v>42257728</v>
      </c>
      <c r="AG1710" s="275">
        <f t="shared" si="216"/>
        <v>41659886.739999995</v>
      </c>
    </row>
    <row r="1711" spans="1:33" s="578" customFormat="1" ht="12" customHeight="1">
      <c r="A1711" s="719" t="s">
        <v>1280</v>
      </c>
      <c r="B1711" s="720" t="s">
        <v>1776</v>
      </c>
      <c r="C1711" s="719" t="s">
        <v>1147</v>
      </c>
      <c r="D1711" s="721">
        <v>176035</v>
      </c>
      <c r="E1711" s="722">
        <v>5</v>
      </c>
      <c r="F1711" s="573">
        <v>15932285</v>
      </c>
      <c r="G1711" s="487">
        <v>15569861.720000001</v>
      </c>
      <c r="H1711" s="573"/>
      <c r="I1711" s="487"/>
      <c r="J1711" s="573"/>
      <c r="K1711" s="487"/>
      <c r="L1711" s="573">
        <v>10350656</v>
      </c>
      <c r="M1711" s="573"/>
      <c r="N1711" s="456">
        <f t="shared" si="217"/>
        <v>10350656</v>
      </c>
      <c r="O1711" s="487">
        <v>11711547</v>
      </c>
      <c r="P1711" s="487"/>
      <c r="Q1711" s="274">
        <f t="shared" si="212"/>
        <v>11711547</v>
      </c>
      <c r="R1711" s="574">
        <f t="shared" si="213"/>
        <v>26282941</v>
      </c>
      <c r="S1711" s="275">
        <f t="shared" si="214"/>
        <v>27281408.719999999</v>
      </c>
      <c r="T1711" s="575"/>
      <c r="U1711" s="487"/>
      <c r="V1711" s="576"/>
      <c r="W1711" s="573"/>
      <c r="X1711" s="574">
        <f t="shared" si="218"/>
        <v>0</v>
      </c>
      <c r="Y1711" s="487"/>
      <c r="Z1711" s="487"/>
      <c r="AA1711" s="276">
        <f t="shared" si="219"/>
        <v>0</v>
      </c>
      <c r="AB1711" s="573"/>
      <c r="AC1711" s="487"/>
      <c r="AD1711" s="573"/>
      <c r="AE1711" s="487"/>
      <c r="AF1711" s="577">
        <f t="shared" si="215"/>
        <v>26282941</v>
      </c>
      <c r="AG1711" s="275">
        <f t="shared" si="216"/>
        <v>27281408.719999999</v>
      </c>
    </row>
    <row r="1712" spans="1:33" s="578" customFormat="1" ht="12" customHeight="1">
      <c r="A1712" s="719" t="s">
        <v>1280</v>
      </c>
      <c r="B1712" s="720" t="s">
        <v>1776</v>
      </c>
      <c r="C1712" s="719" t="s">
        <v>1148</v>
      </c>
      <c r="D1712" s="721">
        <v>176044</v>
      </c>
      <c r="E1712" s="722">
        <v>5</v>
      </c>
      <c r="F1712" s="573">
        <v>20130434</v>
      </c>
      <c r="G1712" s="487">
        <v>19833687.379999999</v>
      </c>
      <c r="H1712" s="573"/>
      <c r="I1712" s="487"/>
      <c r="J1712" s="573"/>
      <c r="K1712" s="487"/>
      <c r="L1712" s="573">
        <v>15558645</v>
      </c>
      <c r="M1712" s="573"/>
      <c r="N1712" s="456">
        <f t="shared" si="217"/>
        <v>15558645</v>
      </c>
      <c r="O1712" s="487">
        <v>15285182</v>
      </c>
      <c r="P1712" s="487"/>
      <c r="Q1712" s="274">
        <f t="shared" si="212"/>
        <v>15285182</v>
      </c>
      <c r="R1712" s="574">
        <f t="shared" si="213"/>
        <v>35689079</v>
      </c>
      <c r="S1712" s="275">
        <f t="shared" si="214"/>
        <v>35118869.379999995</v>
      </c>
      <c r="T1712" s="575"/>
      <c r="U1712" s="487"/>
      <c r="V1712" s="576"/>
      <c r="W1712" s="573"/>
      <c r="X1712" s="574">
        <f t="shared" si="218"/>
        <v>0</v>
      </c>
      <c r="Y1712" s="487"/>
      <c r="Z1712" s="487"/>
      <c r="AA1712" s="276">
        <f t="shared" si="219"/>
        <v>0</v>
      </c>
      <c r="AB1712" s="573"/>
      <c r="AC1712" s="487"/>
      <c r="AD1712" s="573"/>
      <c r="AE1712" s="487"/>
      <c r="AF1712" s="577">
        <f t="shared" si="215"/>
        <v>35689079</v>
      </c>
      <c r="AG1712" s="275">
        <f t="shared" si="216"/>
        <v>35118869.379999995</v>
      </c>
    </row>
    <row r="1713" spans="1:33" s="578" customFormat="1" ht="12" customHeight="1">
      <c r="A1713" s="719" t="s">
        <v>1280</v>
      </c>
      <c r="B1713" s="720" t="s">
        <v>1819</v>
      </c>
      <c r="C1713" s="719" t="s">
        <v>1149</v>
      </c>
      <c r="D1713" s="721">
        <v>176026</v>
      </c>
      <c r="E1713" s="722">
        <v>15</v>
      </c>
      <c r="F1713" s="573"/>
      <c r="G1713" s="487"/>
      <c r="H1713" s="573"/>
      <c r="I1713" s="487"/>
      <c r="J1713" s="573"/>
      <c r="K1713" s="487"/>
      <c r="L1713" s="573"/>
      <c r="M1713" s="573"/>
      <c r="N1713" s="456">
        <f t="shared" si="217"/>
        <v>0</v>
      </c>
      <c r="O1713" s="487"/>
      <c r="P1713" s="487"/>
      <c r="Q1713" s="274">
        <f t="shared" si="212"/>
        <v>0</v>
      </c>
      <c r="R1713" s="574">
        <f t="shared" si="213"/>
        <v>0</v>
      </c>
      <c r="S1713" s="275">
        <f t="shared" si="214"/>
        <v>0</v>
      </c>
      <c r="T1713" s="575"/>
      <c r="U1713" s="487"/>
      <c r="V1713" s="576"/>
      <c r="W1713" s="573"/>
      <c r="X1713" s="574">
        <f t="shared" si="218"/>
        <v>0</v>
      </c>
      <c r="Y1713" s="487"/>
      <c r="Z1713" s="487"/>
      <c r="AA1713" s="276">
        <f t="shared" si="219"/>
        <v>0</v>
      </c>
      <c r="AB1713" s="573">
        <v>224917610</v>
      </c>
      <c r="AC1713" s="487">
        <v>227637206.28</v>
      </c>
      <c r="AD1713" s="573">
        <v>8511778</v>
      </c>
      <c r="AE1713" s="487">
        <v>11465908</v>
      </c>
      <c r="AF1713" s="577">
        <f t="shared" si="215"/>
        <v>233429388</v>
      </c>
      <c r="AG1713" s="275">
        <f t="shared" si="216"/>
        <v>239103114.28</v>
      </c>
    </row>
    <row r="1714" spans="1:33" s="578" customFormat="1" ht="12" customHeight="1">
      <c r="A1714" s="719" t="s">
        <v>1280</v>
      </c>
      <c r="B1714" s="720" t="s">
        <v>1785</v>
      </c>
      <c r="C1714" s="719" t="s">
        <v>1753</v>
      </c>
      <c r="D1714" s="721"/>
      <c r="E1714" s="722"/>
      <c r="F1714" s="573"/>
      <c r="G1714" s="487"/>
      <c r="H1714" s="573"/>
      <c r="I1714" s="487"/>
      <c r="J1714" s="573"/>
      <c r="K1714" s="487"/>
      <c r="L1714" s="573"/>
      <c r="M1714" s="573"/>
      <c r="N1714" s="456">
        <f t="shared" si="217"/>
        <v>0</v>
      </c>
      <c r="O1714" s="487"/>
      <c r="P1714" s="487"/>
      <c r="Q1714" s="274">
        <f t="shared" si="212"/>
        <v>0</v>
      </c>
      <c r="R1714" s="574">
        <f t="shared" si="213"/>
        <v>0</v>
      </c>
      <c r="S1714" s="275">
        <f t="shared" si="214"/>
        <v>0</v>
      </c>
      <c r="T1714" s="575"/>
      <c r="U1714" s="487"/>
      <c r="V1714" s="576"/>
      <c r="W1714" s="573"/>
      <c r="X1714" s="574">
        <f t="shared" si="218"/>
        <v>0</v>
      </c>
      <c r="Y1714" s="487"/>
      <c r="Z1714" s="487"/>
      <c r="AA1714" s="276">
        <f t="shared" si="219"/>
        <v>0</v>
      </c>
      <c r="AB1714" s="573"/>
      <c r="AC1714" s="487"/>
      <c r="AD1714" s="573"/>
      <c r="AE1714" s="487"/>
      <c r="AF1714" s="577">
        <f t="shared" si="215"/>
        <v>0</v>
      </c>
      <c r="AG1714" s="275">
        <f t="shared" si="216"/>
        <v>0</v>
      </c>
    </row>
    <row r="1715" spans="1:33" s="578" customFormat="1" ht="12" customHeight="1">
      <c r="A1715" s="719" t="s">
        <v>1280</v>
      </c>
      <c r="B1715" s="720" t="s">
        <v>1786</v>
      </c>
      <c r="C1715" s="513" t="s">
        <v>1891</v>
      </c>
      <c r="D1715" s="721"/>
      <c r="E1715" s="722"/>
      <c r="F1715" s="573"/>
      <c r="G1715" s="487"/>
      <c r="H1715" s="573"/>
      <c r="I1715" s="487"/>
      <c r="J1715" s="573"/>
      <c r="K1715" s="487"/>
      <c r="L1715" s="573"/>
      <c r="M1715" s="573"/>
      <c r="N1715" s="456">
        <f t="shared" si="217"/>
        <v>0</v>
      </c>
      <c r="O1715" s="487"/>
      <c r="P1715" s="487"/>
      <c r="Q1715" s="274">
        <f t="shared" si="212"/>
        <v>0</v>
      </c>
      <c r="R1715" s="574">
        <f t="shared" si="213"/>
        <v>0</v>
      </c>
      <c r="S1715" s="275">
        <f t="shared" si="214"/>
        <v>0</v>
      </c>
      <c r="T1715" s="575"/>
      <c r="U1715" s="487"/>
      <c r="V1715" s="576"/>
      <c r="W1715" s="573"/>
      <c r="X1715" s="574">
        <f t="shared" si="218"/>
        <v>0</v>
      </c>
      <c r="Y1715" s="487"/>
      <c r="Z1715" s="487"/>
      <c r="AA1715" s="276">
        <f t="shared" si="219"/>
        <v>0</v>
      </c>
      <c r="AB1715" s="573"/>
      <c r="AC1715" s="487"/>
      <c r="AD1715" s="573"/>
      <c r="AE1715" s="487"/>
      <c r="AF1715" s="577">
        <f t="shared" si="215"/>
        <v>0</v>
      </c>
      <c r="AG1715" s="275">
        <f t="shared" si="216"/>
        <v>0</v>
      </c>
    </row>
    <row r="1716" spans="1:33" s="578" customFormat="1" ht="12" customHeight="1">
      <c r="A1716" s="719" t="s">
        <v>1280</v>
      </c>
      <c r="B1716" s="720" t="s">
        <v>1786</v>
      </c>
      <c r="C1716" s="723" t="s">
        <v>1150</v>
      </c>
      <c r="D1716" s="721"/>
      <c r="E1716" s="722"/>
      <c r="F1716" s="573"/>
      <c r="G1716" s="487"/>
      <c r="H1716" s="573"/>
      <c r="I1716" s="487"/>
      <c r="J1716" s="573"/>
      <c r="K1716" s="487"/>
      <c r="L1716" s="573"/>
      <c r="M1716" s="573"/>
      <c r="N1716" s="456">
        <f t="shared" si="217"/>
        <v>0</v>
      </c>
      <c r="O1716" s="487"/>
      <c r="P1716" s="487"/>
      <c r="Q1716" s="274">
        <f t="shared" si="212"/>
        <v>0</v>
      </c>
      <c r="R1716" s="574">
        <f t="shared" si="213"/>
        <v>0</v>
      </c>
      <c r="S1716" s="275">
        <f t="shared" si="214"/>
        <v>0</v>
      </c>
      <c r="T1716" s="575">
        <v>514773</v>
      </c>
      <c r="U1716" s="487">
        <v>505359.54</v>
      </c>
      <c r="V1716" s="576"/>
      <c r="W1716" s="573"/>
      <c r="X1716" s="574">
        <f t="shared" si="218"/>
        <v>0</v>
      </c>
      <c r="Y1716" s="487"/>
      <c r="Z1716" s="487"/>
      <c r="AA1716" s="276">
        <f t="shared" si="219"/>
        <v>0</v>
      </c>
      <c r="AB1716" s="573"/>
      <c r="AC1716" s="487"/>
      <c r="AD1716" s="573"/>
      <c r="AE1716" s="487"/>
      <c r="AF1716" s="577">
        <f t="shared" si="215"/>
        <v>514773</v>
      </c>
      <c r="AG1716" s="275">
        <f t="shared" si="216"/>
        <v>505359.54</v>
      </c>
    </row>
    <row r="1717" spans="1:33" s="578" customFormat="1" ht="12" customHeight="1" thickBot="1">
      <c r="A1717" s="719" t="s">
        <v>1280</v>
      </c>
      <c r="B1717" s="720" t="s">
        <v>1821</v>
      </c>
      <c r="C1717" s="514" t="s">
        <v>828</v>
      </c>
      <c r="D1717" s="721"/>
      <c r="E1717" s="722"/>
      <c r="F1717" s="573"/>
      <c r="G1717" s="487"/>
      <c r="H1717" s="573"/>
      <c r="I1717" s="487"/>
      <c r="J1717" s="573"/>
      <c r="K1717" s="487"/>
      <c r="L1717" s="573"/>
      <c r="M1717" s="573"/>
      <c r="N1717" s="456">
        <f t="shared" si="217"/>
        <v>0</v>
      </c>
      <c r="O1717" s="487"/>
      <c r="P1717" s="487"/>
      <c r="Q1717" s="274">
        <f t="shared" si="212"/>
        <v>0</v>
      </c>
      <c r="R1717" s="574">
        <f t="shared" si="213"/>
        <v>0</v>
      </c>
      <c r="S1717" s="275">
        <f t="shared" si="214"/>
        <v>0</v>
      </c>
      <c r="T1717" s="575"/>
      <c r="U1717" s="487"/>
      <c r="V1717" s="576"/>
      <c r="W1717" s="573"/>
      <c r="X1717" s="574">
        <f t="shared" si="218"/>
        <v>0</v>
      </c>
      <c r="Y1717" s="487"/>
      <c r="Z1717" s="487"/>
      <c r="AA1717" s="276">
        <f t="shared" si="219"/>
        <v>0</v>
      </c>
      <c r="AB1717" s="573"/>
      <c r="AC1717" s="487"/>
      <c r="AD1717" s="573"/>
      <c r="AE1717" s="487"/>
      <c r="AF1717" s="577">
        <f t="shared" si="215"/>
        <v>0</v>
      </c>
      <c r="AG1717" s="275">
        <f t="shared" si="216"/>
        <v>0</v>
      </c>
    </row>
    <row r="1718" spans="1:33" s="578" customFormat="1" ht="12" customHeight="1">
      <c r="A1718" s="719" t="s">
        <v>1280</v>
      </c>
      <c r="B1718" s="720" t="s">
        <v>1821</v>
      </c>
      <c r="C1718" s="723" t="s">
        <v>1151</v>
      </c>
      <c r="D1718" s="721"/>
      <c r="E1718" s="722"/>
      <c r="F1718" s="573"/>
      <c r="G1718" s="487"/>
      <c r="H1718" s="587">
        <v>5500000</v>
      </c>
      <c r="I1718" s="499">
        <v>5500000</v>
      </c>
      <c r="J1718" s="573"/>
      <c r="K1718" s="487"/>
      <c r="L1718" s="573"/>
      <c r="M1718" s="573"/>
      <c r="N1718" s="456">
        <f t="shared" si="217"/>
        <v>0</v>
      </c>
      <c r="O1718" s="487"/>
      <c r="P1718" s="487"/>
      <c r="Q1718" s="274">
        <f t="shared" si="212"/>
        <v>0</v>
      </c>
      <c r="R1718" s="574">
        <f t="shared" si="213"/>
        <v>5500000</v>
      </c>
      <c r="S1718" s="275">
        <f t="shared" si="214"/>
        <v>5500000</v>
      </c>
      <c r="T1718" s="575"/>
      <c r="U1718" s="487"/>
      <c r="V1718" s="576"/>
      <c r="W1718" s="573"/>
      <c r="X1718" s="574">
        <f t="shared" si="218"/>
        <v>0</v>
      </c>
      <c r="Y1718" s="487"/>
      <c r="Z1718" s="487"/>
      <c r="AA1718" s="276">
        <f t="shared" si="219"/>
        <v>0</v>
      </c>
      <c r="AB1718" s="573"/>
      <c r="AC1718" s="487"/>
      <c r="AD1718" s="573"/>
      <c r="AE1718" s="487"/>
      <c r="AF1718" s="577">
        <f t="shared" si="215"/>
        <v>5500000</v>
      </c>
      <c r="AG1718" s="275">
        <f t="shared" si="216"/>
        <v>5500000</v>
      </c>
    </row>
    <row r="1719" spans="1:33" s="578" customFormat="1" ht="12" customHeight="1">
      <c r="A1719" s="719" t="s">
        <v>1280</v>
      </c>
      <c r="B1719" s="720" t="s">
        <v>1821</v>
      </c>
      <c r="C1719" s="723" t="s">
        <v>1152</v>
      </c>
      <c r="D1719" s="721"/>
      <c r="E1719" s="722"/>
      <c r="F1719" s="573"/>
      <c r="G1719" s="487"/>
      <c r="H1719" s="576">
        <v>1000000</v>
      </c>
      <c r="I1719" s="487">
        <v>980000</v>
      </c>
      <c r="J1719" s="573"/>
      <c r="K1719" s="487"/>
      <c r="L1719" s="573"/>
      <c r="M1719" s="573"/>
      <c r="N1719" s="456">
        <f t="shared" si="217"/>
        <v>0</v>
      </c>
      <c r="O1719" s="487"/>
      <c r="P1719" s="487"/>
      <c r="Q1719" s="274">
        <f t="shared" si="212"/>
        <v>0</v>
      </c>
      <c r="R1719" s="574">
        <f t="shared" si="213"/>
        <v>1000000</v>
      </c>
      <c r="S1719" s="275">
        <f t="shared" si="214"/>
        <v>980000</v>
      </c>
      <c r="T1719" s="575"/>
      <c r="U1719" s="487"/>
      <c r="V1719" s="576"/>
      <c r="W1719" s="573"/>
      <c r="X1719" s="574">
        <f t="shared" si="218"/>
        <v>0</v>
      </c>
      <c r="Y1719" s="487"/>
      <c r="Z1719" s="487"/>
      <c r="AA1719" s="276">
        <f t="shared" si="219"/>
        <v>0</v>
      </c>
      <c r="AB1719" s="573"/>
      <c r="AC1719" s="487"/>
      <c r="AD1719" s="573"/>
      <c r="AE1719" s="487"/>
      <c r="AF1719" s="577">
        <f t="shared" si="215"/>
        <v>1000000</v>
      </c>
      <c r="AG1719" s="275">
        <f t="shared" si="216"/>
        <v>980000</v>
      </c>
    </row>
    <row r="1720" spans="1:33" s="578" customFormat="1" ht="12" customHeight="1" thickBot="1">
      <c r="A1720" s="719" t="s">
        <v>1280</v>
      </c>
      <c r="B1720" s="720" t="s">
        <v>1821</v>
      </c>
      <c r="C1720" s="723" t="s">
        <v>1153</v>
      </c>
      <c r="D1720" s="721"/>
      <c r="E1720" s="722"/>
      <c r="F1720" s="573"/>
      <c r="G1720" s="487"/>
      <c r="H1720" s="591"/>
      <c r="I1720" s="471">
        <v>980000</v>
      </c>
      <c r="J1720" s="573"/>
      <c r="K1720" s="487"/>
      <c r="L1720" s="573"/>
      <c r="M1720" s="573"/>
      <c r="N1720" s="456">
        <f t="shared" si="217"/>
        <v>0</v>
      </c>
      <c r="O1720" s="487"/>
      <c r="P1720" s="487"/>
      <c r="Q1720" s="274">
        <f t="shared" si="212"/>
        <v>0</v>
      </c>
      <c r="R1720" s="574">
        <f t="shared" si="213"/>
        <v>0</v>
      </c>
      <c r="S1720" s="275">
        <f t="shared" si="214"/>
        <v>980000</v>
      </c>
      <c r="T1720" s="575"/>
      <c r="U1720" s="487"/>
      <c r="V1720" s="576"/>
      <c r="W1720" s="573"/>
      <c r="X1720" s="574">
        <f t="shared" si="218"/>
        <v>0</v>
      </c>
      <c r="Y1720" s="487"/>
      <c r="Z1720" s="487"/>
      <c r="AA1720" s="276">
        <f t="shared" si="219"/>
        <v>0</v>
      </c>
      <c r="AB1720" s="573"/>
      <c r="AC1720" s="487"/>
      <c r="AD1720" s="573"/>
      <c r="AE1720" s="487"/>
      <c r="AF1720" s="577">
        <f t="shared" si="215"/>
        <v>0</v>
      </c>
      <c r="AG1720" s="275">
        <f t="shared" si="216"/>
        <v>980000</v>
      </c>
    </row>
    <row r="1721" spans="1:33" s="578" customFormat="1" ht="12" customHeight="1">
      <c r="A1721" s="719" t="s">
        <v>1280</v>
      </c>
      <c r="B1721" s="720" t="s">
        <v>1794</v>
      </c>
      <c r="C1721" s="514" t="s">
        <v>849</v>
      </c>
      <c r="D1721" s="721"/>
      <c r="E1721" s="722"/>
      <c r="F1721" s="573"/>
      <c r="G1721" s="487"/>
      <c r="H1721" s="573"/>
      <c r="I1721" s="487"/>
      <c r="J1721" s="573"/>
      <c r="K1721" s="487"/>
      <c r="L1721" s="573"/>
      <c r="M1721" s="573"/>
      <c r="N1721" s="456">
        <f t="shared" si="217"/>
        <v>0</v>
      </c>
      <c r="O1721" s="487">
        <f>SUM(M1721:N1721)</f>
        <v>0</v>
      </c>
      <c r="P1721" s="487"/>
      <c r="Q1721" s="274">
        <f t="shared" si="212"/>
        <v>0</v>
      </c>
      <c r="R1721" s="574">
        <f t="shared" si="213"/>
        <v>0</v>
      </c>
      <c r="S1721" s="275">
        <f t="shared" si="214"/>
        <v>0</v>
      </c>
      <c r="T1721" s="575"/>
      <c r="U1721" s="487"/>
      <c r="V1721" s="576">
        <f>SUM(T1721:U1721)</f>
        <v>0</v>
      </c>
      <c r="W1721" s="573"/>
      <c r="X1721" s="574">
        <f t="shared" si="218"/>
        <v>0</v>
      </c>
      <c r="Y1721" s="487">
        <f>SUM(W1721:X1721)</f>
        <v>0</v>
      </c>
      <c r="Z1721" s="487"/>
      <c r="AA1721" s="276">
        <f t="shared" si="219"/>
        <v>0</v>
      </c>
      <c r="AB1721" s="573"/>
      <c r="AC1721" s="487"/>
      <c r="AD1721" s="573">
        <f>SUM(P1721,R1721,T1721,Z1721,AB1721)</f>
        <v>0</v>
      </c>
      <c r="AE1721" s="487">
        <f>SUM(Q1721,S1721,W1721,AA1721,AC1721)</f>
        <v>0</v>
      </c>
      <c r="AF1721" s="577">
        <f t="shared" si="215"/>
        <v>0</v>
      </c>
      <c r="AG1721" s="275">
        <f t="shared" si="216"/>
        <v>0</v>
      </c>
    </row>
    <row r="1722" spans="1:33" s="578" customFormat="1" ht="12" customHeight="1">
      <c r="A1722" s="719" t="s">
        <v>1280</v>
      </c>
      <c r="B1722" s="720" t="s">
        <v>1795</v>
      </c>
      <c r="C1722" s="513" t="s">
        <v>957</v>
      </c>
      <c r="D1722" s="721"/>
      <c r="E1722" s="722"/>
      <c r="F1722" s="573"/>
      <c r="G1722" s="487"/>
      <c r="H1722" s="573"/>
      <c r="I1722" s="487"/>
      <c r="J1722" s="573"/>
      <c r="K1722" s="487"/>
      <c r="L1722" s="573"/>
      <c r="M1722" s="573"/>
      <c r="N1722" s="456">
        <f t="shared" si="217"/>
        <v>0</v>
      </c>
      <c r="O1722" s="487"/>
      <c r="P1722" s="487"/>
      <c r="Q1722" s="274">
        <f t="shared" si="212"/>
        <v>0</v>
      </c>
      <c r="R1722" s="574">
        <f t="shared" si="213"/>
        <v>0</v>
      </c>
      <c r="S1722" s="275">
        <f t="shared" si="214"/>
        <v>0</v>
      </c>
      <c r="T1722" s="575"/>
      <c r="U1722" s="487"/>
      <c r="V1722" s="576"/>
      <c r="W1722" s="573"/>
      <c r="X1722" s="574">
        <f t="shared" si="218"/>
        <v>0</v>
      </c>
      <c r="Y1722" s="487"/>
      <c r="Z1722" s="487"/>
      <c r="AA1722" s="276">
        <f t="shared" si="219"/>
        <v>0</v>
      </c>
      <c r="AB1722" s="573"/>
      <c r="AC1722" s="487"/>
      <c r="AD1722" s="573"/>
      <c r="AE1722" s="487"/>
      <c r="AF1722" s="577">
        <f t="shared" si="215"/>
        <v>0</v>
      </c>
      <c r="AG1722" s="275">
        <f t="shared" si="216"/>
        <v>0</v>
      </c>
    </row>
    <row r="1723" spans="1:33" s="578" customFormat="1" ht="12" customHeight="1">
      <c r="A1723" s="719" t="s">
        <v>1280</v>
      </c>
      <c r="B1723" s="720" t="s">
        <v>1795</v>
      </c>
      <c r="C1723" s="723" t="s">
        <v>1154</v>
      </c>
      <c r="D1723" s="721"/>
      <c r="E1723" s="722"/>
      <c r="F1723" s="573"/>
      <c r="G1723" s="487"/>
      <c r="H1723" s="573"/>
      <c r="I1723" s="487"/>
      <c r="J1723" s="573"/>
      <c r="K1723" s="487"/>
      <c r="L1723" s="573"/>
      <c r="M1723" s="573"/>
      <c r="N1723" s="456">
        <f t="shared" si="217"/>
        <v>0</v>
      </c>
      <c r="O1723" s="487"/>
      <c r="P1723" s="487"/>
      <c r="Q1723" s="274">
        <f t="shared" si="212"/>
        <v>0</v>
      </c>
      <c r="R1723" s="574">
        <f t="shared" si="213"/>
        <v>0</v>
      </c>
      <c r="S1723" s="275">
        <f t="shared" si="214"/>
        <v>0</v>
      </c>
      <c r="T1723" s="575">
        <v>7819573</v>
      </c>
      <c r="U1723" s="487">
        <v>7153532.54</v>
      </c>
      <c r="V1723" s="576"/>
      <c r="W1723" s="573"/>
      <c r="X1723" s="574">
        <f t="shared" si="218"/>
        <v>0</v>
      </c>
      <c r="Y1723" s="487"/>
      <c r="Z1723" s="487"/>
      <c r="AA1723" s="276">
        <f t="shared" si="219"/>
        <v>0</v>
      </c>
      <c r="AB1723" s="573"/>
      <c r="AC1723" s="487"/>
      <c r="AD1723" s="573"/>
      <c r="AE1723" s="487"/>
      <c r="AF1723" s="577">
        <f t="shared" si="215"/>
        <v>7819573</v>
      </c>
      <c r="AG1723" s="275">
        <f t="shared" si="216"/>
        <v>7153532.54</v>
      </c>
    </row>
    <row r="1724" spans="1:33" s="578" customFormat="1" ht="12" customHeight="1">
      <c r="A1724" s="719" t="s">
        <v>1280</v>
      </c>
      <c r="B1724" s="720" t="s">
        <v>1797</v>
      </c>
      <c r="C1724" s="513" t="s">
        <v>955</v>
      </c>
      <c r="D1724" s="721"/>
      <c r="E1724" s="722"/>
      <c r="F1724" s="573"/>
      <c r="G1724" s="487"/>
      <c r="H1724" s="573"/>
      <c r="I1724" s="487"/>
      <c r="J1724" s="573"/>
      <c r="K1724" s="487"/>
      <c r="L1724" s="573"/>
      <c r="M1724" s="573"/>
      <c r="N1724" s="456">
        <f t="shared" si="217"/>
        <v>0</v>
      </c>
      <c r="O1724" s="487"/>
      <c r="P1724" s="487"/>
      <c r="Q1724" s="274">
        <f t="shared" si="212"/>
        <v>0</v>
      </c>
      <c r="R1724" s="574">
        <f t="shared" si="213"/>
        <v>0</v>
      </c>
      <c r="S1724" s="275">
        <f t="shared" si="214"/>
        <v>0</v>
      </c>
      <c r="T1724" s="575"/>
      <c r="U1724" s="487"/>
      <c r="V1724" s="576"/>
      <c r="W1724" s="573"/>
      <c r="X1724" s="574">
        <f t="shared" si="218"/>
        <v>0</v>
      </c>
      <c r="Y1724" s="487"/>
      <c r="Z1724" s="487"/>
      <c r="AA1724" s="276">
        <f t="shared" si="219"/>
        <v>0</v>
      </c>
      <c r="AB1724" s="573"/>
      <c r="AC1724" s="487"/>
      <c r="AD1724" s="573"/>
      <c r="AE1724" s="487"/>
      <c r="AF1724" s="577">
        <f t="shared" si="215"/>
        <v>0</v>
      </c>
      <c r="AG1724" s="275">
        <f t="shared" si="216"/>
        <v>0</v>
      </c>
    </row>
    <row r="1725" spans="1:33" s="578" customFormat="1" ht="12" customHeight="1">
      <c r="A1725" s="719" t="s">
        <v>1280</v>
      </c>
      <c r="B1725" s="720" t="s">
        <v>1797</v>
      </c>
      <c r="C1725" s="723" t="s">
        <v>1430</v>
      </c>
      <c r="D1725" s="721"/>
      <c r="E1725" s="722"/>
      <c r="F1725" s="573"/>
      <c r="G1725" s="487"/>
      <c r="H1725" s="573"/>
      <c r="I1725" s="487"/>
      <c r="J1725" s="573"/>
      <c r="K1725" s="487"/>
      <c r="L1725" s="573"/>
      <c r="M1725" s="573"/>
      <c r="N1725" s="456">
        <f t="shared" si="217"/>
        <v>0</v>
      </c>
      <c r="O1725" s="487"/>
      <c r="P1725" s="487"/>
      <c r="Q1725" s="274">
        <f t="shared" si="212"/>
        <v>0</v>
      </c>
      <c r="R1725" s="574">
        <f t="shared" si="213"/>
        <v>0</v>
      </c>
      <c r="S1725" s="275">
        <f t="shared" si="214"/>
        <v>0</v>
      </c>
      <c r="T1725" s="575">
        <v>187900</v>
      </c>
      <c r="U1725" s="487"/>
      <c r="V1725" s="576"/>
      <c r="W1725" s="573"/>
      <c r="X1725" s="574">
        <f t="shared" si="218"/>
        <v>0</v>
      </c>
      <c r="Y1725" s="487"/>
      <c r="Z1725" s="487"/>
      <c r="AA1725" s="276">
        <f t="shared" si="219"/>
        <v>0</v>
      </c>
      <c r="AB1725" s="573"/>
      <c r="AC1725" s="487"/>
      <c r="AD1725" s="573"/>
      <c r="AE1725" s="487"/>
      <c r="AF1725" s="577">
        <f t="shared" si="215"/>
        <v>187900</v>
      </c>
      <c r="AG1725" s="275">
        <f t="shared" si="216"/>
        <v>0</v>
      </c>
    </row>
    <row r="1726" spans="1:33" s="578" customFormat="1" ht="12" customHeight="1">
      <c r="A1726" s="719" t="s">
        <v>1280</v>
      </c>
      <c r="B1726" s="720" t="s">
        <v>1798</v>
      </c>
      <c r="C1726" s="513" t="s">
        <v>1155</v>
      </c>
      <c r="D1726" s="721"/>
      <c r="E1726" s="722"/>
      <c r="F1726" s="573"/>
      <c r="G1726" s="487"/>
      <c r="H1726" s="573"/>
      <c r="I1726" s="487"/>
      <c r="J1726" s="573"/>
      <c r="K1726" s="487"/>
      <c r="L1726" s="573"/>
      <c r="M1726" s="573"/>
      <c r="N1726" s="456">
        <f t="shared" si="217"/>
        <v>0</v>
      </c>
      <c r="O1726" s="487"/>
      <c r="P1726" s="487"/>
      <c r="Q1726" s="274">
        <f t="shared" si="212"/>
        <v>0</v>
      </c>
      <c r="R1726" s="574">
        <f t="shared" si="213"/>
        <v>0</v>
      </c>
      <c r="S1726" s="275">
        <f t="shared" si="214"/>
        <v>0</v>
      </c>
      <c r="T1726" s="575">
        <v>1137636</v>
      </c>
      <c r="U1726" s="515">
        <v>1167548</v>
      </c>
      <c r="V1726" s="576"/>
      <c r="W1726" s="573"/>
      <c r="X1726" s="574">
        <f t="shared" si="218"/>
        <v>0</v>
      </c>
      <c r="Y1726" s="487"/>
      <c r="Z1726" s="487"/>
      <c r="AA1726" s="276">
        <f t="shared" si="219"/>
        <v>0</v>
      </c>
      <c r="AB1726" s="573"/>
      <c r="AC1726" s="487"/>
      <c r="AD1726" s="573"/>
      <c r="AE1726" s="487"/>
      <c r="AF1726" s="577">
        <f t="shared" si="215"/>
        <v>1137636</v>
      </c>
      <c r="AG1726" s="275">
        <f t="shared" si="216"/>
        <v>1167548</v>
      </c>
    </row>
    <row r="1727" spans="1:33" s="578" customFormat="1" ht="12" customHeight="1">
      <c r="A1727" s="719" t="s">
        <v>1280</v>
      </c>
      <c r="B1727" s="720" t="s">
        <v>1799</v>
      </c>
      <c r="C1727" s="514" t="s">
        <v>853</v>
      </c>
      <c r="D1727" s="721"/>
      <c r="E1727" s="722"/>
      <c r="F1727" s="573"/>
      <c r="G1727" s="487"/>
      <c r="H1727" s="573"/>
      <c r="I1727" s="487"/>
      <c r="J1727" s="573"/>
      <c r="K1727" s="487"/>
      <c r="L1727" s="573"/>
      <c r="M1727" s="573"/>
      <c r="N1727" s="456">
        <f t="shared" si="217"/>
        <v>0</v>
      </c>
      <c r="O1727" s="487"/>
      <c r="P1727" s="487"/>
      <c r="Q1727" s="274">
        <f t="shared" si="212"/>
        <v>0</v>
      </c>
      <c r="R1727" s="574">
        <f t="shared" si="213"/>
        <v>0</v>
      </c>
      <c r="S1727" s="275">
        <f t="shared" si="214"/>
        <v>0</v>
      </c>
      <c r="T1727" s="575"/>
      <c r="U1727" s="487"/>
      <c r="V1727" s="576"/>
      <c r="W1727" s="573"/>
      <c r="X1727" s="574">
        <f t="shared" si="218"/>
        <v>0</v>
      </c>
      <c r="Y1727" s="487"/>
      <c r="Z1727" s="487"/>
      <c r="AA1727" s="276">
        <f t="shared" si="219"/>
        <v>0</v>
      </c>
      <c r="AB1727" s="573"/>
      <c r="AC1727" s="487"/>
      <c r="AD1727" s="573"/>
      <c r="AE1727" s="487"/>
      <c r="AF1727" s="577">
        <f t="shared" si="215"/>
        <v>0</v>
      </c>
      <c r="AG1727" s="275">
        <f t="shared" si="216"/>
        <v>0</v>
      </c>
    </row>
    <row r="1728" spans="1:33" s="578" customFormat="1" ht="12" customHeight="1">
      <c r="A1728" s="719" t="s">
        <v>1280</v>
      </c>
      <c r="B1728" s="720" t="s">
        <v>1800</v>
      </c>
      <c r="C1728" s="514" t="s">
        <v>858</v>
      </c>
      <c r="D1728" s="721"/>
      <c r="E1728" s="722"/>
      <c r="F1728" s="573"/>
      <c r="G1728" s="487"/>
      <c r="H1728" s="573"/>
      <c r="I1728" s="487"/>
      <c r="J1728" s="573"/>
      <c r="K1728" s="487"/>
      <c r="L1728" s="573"/>
      <c r="M1728" s="573"/>
      <c r="N1728" s="456">
        <f t="shared" si="217"/>
        <v>0</v>
      </c>
      <c r="O1728" s="487"/>
      <c r="P1728" s="487"/>
      <c r="Q1728" s="274">
        <f t="shared" si="212"/>
        <v>0</v>
      </c>
      <c r="R1728" s="574">
        <f t="shared" si="213"/>
        <v>0</v>
      </c>
      <c r="S1728" s="275">
        <f t="shared" si="214"/>
        <v>0</v>
      </c>
      <c r="T1728" s="575"/>
      <c r="U1728" s="487"/>
      <c r="V1728" s="576"/>
      <c r="W1728" s="573"/>
      <c r="X1728" s="574">
        <f t="shared" si="218"/>
        <v>0</v>
      </c>
      <c r="Y1728" s="487"/>
      <c r="Z1728" s="487"/>
      <c r="AA1728" s="276">
        <f t="shared" si="219"/>
        <v>0</v>
      </c>
      <c r="AB1728" s="573"/>
      <c r="AC1728" s="487"/>
      <c r="AD1728" s="573"/>
      <c r="AE1728" s="487"/>
      <c r="AF1728" s="577">
        <f t="shared" si="215"/>
        <v>0</v>
      </c>
      <c r="AG1728" s="275">
        <f t="shared" si="216"/>
        <v>0</v>
      </c>
    </row>
    <row r="1729" spans="1:33" s="578" customFormat="1" ht="12" customHeight="1">
      <c r="A1729" s="719" t="s">
        <v>1280</v>
      </c>
      <c r="B1729" s="720" t="s">
        <v>1801</v>
      </c>
      <c r="C1729" s="723" t="s">
        <v>859</v>
      </c>
      <c r="D1729" s="721"/>
      <c r="E1729" s="722"/>
      <c r="F1729" s="573"/>
      <c r="G1729" s="487"/>
      <c r="H1729" s="573"/>
      <c r="I1729" s="487"/>
      <c r="J1729" s="573"/>
      <c r="K1729" s="487"/>
      <c r="L1729" s="573"/>
      <c r="M1729" s="573"/>
      <c r="N1729" s="456">
        <f t="shared" si="217"/>
        <v>0</v>
      </c>
      <c r="O1729" s="487"/>
      <c r="P1729" s="487"/>
      <c r="Q1729" s="274">
        <f t="shared" si="212"/>
        <v>0</v>
      </c>
      <c r="R1729" s="574">
        <f t="shared" si="213"/>
        <v>0</v>
      </c>
      <c r="S1729" s="275">
        <f t="shared" si="214"/>
        <v>0</v>
      </c>
      <c r="T1729" s="575"/>
      <c r="U1729" s="487"/>
      <c r="V1729" s="576"/>
      <c r="W1729" s="573"/>
      <c r="X1729" s="574">
        <f t="shared" si="218"/>
        <v>0</v>
      </c>
      <c r="Y1729" s="487"/>
      <c r="Z1729" s="487"/>
      <c r="AA1729" s="276">
        <f t="shared" si="219"/>
        <v>0</v>
      </c>
      <c r="AB1729" s="573"/>
      <c r="AC1729" s="487"/>
      <c r="AD1729" s="573"/>
      <c r="AE1729" s="487"/>
      <c r="AF1729" s="577">
        <f t="shared" si="215"/>
        <v>0</v>
      </c>
      <c r="AG1729" s="275">
        <f t="shared" si="216"/>
        <v>0</v>
      </c>
    </row>
    <row r="1730" spans="1:33" s="578" customFormat="1" ht="12" customHeight="1">
      <c r="A1730" s="719" t="s">
        <v>1280</v>
      </c>
      <c r="B1730" s="720" t="s">
        <v>1801</v>
      </c>
      <c r="C1730" s="723" t="s">
        <v>1009</v>
      </c>
      <c r="D1730" s="721"/>
      <c r="E1730" s="722"/>
      <c r="F1730" s="573"/>
      <c r="G1730" s="487"/>
      <c r="H1730" s="573"/>
      <c r="I1730" s="487"/>
      <c r="J1730" s="573"/>
      <c r="K1730" s="487"/>
      <c r="L1730" s="573"/>
      <c r="M1730" s="573"/>
      <c r="N1730" s="456">
        <f t="shared" si="217"/>
        <v>0</v>
      </c>
      <c r="O1730" s="487"/>
      <c r="P1730" s="487"/>
      <c r="Q1730" s="274">
        <f t="shared" si="212"/>
        <v>0</v>
      </c>
      <c r="R1730" s="574">
        <f t="shared" si="213"/>
        <v>0</v>
      </c>
      <c r="S1730" s="275">
        <f t="shared" si="214"/>
        <v>0</v>
      </c>
      <c r="T1730" s="575">
        <v>26200</v>
      </c>
      <c r="U1730" s="487">
        <v>39300</v>
      </c>
      <c r="V1730" s="576"/>
      <c r="W1730" s="573"/>
      <c r="X1730" s="574">
        <f t="shared" si="218"/>
        <v>0</v>
      </c>
      <c r="Y1730" s="487"/>
      <c r="Z1730" s="487"/>
      <c r="AA1730" s="276">
        <f t="shared" si="219"/>
        <v>0</v>
      </c>
      <c r="AB1730" s="573"/>
      <c r="AC1730" s="487"/>
      <c r="AD1730" s="573"/>
      <c r="AE1730" s="487"/>
      <c r="AF1730" s="577">
        <f t="shared" si="215"/>
        <v>26200</v>
      </c>
      <c r="AG1730" s="275">
        <f t="shared" si="216"/>
        <v>39300</v>
      </c>
    </row>
    <row r="1731" spans="1:33" s="578" customFormat="1" ht="12" customHeight="1">
      <c r="A1731" s="719" t="s">
        <v>1280</v>
      </c>
      <c r="B1731" s="720" t="s">
        <v>1801</v>
      </c>
      <c r="C1731" s="723" t="s">
        <v>704</v>
      </c>
      <c r="D1731" s="721"/>
      <c r="E1731" s="722"/>
      <c r="F1731" s="573"/>
      <c r="G1731" s="487"/>
      <c r="H1731" s="573"/>
      <c r="I1731" s="487"/>
      <c r="J1731" s="573"/>
      <c r="K1731" s="487"/>
      <c r="L1731" s="573"/>
      <c r="M1731" s="573"/>
      <c r="N1731" s="456">
        <f t="shared" si="217"/>
        <v>0</v>
      </c>
      <c r="O1731" s="487"/>
      <c r="P1731" s="487"/>
      <c r="Q1731" s="274">
        <f t="shared" si="212"/>
        <v>0</v>
      </c>
      <c r="R1731" s="574">
        <f t="shared" si="213"/>
        <v>0</v>
      </c>
      <c r="S1731" s="275">
        <f t="shared" si="214"/>
        <v>0</v>
      </c>
      <c r="T1731" s="575">
        <v>327500</v>
      </c>
      <c r="U1731" s="487">
        <v>262000</v>
      </c>
      <c r="V1731" s="576"/>
      <c r="W1731" s="573"/>
      <c r="X1731" s="574">
        <f t="shared" si="218"/>
        <v>0</v>
      </c>
      <c r="Y1731" s="487"/>
      <c r="Z1731" s="487"/>
      <c r="AA1731" s="276">
        <f t="shared" si="219"/>
        <v>0</v>
      </c>
      <c r="AB1731" s="573"/>
      <c r="AC1731" s="487"/>
      <c r="AD1731" s="573"/>
      <c r="AE1731" s="487"/>
      <c r="AF1731" s="577">
        <f t="shared" si="215"/>
        <v>327500</v>
      </c>
      <c r="AG1731" s="275">
        <f t="shared" si="216"/>
        <v>262000</v>
      </c>
    </row>
    <row r="1732" spans="1:33" s="578" customFormat="1" ht="12" customHeight="1">
      <c r="A1732" s="719" t="s">
        <v>1280</v>
      </c>
      <c r="B1732" s="720" t="s">
        <v>1801</v>
      </c>
      <c r="C1732" s="723" t="s">
        <v>1156</v>
      </c>
      <c r="D1732" s="721"/>
      <c r="E1732" s="722"/>
      <c r="F1732" s="573"/>
      <c r="G1732" s="487"/>
      <c r="H1732" s="573"/>
      <c r="I1732" s="487"/>
      <c r="J1732" s="573"/>
      <c r="K1732" s="487"/>
      <c r="L1732" s="573"/>
      <c r="M1732" s="573"/>
      <c r="N1732" s="456">
        <f t="shared" si="217"/>
        <v>0</v>
      </c>
      <c r="O1732" s="487"/>
      <c r="P1732" s="487"/>
      <c r="Q1732" s="274">
        <f t="shared" si="212"/>
        <v>0</v>
      </c>
      <c r="R1732" s="574">
        <f t="shared" si="213"/>
        <v>0</v>
      </c>
      <c r="S1732" s="275">
        <f t="shared" si="214"/>
        <v>0</v>
      </c>
      <c r="T1732" s="575">
        <v>39300</v>
      </c>
      <c r="U1732" s="487">
        <v>39300</v>
      </c>
      <c r="V1732" s="576"/>
      <c r="W1732" s="573"/>
      <c r="X1732" s="574">
        <f t="shared" si="218"/>
        <v>0</v>
      </c>
      <c r="Y1732" s="487"/>
      <c r="Z1732" s="487"/>
      <c r="AA1732" s="276">
        <f t="shared" si="219"/>
        <v>0</v>
      </c>
      <c r="AB1732" s="573"/>
      <c r="AC1732" s="487"/>
      <c r="AD1732" s="573"/>
      <c r="AE1732" s="487"/>
      <c r="AF1732" s="577">
        <f t="shared" si="215"/>
        <v>39300</v>
      </c>
      <c r="AG1732" s="275">
        <f t="shared" si="216"/>
        <v>39300</v>
      </c>
    </row>
    <row r="1733" spans="1:33" s="578" customFormat="1" ht="12" customHeight="1">
      <c r="A1733" s="719" t="s">
        <v>1280</v>
      </c>
      <c r="B1733" s="720" t="s">
        <v>1802</v>
      </c>
      <c r="C1733" s="723" t="s">
        <v>861</v>
      </c>
      <c r="D1733" s="721"/>
      <c r="E1733" s="722"/>
      <c r="F1733" s="573"/>
      <c r="G1733" s="487"/>
      <c r="H1733" s="573"/>
      <c r="I1733" s="487"/>
      <c r="J1733" s="573"/>
      <c r="K1733" s="487"/>
      <c r="L1733" s="573"/>
      <c r="M1733" s="573"/>
      <c r="N1733" s="456">
        <f t="shared" si="217"/>
        <v>0</v>
      </c>
      <c r="O1733" s="487"/>
      <c r="P1733" s="487"/>
      <c r="Q1733" s="274">
        <f t="shared" si="212"/>
        <v>0</v>
      </c>
      <c r="R1733" s="574">
        <f t="shared" si="213"/>
        <v>0</v>
      </c>
      <c r="S1733" s="275">
        <f t="shared" si="214"/>
        <v>0</v>
      </c>
      <c r="T1733" s="575"/>
      <c r="U1733" s="487"/>
      <c r="V1733" s="576"/>
      <c r="W1733" s="573"/>
      <c r="X1733" s="574">
        <f t="shared" si="218"/>
        <v>0</v>
      </c>
      <c r="Y1733" s="487"/>
      <c r="Z1733" s="487"/>
      <c r="AA1733" s="276">
        <f t="shared" si="219"/>
        <v>0</v>
      </c>
      <c r="AB1733" s="573"/>
      <c r="AC1733" s="487"/>
      <c r="AD1733" s="573"/>
      <c r="AE1733" s="487"/>
      <c r="AF1733" s="577">
        <f t="shared" si="215"/>
        <v>0</v>
      </c>
      <c r="AG1733" s="275">
        <f t="shared" si="216"/>
        <v>0</v>
      </c>
    </row>
    <row r="1734" spans="1:33" s="578" customFormat="1" ht="12" customHeight="1">
      <c r="A1734" s="719" t="s">
        <v>1280</v>
      </c>
      <c r="B1734" s="720" t="s">
        <v>1802</v>
      </c>
      <c r="C1734" s="723" t="s">
        <v>521</v>
      </c>
      <c r="D1734" s="721"/>
      <c r="E1734" s="722"/>
      <c r="F1734" s="573"/>
      <c r="G1734" s="487"/>
      <c r="H1734" s="573"/>
      <c r="I1734" s="487"/>
      <c r="J1734" s="573"/>
      <c r="K1734" s="487"/>
      <c r="L1734" s="573"/>
      <c r="M1734" s="573"/>
      <c r="N1734" s="456">
        <f t="shared" si="217"/>
        <v>0</v>
      </c>
      <c r="O1734" s="487"/>
      <c r="P1734" s="487"/>
      <c r="Q1734" s="274">
        <f t="shared" si="212"/>
        <v>0</v>
      </c>
      <c r="R1734" s="574">
        <f t="shared" si="213"/>
        <v>0</v>
      </c>
      <c r="S1734" s="275">
        <f t="shared" si="214"/>
        <v>0</v>
      </c>
      <c r="T1734" s="575">
        <v>26200</v>
      </c>
      <c r="U1734" s="487">
        <v>39300</v>
      </c>
      <c r="V1734" s="576"/>
      <c r="W1734" s="573"/>
      <c r="X1734" s="574">
        <f t="shared" si="218"/>
        <v>0</v>
      </c>
      <c r="Y1734" s="487"/>
      <c r="Z1734" s="487"/>
      <c r="AA1734" s="276">
        <f t="shared" si="219"/>
        <v>0</v>
      </c>
      <c r="AB1734" s="573"/>
      <c r="AC1734" s="487"/>
      <c r="AD1734" s="573"/>
      <c r="AE1734" s="487"/>
      <c r="AF1734" s="577">
        <f t="shared" si="215"/>
        <v>26200</v>
      </c>
      <c r="AG1734" s="275">
        <f t="shared" si="216"/>
        <v>39300</v>
      </c>
    </row>
    <row r="1735" spans="1:33" s="578" customFormat="1" ht="12" customHeight="1">
      <c r="A1735" s="719" t="s">
        <v>1280</v>
      </c>
      <c r="B1735" s="720" t="s">
        <v>1802</v>
      </c>
      <c r="C1735" s="723" t="s">
        <v>526</v>
      </c>
      <c r="D1735" s="721"/>
      <c r="E1735" s="722"/>
      <c r="F1735" s="573"/>
      <c r="G1735" s="487"/>
      <c r="H1735" s="573"/>
      <c r="I1735" s="487"/>
      <c r="J1735" s="573"/>
      <c r="K1735" s="487"/>
      <c r="L1735" s="573"/>
      <c r="M1735" s="573"/>
      <c r="N1735" s="456">
        <f t="shared" si="217"/>
        <v>0</v>
      </c>
      <c r="O1735" s="487"/>
      <c r="P1735" s="487"/>
      <c r="Q1735" s="274">
        <f t="shared" si="212"/>
        <v>0</v>
      </c>
      <c r="R1735" s="574">
        <f t="shared" si="213"/>
        <v>0</v>
      </c>
      <c r="S1735" s="275">
        <f t="shared" si="214"/>
        <v>0</v>
      </c>
      <c r="T1735" s="575">
        <v>52400</v>
      </c>
      <c r="U1735" s="487">
        <v>52400</v>
      </c>
      <c r="V1735" s="576"/>
      <c r="W1735" s="573"/>
      <c r="X1735" s="574">
        <f t="shared" si="218"/>
        <v>0</v>
      </c>
      <c r="Y1735" s="487"/>
      <c r="Z1735" s="487"/>
      <c r="AA1735" s="276">
        <f t="shared" si="219"/>
        <v>0</v>
      </c>
      <c r="AB1735" s="573"/>
      <c r="AC1735" s="487"/>
      <c r="AD1735" s="573"/>
      <c r="AE1735" s="487"/>
      <c r="AF1735" s="577">
        <f t="shared" si="215"/>
        <v>52400</v>
      </c>
      <c r="AG1735" s="275">
        <f t="shared" si="216"/>
        <v>52400</v>
      </c>
    </row>
    <row r="1736" spans="1:33" s="578" customFormat="1" ht="12" customHeight="1">
      <c r="A1736" s="719" t="s">
        <v>1280</v>
      </c>
      <c r="B1736" s="720" t="s">
        <v>1804</v>
      </c>
      <c r="C1736" s="514" t="s">
        <v>418</v>
      </c>
      <c r="D1736" s="721"/>
      <c r="E1736" s="722"/>
      <c r="F1736" s="573"/>
      <c r="G1736" s="487"/>
      <c r="H1736" s="573"/>
      <c r="I1736" s="487"/>
      <c r="J1736" s="573"/>
      <c r="K1736" s="487"/>
      <c r="L1736" s="573"/>
      <c r="M1736" s="573"/>
      <c r="N1736" s="456">
        <f t="shared" si="217"/>
        <v>0</v>
      </c>
      <c r="O1736" s="487"/>
      <c r="P1736" s="487"/>
      <c r="Q1736" s="274">
        <f t="shared" si="212"/>
        <v>0</v>
      </c>
      <c r="R1736" s="574">
        <f t="shared" si="213"/>
        <v>0</v>
      </c>
      <c r="S1736" s="275">
        <f t="shared" si="214"/>
        <v>0</v>
      </c>
      <c r="T1736" s="575"/>
      <c r="U1736" s="487"/>
      <c r="V1736" s="576"/>
      <c r="W1736" s="573"/>
      <c r="X1736" s="574">
        <f t="shared" si="218"/>
        <v>0</v>
      </c>
      <c r="Y1736" s="487"/>
      <c r="Z1736" s="487"/>
      <c r="AA1736" s="276">
        <f t="shared" si="219"/>
        <v>0</v>
      </c>
      <c r="AB1736" s="573"/>
      <c r="AC1736" s="487"/>
      <c r="AD1736" s="573"/>
      <c r="AE1736" s="487"/>
      <c r="AF1736" s="577">
        <f t="shared" si="215"/>
        <v>0</v>
      </c>
      <c r="AG1736" s="275">
        <f t="shared" si="216"/>
        <v>0</v>
      </c>
    </row>
    <row r="1737" spans="1:33" s="578" customFormat="1" ht="12" customHeight="1">
      <c r="A1737" s="719" t="s">
        <v>1280</v>
      </c>
      <c r="B1737" s="615" t="s">
        <v>1805</v>
      </c>
      <c r="C1737" s="482" t="s">
        <v>419</v>
      </c>
      <c r="D1737" s="724"/>
      <c r="E1737" s="725"/>
      <c r="F1737" s="573"/>
      <c r="G1737" s="487"/>
      <c r="H1737" s="573"/>
      <c r="I1737" s="487"/>
      <c r="J1737" s="573"/>
      <c r="K1737" s="487"/>
      <c r="L1737" s="573"/>
      <c r="M1737" s="573"/>
      <c r="N1737" s="456">
        <f t="shared" si="217"/>
        <v>0</v>
      </c>
      <c r="O1737" s="487"/>
      <c r="P1737" s="487"/>
      <c r="Q1737" s="274">
        <f t="shared" si="212"/>
        <v>0</v>
      </c>
      <c r="R1737" s="574">
        <f t="shared" si="213"/>
        <v>0</v>
      </c>
      <c r="S1737" s="275">
        <f t="shared" si="214"/>
        <v>0</v>
      </c>
      <c r="T1737" s="575"/>
      <c r="U1737" s="487"/>
      <c r="V1737" s="576"/>
      <c r="W1737" s="573"/>
      <c r="X1737" s="574">
        <f t="shared" si="218"/>
        <v>0</v>
      </c>
      <c r="Y1737" s="487"/>
      <c r="Z1737" s="487"/>
      <c r="AA1737" s="276">
        <f t="shared" si="219"/>
        <v>0</v>
      </c>
      <c r="AB1737" s="573"/>
      <c r="AC1737" s="487"/>
      <c r="AD1737" s="573"/>
      <c r="AE1737" s="487"/>
      <c r="AF1737" s="577">
        <f t="shared" si="215"/>
        <v>0</v>
      </c>
      <c r="AG1737" s="275">
        <f t="shared" si="216"/>
        <v>0</v>
      </c>
    </row>
    <row r="1738" spans="1:33" s="578" customFormat="1" ht="12" customHeight="1">
      <c r="A1738" s="719" t="s">
        <v>1280</v>
      </c>
      <c r="B1738" s="615" t="s">
        <v>1805</v>
      </c>
      <c r="C1738" s="516" t="s">
        <v>1157</v>
      </c>
      <c r="D1738" s="724"/>
      <c r="E1738" s="725"/>
      <c r="F1738" s="573"/>
      <c r="G1738" s="487"/>
      <c r="H1738" s="573"/>
      <c r="I1738" s="487"/>
      <c r="J1738" s="573"/>
      <c r="K1738" s="487"/>
      <c r="L1738" s="573"/>
      <c r="M1738" s="573"/>
      <c r="N1738" s="456">
        <f t="shared" si="217"/>
        <v>0</v>
      </c>
      <c r="O1738" s="487"/>
      <c r="P1738" s="487"/>
      <c r="Q1738" s="274">
        <f t="shared" ref="Q1738:Q1801" si="220">SUM(O1738:P1738)</f>
        <v>0</v>
      </c>
      <c r="R1738" s="574">
        <f t="shared" ref="R1738:R1801" si="221">SUM(F1738,H1738,J1738,L1738)</f>
        <v>0</v>
      </c>
      <c r="S1738" s="275">
        <f t="shared" ref="S1738:S1801" si="222">SUM(G1738,I1738,K1738,O1738)</f>
        <v>0</v>
      </c>
      <c r="T1738" s="575"/>
      <c r="U1738" s="487"/>
      <c r="V1738" s="576"/>
      <c r="W1738" s="573"/>
      <c r="X1738" s="574">
        <f t="shared" si="218"/>
        <v>0</v>
      </c>
      <c r="Y1738" s="487"/>
      <c r="Z1738" s="487"/>
      <c r="AA1738" s="276">
        <f t="shared" si="219"/>
        <v>0</v>
      </c>
      <c r="AB1738" s="573"/>
      <c r="AC1738" s="487"/>
      <c r="AD1738" s="573"/>
      <c r="AE1738" s="487"/>
      <c r="AF1738" s="577">
        <f t="shared" ref="AF1738:AF1801" si="223">SUM(R1738,T1738,V1738,AB1738,AD1738)</f>
        <v>0</v>
      </c>
      <c r="AG1738" s="275">
        <f t="shared" ref="AG1738:AG1801" si="224">SUM(S1738,U1738,Y1738,AC1738,AE1738)</f>
        <v>0</v>
      </c>
    </row>
    <row r="1739" spans="1:33" s="578" customFormat="1" ht="12" customHeight="1">
      <c r="A1739" s="719" t="s">
        <v>1280</v>
      </c>
      <c r="B1739" s="626" t="s">
        <v>1510</v>
      </c>
      <c r="C1739" s="627" t="s">
        <v>421</v>
      </c>
      <c r="D1739" s="617"/>
      <c r="E1739" s="618"/>
      <c r="F1739" s="573"/>
      <c r="G1739" s="487"/>
      <c r="H1739" s="573"/>
      <c r="I1739" s="487"/>
      <c r="J1739" s="573"/>
      <c r="K1739" s="487"/>
      <c r="L1739" s="573"/>
      <c r="M1739" s="573"/>
      <c r="N1739" s="456">
        <f t="shared" si="217"/>
        <v>0</v>
      </c>
      <c r="O1739" s="487"/>
      <c r="P1739" s="487"/>
      <c r="Q1739" s="274">
        <f t="shared" si="220"/>
        <v>0</v>
      </c>
      <c r="R1739" s="574">
        <f t="shared" si="221"/>
        <v>0</v>
      </c>
      <c r="S1739" s="275">
        <f t="shared" si="222"/>
        <v>0</v>
      </c>
      <c r="T1739" s="575"/>
      <c r="U1739" s="487"/>
      <c r="V1739" s="576"/>
      <c r="W1739" s="573"/>
      <c r="X1739" s="574">
        <f t="shared" si="218"/>
        <v>0</v>
      </c>
      <c r="Y1739" s="487"/>
      <c r="Z1739" s="487"/>
      <c r="AA1739" s="276">
        <f t="shared" si="219"/>
        <v>0</v>
      </c>
      <c r="AB1739" s="573"/>
      <c r="AC1739" s="487"/>
      <c r="AD1739" s="573"/>
      <c r="AE1739" s="487"/>
      <c r="AF1739" s="577">
        <f t="shared" si="223"/>
        <v>0</v>
      </c>
      <c r="AG1739" s="275">
        <f t="shared" si="224"/>
        <v>0</v>
      </c>
    </row>
    <row r="1740" spans="1:33" s="578" customFormat="1" ht="12" customHeight="1">
      <c r="A1740" s="719" t="s">
        <v>1280</v>
      </c>
      <c r="B1740" s="726" t="s">
        <v>1511</v>
      </c>
      <c r="C1740" s="723" t="s">
        <v>1883</v>
      </c>
      <c r="D1740" s="724"/>
      <c r="E1740" s="725"/>
      <c r="F1740" s="573"/>
      <c r="G1740" s="487"/>
      <c r="H1740" s="573"/>
      <c r="I1740" s="487"/>
      <c r="J1740" s="573"/>
      <c r="K1740" s="487"/>
      <c r="L1740" s="573"/>
      <c r="M1740" s="573"/>
      <c r="N1740" s="456">
        <f t="shared" si="217"/>
        <v>0</v>
      </c>
      <c r="O1740" s="487"/>
      <c r="P1740" s="487"/>
      <c r="Q1740" s="274">
        <f t="shared" si="220"/>
        <v>0</v>
      </c>
      <c r="R1740" s="574">
        <f t="shared" si="221"/>
        <v>0</v>
      </c>
      <c r="S1740" s="275">
        <f t="shared" si="222"/>
        <v>0</v>
      </c>
      <c r="T1740" s="575">
        <v>1500668</v>
      </c>
      <c r="U1740" s="487">
        <v>1284076</v>
      </c>
      <c r="V1740" s="576"/>
      <c r="W1740" s="573"/>
      <c r="X1740" s="574">
        <f t="shared" si="218"/>
        <v>0</v>
      </c>
      <c r="Y1740" s="487"/>
      <c r="Z1740" s="487"/>
      <c r="AA1740" s="276">
        <f t="shared" si="219"/>
        <v>0</v>
      </c>
      <c r="AB1740" s="573"/>
      <c r="AC1740" s="487"/>
      <c r="AD1740" s="573"/>
      <c r="AE1740" s="487"/>
      <c r="AF1740" s="577">
        <f t="shared" si="223"/>
        <v>1500668</v>
      </c>
      <c r="AG1740" s="275">
        <f t="shared" si="224"/>
        <v>1284076</v>
      </c>
    </row>
    <row r="1741" spans="1:33" s="578" customFormat="1" ht="12" customHeight="1">
      <c r="A1741" s="719" t="s">
        <v>1280</v>
      </c>
      <c r="B1741" s="726" t="s">
        <v>1763</v>
      </c>
      <c r="C1741" s="723" t="s">
        <v>1761</v>
      </c>
      <c r="D1741" s="724"/>
      <c r="E1741" s="725"/>
      <c r="F1741" s="573"/>
      <c r="G1741" s="487"/>
      <c r="H1741" s="573"/>
      <c r="I1741" s="487"/>
      <c r="J1741" s="573"/>
      <c r="K1741" s="487"/>
      <c r="L1741" s="573"/>
      <c r="M1741" s="573"/>
      <c r="N1741" s="456">
        <f t="shared" si="217"/>
        <v>0</v>
      </c>
      <c r="O1741" s="487"/>
      <c r="P1741" s="487"/>
      <c r="Q1741" s="274">
        <f t="shared" si="220"/>
        <v>0</v>
      </c>
      <c r="R1741" s="574">
        <f t="shared" si="221"/>
        <v>0</v>
      </c>
      <c r="S1741" s="275">
        <f t="shared" si="222"/>
        <v>0</v>
      </c>
      <c r="T1741" s="575"/>
      <c r="U1741" s="487"/>
      <c r="V1741" s="576"/>
      <c r="W1741" s="573"/>
      <c r="X1741" s="574">
        <f t="shared" si="218"/>
        <v>0</v>
      </c>
      <c r="Y1741" s="487"/>
      <c r="Z1741" s="487"/>
      <c r="AA1741" s="276">
        <f t="shared" si="219"/>
        <v>0</v>
      </c>
      <c r="AB1741" s="573"/>
      <c r="AC1741" s="487"/>
      <c r="AD1741" s="573"/>
      <c r="AE1741" s="487"/>
      <c r="AF1741" s="577">
        <f t="shared" si="223"/>
        <v>0</v>
      </c>
      <c r="AG1741" s="275">
        <f t="shared" si="224"/>
        <v>0</v>
      </c>
    </row>
    <row r="1742" spans="1:33" s="578" customFormat="1" ht="12" customHeight="1">
      <c r="A1742" s="719" t="s">
        <v>1280</v>
      </c>
      <c r="B1742" s="626" t="s">
        <v>1413</v>
      </c>
      <c r="C1742" s="627" t="s">
        <v>422</v>
      </c>
      <c r="D1742" s="724"/>
      <c r="E1742" s="725"/>
      <c r="F1742" s="573"/>
      <c r="G1742" s="487"/>
      <c r="H1742" s="573"/>
      <c r="I1742" s="487"/>
      <c r="J1742" s="573"/>
      <c r="K1742" s="487"/>
      <c r="L1742" s="573"/>
      <c r="M1742" s="573"/>
      <c r="N1742" s="456">
        <f t="shared" si="217"/>
        <v>0</v>
      </c>
      <c r="O1742" s="487"/>
      <c r="P1742" s="487"/>
      <c r="Q1742" s="274">
        <f t="shared" si="220"/>
        <v>0</v>
      </c>
      <c r="R1742" s="574">
        <f t="shared" si="221"/>
        <v>0</v>
      </c>
      <c r="S1742" s="275">
        <f t="shared" si="222"/>
        <v>0</v>
      </c>
      <c r="T1742" s="575"/>
      <c r="U1742" s="487"/>
      <c r="V1742" s="576"/>
      <c r="W1742" s="573"/>
      <c r="X1742" s="574">
        <f t="shared" si="218"/>
        <v>0</v>
      </c>
      <c r="Y1742" s="487"/>
      <c r="Z1742" s="487"/>
      <c r="AA1742" s="276">
        <f t="shared" si="219"/>
        <v>0</v>
      </c>
      <c r="AB1742" s="573"/>
      <c r="AC1742" s="487"/>
      <c r="AD1742" s="573"/>
      <c r="AE1742" s="487"/>
      <c r="AF1742" s="577">
        <f t="shared" si="223"/>
        <v>0</v>
      </c>
      <c r="AG1742" s="275">
        <f t="shared" si="224"/>
        <v>0</v>
      </c>
    </row>
    <row r="1743" spans="1:33" s="578" customFormat="1" ht="12" customHeight="1">
      <c r="A1743" s="719" t="s">
        <v>1280</v>
      </c>
      <c r="B1743" s="626" t="s">
        <v>1582</v>
      </c>
      <c r="C1743" s="723" t="s">
        <v>1883</v>
      </c>
      <c r="D1743" s="724"/>
      <c r="E1743" s="725"/>
      <c r="F1743" s="573"/>
      <c r="G1743" s="487"/>
      <c r="H1743" s="573"/>
      <c r="I1743" s="487"/>
      <c r="J1743" s="573"/>
      <c r="K1743" s="487"/>
      <c r="L1743" s="573"/>
      <c r="M1743" s="573"/>
      <c r="N1743" s="456">
        <f t="shared" si="217"/>
        <v>0</v>
      </c>
      <c r="O1743" s="487"/>
      <c r="P1743" s="487"/>
      <c r="Q1743" s="274">
        <f t="shared" si="220"/>
        <v>0</v>
      </c>
      <c r="R1743" s="574">
        <f t="shared" si="221"/>
        <v>0</v>
      </c>
      <c r="S1743" s="275">
        <f t="shared" si="222"/>
        <v>0</v>
      </c>
      <c r="T1743" s="575">
        <v>243815</v>
      </c>
      <c r="U1743" s="487">
        <v>197274</v>
      </c>
      <c r="V1743" s="576"/>
      <c r="W1743" s="573"/>
      <c r="X1743" s="574">
        <f t="shared" si="218"/>
        <v>0</v>
      </c>
      <c r="Y1743" s="487"/>
      <c r="Z1743" s="487"/>
      <c r="AA1743" s="276">
        <f t="shared" si="219"/>
        <v>0</v>
      </c>
      <c r="AB1743" s="573"/>
      <c r="AC1743" s="487"/>
      <c r="AD1743" s="573"/>
      <c r="AE1743" s="487"/>
      <c r="AF1743" s="577">
        <f t="shared" si="223"/>
        <v>243815</v>
      </c>
      <c r="AG1743" s="275">
        <f t="shared" si="224"/>
        <v>197274</v>
      </c>
    </row>
    <row r="1744" spans="1:33" s="578" customFormat="1" ht="12" customHeight="1">
      <c r="A1744" s="719" t="s">
        <v>1280</v>
      </c>
      <c r="B1744" s="726" t="s">
        <v>1763</v>
      </c>
      <c r="C1744" s="723" t="s">
        <v>1761</v>
      </c>
      <c r="D1744" s="724"/>
      <c r="E1744" s="725"/>
      <c r="F1744" s="573"/>
      <c r="G1744" s="487"/>
      <c r="H1744" s="573"/>
      <c r="I1744" s="487"/>
      <c r="J1744" s="573"/>
      <c r="K1744" s="487"/>
      <c r="L1744" s="573"/>
      <c r="M1744" s="573"/>
      <c r="N1744" s="456">
        <f t="shared" si="217"/>
        <v>0</v>
      </c>
      <c r="O1744" s="487"/>
      <c r="P1744" s="487"/>
      <c r="Q1744" s="274">
        <f t="shared" si="220"/>
        <v>0</v>
      </c>
      <c r="R1744" s="574">
        <f t="shared" si="221"/>
        <v>0</v>
      </c>
      <c r="S1744" s="275">
        <f t="shared" si="222"/>
        <v>0</v>
      </c>
      <c r="T1744" s="575"/>
      <c r="U1744" s="487"/>
      <c r="V1744" s="576"/>
      <c r="W1744" s="573"/>
      <c r="X1744" s="574">
        <f t="shared" si="218"/>
        <v>0</v>
      </c>
      <c r="Y1744" s="487"/>
      <c r="Z1744" s="487"/>
      <c r="AA1744" s="276">
        <f t="shared" si="219"/>
        <v>0</v>
      </c>
      <c r="AB1744" s="573"/>
      <c r="AC1744" s="487"/>
      <c r="AD1744" s="573"/>
      <c r="AE1744" s="487"/>
      <c r="AF1744" s="577">
        <f t="shared" si="223"/>
        <v>0</v>
      </c>
      <c r="AG1744" s="275">
        <f t="shared" si="224"/>
        <v>0</v>
      </c>
    </row>
    <row r="1745" spans="1:33" s="578" customFormat="1" ht="12" customHeight="1">
      <c r="A1745" s="719" t="s">
        <v>1280</v>
      </c>
      <c r="B1745" s="726" t="s">
        <v>1805</v>
      </c>
      <c r="C1745" s="516" t="s">
        <v>1158</v>
      </c>
      <c r="D1745" s="724"/>
      <c r="E1745" s="725"/>
      <c r="F1745" s="573"/>
      <c r="G1745" s="487"/>
      <c r="H1745" s="573"/>
      <c r="I1745" s="487"/>
      <c r="J1745" s="573"/>
      <c r="K1745" s="487"/>
      <c r="L1745" s="573"/>
      <c r="M1745" s="573"/>
      <c r="N1745" s="456">
        <f t="shared" si="217"/>
        <v>0</v>
      </c>
      <c r="O1745" s="487"/>
      <c r="P1745" s="487"/>
      <c r="Q1745" s="274">
        <f t="shared" si="220"/>
        <v>0</v>
      </c>
      <c r="R1745" s="574">
        <f t="shared" si="221"/>
        <v>0</v>
      </c>
      <c r="S1745" s="275">
        <f t="shared" si="222"/>
        <v>0</v>
      </c>
      <c r="T1745" s="575"/>
      <c r="U1745" s="487"/>
      <c r="V1745" s="576"/>
      <c r="W1745" s="573"/>
      <c r="X1745" s="574">
        <f t="shared" si="218"/>
        <v>0</v>
      </c>
      <c r="Y1745" s="487"/>
      <c r="Z1745" s="487"/>
      <c r="AA1745" s="276">
        <f t="shared" si="219"/>
        <v>0</v>
      </c>
      <c r="AB1745" s="573"/>
      <c r="AC1745" s="487"/>
      <c r="AD1745" s="573"/>
      <c r="AE1745" s="487"/>
      <c r="AF1745" s="577">
        <f t="shared" si="223"/>
        <v>0</v>
      </c>
      <c r="AG1745" s="275">
        <f t="shared" si="224"/>
        <v>0</v>
      </c>
    </row>
    <row r="1746" spans="1:33" s="578" customFormat="1" ht="12" customHeight="1">
      <c r="A1746" s="719" t="s">
        <v>1280</v>
      </c>
      <c r="B1746" s="626" t="s">
        <v>1510</v>
      </c>
      <c r="C1746" s="627" t="s">
        <v>421</v>
      </c>
      <c r="D1746" s="724"/>
      <c r="E1746" s="725"/>
      <c r="F1746" s="573"/>
      <c r="G1746" s="487"/>
      <c r="H1746" s="573"/>
      <c r="I1746" s="487"/>
      <c r="J1746" s="573"/>
      <c r="K1746" s="487"/>
      <c r="L1746" s="573"/>
      <c r="M1746" s="573"/>
      <c r="N1746" s="456">
        <f t="shared" si="217"/>
        <v>0</v>
      </c>
      <c r="O1746" s="487"/>
      <c r="P1746" s="487"/>
      <c r="Q1746" s="274">
        <f t="shared" si="220"/>
        <v>0</v>
      </c>
      <c r="R1746" s="574">
        <f t="shared" si="221"/>
        <v>0</v>
      </c>
      <c r="S1746" s="275">
        <f t="shared" si="222"/>
        <v>0</v>
      </c>
      <c r="T1746" s="575"/>
      <c r="U1746" s="487"/>
      <c r="V1746" s="576"/>
      <c r="W1746" s="573"/>
      <c r="X1746" s="574">
        <f t="shared" si="218"/>
        <v>0</v>
      </c>
      <c r="Y1746" s="487"/>
      <c r="Z1746" s="487"/>
      <c r="AA1746" s="276">
        <f t="shared" si="219"/>
        <v>0</v>
      </c>
      <c r="AB1746" s="573"/>
      <c r="AC1746" s="487"/>
      <c r="AD1746" s="573"/>
      <c r="AE1746" s="487"/>
      <c r="AF1746" s="577">
        <f t="shared" si="223"/>
        <v>0</v>
      </c>
      <c r="AG1746" s="275">
        <f t="shared" si="224"/>
        <v>0</v>
      </c>
    </row>
    <row r="1747" spans="1:33" s="578" customFormat="1" ht="12" customHeight="1">
      <c r="A1747" s="719" t="s">
        <v>1280</v>
      </c>
      <c r="B1747" s="726" t="s">
        <v>1511</v>
      </c>
      <c r="C1747" s="723" t="s">
        <v>1883</v>
      </c>
      <c r="D1747" s="724"/>
      <c r="E1747" s="725"/>
      <c r="F1747" s="573"/>
      <c r="G1747" s="487"/>
      <c r="H1747" s="573"/>
      <c r="I1747" s="487"/>
      <c r="J1747" s="573"/>
      <c r="K1747" s="487"/>
      <c r="L1747" s="573"/>
      <c r="M1747" s="573"/>
      <c r="N1747" s="456">
        <f t="shared" ref="N1747:N1810" si="225">SUM(L1747:M1747)</f>
        <v>0</v>
      </c>
      <c r="O1747" s="487"/>
      <c r="P1747" s="487"/>
      <c r="Q1747" s="274">
        <f t="shared" si="220"/>
        <v>0</v>
      </c>
      <c r="R1747" s="574">
        <f t="shared" si="221"/>
        <v>0</v>
      </c>
      <c r="S1747" s="275">
        <f t="shared" si="222"/>
        <v>0</v>
      </c>
      <c r="T1747" s="575">
        <v>504731</v>
      </c>
      <c r="U1747" s="487">
        <v>495102</v>
      </c>
      <c r="V1747" s="576"/>
      <c r="W1747" s="573"/>
      <c r="X1747" s="574">
        <f t="shared" ref="X1747:X1810" si="226">SUM(V1747:W1747)</f>
        <v>0</v>
      </c>
      <c r="Y1747" s="487"/>
      <c r="Z1747" s="487"/>
      <c r="AA1747" s="276">
        <f t="shared" ref="AA1747:AA1810" si="227">SUM(Y1747:Z1747)</f>
        <v>0</v>
      </c>
      <c r="AB1747" s="573"/>
      <c r="AC1747" s="487"/>
      <c r="AD1747" s="573"/>
      <c r="AE1747" s="487"/>
      <c r="AF1747" s="577">
        <f t="shared" si="223"/>
        <v>504731</v>
      </c>
      <c r="AG1747" s="275">
        <f t="shared" si="224"/>
        <v>495102</v>
      </c>
    </row>
    <row r="1748" spans="1:33" s="578" customFormat="1" ht="12" customHeight="1">
      <c r="A1748" s="719" t="s">
        <v>1280</v>
      </c>
      <c r="B1748" s="726" t="s">
        <v>1763</v>
      </c>
      <c r="C1748" s="723" t="s">
        <v>1761</v>
      </c>
      <c r="D1748" s="724"/>
      <c r="E1748" s="725"/>
      <c r="F1748" s="573"/>
      <c r="G1748" s="487"/>
      <c r="H1748" s="573"/>
      <c r="I1748" s="487"/>
      <c r="J1748" s="573"/>
      <c r="K1748" s="487"/>
      <c r="L1748" s="573"/>
      <c r="M1748" s="573"/>
      <c r="N1748" s="456">
        <f t="shared" si="225"/>
        <v>0</v>
      </c>
      <c r="O1748" s="487"/>
      <c r="P1748" s="487"/>
      <c r="Q1748" s="274">
        <f t="shared" si="220"/>
        <v>0</v>
      </c>
      <c r="R1748" s="574">
        <f t="shared" si="221"/>
        <v>0</v>
      </c>
      <c r="S1748" s="275">
        <f t="shared" si="222"/>
        <v>0</v>
      </c>
      <c r="T1748" s="575"/>
      <c r="U1748" s="487"/>
      <c r="V1748" s="576"/>
      <c r="W1748" s="573"/>
      <c r="X1748" s="574">
        <f t="shared" si="226"/>
        <v>0</v>
      </c>
      <c r="Y1748" s="487"/>
      <c r="Z1748" s="487"/>
      <c r="AA1748" s="276">
        <f t="shared" si="227"/>
        <v>0</v>
      </c>
      <c r="AB1748" s="573"/>
      <c r="AC1748" s="487"/>
      <c r="AD1748" s="573"/>
      <c r="AE1748" s="487"/>
      <c r="AF1748" s="577">
        <f t="shared" si="223"/>
        <v>0</v>
      </c>
      <c r="AG1748" s="275">
        <f t="shared" si="224"/>
        <v>0</v>
      </c>
    </row>
    <row r="1749" spans="1:33" s="578" customFormat="1" ht="12" customHeight="1">
      <c r="A1749" s="719" t="s">
        <v>1280</v>
      </c>
      <c r="B1749" s="626" t="s">
        <v>1413</v>
      </c>
      <c r="C1749" s="627" t="s">
        <v>422</v>
      </c>
      <c r="D1749" s="724"/>
      <c r="E1749" s="725"/>
      <c r="F1749" s="573"/>
      <c r="G1749" s="487"/>
      <c r="H1749" s="573"/>
      <c r="I1749" s="487"/>
      <c r="J1749" s="573"/>
      <c r="K1749" s="487"/>
      <c r="L1749" s="573"/>
      <c r="M1749" s="573"/>
      <c r="N1749" s="456">
        <f t="shared" si="225"/>
        <v>0</v>
      </c>
      <c r="O1749" s="487"/>
      <c r="P1749" s="487"/>
      <c r="Q1749" s="274">
        <f t="shared" si="220"/>
        <v>0</v>
      </c>
      <c r="R1749" s="574">
        <f t="shared" si="221"/>
        <v>0</v>
      </c>
      <c r="S1749" s="275">
        <f t="shared" si="222"/>
        <v>0</v>
      </c>
      <c r="T1749" s="575"/>
      <c r="U1749" s="487"/>
      <c r="V1749" s="576"/>
      <c r="W1749" s="573"/>
      <c r="X1749" s="574">
        <f t="shared" si="226"/>
        <v>0</v>
      </c>
      <c r="Y1749" s="487"/>
      <c r="Z1749" s="487"/>
      <c r="AA1749" s="276">
        <f t="shared" si="227"/>
        <v>0</v>
      </c>
      <c r="AB1749" s="573"/>
      <c r="AC1749" s="487"/>
      <c r="AD1749" s="573"/>
      <c r="AE1749" s="487"/>
      <c r="AF1749" s="577">
        <f t="shared" si="223"/>
        <v>0</v>
      </c>
      <c r="AG1749" s="275">
        <f t="shared" si="224"/>
        <v>0</v>
      </c>
    </row>
    <row r="1750" spans="1:33" s="578" customFormat="1" ht="12" customHeight="1">
      <c r="A1750" s="719" t="s">
        <v>1280</v>
      </c>
      <c r="B1750" s="626" t="s">
        <v>1582</v>
      </c>
      <c r="C1750" s="723" t="s">
        <v>1883</v>
      </c>
      <c r="D1750" s="724"/>
      <c r="E1750" s="725"/>
      <c r="F1750" s="573"/>
      <c r="G1750" s="487"/>
      <c r="H1750" s="573"/>
      <c r="I1750" s="487"/>
      <c r="J1750" s="573"/>
      <c r="K1750" s="487"/>
      <c r="L1750" s="573"/>
      <c r="M1750" s="573"/>
      <c r="N1750" s="456">
        <f t="shared" si="225"/>
        <v>0</v>
      </c>
      <c r="O1750" s="487"/>
      <c r="P1750" s="487"/>
      <c r="Q1750" s="274">
        <f t="shared" si="220"/>
        <v>0</v>
      </c>
      <c r="R1750" s="574">
        <f t="shared" si="221"/>
        <v>0</v>
      </c>
      <c r="S1750" s="275">
        <f t="shared" si="222"/>
        <v>0</v>
      </c>
      <c r="T1750" s="575">
        <v>139554</v>
      </c>
      <c r="U1750" s="487">
        <v>149183</v>
      </c>
      <c r="V1750" s="576"/>
      <c r="W1750" s="573"/>
      <c r="X1750" s="574">
        <f t="shared" si="226"/>
        <v>0</v>
      </c>
      <c r="Y1750" s="487"/>
      <c r="Z1750" s="487"/>
      <c r="AA1750" s="276">
        <f t="shared" si="227"/>
        <v>0</v>
      </c>
      <c r="AB1750" s="573"/>
      <c r="AC1750" s="487"/>
      <c r="AD1750" s="573"/>
      <c r="AE1750" s="487"/>
      <c r="AF1750" s="577">
        <f t="shared" si="223"/>
        <v>139554</v>
      </c>
      <c r="AG1750" s="275">
        <f t="shared" si="224"/>
        <v>149183</v>
      </c>
    </row>
    <row r="1751" spans="1:33" s="578" customFormat="1" ht="12" customHeight="1">
      <c r="A1751" s="719" t="s">
        <v>1280</v>
      </c>
      <c r="B1751" s="726" t="s">
        <v>1763</v>
      </c>
      <c r="C1751" s="723" t="s">
        <v>1761</v>
      </c>
      <c r="D1751" s="724"/>
      <c r="E1751" s="725"/>
      <c r="F1751" s="573"/>
      <c r="G1751" s="487"/>
      <c r="H1751" s="573"/>
      <c r="I1751" s="487"/>
      <c r="J1751" s="573"/>
      <c r="K1751" s="487"/>
      <c r="L1751" s="573"/>
      <c r="M1751" s="573"/>
      <c r="N1751" s="456">
        <f t="shared" si="225"/>
        <v>0</v>
      </c>
      <c r="O1751" s="487"/>
      <c r="P1751" s="487"/>
      <c r="Q1751" s="274">
        <f t="shared" si="220"/>
        <v>0</v>
      </c>
      <c r="R1751" s="574">
        <f t="shared" si="221"/>
        <v>0</v>
      </c>
      <c r="S1751" s="275">
        <f t="shared" si="222"/>
        <v>0</v>
      </c>
      <c r="T1751" s="575"/>
      <c r="U1751" s="487"/>
      <c r="V1751" s="576"/>
      <c r="W1751" s="573"/>
      <c r="X1751" s="574">
        <f t="shared" si="226"/>
        <v>0</v>
      </c>
      <c r="Y1751" s="487"/>
      <c r="Z1751" s="487"/>
      <c r="AA1751" s="276">
        <f t="shared" si="227"/>
        <v>0</v>
      </c>
      <c r="AB1751" s="573"/>
      <c r="AC1751" s="487"/>
      <c r="AD1751" s="573"/>
      <c r="AE1751" s="487"/>
      <c r="AF1751" s="577">
        <f t="shared" si="223"/>
        <v>0</v>
      </c>
      <c r="AG1751" s="275">
        <f t="shared" si="224"/>
        <v>0</v>
      </c>
    </row>
    <row r="1752" spans="1:33" s="578" customFormat="1" ht="12" customHeight="1">
      <c r="A1752" s="719" t="s">
        <v>1280</v>
      </c>
      <c r="B1752" s="726" t="s">
        <v>1805</v>
      </c>
      <c r="C1752" s="516" t="s">
        <v>1159</v>
      </c>
      <c r="D1752" s="724"/>
      <c r="E1752" s="725"/>
      <c r="F1752" s="573"/>
      <c r="G1752" s="487"/>
      <c r="H1752" s="573"/>
      <c r="I1752" s="487"/>
      <c r="J1752" s="573"/>
      <c r="K1752" s="487"/>
      <c r="L1752" s="573"/>
      <c r="M1752" s="573"/>
      <c r="N1752" s="456">
        <f t="shared" si="225"/>
        <v>0</v>
      </c>
      <c r="O1752" s="487"/>
      <c r="P1752" s="487"/>
      <c r="Q1752" s="274">
        <f t="shared" si="220"/>
        <v>0</v>
      </c>
      <c r="R1752" s="574">
        <f t="shared" si="221"/>
        <v>0</v>
      </c>
      <c r="S1752" s="275">
        <f t="shared" si="222"/>
        <v>0</v>
      </c>
      <c r="T1752" s="575"/>
      <c r="U1752" s="487"/>
      <c r="V1752" s="576"/>
      <c r="W1752" s="573"/>
      <c r="X1752" s="574">
        <f t="shared" si="226"/>
        <v>0</v>
      </c>
      <c r="Y1752" s="487"/>
      <c r="Z1752" s="487"/>
      <c r="AA1752" s="276">
        <f t="shared" si="227"/>
        <v>0</v>
      </c>
      <c r="AB1752" s="573"/>
      <c r="AC1752" s="487"/>
      <c r="AD1752" s="573"/>
      <c r="AE1752" s="487"/>
      <c r="AF1752" s="577">
        <f t="shared" si="223"/>
        <v>0</v>
      </c>
      <c r="AG1752" s="275">
        <f t="shared" si="224"/>
        <v>0</v>
      </c>
    </row>
    <row r="1753" spans="1:33" s="578" customFormat="1" ht="12" customHeight="1">
      <c r="A1753" s="719" t="s">
        <v>1280</v>
      </c>
      <c r="B1753" s="626" t="s">
        <v>1510</v>
      </c>
      <c r="C1753" s="627" t="s">
        <v>421</v>
      </c>
      <c r="D1753" s="724"/>
      <c r="E1753" s="725"/>
      <c r="F1753" s="573"/>
      <c r="G1753" s="487"/>
      <c r="H1753" s="573"/>
      <c r="I1753" s="487"/>
      <c r="J1753" s="573"/>
      <c r="K1753" s="487"/>
      <c r="L1753" s="573"/>
      <c r="M1753" s="573"/>
      <c r="N1753" s="456">
        <f t="shared" si="225"/>
        <v>0</v>
      </c>
      <c r="O1753" s="487"/>
      <c r="P1753" s="487"/>
      <c r="Q1753" s="274">
        <f t="shared" si="220"/>
        <v>0</v>
      </c>
      <c r="R1753" s="574">
        <f t="shared" si="221"/>
        <v>0</v>
      </c>
      <c r="S1753" s="275">
        <f t="shared" si="222"/>
        <v>0</v>
      </c>
      <c r="T1753" s="575"/>
      <c r="U1753" s="487"/>
      <c r="V1753" s="576"/>
      <c r="W1753" s="573"/>
      <c r="X1753" s="574">
        <f t="shared" si="226"/>
        <v>0</v>
      </c>
      <c r="Y1753" s="487"/>
      <c r="Z1753" s="487"/>
      <c r="AA1753" s="276">
        <f t="shared" si="227"/>
        <v>0</v>
      </c>
      <c r="AB1753" s="573"/>
      <c r="AC1753" s="487"/>
      <c r="AD1753" s="573"/>
      <c r="AE1753" s="487"/>
      <c r="AF1753" s="577">
        <f t="shared" si="223"/>
        <v>0</v>
      </c>
      <c r="AG1753" s="275">
        <f t="shared" si="224"/>
        <v>0</v>
      </c>
    </row>
    <row r="1754" spans="1:33" s="578" customFormat="1" ht="12" customHeight="1">
      <c r="A1754" s="719" t="s">
        <v>1280</v>
      </c>
      <c r="B1754" s="726" t="s">
        <v>1511</v>
      </c>
      <c r="C1754" s="723" t="s">
        <v>1761</v>
      </c>
      <c r="D1754" s="724"/>
      <c r="E1754" s="725"/>
      <c r="F1754" s="573"/>
      <c r="G1754" s="487"/>
      <c r="H1754" s="573"/>
      <c r="I1754" s="487"/>
      <c r="J1754" s="573"/>
      <c r="K1754" s="487"/>
      <c r="L1754" s="573"/>
      <c r="M1754" s="573"/>
      <c r="N1754" s="456">
        <f t="shared" si="225"/>
        <v>0</v>
      </c>
      <c r="O1754" s="487"/>
      <c r="P1754" s="487"/>
      <c r="Q1754" s="274">
        <f t="shared" si="220"/>
        <v>0</v>
      </c>
      <c r="R1754" s="574">
        <f t="shared" si="221"/>
        <v>0</v>
      </c>
      <c r="S1754" s="275">
        <f t="shared" si="222"/>
        <v>0</v>
      </c>
      <c r="T1754" s="575">
        <v>2334634</v>
      </c>
      <c r="U1754" s="487">
        <v>2406050</v>
      </c>
      <c r="V1754" s="576"/>
      <c r="W1754" s="573"/>
      <c r="X1754" s="574">
        <f t="shared" si="226"/>
        <v>0</v>
      </c>
      <c r="Y1754" s="487"/>
      <c r="Z1754" s="487"/>
      <c r="AA1754" s="276">
        <f t="shared" si="227"/>
        <v>0</v>
      </c>
      <c r="AB1754" s="573"/>
      <c r="AC1754" s="487"/>
      <c r="AD1754" s="573"/>
      <c r="AE1754" s="487"/>
      <c r="AF1754" s="577">
        <f t="shared" si="223"/>
        <v>2334634</v>
      </c>
      <c r="AG1754" s="275">
        <f t="shared" si="224"/>
        <v>2406050</v>
      </c>
    </row>
    <row r="1755" spans="1:33" s="578" customFormat="1" ht="12" customHeight="1">
      <c r="A1755" s="719" t="s">
        <v>1280</v>
      </c>
      <c r="B1755" s="726" t="s">
        <v>1763</v>
      </c>
      <c r="C1755" s="723" t="s">
        <v>1761</v>
      </c>
      <c r="D1755" s="724"/>
      <c r="E1755" s="725"/>
      <c r="F1755" s="573"/>
      <c r="G1755" s="487"/>
      <c r="H1755" s="573"/>
      <c r="I1755" s="487"/>
      <c r="J1755" s="573"/>
      <c r="K1755" s="487"/>
      <c r="L1755" s="573"/>
      <c r="M1755" s="573"/>
      <c r="N1755" s="456">
        <f t="shared" si="225"/>
        <v>0</v>
      </c>
      <c r="O1755" s="487"/>
      <c r="P1755" s="487"/>
      <c r="Q1755" s="274">
        <f t="shared" si="220"/>
        <v>0</v>
      </c>
      <c r="R1755" s="574">
        <f t="shared" si="221"/>
        <v>0</v>
      </c>
      <c r="S1755" s="275">
        <f t="shared" si="222"/>
        <v>0</v>
      </c>
      <c r="T1755" s="575"/>
      <c r="U1755" s="487"/>
      <c r="V1755" s="576"/>
      <c r="W1755" s="573"/>
      <c r="X1755" s="574">
        <f t="shared" si="226"/>
        <v>0</v>
      </c>
      <c r="Y1755" s="487"/>
      <c r="Z1755" s="487"/>
      <c r="AA1755" s="276">
        <f t="shared" si="227"/>
        <v>0</v>
      </c>
      <c r="AB1755" s="573"/>
      <c r="AC1755" s="487"/>
      <c r="AD1755" s="573"/>
      <c r="AE1755" s="487"/>
      <c r="AF1755" s="577">
        <f t="shared" si="223"/>
        <v>0</v>
      </c>
      <c r="AG1755" s="275">
        <f t="shared" si="224"/>
        <v>0</v>
      </c>
    </row>
    <row r="1756" spans="1:33" s="578" customFormat="1" ht="12" customHeight="1">
      <c r="A1756" s="719" t="s">
        <v>1280</v>
      </c>
      <c r="B1756" s="726" t="s">
        <v>1805</v>
      </c>
      <c r="C1756" s="516" t="s">
        <v>1160</v>
      </c>
      <c r="D1756" s="724"/>
      <c r="E1756" s="725"/>
      <c r="F1756" s="573"/>
      <c r="G1756" s="487"/>
      <c r="H1756" s="573"/>
      <c r="I1756" s="487"/>
      <c r="J1756" s="573"/>
      <c r="K1756" s="487"/>
      <c r="L1756" s="573"/>
      <c r="M1756" s="573"/>
      <c r="N1756" s="456">
        <f t="shared" si="225"/>
        <v>0</v>
      </c>
      <c r="O1756" s="487"/>
      <c r="P1756" s="487"/>
      <c r="Q1756" s="274">
        <f t="shared" si="220"/>
        <v>0</v>
      </c>
      <c r="R1756" s="574">
        <f t="shared" si="221"/>
        <v>0</v>
      </c>
      <c r="S1756" s="275">
        <f t="shared" si="222"/>
        <v>0</v>
      </c>
      <c r="T1756" s="575"/>
      <c r="U1756" s="487"/>
      <c r="V1756" s="576"/>
      <c r="W1756" s="573"/>
      <c r="X1756" s="574">
        <f t="shared" si="226"/>
        <v>0</v>
      </c>
      <c r="Y1756" s="487"/>
      <c r="Z1756" s="487"/>
      <c r="AA1756" s="276">
        <f t="shared" si="227"/>
        <v>0</v>
      </c>
      <c r="AB1756" s="573"/>
      <c r="AC1756" s="487"/>
      <c r="AD1756" s="573"/>
      <c r="AE1756" s="487"/>
      <c r="AF1756" s="577">
        <f t="shared" si="223"/>
        <v>0</v>
      </c>
      <c r="AG1756" s="275">
        <f t="shared" si="224"/>
        <v>0</v>
      </c>
    </row>
    <row r="1757" spans="1:33" s="578" customFormat="1" ht="12" customHeight="1">
      <c r="A1757" s="719" t="s">
        <v>1280</v>
      </c>
      <c r="B1757" s="626" t="s">
        <v>1510</v>
      </c>
      <c r="C1757" s="627" t="s">
        <v>421</v>
      </c>
      <c r="D1757" s="724"/>
      <c r="E1757" s="725"/>
      <c r="F1757" s="573"/>
      <c r="G1757" s="487"/>
      <c r="H1757" s="573"/>
      <c r="I1757" s="487"/>
      <c r="J1757" s="573"/>
      <c r="K1757" s="487"/>
      <c r="L1757" s="573"/>
      <c r="M1757" s="573"/>
      <c r="N1757" s="456">
        <f t="shared" si="225"/>
        <v>0</v>
      </c>
      <c r="O1757" s="487"/>
      <c r="P1757" s="487"/>
      <c r="Q1757" s="274">
        <f t="shared" si="220"/>
        <v>0</v>
      </c>
      <c r="R1757" s="574">
        <f t="shared" si="221"/>
        <v>0</v>
      </c>
      <c r="S1757" s="275">
        <f t="shared" si="222"/>
        <v>0</v>
      </c>
      <c r="T1757" s="575"/>
      <c r="U1757" s="487"/>
      <c r="V1757" s="576"/>
      <c r="W1757" s="573"/>
      <c r="X1757" s="574">
        <f t="shared" si="226"/>
        <v>0</v>
      </c>
      <c r="Y1757" s="487"/>
      <c r="Z1757" s="487"/>
      <c r="AA1757" s="276">
        <f t="shared" si="227"/>
        <v>0</v>
      </c>
      <c r="AB1757" s="573"/>
      <c r="AC1757" s="487"/>
      <c r="AD1757" s="573"/>
      <c r="AE1757" s="487"/>
      <c r="AF1757" s="577">
        <f t="shared" si="223"/>
        <v>0</v>
      </c>
      <c r="AG1757" s="275">
        <f t="shared" si="224"/>
        <v>0</v>
      </c>
    </row>
    <row r="1758" spans="1:33" s="578" customFormat="1" ht="12" customHeight="1">
      <c r="A1758" s="719" t="s">
        <v>1280</v>
      </c>
      <c r="B1758" s="726" t="s">
        <v>1412</v>
      </c>
      <c r="C1758" s="723" t="s">
        <v>1761</v>
      </c>
      <c r="D1758" s="724"/>
      <c r="E1758" s="725"/>
      <c r="F1758" s="573"/>
      <c r="G1758" s="487"/>
      <c r="H1758" s="573"/>
      <c r="I1758" s="487"/>
      <c r="J1758" s="573"/>
      <c r="K1758" s="487"/>
      <c r="L1758" s="573"/>
      <c r="M1758" s="573"/>
      <c r="N1758" s="456">
        <f t="shared" si="225"/>
        <v>0</v>
      </c>
      <c r="O1758" s="487"/>
      <c r="P1758" s="487"/>
      <c r="Q1758" s="274">
        <f t="shared" si="220"/>
        <v>0</v>
      </c>
      <c r="R1758" s="574">
        <f t="shared" si="221"/>
        <v>0</v>
      </c>
      <c r="S1758" s="275">
        <f t="shared" si="222"/>
        <v>0</v>
      </c>
      <c r="T1758" s="575"/>
      <c r="U1758" s="487"/>
      <c r="V1758" s="576"/>
      <c r="W1758" s="573"/>
      <c r="X1758" s="574">
        <f t="shared" si="226"/>
        <v>0</v>
      </c>
      <c r="Y1758" s="487"/>
      <c r="Z1758" s="487"/>
      <c r="AA1758" s="276">
        <f t="shared" si="227"/>
        <v>0</v>
      </c>
      <c r="AB1758" s="573"/>
      <c r="AC1758" s="487"/>
      <c r="AD1758" s="573"/>
      <c r="AE1758" s="487"/>
      <c r="AF1758" s="577">
        <f t="shared" si="223"/>
        <v>0</v>
      </c>
      <c r="AG1758" s="275">
        <f t="shared" si="224"/>
        <v>0</v>
      </c>
    </row>
    <row r="1759" spans="1:33" s="578" customFormat="1" ht="12" customHeight="1">
      <c r="A1759" s="719" t="s">
        <v>1280</v>
      </c>
      <c r="B1759" s="726" t="s">
        <v>1412</v>
      </c>
      <c r="C1759" s="723" t="s">
        <v>1761</v>
      </c>
      <c r="D1759" s="724"/>
      <c r="E1759" s="725"/>
      <c r="F1759" s="573"/>
      <c r="G1759" s="487"/>
      <c r="H1759" s="573"/>
      <c r="I1759" s="487"/>
      <c r="J1759" s="573"/>
      <c r="K1759" s="487"/>
      <c r="L1759" s="573"/>
      <c r="M1759" s="573"/>
      <c r="N1759" s="456">
        <f t="shared" si="225"/>
        <v>0</v>
      </c>
      <c r="O1759" s="487"/>
      <c r="P1759" s="487"/>
      <c r="Q1759" s="274">
        <f t="shared" si="220"/>
        <v>0</v>
      </c>
      <c r="R1759" s="574">
        <f t="shared" si="221"/>
        <v>0</v>
      </c>
      <c r="S1759" s="275">
        <f t="shared" si="222"/>
        <v>0</v>
      </c>
      <c r="T1759" s="575">
        <v>13613979</v>
      </c>
      <c r="U1759" s="487">
        <v>13932527.699999999</v>
      </c>
      <c r="V1759" s="576"/>
      <c r="W1759" s="573"/>
      <c r="X1759" s="574">
        <f t="shared" si="226"/>
        <v>0</v>
      </c>
      <c r="Y1759" s="487"/>
      <c r="Z1759" s="487"/>
      <c r="AA1759" s="276">
        <f t="shared" si="227"/>
        <v>0</v>
      </c>
      <c r="AB1759" s="573"/>
      <c r="AC1759" s="487"/>
      <c r="AD1759" s="573"/>
      <c r="AE1759" s="487"/>
      <c r="AF1759" s="577">
        <f t="shared" si="223"/>
        <v>13613979</v>
      </c>
      <c r="AG1759" s="275">
        <f t="shared" si="224"/>
        <v>13932527.699999999</v>
      </c>
    </row>
    <row r="1760" spans="1:33" s="578" customFormat="1" ht="12" customHeight="1">
      <c r="A1760" s="719" t="s">
        <v>1280</v>
      </c>
      <c r="B1760" s="626" t="s">
        <v>1413</v>
      </c>
      <c r="C1760" s="627" t="s">
        <v>422</v>
      </c>
      <c r="D1760" s="724"/>
      <c r="E1760" s="725"/>
      <c r="F1760" s="573"/>
      <c r="G1760" s="487"/>
      <c r="H1760" s="573"/>
      <c r="I1760" s="487"/>
      <c r="J1760" s="573"/>
      <c r="K1760" s="487"/>
      <c r="L1760" s="573"/>
      <c r="M1760" s="573"/>
      <c r="N1760" s="456">
        <f t="shared" si="225"/>
        <v>0</v>
      </c>
      <c r="O1760" s="487"/>
      <c r="P1760" s="487"/>
      <c r="Q1760" s="274">
        <f t="shared" si="220"/>
        <v>0</v>
      </c>
      <c r="R1760" s="574">
        <f t="shared" si="221"/>
        <v>0</v>
      </c>
      <c r="S1760" s="275">
        <f t="shared" si="222"/>
        <v>0</v>
      </c>
      <c r="T1760" s="575"/>
      <c r="U1760" s="487"/>
      <c r="V1760" s="576"/>
      <c r="W1760" s="573"/>
      <c r="X1760" s="574">
        <f t="shared" si="226"/>
        <v>0</v>
      </c>
      <c r="Y1760" s="487"/>
      <c r="Z1760" s="487"/>
      <c r="AA1760" s="276">
        <f t="shared" si="227"/>
        <v>0</v>
      </c>
      <c r="AB1760" s="573"/>
      <c r="AC1760" s="487"/>
      <c r="AD1760" s="573"/>
      <c r="AE1760" s="487"/>
      <c r="AF1760" s="577">
        <f t="shared" si="223"/>
        <v>0</v>
      </c>
      <c r="AG1760" s="275">
        <f t="shared" si="224"/>
        <v>0</v>
      </c>
    </row>
    <row r="1761" spans="1:33" s="578" customFormat="1" ht="12" customHeight="1">
      <c r="A1761" s="719" t="s">
        <v>1280</v>
      </c>
      <c r="B1761" s="726" t="s">
        <v>1583</v>
      </c>
      <c r="C1761" s="723" t="s">
        <v>1761</v>
      </c>
      <c r="D1761" s="724"/>
      <c r="E1761" s="725"/>
      <c r="F1761" s="573"/>
      <c r="G1761" s="487"/>
      <c r="H1761" s="573"/>
      <c r="I1761" s="487"/>
      <c r="J1761" s="573"/>
      <c r="K1761" s="487"/>
      <c r="L1761" s="573"/>
      <c r="M1761" s="573"/>
      <c r="N1761" s="456">
        <f t="shared" si="225"/>
        <v>0</v>
      </c>
      <c r="O1761" s="487"/>
      <c r="P1761" s="487"/>
      <c r="Q1761" s="274">
        <f t="shared" si="220"/>
        <v>0</v>
      </c>
      <c r="R1761" s="574">
        <f t="shared" si="221"/>
        <v>0</v>
      </c>
      <c r="S1761" s="275">
        <f t="shared" si="222"/>
        <v>0</v>
      </c>
      <c r="T1761" s="575">
        <v>365366</v>
      </c>
      <c r="U1761" s="487">
        <v>1800614</v>
      </c>
      <c r="V1761" s="576"/>
      <c r="W1761" s="573"/>
      <c r="X1761" s="574">
        <f t="shared" si="226"/>
        <v>0</v>
      </c>
      <c r="Y1761" s="487"/>
      <c r="Z1761" s="487"/>
      <c r="AA1761" s="276">
        <f t="shared" si="227"/>
        <v>0</v>
      </c>
      <c r="AB1761" s="573"/>
      <c r="AC1761" s="487"/>
      <c r="AD1761" s="573"/>
      <c r="AE1761" s="487"/>
      <c r="AF1761" s="577">
        <f t="shared" si="223"/>
        <v>365366</v>
      </c>
      <c r="AG1761" s="275">
        <f t="shared" si="224"/>
        <v>1800614</v>
      </c>
    </row>
    <row r="1762" spans="1:33" s="578" customFormat="1" ht="12" customHeight="1">
      <c r="A1762" s="719" t="s">
        <v>1280</v>
      </c>
      <c r="B1762" s="726" t="s">
        <v>1412</v>
      </c>
      <c r="C1762" s="516" t="s">
        <v>1161</v>
      </c>
      <c r="D1762" s="724"/>
      <c r="E1762" s="725"/>
      <c r="F1762" s="573"/>
      <c r="G1762" s="487"/>
      <c r="H1762" s="573"/>
      <c r="I1762" s="487"/>
      <c r="J1762" s="573"/>
      <c r="K1762" s="487"/>
      <c r="L1762" s="573"/>
      <c r="M1762" s="573"/>
      <c r="N1762" s="456">
        <f t="shared" si="225"/>
        <v>0</v>
      </c>
      <c r="O1762" s="487"/>
      <c r="P1762" s="487"/>
      <c r="Q1762" s="274">
        <f t="shared" si="220"/>
        <v>0</v>
      </c>
      <c r="R1762" s="574">
        <f t="shared" si="221"/>
        <v>0</v>
      </c>
      <c r="S1762" s="275">
        <f t="shared" si="222"/>
        <v>0</v>
      </c>
      <c r="T1762" s="575"/>
      <c r="U1762" s="487"/>
      <c r="V1762" s="576"/>
      <c r="W1762" s="573"/>
      <c r="X1762" s="574">
        <f t="shared" si="226"/>
        <v>0</v>
      </c>
      <c r="Y1762" s="487"/>
      <c r="Z1762" s="487"/>
      <c r="AA1762" s="276">
        <f t="shared" si="227"/>
        <v>0</v>
      </c>
      <c r="AB1762" s="573"/>
      <c r="AC1762" s="487"/>
      <c r="AD1762" s="573"/>
      <c r="AE1762" s="487"/>
      <c r="AF1762" s="577">
        <f t="shared" si="223"/>
        <v>0</v>
      </c>
      <c r="AG1762" s="275">
        <f t="shared" si="224"/>
        <v>0</v>
      </c>
    </row>
    <row r="1763" spans="1:33" s="578" customFormat="1" ht="12" customHeight="1">
      <c r="A1763" s="719" t="s">
        <v>1280</v>
      </c>
      <c r="B1763" s="626" t="s">
        <v>1510</v>
      </c>
      <c r="C1763" s="627" t="s">
        <v>421</v>
      </c>
      <c r="D1763" s="617"/>
      <c r="E1763" s="618"/>
      <c r="F1763" s="573"/>
      <c r="G1763" s="487"/>
      <c r="H1763" s="573"/>
      <c r="I1763" s="487"/>
      <c r="J1763" s="573"/>
      <c r="K1763" s="487"/>
      <c r="L1763" s="573"/>
      <c r="M1763" s="573"/>
      <c r="N1763" s="456">
        <f t="shared" si="225"/>
        <v>0</v>
      </c>
      <c r="O1763" s="487"/>
      <c r="P1763" s="487"/>
      <c r="Q1763" s="274">
        <f t="shared" si="220"/>
        <v>0</v>
      </c>
      <c r="R1763" s="574">
        <f t="shared" si="221"/>
        <v>0</v>
      </c>
      <c r="S1763" s="275">
        <f t="shared" si="222"/>
        <v>0</v>
      </c>
      <c r="T1763" s="575"/>
      <c r="U1763" s="487"/>
      <c r="V1763" s="576"/>
      <c r="W1763" s="573"/>
      <c r="X1763" s="574">
        <f t="shared" si="226"/>
        <v>0</v>
      </c>
      <c r="Y1763" s="487"/>
      <c r="Z1763" s="487"/>
      <c r="AA1763" s="276">
        <f t="shared" si="227"/>
        <v>0</v>
      </c>
      <c r="AB1763" s="573"/>
      <c r="AC1763" s="487"/>
      <c r="AD1763" s="573"/>
      <c r="AE1763" s="487"/>
      <c r="AF1763" s="577">
        <f t="shared" si="223"/>
        <v>0</v>
      </c>
      <c r="AG1763" s="275">
        <f t="shared" si="224"/>
        <v>0</v>
      </c>
    </row>
    <row r="1764" spans="1:33" s="578" customFormat="1" ht="12" customHeight="1">
      <c r="A1764" s="719" t="s">
        <v>1280</v>
      </c>
      <c r="B1764" s="726" t="s">
        <v>1764</v>
      </c>
      <c r="C1764" s="723" t="s">
        <v>1883</v>
      </c>
      <c r="D1764" s="724"/>
      <c r="E1764" s="725"/>
      <c r="F1764" s="573"/>
      <c r="G1764" s="487"/>
      <c r="H1764" s="573"/>
      <c r="I1764" s="487"/>
      <c r="J1764" s="573"/>
      <c r="K1764" s="487"/>
      <c r="L1764" s="573"/>
      <c r="M1764" s="573"/>
      <c r="N1764" s="456">
        <f t="shared" si="225"/>
        <v>0</v>
      </c>
      <c r="O1764" s="487"/>
      <c r="P1764" s="487"/>
      <c r="Q1764" s="274">
        <f t="shared" si="220"/>
        <v>0</v>
      </c>
      <c r="R1764" s="574">
        <f t="shared" si="221"/>
        <v>0</v>
      </c>
      <c r="S1764" s="275">
        <f t="shared" si="222"/>
        <v>0</v>
      </c>
      <c r="T1764" s="575"/>
      <c r="U1764" s="487"/>
      <c r="V1764" s="576"/>
      <c r="W1764" s="573"/>
      <c r="X1764" s="574">
        <f t="shared" si="226"/>
        <v>0</v>
      </c>
      <c r="Y1764" s="487"/>
      <c r="Z1764" s="487"/>
      <c r="AA1764" s="276">
        <f t="shared" si="227"/>
        <v>0</v>
      </c>
      <c r="AB1764" s="573"/>
      <c r="AC1764" s="487"/>
      <c r="AD1764" s="573"/>
      <c r="AE1764" s="487"/>
      <c r="AF1764" s="577">
        <f t="shared" si="223"/>
        <v>0</v>
      </c>
      <c r="AG1764" s="275">
        <f t="shared" si="224"/>
        <v>0</v>
      </c>
    </row>
    <row r="1765" spans="1:33" s="578" customFormat="1" ht="12" customHeight="1">
      <c r="A1765" s="719" t="s">
        <v>1280</v>
      </c>
      <c r="B1765" s="726" t="s">
        <v>1765</v>
      </c>
      <c r="C1765" s="723" t="s">
        <v>1761</v>
      </c>
      <c r="D1765" s="724"/>
      <c r="E1765" s="725"/>
      <c r="F1765" s="573"/>
      <c r="G1765" s="487"/>
      <c r="H1765" s="573"/>
      <c r="I1765" s="487"/>
      <c r="J1765" s="573"/>
      <c r="K1765" s="487"/>
      <c r="L1765" s="573"/>
      <c r="M1765" s="573"/>
      <c r="N1765" s="456">
        <f t="shared" si="225"/>
        <v>0</v>
      </c>
      <c r="O1765" s="487"/>
      <c r="P1765" s="487"/>
      <c r="Q1765" s="274">
        <f t="shared" si="220"/>
        <v>0</v>
      </c>
      <c r="R1765" s="574">
        <f t="shared" si="221"/>
        <v>0</v>
      </c>
      <c r="S1765" s="275">
        <f t="shared" si="222"/>
        <v>0</v>
      </c>
      <c r="T1765" s="575">
        <v>3512563</v>
      </c>
      <c r="U1765" s="487">
        <v>3764720</v>
      </c>
      <c r="V1765" s="576"/>
      <c r="W1765" s="573"/>
      <c r="X1765" s="574">
        <f t="shared" si="226"/>
        <v>0</v>
      </c>
      <c r="Y1765" s="487"/>
      <c r="Z1765" s="487"/>
      <c r="AA1765" s="276">
        <f t="shared" si="227"/>
        <v>0</v>
      </c>
      <c r="AB1765" s="573"/>
      <c r="AC1765" s="487"/>
      <c r="AD1765" s="573"/>
      <c r="AE1765" s="487"/>
      <c r="AF1765" s="577">
        <f t="shared" si="223"/>
        <v>3512563</v>
      </c>
      <c r="AG1765" s="275">
        <f t="shared" si="224"/>
        <v>3764720</v>
      </c>
    </row>
    <row r="1766" spans="1:33" s="578" customFormat="1" ht="12" customHeight="1">
      <c r="A1766" s="719" t="s">
        <v>1280</v>
      </c>
      <c r="B1766" s="626" t="s">
        <v>1413</v>
      </c>
      <c r="C1766" s="627" t="s">
        <v>422</v>
      </c>
      <c r="D1766" s="724"/>
      <c r="E1766" s="725"/>
      <c r="F1766" s="573"/>
      <c r="G1766" s="487"/>
      <c r="H1766" s="573"/>
      <c r="I1766" s="487"/>
      <c r="J1766" s="573"/>
      <c r="K1766" s="487"/>
      <c r="L1766" s="573"/>
      <c r="M1766" s="573"/>
      <c r="N1766" s="456">
        <f t="shared" si="225"/>
        <v>0</v>
      </c>
      <c r="O1766" s="487"/>
      <c r="P1766" s="487"/>
      <c r="Q1766" s="274">
        <f t="shared" si="220"/>
        <v>0</v>
      </c>
      <c r="R1766" s="574">
        <f t="shared" si="221"/>
        <v>0</v>
      </c>
      <c r="S1766" s="275">
        <f t="shared" si="222"/>
        <v>0</v>
      </c>
      <c r="T1766" s="575"/>
      <c r="U1766" s="487"/>
      <c r="V1766" s="576"/>
      <c r="W1766" s="573"/>
      <c r="X1766" s="574">
        <f t="shared" si="226"/>
        <v>0</v>
      </c>
      <c r="Y1766" s="487"/>
      <c r="Z1766" s="487"/>
      <c r="AA1766" s="276">
        <f t="shared" si="227"/>
        <v>0</v>
      </c>
      <c r="AB1766" s="573"/>
      <c r="AC1766" s="487"/>
      <c r="AD1766" s="573"/>
      <c r="AE1766" s="487"/>
      <c r="AF1766" s="577">
        <f t="shared" si="223"/>
        <v>0</v>
      </c>
      <c r="AG1766" s="275">
        <f t="shared" si="224"/>
        <v>0</v>
      </c>
    </row>
    <row r="1767" spans="1:33" s="578" customFormat="1" ht="12" customHeight="1">
      <c r="A1767" s="719" t="s">
        <v>1280</v>
      </c>
      <c r="B1767" s="726" t="s">
        <v>1583</v>
      </c>
      <c r="C1767" s="723" t="s">
        <v>1761</v>
      </c>
      <c r="D1767" s="724"/>
      <c r="E1767" s="725"/>
      <c r="F1767" s="573"/>
      <c r="G1767" s="487"/>
      <c r="H1767" s="573"/>
      <c r="I1767" s="487"/>
      <c r="J1767" s="573"/>
      <c r="K1767" s="487"/>
      <c r="L1767" s="573"/>
      <c r="M1767" s="573"/>
      <c r="N1767" s="456">
        <f t="shared" si="225"/>
        <v>0</v>
      </c>
      <c r="O1767" s="487"/>
      <c r="P1767" s="487"/>
      <c r="Q1767" s="274">
        <f t="shared" si="220"/>
        <v>0</v>
      </c>
      <c r="R1767" s="574">
        <f t="shared" si="221"/>
        <v>0</v>
      </c>
      <c r="S1767" s="275">
        <f t="shared" si="222"/>
        <v>0</v>
      </c>
      <c r="T1767" s="575">
        <v>1744021</v>
      </c>
      <c r="U1767" s="487">
        <v>806250</v>
      </c>
      <c r="V1767" s="576"/>
      <c r="W1767" s="573"/>
      <c r="X1767" s="574">
        <f t="shared" si="226"/>
        <v>0</v>
      </c>
      <c r="Y1767" s="487"/>
      <c r="Z1767" s="487"/>
      <c r="AA1767" s="276">
        <f t="shared" si="227"/>
        <v>0</v>
      </c>
      <c r="AB1767" s="573"/>
      <c r="AC1767" s="487"/>
      <c r="AD1767" s="573"/>
      <c r="AE1767" s="487"/>
      <c r="AF1767" s="577">
        <f t="shared" si="223"/>
        <v>1744021</v>
      </c>
      <c r="AG1767" s="275">
        <f t="shared" si="224"/>
        <v>806250</v>
      </c>
    </row>
    <row r="1768" spans="1:33" s="578" customFormat="1" ht="12" customHeight="1">
      <c r="A1768" s="719" t="s">
        <v>1280</v>
      </c>
      <c r="B1768" s="626" t="s">
        <v>1510</v>
      </c>
      <c r="C1768" s="516" t="s">
        <v>1158</v>
      </c>
      <c r="D1768" s="724"/>
      <c r="E1768" s="725"/>
      <c r="F1768" s="573"/>
      <c r="G1768" s="487"/>
      <c r="H1768" s="573"/>
      <c r="I1768" s="487"/>
      <c r="J1768" s="573"/>
      <c r="K1768" s="487"/>
      <c r="L1768" s="573"/>
      <c r="M1768" s="573"/>
      <c r="N1768" s="456">
        <f t="shared" si="225"/>
        <v>0</v>
      </c>
      <c r="O1768" s="487"/>
      <c r="P1768" s="487"/>
      <c r="Q1768" s="274">
        <f t="shared" si="220"/>
        <v>0</v>
      </c>
      <c r="R1768" s="574">
        <f t="shared" si="221"/>
        <v>0</v>
      </c>
      <c r="S1768" s="275">
        <f t="shared" si="222"/>
        <v>0</v>
      </c>
      <c r="T1768" s="575">
        <v>3512563</v>
      </c>
      <c r="U1768" s="487"/>
      <c r="V1768" s="576"/>
      <c r="W1768" s="573"/>
      <c r="X1768" s="574">
        <f t="shared" si="226"/>
        <v>0</v>
      </c>
      <c r="Y1768" s="487"/>
      <c r="Z1768" s="487"/>
      <c r="AA1768" s="276">
        <f t="shared" si="227"/>
        <v>0</v>
      </c>
      <c r="AB1768" s="573"/>
      <c r="AC1768" s="487"/>
      <c r="AD1768" s="573"/>
      <c r="AE1768" s="487"/>
      <c r="AF1768" s="577">
        <f t="shared" si="223"/>
        <v>3512563</v>
      </c>
      <c r="AG1768" s="275">
        <f t="shared" si="224"/>
        <v>0</v>
      </c>
    </row>
    <row r="1769" spans="1:33" s="578" customFormat="1" ht="12" customHeight="1">
      <c r="A1769" s="719" t="s">
        <v>1280</v>
      </c>
      <c r="B1769" s="626" t="s">
        <v>1510</v>
      </c>
      <c r="C1769" s="627" t="s">
        <v>421</v>
      </c>
      <c r="D1769" s="617"/>
      <c r="E1769" s="618"/>
      <c r="F1769" s="573"/>
      <c r="G1769" s="487"/>
      <c r="H1769" s="573"/>
      <c r="I1769" s="487"/>
      <c r="J1769" s="573"/>
      <c r="K1769" s="487"/>
      <c r="L1769" s="573"/>
      <c r="M1769" s="573"/>
      <c r="N1769" s="456">
        <f t="shared" si="225"/>
        <v>0</v>
      </c>
      <c r="O1769" s="487"/>
      <c r="P1769" s="487"/>
      <c r="Q1769" s="274">
        <f t="shared" si="220"/>
        <v>0</v>
      </c>
      <c r="R1769" s="574">
        <f t="shared" si="221"/>
        <v>0</v>
      </c>
      <c r="S1769" s="275">
        <f t="shared" si="222"/>
        <v>0</v>
      </c>
      <c r="T1769" s="575"/>
      <c r="U1769" s="487"/>
      <c r="V1769" s="576"/>
      <c r="W1769" s="573"/>
      <c r="X1769" s="574">
        <f t="shared" si="226"/>
        <v>0</v>
      </c>
      <c r="Y1769" s="487"/>
      <c r="Z1769" s="487"/>
      <c r="AA1769" s="276">
        <f t="shared" si="227"/>
        <v>0</v>
      </c>
      <c r="AB1769" s="573"/>
      <c r="AC1769" s="487"/>
      <c r="AD1769" s="573"/>
      <c r="AE1769" s="487"/>
      <c r="AF1769" s="577">
        <f t="shared" si="223"/>
        <v>0</v>
      </c>
      <c r="AG1769" s="275">
        <f t="shared" si="224"/>
        <v>0</v>
      </c>
    </row>
    <row r="1770" spans="1:33" s="578" customFormat="1" ht="12" customHeight="1">
      <c r="A1770" s="719" t="s">
        <v>1280</v>
      </c>
      <c r="B1770" s="726" t="s">
        <v>1765</v>
      </c>
      <c r="C1770" s="723" t="s">
        <v>1761</v>
      </c>
      <c r="D1770" s="724"/>
      <c r="E1770" s="725"/>
      <c r="F1770" s="573"/>
      <c r="G1770" s="487"/>
      <c r="H1770" s="573"/>
      <c r="I1770" s="487"/>
      <c r="J1770" s="573"/>
      <c r="K1770" s="487"/>
      <c r="L1770" s="573"/>
      <c r="M1770" s="573"/>
      <c r="N1770" s="456">
        <f t="shared" si="225"/>
        <v>0</v>
      </c>
      <c r="O1770" s="487"/>
      <c r="P1770" s="487"/>
      <c r="Q1770" s="274">
        <f t="shared" si="220"/>
        <v>0</v>
      </c>
      <c r="R1770" s="574">
        <f t="shared" si="221"/>
        <v>0</v>
      </c>
      <c r="S1770" s="275">
        <f t="shared" si="222"/>
        <v>0</v>
      </c>
      <c r="T1770" s="575">
        <v>2703746</v>
      </c>
      <c r="U1770" s="487">
        <v>1824511</v>
      </c>
      <c r="V1770" s="576"/>
      <c r="W1770" s="573"/>
      <c r="X1770" s="574">
        <f t="shared" si="226"/>
        <v>0</v>
      </c>
      <c r="Y1770" s="487"/>
      <c r="Z1770" s="487"/>
      <c r="AA1770" s="276">
        <f t="shared" si="227"/>
        <v>0</v>
      </c>
      <c r="AB1770" s="573"/>
      <c r="AC1770" s="487"/>
      <c r="AD1770" s="573"/>
      <c r="AE1770" s="487"/>
      <c r="AF1770" s="577">
        <f t="shared" si="223"/>
        <v>2703746</v>
      </c>
      <c r="AG1770" s="275">
        <f t="shared" si="224"/>
        <v>1824511</v>
      </c>
    </row>
    <row r="1771" spans="1:33" s="578" customFormat="1" ht="12" customHeight="1">
      <c r="A1771" s="719" t="s">
        <v>1280</v>
      </c>
      <c r="B1771" s="626" t="s">
        <v>1413</v>
      </c>
      <c r="C1771" s="723" t="s">
        <v>422</v>
      </c>
      <c r="D1771" s="724"/>
      <c r="E1771" s="725"/>
      <c r="F1771" s="573"/>
      <c r="G1771" s="487"/>
      <c r="H1771" s="573"/>
      <c r="I1771" s="487"/>
      <c r="J1771" s="573"/>
      <c r="K1771" s="487"/>
      <c r="L1771" s="573"/>
      <c r="M1771" s="573"/>
      <c r="N1771" s="456">
        <f t="shared" si="225"/>
        <v>0</v>
      </c>
      <c r="O1771" s="487"/>
      <c r="P1771" s="487"/>
      <c r="Q1771" s="274">
        <f t="shared" si="220"/>
        <v>0</v>
      </c>
      <c r="R1771" s="574">
        <f t="shared" si="221"/>
        <v>0</v>
      </c>
      <c r="S1771" s="275">
        <f t="shared" si="222"/>
        <v>0</v>
      </c>
      <c r="T1771" s="575"/>
      <c r="U1771" s="487"/>
      <c r="V1771" s="576"/>
      <c r="W1771" s="573"/>
      <c r="X1771" s="574">
        <f t="shared" si="226"/>
        <v>0</v>
      </c>
      <c r="Y1771" s="487"/>
      <c r="Z1771" s="487"/>
      <c r="AA1771" s="276">
        <f t="shared" si="227"/>
        <v>0</v>
      </c>
      <c r="AB1771" s="573"/>
      <c r="AC1771" s="487"/>
      <c r="AD1771" s="573"/>
      <c r="AE1771" s="487"/>
      <c r="AF1771" s="577">
        <f t="shared" si="223"/>
        <v>0</v>
      </c>
      <c r="AG1771" s="275">
        <f t="shared" si="224"/>
        <v>0</v>
      </c>
    </row>
    <row r="1772" spans="1:33" s="578" customFormat="1" ht="12" customHeight="1">
      <c r="A1772" s="719" t="s">
        <v>1280</v>
      </c>
      <c r="B1772" s="726" t="s">
        <v>1583</v>
      </c>
      <c r="C1772" s="723" t="s">
        <v>1761</v>
      </c>
      <c r="D1772" s="724"/>
      <c r="E1772" s="725"/>
      <c r="F1772" s="573"/>
      <c r="G1772" s="487"/>
      <c r="H1772" s="573"/>
      <c r="I1772" s="487"/>
      <c r="J1772" s="573"/>
      <c r="K1772" s="487"/>
      <c r="L1772" s="573"/>
      <c r="M1772" s="573"/>
      <c r="N1772" s="456">
        <f t="shared" si="225"/>
        <v>0</v>
      </c>
      <c r="O1772" s="487"/>
      <c r="P1772" s="487"/>
      <c r="Q1772" s="274">
        <f t="shared" si="220"/>
        <v>0</v>
      </c>
      <c r="R1772" s="574">
        <f t="shared" si="221"/>
        <v>0</v>
      </c>
      <c r="S1772" s="275">
        <f t="shared" si="222"/>
        <v>0</v>
      </c>
      <c r="T1772" s="575">
        <v>816667</v>
      </c>
      <c r="U1772" s="487">
        <v>505652</v>
      </c>
      <c r="V1772" s="576"/>
      <c r="W1772" s="573"/>
      <c r="X1772" s="574">
        <f t="shared" si="226"/>
        <v>0</v>
      </c>
      <c r="Y1772" s="487"/>
      <c r="Z1772" s="487"/>
      <c r="AA1772" s="276">
        <f t="shared" si="227"/>
        <v>0</v>
      </c>
      <c r="AB1772" s="573"/>
      <c r="AC1772" s="487"/>
      <c r="AD1772" s="573"/>
      <c r="AE1772" s="487"/>
      <c r="AF1772" s="577">
        <f t="shared" si="223"/>
        <v>816667</v>
      </c>
      <c r="AG1772" s="275">
        <f t="shared" si="224"/>
        <v>505652</v>
      </c>
    </row>
    <row r="1773" spans="1:33" s="578" customFormat="1" ht="12" customHeight="1">
      <c r="A1773" s="719" t="s">
        <v>1280</v>
      </c>
      <c r="B1773" s="726" t="s">
        <v>1806</v>
      </c>
      <c r="C1773" s="517" t="s">
        <v>193</v>
      </c>
      <c r="D1773" s="724"/>
      <c r="E1773" s="725"/>
      <c r="F1773" s="573"/>
      <c r="G1773" s="487"/>
      <c r="H1773" s="573"/>
      <c r="I1773" s="487"/>
      <c r="J1773" s="573"/>
      <c r="K1773" s="487"/>
      <c r="L1773" s="573"/>
      <c r="M1773" s="573"/>
      <c r="N1773" s="456">
        <f t="shared" si="225"/>
        <v>0</v>
      </c>
      <c r="O1773" s="487"/>
      <c r="P1773" s="487"/>
      <c r="Q1773" s="274">
        <f t="shared" si="220"/>
        <v>0</v>
      </c>
      <c r="R1773" s="574">
        <f t="shared" si="221"/>
        <v>0</v>
      </c>
      <c r="S1773" s="275">
        <f t="shared" si="222"/>
        <v>0</v>
      </c>
      <c r="T1773" s="575">
        <v>599893</v>
      </c>
      <c r="U1773" s="575">
        <v>376432</v>
      </c>
      <c r="V1773" s="576"/>
      <c r="W1773" s="573"/>
      <c r="X1773" s="574">
        <f t="shared" si="226"/>
        <v>0</v>
      </c>
      <c r="Y1773" s="487"/>
      <c r="Z1773" s="487"/>
      <c r="AA1773" s="276">
        <f t="shared" si="227"/>
        <v>0</v>
      </c>
      <c r="AB1773" s="573"/>
      <c r="AC1773" s="487"/>
      <c r="AD1773" s="573"/>
      <c r="AE1773" s="487"/>
      <c r="AF1773" s="577">
        <f t="shared" si="223"/>
        <v>599893</v>
      </c>
      <c r="AG1773" s="275">
        <f t="shared" si="224"/>
        <v>376432</v>
      </c>
    </row>
    <row r="1774" spans="1:33" s="578" customFormat="1" ht="12" customHeight="1">
      <c r="A1774" s="719" t="s">
        <v>1280</v>
      </c>
      <c r="B1774" s="726" t="s">
        <v>1764</v>
      </c>
      <c r="C1774" s="723" t="s">
        <v>1883</v>
      </c>
      <c r="D1774" s="724"/>
      <c r="E1774" s="725"/>
      <c r="F1774" s="573"/>
      <c r="G1774" s="487"/>
      <c r="H1774" s="573"/>
      <c r="I1774" s="487"/>
      <c r="J1774" s="573"/>
      <c r="K1774" s="487"/>
      <c r="L1774" s="573"/>
      <c r="M1774" s="573"/>
      <c r="N1774" s="456">
        <f t="shared" si="225"/>
        <v>0</v>
      </c>
      <c r="O1774" s="487"/>
      <c r="P1774" s="487"/>
      <c r="Q1774" s="274">
        <f t="shared" si="220"/>
        <v>0</v>
      </c>
      <c r="R1774" s="574">
        <f t="shared" si="221"/>
        <v>0</v>
      </c>
      <c r="S1774" s="275">
        <f t="shared" si="222"/>
        <v>0</v>
      </c>
      <c r="T1774" s="663" t="s">
        <v>1225</v>
      </c>
      <c r="U1774" s="487"/>
      <c r="V1774" s="576"/>
      <c r="W1774" s="573"/>
      <c r="X1774" s="574">
        <f t="shared" si="226"/>
        <v>0</v>
      </c>
      <c r="Y1774" s="487"/>
      <c r="Z1774" s="487"/>
      <c r="AA1774" s="276">
        <f t="shared" si="227"/>
        <v>0</v>
      </c>
      <c r="AB1774" s="573"/>
      <c r="AC1774" s="487"/>
      <c r="AD1774" s="573"/>
      <c r="AE1774" s="487"/>
      <c r="AF1774" s="577">
        <f t="shared" si="223"/>
        <v>0</v>
      </c>
      <c r="AG1774" s="275">
        <f t="shared" si="224"/>
        <v>0</v>
      </c>
    </row>
    <row r="1775" spans="1:33" s="578" customFormat="1" ht="12" customHeight="1">
      <c r="A1775" s="719" t="s">
        <v>1280</v>
      </c>
      <c r="B1775" s="726" t="s">
        <v>1765</v>
      </c>
      <c r="C1775" s="723" t="s">
        <v>1761</v>
      </c>
      <c r="D1775" s="724"/>
      <c r="E1775" s="725"/>
      <c r="F1775" s="573"/>
      <c r="G1775" s="487"/>
      <c r="H1775" s="573"/>
      <c r="I1775" s="487"/>
      <c r="J1775" s="573"/>
      <c r="K1775" s="487"/>
      <c r="L1775" s="573"/>
      <c r="M1775" s="573"/>
      <c r="N1775" s="456">
        <f t="shared" si="225"/>
        <v>0</v>
      </c>
      <c r="O1775" s="487"/>
      <c r="P1775" s="487"/>
      <c r="Q1775" s="274">
        <f t="shared" si="220"/>
        <v>0</v>
      </c>
      <c r="R1775" s="574">
        <f t="shared" si="221"/>
        <v>0</v>
      </c>
      <c r="S1775" s="275">
        <f t="shared" si="222"/>
        <v>0</v>
      </c>
      <c r="T1775" s="575"/>
      <c r="U1775" s="575"/>
      <c r="V1775" s="576"/>
      <c r="W1775" s="573"/>
      <c r="X1775" s="574">
        <f t="shared" si="226"/>
        <v>0</v>
      </c>
      <c r="Y1775" s="487"/>
      <c r="Z1775" s="487"/>
      <c r="AA1775" s="276">
        <f t="shared" si="227"/>
        <v>0</v>
      </c>
      <c r="AB1775" s="573"/>
      <c r="AC1775" s="487"/>
      <c r="AD1775" s="573"/>
      <c r="AE1775" s="487"/>
      <c r="AF1775" s="577">
        <f t="shared" si="223"/>
        <v>0</v>
      </c>
      <c r="AG1775" s="275">
        <f t="shared" si="224"/>
        <v>0</v>
      </c>
    </row>
    <row r="1776" spans="1:33" s="578" customFormat="1" ht="12" customHeight="1">
      <c r="A1776" s="719" t="s">
        <v>1280</v>
      </c>
      <c r="B1776" s="726" t="s">
        <v>1806</v>
      </c>
      <c r="C1776" s="517" t="s">
        <v>713</v>
      </c>
      <c r="D1776" s="724"/>
      <c r="E1776" s="725"/>
      <c r="F1776" s="573"/>
      <c r="G1776" s="487"/>
      <c r="H1776" s="573"/>
      <c r="I1776" s="487"/>
      <c r="J1776" s="573"/>
      <c r="K1776" s="487"/>
      <c r="L1776" s="573"/>
      <c r="M1776" s="573"/>
      <c r="N1776" s="456">
        <f t="shared" si="225"/>
        <v>0</v>
      </c>
      <c r="O1776" s="487"/>
      <c r="P1776" s="487"/>
      <c r="Q1776" s="274">
        <f t="shared" si="220"/>
        <v>0</v>
      </c>
      <c r="R1776" s="574">
        <f t="shared" si="221"/>
        <v>0</v>
      </c>
      <c r="S1776" s="275">
        <f t="shared" si="222"/>
        <v>0</v>
      </c>
      <c r="T1776" s="727" t="s">
        <v>1227</v>
      </c>
      <c r="U1776" s="575"/>
      <c r="V1776" s="576"/>
      <c r="W1776" s="573"/>
      <c r="X1776" s="574">
        <f t="shared" si="226"/>
        <v>0</v>
      </c>
      <c r="Y1776" s="487"/>
      <c r="Z1776" s="487"/>
      <c r="AA1776" s="276">
        <f t="shared" si="227"/>
        <v>0</v>
      </c>
      <c r="AB1776" s="573"/>
      <c r="AC1776" s="487"/>
      <c r="AD1776" s="573"/>
      <c r="AE1776" s="487"/>
      <c r="AF1776" s="577">
        <f t="shared" si="223"/>
        <v>0</v>
      </c>
      <c r="AG1776" s="275">
        <f t="shared" si="224"/>
        <v>0</v>
      </c>
    </row>
    <row r="1777" spans="1:33" s="578" customFormat="1" ht="12" customHeight="1">
      <c r="A1777" s="719" t="s">
        <v>1280</v>
      </c>
      <c r="B1777" s="726" t="s">
        <v>1764</v>
      </c>
      <c r="C1777" s="723" t="s">
        <v>1883</v>
      </c>
      <c r="D1777" s="724"/>
      <c r="E1777" s="725"/>
      <c r="F1777" s="573"/>
      <c r="G1777" s="487"/>
      <c r="H1777" s="573"/>
      <c r="I1777" s="487"/>
      <c r="J1777" s="573"/>
      <c r="K1777" s="487"/>
      <c r="L1777" s="573"/>
      <c r="M1777" s="573"/>
      <c r="N1777" s="456">
        <f t="shared" si="225"/>
        <v>0</v>
      </c>
      <c r="O1777" s="487"/>
      <c r="P1777" s="487"/>
      <c r="Q1777" s="274">
        <f t="shared" si="220"/>
        <v>0</v>
      </c>
      <c r="R1777" s="574">
        <f t="shared" si="221"/>
        <v>0</v>
      </c>
      <c r="S1777" s="275">
        <f t="shared" si="222"/>
        <v>0</v>
      </c>
      <c r="T1777" s="799"/>
      <c r="U1777" s="487"/>
      <c r="V1777" s="576"/>
      <c r="W1777" s="573"/>
      <c r="X1777" s="574">
        <f t="shared" si="226"/>
        <v>0</v>
      </c>
      <c r="Y1777" s="487"/>
      <c r="Z1777" s="487"/>
      <c r="AA1777" s="276">
        <f t="shared" si="227"/>
        <v>0</v>
      </c>
      <c r="AB1777" s="573"/>
      <c r="AC1777" s="487"/>
      <c r="AD1777" s="573"/>
      <c r="AE1777" s="487"/>
      <c r="AF1777" s="577">
        <f t="shared" si="223"/>
        <v>0</v>
      </c>
      <c r="AG1777" s="275">
        <f t="shared" si="224"/>
        <v>0</v>
      </c>
    </row>
    <row r="1778" spans="1:33" s="578" customFormat="1" ht="12" customHeight="1">
      <c r="A1778" s="719" t="s">
        <v>1280</v>
      </c>
      <c r="B1778" s="726" t="s">
        <v>1765</v>
      </c>
      <c r="C1778" s="723" t="s">
        <v>1761</v>
      </c>
      <c r="D1778" s="724"/>
      <c r="E1778" s="725"/>
      <c r="F1778" s="573"/>
      <c r="G1778" s="487"/>
      <c r="H1778" s="573"/>
      <c r="I1778" s="487"/>
      <c r="J1778" s="573"/>
      <c r="K1778" s="487"/>
      <c r="L1778" s="573"/>
      <c r="M1778" s="573"/>
      <c r="N1778" s="456">
        <f t="shared" si="225"/>
        <v>0</v>
      </c>
      <c r="O1778" s="487"/>
      <c r="P1778" s="487"/>
      <c r="Q1778" s="274">
        <f t="shared" si="220"/>
        <v>0</v>
      </c>
      <c r="R1778" s="574">
        <f t="shared" si="221"/>
        <v>0</v>
      </c>
      <c r="S1778" s="275">
        <f t="shared" si="222"/>
        <v>0</v>
      </c>
      <c r="T1778" s="799"/>
      <c r="U1778" s="575">
        <v>41512</v>
      </c>
      <c r="V1778" s="576"/>
      <c r="W1778" s="573"/>
      <c r="X1778" s="574">
        <f t="shared" si="226"/>
        <v>0</v>
      </c>
      <c r="Y1778" s="487"/>
      <c r="Z1778" s="487"/>
      <c r="AA1778" s="276">
        <f t="shared" si="227"/>
        <v>0</v>
      </c>
      <c r="AB1778" s="573"/>
      <c r="AC1778" s="487"/>
      <c r="AD1778" s="573"/>
      <c r="AE1778" s="487"/>
      <c r="AF1778" s="577">
        <f t="shared" si="223"/>
        <v>0</v>
      </c>
      <c r="AG1778" s="275">
        <f t="shared" si="224"/>
        <v>41512</v>
      </c>
    </row>
    <row r="1779" spans="1:33" s="578" customFormat="1" ht="12" customHeight="1">
      <c r="A1779" s="728" t="s">
        <v>1280</v>
      </c>
      <c r="B1779" s="728" t="s">
        <v>1776</v>
      </c>
      <c r="C1779" s="729" t="s">
        <v>20</v>
      </c>
      <c r="D1779" s="730">
        <v>175786</v>
      </c>
      <c r="E1779" s="731">
        <v>8</v>
      </c>
      <c r="F1779" s="573">
        <f>25879046+5062046</f>
        <v>30941092</v>
      </c>
      <c r="G1779" s="487">
        <f>26749812+4880850+1095048</f>
        <v>32725710</v>
      </c>
      <c r="H1779" s="573"/>
      <c r="I1779" s="487"/>
      <c r="J1779" s="573">
        <v>10000000</v>
      </c>
      <c r="K1779" s="487">
        <v>10650000</v>
      </c>
      <c r="L1779" s="573">
        <v>19600000</v>
      </c>
      <c r="M1779" s="573">
        <v>0</v>
      </c>
      <c r="N1779" s="456">
        <f t="shared" si="225"/>
        <v>19600000</v>
      </c>
      <c r="O1779" s="487">
        <v>19500000</v>
      </c>
      <c r="P1779" s="487"/>
      <c r="Q1779" s="274">
        <f t="shared" si="220"/>
        <v>19500000</v>
      </c>
      <c r="R1779" s="574">
        <f t="shared" si="221"/>
        <v>60541092</v>
      </c>
      <c r="S1779" s="275">
        <f t="shared" si="222"/>
        <v>62875710</v>
      </c>
      <c r="T1779" s="575"/>
      <c r="U1779" s="487"/>
      <c r="V1779" s="576"/>
      <c r="W1779" s="573"/>
      <c r="X1779" s="574">
        <f t="shared" si="226"/>
        <v>0</v>
      </c>
      <c r="Y1779" s="487"/>
      <c r="Z1779" s="487"/>
      <c r="AA1779" s="276">
        <f t="shared" si="227"/>
        <v>0</v>
      </c>
      <c r="AB1779" s="573"/>
      <c r="AC1779" s="487"/>
      <c r="AD1779" s="573"/>
      <c r="AE1779" s="487"/>
      <c r="AF1779" s="577">
        <f t="shared" si="223"/>
        <v>60541092</v>
      </c>
      <c r="AG1779" s="275">
        <f t="shared" si="224"/>
        <v>62875710</v>
      </c>
    </row>
    <row r="1780" spans="1:33" s="578" customFormat="1" ht="12" customHeight="1">
      <c r="A1780" s="728" t="s">
        <v>1280</v>
      </c>
      <c r="B1780" s="728" t="s">
        <v>1776</v>
      </c>
      <c r="C1780" s="732" t="s">
        <v>21</v>
      </c>
      <c r="D1780" s="730">
        <v>176071</v>
      </c>
      <c r="E1780" s="731">
        <v>8</v>
      </c>
      <c r="F1780" s="573">
        <f>22245441+4372101</f>
        <v>26617542</v>
      </c>
      <c r="G1780" s="487">
        <f>22348997+4057521+910329</f>
        <v>27316847</v>
      </c>
      <c r="H1780" s="573"/>
      <c r="I1780" s="487"/>
      <c r="J1780" s="573">
        <v>7698068</v>
      </c>
      <c r="K1780" s="487">
        <v>8233068</v>
      </c>
      <c r="L1780" s="573">
        <v>16422570</v>
      </c>
      <c r="M1780" s="573"/>
      <c r="N1780" s="456">
        <f t="shared" si="225"/>
        <v>16422570</v>
      </c>
      <c r="O1780" s="487">
        <v>17615052</v>
      </c>
      <c r="P1780" s="487"/>
      <c r="Q1780" s="274">
        <f t="shared" si="220"/>
        <v>17615052</v>
      </c>
      <c r="R1780" s="574">
        <f t="shared" si="221"/>
        <v>50738180</v>
      </c>
      <c r="S1780" s="275">
        <f t="shared" si="222"/>
        <v>53164967</v>
      </c>
      <c r="T1780" s="575"/>
      <c r="U1780" s="487"/>
      <c r="V1780" s="576"/>
      <c r="W1780" s="573"/>
      <c r="X1780" s="574">
        <f t="shared" si="226"/>
        <v>0</v>
      </c>
      <c r="Y1780" s="487"/>
      <c r="Z1780" s="487"/>
      <c r="AA1780" s="276">
        <f t="shared" si="227"/>
        <v>0</v>
      </c>
      <c r="AB1780" s="573"/>
      <c r="AC1780" s="487"/>
      <c r="AD1780" s="573"/>
      <c r="AE1780" s="487"/>
      <c r="AF1780" s="577">
        <f t="shared" si="223"/>
        <v>50738180</v>
      </c>
      <c r="AG1780" s="275">
        <f t="shared" si="224"/>
        <v>53164967</v>
      </c>
    </row>
    <row r="1781" spans="1:33" s="578" customFormat="1" ht="12" customHeight="1">
      <c r="A1781" s="728" t="s">
        <v>1280</v>
      </c>
      <c r="B1781" s="728" t="s">
        <v>1776</v>
      </c>
      <c r="C1781" s="732" t="s">
        <v>22</v>
      </c>
      <c r="D1781" s="730">
        <v>176178</v>
      </c>
      <c r="E1781" s="731">
        <v>8</v>
      </c>
      <c r="F1781" s="573">
        <f>16514410+3289032</f>
        <v>19803442</v>
      </c>
      <c r="G1781" s="487">
        <f>16938975+3123534+700784</f>
        <v>20763293</v>
      </c>
      <c r="H1781" s="573"/>
      <c r="I1781" s="487"/>
      <c r="J1781" s="573">
        <v>4406954</v>
      </c>
      <c r="K1781" s="487">
        <v>4654496</v>
      </c>
      <c r="L1781" s="573">
        <v>11818760</v>
      </c>
      <c r="M1781" s="573"/>
      <c r="N1781" s="456">
        <f t="shared" si="225"/>
        <v>11818760</v>
      </c>
      <c r="O1781" s="487">
        <v>12602062</v>
      </c>
      <c r="P1781" s="487"/>
      <c r="Q1781" s="274">
        <f t="shared" si="220"/>
        <v>12602062</v>
      </c>
      <c r="R1781" s="574">
        <f t="shared" si="221"/>
        <v>36029156</v>
      </c>
      <c r="S1781" s="275">
        <f t="shared" si="222"/>
        <v>38019851</v>
      </c>
      <c r="T1781" s="575"/>
      <c r="U1781" s="487"/>
      <c r="V1781" s="576"/>
      <c r="W1781" s="573"/>
      <c r="X1781" s="574">
        <f t="shared" si="226"/>
        <v>0</v>
      </c>
      <c r="Y1781" s="487"/>
      <c r="Z1781" s="487"/>
      <c r="AA1781" s="276">
        <f t="shared" si="227"/>
        <v>0</v>
      </c>
      <c r="AB1781" s="573"/>
      <c r="AC1781" s="487"/>
      <c r="AD1781" s="573"/>
      <c r="AE1781" s="487"/>
      <c r="AF1781" s="577">
        <f t="shared" si="223"/>
        <v>36029156</v>
      </c>
      <c r="AG1781" s="275">
        <f t="shared" si="224"/>
        <v>38019851</v>
      </c>
    </row>
    <row r="1782" spans="1:33" s="578" customFormat="1" ht="12" customHeight="1">
      <c r="A1782" s="728" t="s">
        <v>1280</v>
      </c>
      <c r="B1782" s="728" t="s">
        <v>1776</v>
      </c>
      <c r="C1782" s="732" t="s">
        <v>23</v>
      </c>
      <c r="D1782" s="730">
        <v>175573</v>
      </c>
      <c r="E1782" s="731">
        <v>9</v>
      </c>
      <c r="F1782" s="573">
        <f>9660958+1853663</f>
        <v>11514621</v>
      </c>
      <c r="G1782" s="487">
        <f>10192628+1803762+404685</f>
        <v>12401075</v>
      </c>
      <c r="H1782" s="573"/>
      <c r="I1782" s="487"/>
      <c r="J1782" s="573">
        <v>2150700</v>
      </c>
      <c r="K1782" s="487">
        <v>2120500</v>
      </c>
      <c r="L1782" s="573">
        <v>5981200</v>
      </c>
      <c r="M1782" s="573"/>
      <c r="N1782" s="456">
        <f t="shared" si="225"/>
        <v>5981200</v>
      </c>
      <c r="O1782" s="487">
        <v>6111850</v>
      </c>
      <c r="P1782" s="487"/>
      <c r="Q1782" s="274">
        <f t="shared" si="220"/>
        <v>6111850</v>
      </c>
      <c r="R1782" s="574">
        <f t="shared" si="221"/>
        <v>19646521</v>
      </c>
      <c r="S1782" s="275">
        <f t="shared" si="222"/>
        <v>20633425</v>
      </c>
      <c r="T1782" s="575"/>
      <c r="U1782" s="487"/>
      <c r="V1782" s="576"/>
      <c r="W1782" s="573"/>
      <c r="X1782" s="574">
        <f t="shared" si="226"/>
        <v>0</v>
      </c>
      <c r="Y1782" s="487"/>
      <c r="Z1782" s="487"/>
      <c r="AA1782" s="276">
        <f t="shared" si="227"/>
        <v>0</v>
      </c>
      <c r="AB1782" s="573"/>
      <c r="AC1782" s="487"/>
      <c r="AD1782" s="573"/>
      <c r="AE1782" s="487"/>
      <c r="AF1782" s="577">
        <f t="shared" si="223"/>
        <v>19646521</v>
      </c>
      <c r="AG1782" s="275">
        <f t="shared" si="224"/>
        <v>20633425</v>
      </c>
    </row>
    <row r="1783" spans="1:33" s="578" customFormat="1" ht="12" customHeight="1">
      <c r="A1783" s="728" t="s">
        <v>1280</v>
      </c>
      <c r="B1783" s="728" t="s">
        <v>1776</v>
      </c>
      <c r="C1783" s="732" t="s">
        <v>24</v>
      </c>
      <c r="D1783" s="730">
        <v>175643</v>
      </c>
      <c r="E1783" s="731">
        <v>9</v>
      </c>
      <c r="F1783" s="573">
        <f>7686092+1468170</f>
        <v>9154262</v>
      </c>
      <c r="G1783" s="487">
        <f>7979281+1398043+313659</f>
        <v>9690983</v>
      </c>
      <c r="H1783" s="573"/>
      <c r="I1783" s="487"/>
      <c r="J1783" s="573">
        <v>1232923</v>
      </c>
      <c r="K1783" s="487">
        <v>1240774</v>
      </c>
      <c r="L1783" s="573">
        <v>3498144</v>
      </c>
      <c r="M1783" s="573"/>
      <c r="N1783" s="456">
        <f t="shared" si="225"/>
        <v>3498144</v>
      </c>
      <c r="O1783" s="487">
        <v>3723276</v>
      </c>
      <c r="P1783" s="487"/>
      <c r="Q1783" s="274">
        <f t="shared" si="220"/>
        <v>3723276</v>
      </c>
      <c r="R1783" s="574">
        <f t="shared" si="221"/>
        <v>13885329</v>
      </c>
      <c r="S1783" s="275">
        <f t="shared" si="222"/>
        <v>14655033</v>
      </c>
      <c r="T1783" s="575"/>
      <c r="U1783" s="487"/>
      <c r="V1783" s="576"/>
      <c r="W1783" s="573"/>
      <c r="X1783" s="574">
        <f t="shared" si="226"/>
        <v>0</v>
      </c>
      <c r="Y1783" s="487"/>
      <c r="Z1783" s="487"/>
      <c r="AA1783" s="276">
        <f t="shared" si="227"/>
        <v>0</v>
      </c>
      <c r="AB1783" s="573"/>
      <c r="AC1783" s="487"/>
      <c r="AD1783" s="573"/>
      <c r="AE1783" s="487"/>
      <c r="AF1783" s="577">
        <f t="shared" si="223"/>
        <v>13885329</v>
      </c>
      <c r="AG1783" s="275">
        <f t="shared" si="224"/>
        <v>14655033</v>
      </c>
    </row>
    <row r="1784" spans="1:33" s="578" customFormat="1" ht="12" customHeight="1">
      <c r="A1784" s="728" t="s">
        <v>1280</v>
      </c>
      <c r="B1784" s="728" t="s">
        <v>1776</v>
      </c>
      <c r="C1784" s="732" t="s">
        <v>25</v>
      </c>
      <c r="D1784" s="730">
        <v>175652</v>
      </c>
      <c r="E1784" s="731">
        <v>9</v>
      </c>
      <c r="F1784" s="573">
        <f>11323570+2299988</f>
        <v>13623558</v>
      </c>
      <c r="G1784" s="487">
        <f>11285715+2086769+468179</f>
        <v>13840663</v>
      </c>
      <c r="H1784" s="573"/>
      <c r="I1784" s="487"/>
      <c r="J1784" s="573">
        <v>1452517</v>
      </c>
      <c r="K1784" s="487">
        <v>1413411</v>
      </c>
      <c r="L1784" s="573">
        <v>8480346</v>
      </c>
      <c r="M1784" s="573"/>
      <c r="N1784" s="456">
        <f t="shared" si="225"/>
        <v>8480346</v>
      </c>
      <c r="O1784" s="487">
        <v>8719388</v>
      </c>
      <c r="P1784" s="487"/>
      <c r="Q1784" s="274">
        <f t="shared" si="220"/>
        <v>8719388</v>
      </c>
      <c r="R1784" s="574">
        <f t="shared" si="221"/>
        <v>23556421</v>
      </c>
      <c r="S1784" s="275">
        <f t="shared" si="222"/>
        <v>23973462</v>
      </c>
      <c r="T1784" s="575"/>
      <c r="U1784" s="487"/>
      <c r="V1784" s="576"/>
      <c r="W1784" s="573"/>
      <c r="X1784" s="574">
        <f t="shared" si="226"/>
        <v>0</v>
      </c>
      <c r="Y1784" s="487"/>
      <c r="Z1784" s="487"/>
      <c r="AA1784" s="276">
        <f t="shared" si="227"/>
        <v>0</v>
      </c>
      <c r="AB1784" s="573"/>
      <c r="AC1784" s="487"/>
      <c r="AD1784" s="573"/>
      <c r="AE1784" s="487"/>
      <c r="AF1784" s="577">
        <f t="shared" si="223"/>
        <v>23556421</v>
      </c>
      <c r="AG1784" s="275">
        <f t="shared" si="224"/>
        <v>23973462</v>
      </c>
    </row>
    <row r="1785" spans="1:33" s="578" customFormat="1" ht="12" customHeight="1">
      <c r="A1785" s="729" t="s">
        <v>1280</v>
      </c>
      <c r="B1785" s="728" t="s">
        <v>1776</v>
      </c>
      <c r="C1785" s="732" t="s">
        <v>26</v>
      </c>
      <c r="D1785" s="730">
        <v>175810</v>
      </c>
      <c r="E1785" s="731">
        <v>9</v>
      </c>
      <c r="F1785" s="573">
        <f>12900071+2612972</f>
        <v>15513043</v>
      </c>
      <c r="G1785" s="487">
        <f>13762234+2555397+573319</f>
        <v>16890950</v>
      </c>
      <c r="H1785" s="573"/>
      <c r="I1785" s="487"/>
      <c r="J1785" s="573">
        <v>2519500</v>
      </c>
      <c r="K1785" s="487">
        <v>2521000</v>
      </c>
      <c r="L1785" s="573">
        <v>8000000</v>
      </c>
      <c r="M1785" s="573"/>
      <c r="N1785" s="456">
        <f t="shared" si="225"/>
        <v>8000000</v>
      </c>
      <c r="O1785" s="487">
        <v>9150000</v>
      </c>
      <c r="P1785" s="487"/>
      <c r="Q1785" s="274">
        <f t="shared" si="220"/>
        <v>9150000</v>
      </c>
      <c r="R1785" s="574">
        <f t="shared" si="221"/>
        <v>26032543</v>
      </c>
      <c r="S1785" s="275">
        <f t="shared" si="222"/>
        <v>28561950</v>
      </c>
      <c r="T1785" s="575"/>
      <c r="U1785" s="487"/>
      <c r="V1785" s="576"/>
      <c r="W1785" s="573"/>
      <c r="X1785" s="574">
        <f t="shared" si="226"/>
        <v>0</v>
      </c>
      <c r="Y1785" s="487"/>
      <c r="Z1785" s="487"/>
      <c r="AA1785" s="276">
        <f t="shared" si="227"/>
        <v>0</v>
      </c>
      <c r="AB1785" s="573"/>
      <c r="AC1785" s="487"/>
      <c r="AD1785" s="573"/>
      <c r="AE1785" s="487"/>
      <c r="AF1785" s="577">
        <f t="shared" si="223"/>
        <v>26032543</v>
      </c>
      <c r="AG1785" s="275">
        <f t="shared" si="224"/>
        <v>28561950</v>
      </c>
    </row>
    <row r="1786" spans="1:33" s="578" customFormat="1" ht="12" customHeight="1">
      <c r="A1786" s="728" t="s">
        <v>1280</v>
      </c>
      <c r="B1786" s="728" t="s">
        <v>1776</v>
      </c>
      <c r="C1786" s="732" t="s">
        <v>27</v>
      </c>
      <c r="D1786" s="730">
        <v>175829</v>
      </c>
      <c r="E1786" s="731">
        <v>9</v>
      </c>
      <c r="F1786" s="573">
        <f>15032877+3075080</f>
        <v>18107957</v>
      </c>
      <c r="G1786" s="487">
        <f>16869353+3221719+722812</f>
        <v>20813884</v>
      </c>
      <c r="H1786" s="573"/>
      <c r="I1786" s="487"/>
      <c r="J1786" s="573">
        <v>4885176</v>
      </c>
      <c r="K1786" s="487">
        <v>4990570</v>
      </c>
      <c r="L1786" s="573">
        <v>10255698</v>
      </c>
      <c r="M1786" s="573"/>
      <c r="N1786" s="456">
        <f t="shared" si="225"/>
        <v>10255698</v>
      </c>
      <c r="O1786" s="487">
        <v>11966686</v>
      </c>
      <c r="P1786" s="487"/>
      <c r="Q1786" s="274">
        <f t="shared" si="220"/>
        <v>11966686</v>
      </c>
      <c r="R1786" s="574">
        <f t="shared" si="221"/>
        <v>33248831</v>
      </c>
      <c r="S1786" s="275">
        <f t="shared" si="222"/>
        <v>37771140</v>
      </c>
      <c r="T1786" s="575"/>
      <c r="U1786" s="487"/>
      <c r="V1786" s="576"/>
      <c r="W1786" s="573"/>
      <c r="X1786" s="574">
        <f t="shared" si="226"/>
        <v>0</v>
      </c>
      <c r="Y1786" s="487"/>
      <c r="Z1786" s="487"/>
      <c r="AA1786" s="276">
        <f t="shared" si="227"/>
        <v>0</v>
      </c>
      <c r="AB1786" s="573"/>
      <c r="AC1786" s="487"/>
      <c r="AD1786" s="573"/>
      <c r="AE1786" s="487"/>
      <c r="AF1786" s="577">
        <f t="shared" si="223"/>
        <v>33248831</v>
      </c>
      <c r="AG1786" s="275">
        <f t="shared" si="224"/>
        <v>37771140</v>
      </c>
    </row>
    <row r="1787" spans="1:33" s="578" customFormat="1" ht="12" customHeight="1">
      <c r="A1787" s="728" t="s">
        <v>1280</v>
      </c>
      <c r="B1787" s="728" t="s">
        <v>1776</v>
      </c>
      <c r="C1787" s="732" t="s">
        <v>28</v>
      </c>
      <c r="D1787" s="730">
        <v>175883</v>
      </c>
      <c r="E1787" s="731">
        <v>9</v>
      </c>
      <c r="F1787" s="573">
        <f>13094335+2580648</f>
        <v>15674983</v>
      </c>
      <c r="G1787" s="487">
        <f>13254615+2388166+535799</f>
        <v>16178580</v>
      </c>
      <c r="H1787" s="573"/>
      <c r="I1787" s="487"/>
      <c r="J1787" s="573">
        <v>2067614</v>
      </c>
      <c r="K1787" s="487">
        <v>1974320</v>
      </c>
      <c r="L1787" s="573">
        <v>8600000</v>
      </c>
      <c r="M1787" s="573"/>
      <c r="N1787" s="456">
        <f t="shared" si="225"/>
        <v>8600000</v>
      </c>
      <c r="O1787" s="487">
        <v>9700000</v>
      </c>
      <c r="P1787" s="487"/>
      <c r="Q1787" s="274">
        <f t="shared" si="220"/>
        <v>9700000</v>
      </c>
      <c r="R1787" s="574">
        <f t="shared" si="221"/>
        <v>26342597</v>
      </c>
      <c r="S1787" s="275">
        <f t="shared" si="222"/>
        <v>27852900</v>
      </c>
      <c r="T1787" s="575"/>
      <c r="U1787" s="487"/>
      <c r="V1787" s="576"/>
      <c r="W1787" s="573"/>
      <c r="X1787" s="574">
        <f t="shared" si="226"/>
        <v>0</v>
      </c>
      <c r="Y1787" s="487"/>
      <c r="Z1787" s="487"/>
      <c r="AA1787" s="276">
        <f t="shared" si="227"/>
        <v>0</v>
      </c>
      <c r="AB1787" s="573"/>
      <c r="AC1787" s="487"/>
      <c r="AD1787" s="573"/>
      <c r="AE1787" s="487"/>
      <c r="AF1787" s="577">
        <f t="shared" si="223"/>
        <v>26342597</v>
      </c>
      <c r="AG1787" s="275">
        <f t="shared" si="224"/>
        <v>27852900</v>
      </c>
    </row>
    <row r="1788" spans="1:33" s="578" customFormat="1" ht="12" customHeight="1">
      <c r="A1788" s="728" t="s">
        <v>1280</v>
      </c>
      <c r="B1788" s="728" t="s">
        <v>1776</v>
      </c>
      <c r="C1788" s="732" t="s">
        <v>29</v>
      </c>
      <c r="D1788" s="730">
        <v>175935</v>
      </c>
      <c r="E1788" s="731">
        <v>9</v>
      </c>
      <c r="F1788" s="573">
        <f>10704887+2093427</f>
        <v>12798314</v>
      </c>
      <c r="G1788" s="487">
        <f>11102700+1998051+448274</f>
        <v>13549025</v>
      </c>
      <c r="H1788" s="573"/>
      <c r="I1788" s="487"/>
      <c r="J1788" s="573">
        <v>1660526</v>
      </c>
      <c r="K1788" s="487">
        <v>1683008</v>
      </c>
      <c r="L1788" s="573">
        <v>5889306</v>
      </c>
      <c r="M1788" s="573"/>
      <c r="N1788" s="456">
        <f t="shared" si="225"/>
        <v>5889306</v>
      </c>
      <c r="O1788" s="487">
        <v>6422463</v>
      </c>
      <c r="P1788" s="487"/>
      <c r="Q1788" s="274">
        <f t="shared" si="220"/>
        <v>6422463</v>
      </c>
      <c r="R1788" s="574">
        <f t="shared" si="221"/>
        <v>20348146</v>
      </c>
      <c r="S1788" s="275">
        <f t="shared" si="222"/>
        <v>21654496</v>
      </c>
      <c r="T1788" s="575"/>
      <c r="U1788" s="487"/>
      <c r="V1788" s="576"/>
      <c r="W1788" s="573"/>
      <c r="X1788" s="574">
        <f t="shared" si="226"/>
        <v>0</v>
      </c>
      <c r="Y1788" s="487"/>
      <c r="Z1788" s="487"/>
      <c r="AA1788" s="276">
        <f t="shared" si="227"/>
        <v>0</v>
      </c>
      <c r="AB1788" s="573"/>
      <c r="AC1788" s="487"/>
      <c r="AD1788" s="573"/>
      <c r="AE1788" s="487"/>
      <c r="AF1788" s="577">
        <f t="shared" si="223"/>
        <v>20348146</v>
      </c>
      <c r="AG1788" s="275">
        <f t="shared" si="224"/>
        <v>21654496</v>
      </c>
    </row>
    <row r="1789" spans="1:33" s="578" customFormat="1" ht="12" customHeight="1">
      <c r="A1789" s="728" t="s">
        <v>1280</v>
      </c>
      <c r="B1789" s="728" t="s">
        <v>1776</v>
      </c>
      <c r="C1789" s="732" t="s">
        <v>30</v>
      </c>
      <c r="D1789" s="730">
        <v>176008</v>
      </c>
      <c r="E1789" s="731">
        <v>9</v>
      </c>
      <c r="F1789" s="573">
        <f>8945230+1743400</f>
        <v>10688630</v>
      </c>
      <c r="G1789" s="487">
        <f>9276675+1654609+371222</f>
        <v>11302506</v>
      </c>
      <c r="H1789" s="573"/>
      <c r="I1789" s="487"/>
      <c r="J1789" s="573">
        <v>1826000</v>
      </c>
      <c r="K1789" s="487">
        <v>1894000</v>
      </c>
      <c r="L1789" s="573">
        <v>5595900</v>
      </c>
      <c r="M1789" s="573"/>
      <c r="N1789" s="456">
        <f t="shared" si="225"/>
        <v>5595900</v>
      </c>
      <c r="O1789" s="487">
        <v>5809370</v>
      </c>
      <c r="P1789" s="487"/>
      <c r="Q1789" s="274">
        <f t="shared" si="220"/>
        <v>5809370</v>
      </c>
      <c r="R1789" s="574">
        <f t="shared" si="221"/>
        <v>18110530</v>
      </c>
      <c r="S1789" s="275">
        <f t="shared" si="222"/>
        <v>19005876</v>
      </c>
      <c r="T1789" s="575"/>
      <c r="U1789" s="487"/>
      <c r="V1789" s="576"/>
      <c r="W1789" s="573"/>
      <c r="X1789" s="574">
        <f t="shared" si="226"/>
        <v>0</v>
      </c>
      <c r="Y1789" s="487"/>
      <c r="Z1789" s="487"/>
      <c r="AA1789" s="276">
        <f t="shared" si="227"/>
        <v>0</v>
      </c>
      <c r="AB1789" s="573"/>
      <c r="AC1789" s="487"/>
      <c r="AD1789" s="573"/>
      <c r="AE1789" s="487"/>
      <c r="AF1789" s="577">
        <f t="shared" si="223"/>
        <v>18110530</v>
      </c>
      <c r="AG1789" s="275">
        <f t="shared" si="224"/>
        <v>19005876</v>
      </c>
    </row>
    <row r="1790" spans="1:33" s="578" customFormat="1" ht="12" customHeight="1">
      <c r="A1790" s="728" t="s">
        <v>1280</v>
      </c>
      <c r="B1790" s="728" t="s">
        <v>1776</v>
      </c>
      <c r="C1790" s="732" t="s">
        <v>31</v>
      </c>
      <c r="D1790" s="730">
        <v>176169</v>
      </c>
      <c r="E1790" s="731">
        <v>9</v>
      </c>
      <c r="F1790" s="573">
        <f>9628810+1873372</f>
        <v>11502182</v>
      </c>
      <c r="G1790" s="487">
        <f>10405015+1869874+419517</f>
        <v>12694406</v>
      </c>
      <c r="H1790" s="573"/>
      <c r="I1790" s="487"/>
      <c r="J1790" s="573">
        <v>1315000</v>
      </c>
      <c r="K1790" s="487">
        <v>1325000</v>
      </c>
      <c r="L1790" s="573">
        <v>6363000</v>
      </c>
      <c r="M1790" s="573"/>
      <c r="N1790" s="456">
        <f t="shared" si="225"/>
        <v>6363000</v>
      </c>
      <c r="O1790" s="487">
        <v>6767000</v>
      </c>
      <c r="P1790" s="487"/>
      <c r="Q1790" s="274">
        <f t="shared" si="220"/>
        <v>6767000</v>
      </c>
      <c r="R1790" s="574">
        <f t="shared" si="221"/>
        <v>19180182</v>
      </c>
      <c r="S1790" s="275">
        <f t="shared" si="222"/>
        <v>20786406</v>
      </c>
      <c r="T1790" s="575"/>
      <c r="U1790" s="487"/>
      <c r="V1790" s="576"/>
      <c r="W1790" s="573"/>
      <c r="X1790" s="574">
        <f t="shared" si="226"/>
        <v>0</v>
      </c>
      <c r="Y1790" s="487"/>
      <c r="Z1790" s="487"/>
      <c r="AA1790" s="276">
        <f t="shared" si="227"/>
        <v>0</v>
      </c>
      <c r="AB1790" s="573"/>
      <c r="AC1790" s="487"/>
      <c r="AD1790" s="573"/>
      <c r="AE1790" s="487"/>
      <c r="AF1790" s="577">
        <f t="shared" si="223"/>
        <v>19180182</v>
      </c>
      <c r="AG1790" s="275">
        <f t="shared" si="224"/>
        <v>20786406</v>
      </c>
    </row>
    <row r="1791" spans="1:33" s="578" customFormat="1" ht="12" customHeight="1">
      <c r="A1791" s="728" t="s">
        <v>1280</v>
      </c>
      <c r="B1791" s="728" t="s">
        <v>1776</v>
      </c>
      <c r="C1791" s="732" t="s">
        <v>32</v>
      </c>
      <c r="D1791" s="730">
        <v>176239</v>
      </c>
      <c r="E1791" s="731">
        <v>9</v>
      </c>
      <c r="F1791" s="573">
        <f>11341998+2214919</f>
        <v>13556917</v>
      </c>
      <c r="G1791" s="487">
        <f>11859664+2117635+475104</f>
        <v>14452403</v>
      </c>
      <c r="H1791" s="573"/>
      <c r="I1791" s="487"/>
      <c r="J1791" s="573">
        <v>2359968</v>
      </c>
      <c r="K1791" s="487">
        <v>2470177</v>
      </c>
      <c r="L1791" s="573">
        <v>8232863</v>
      </c>
      <c r="M1791" s="573"/>
      <c r="N1791" s="456">
        <f t="shared" si="225"/>
        <v>8232863</v>
      </c>
      <c r="O1791" s="487">
        <v>8867522</v>
      </c>
      <c r="P1791" s="487"/>
      <c r="Q1791" s="274">
        <f t="shared" si="220"/>
        <v>8867522</v>
      </c>
      <c r="R1791" s="574">
        <f t="shared" si="221"/>
        <v>24149748</v>
      </c>
      <c r="S1791" s="275">
        <f t="shared" si="222"/>
        <v>25790102</v>
      </c>
      <c r="T1791" s="575"/>
      <c r="U1791" s="487"/>
      <c r="V1791" s="576"/>
      <c r="W1791" s="573"/>
      <c r="X1791" s="574">
        <f t="shared" si="226"/>
        <v>0</v>
      </c>
      <c r="Y1791" s="487"/>
      <c r="Z1791" s="487"/>
      <c r="AA1791" s="276">
        <f t="shared" si="227"/>
        <v>0</v>
      </c>
      <c r="AB1791" s="573"/>
      <c r="AC1791" s="487"/>
      <c r="AD1791" s="573"/>
      <c r="AE1791" s="487"/>
      <c r="AF1791" s="577">
        <f t="shared" si="223"/>
        <v>24149748</v>
      </c>
      <c r="AG1791" s="275">
        <f t="shared" si="224"/>
        <v>25790102</v>
      </c>
    </row>
    <row r="1792" spans="1:33" s="578" customFormat="1" ht="12" customHeight="1">
      <c r="A1792" s="728" t="s">
        <v>1280</v>
      </c>
      <c r="B1792" s="728" t="s">
        <v>1776</v>
      </c>
      <c r="C1792" s="732" t="s">
        <v>33</v>
      </c>
      <c r="D1792" s="730">
        <v>175519</v>
      </c>
      <c r="E1792" s="731">
        <v>10</v>
      </c>
      <c r="F1792" s="573">
        <f>5908443+1093325</f>
        <v>7001768</v>
      </c>
      <c r="G1792" s="487">
        <f>6585899+1153350+258761</f>
        <v>7998010</v>
      </c>
      <c r="H1792" s="573"/>
      <c r="I1792" s="487"/>
      <c r="J1792" s="573">
        <v>1372064</v>
      </c>
      <c r="K1792" s="487">
        <v>1356203</v>
      </c>
      <c r="L1792" s="573">
        <v>3568862</v>
      </c>
      <c r="M1792" s="573"/>
      <c r="N1792" s="456">
        <f t="shared" si="225"/>
        <v>3568862</v>
      </c>
      <c r="O1792" s="487">
        <v>3997897</v>
      </c>
      <c r="P1792" s="487"/>
      <c r="Q1792" s="274">
        <f t="shared" si="220"/>
        <v>3997897</v>
      </c>
      <c r="R1792" s="574">
        <f t="shared" si="221"/>
        <v>11942694</v>
      </c>
      <c r="S1792" s="275">
        <f t="shared" si="222"/>
        <v>13352110</v>
      </c>
      <c r="T1792" s="575"/>
      <c r="U1792" s="487"/>
      <c r="V1792" s="576"/>
      <c r="W1792" s="573"/>
      <c r="X1792" s="574">
        <f t="shared" si="226"/>
        <v>0</v>
      </c>
      <c r="Y1792" s="487"/>
      <c r="Z1792" s="487"/>
      <c r="AA1792" s="276">
        <f t="shared" si="227"/>
        <v>0</v>
      </c>
      <c r="AB1792" s="573"/>
      <c r="AC1792" s="487"/>
      <c r="AD1792" s="573"/>
      <c r="AE1792" s="487"/>
      <c r="AF1792" s="577">
        <f t="shared" si="223"/>
        <v>11942694</v>
      </c>
      <c r="AG1792" s="275">
        <f t="shared" si="224"/>
        <v>13352110</v>
      </c>
    </row>
    <row r="1793" spans="1:34" s="578" customFormat="1" ht="12" customHeight="1">
      <c r="A1793" s="728" t="s">
        <v>1280</v>
      </c>
      <c r="B1793" s="728" t="s">
        <v>1776</v>
      </c>
      <c r="C1793" s="732" t="s">
        <v>34</v>
      </c>
      <c r="D1793" s="730">
        <v>176354</v>
      </c>
      <c r="E1793" s="731">
        <v>10</v>
      </c>
      <c r="F1793" s="573">
        <f>6261274+1160993</f>
        <v>7422267</v>
      </c>
      <c r="G1793" s="487">
        <f>6671614+1132150+254004</f>
        <v>8057768</v>
      </c>
      <c r="H1793" s="573"/>
      <c r="I1793" s="487"/>
      <c r="J1793" s="573">
        <v>1062500</v>
      </c>
      <c r="K1793" s="487">
        <v>1095000</v>
      </c>
      <c r="L1793" s="573">
        <v>3581525</v>
      </c>
      <c r="M1793" s="573"/>
      <c r="N1793" s="456">
        <f t="shared" si="225"/>
        <v>3581525</v>
      </c>
      <c r="O1793" s="487">
        <v>4008725</v>
      </c>
      <c r="P1793" s="487"/>
      <c r="Q1793" s="274">
        <f t="shared" si="220"/>
        <v>4008725</v>
      </c>
      <c r="R1793" s="574">
        <f t="shared" si="221"/>
        <v>12066292</v>
      </c>
      <c r="S1793" s="275">
        <f t="shared" si="222"/>
        <v>13161493</v>
      </c>
      <c r="T1793" s="575"/>
      <c r="U1793" s="487"/>
      <c r="V1793" s="576"/>
      <c r="W1793" s="573"/>
      <c r="X1793" s="574">
        <f t="shared" si="226"/>
        <v>0</v>
      </c>
      <c r="Y1793" s="487"/>
      <c r="Z1793" s="487"/>
      <c r="AA1793" s="276">
        <f t="shared" si="227"/>
        <v>0</v>
      </c>
      <c r="AB1793" s="573"/>
      <c r="AC1793" s="487"/>
      <c r="AD1793" s="573"/>
      <c r="AE1793" s="487"/>
      <c r="AF1793" s="577">
        <f t="shared" si="223"/>
        <v>12066292</v>
      </c>
      <c r="AG1793" s="275">
        <f t="shared" si="224"/>
        <v>13161493</v>
      </c>
    </row>
    <row r="1794" spans="1:34" s="578" customFormat="1" ht="12" customHeight="1">
      <c r="A1794" s="728" t="s">
        <v>1280</v>
      </c>
      <c r="B1794" s="728" t="s">
        <v>1785</v>
      </c>
      <c r="C1794" s="496" t="s">
        <v>35</v>
      </c>
      <c r="D1794" s="730"/>
      <c r="E1794" s="733"/>
      <c r="F1794" s="573"/>
      <c r="G1794" s="487"/>
      <c r="H1794" s="573"/>
      <c r="I1794" s="487"/>
      <c r="J1794" s="573"/>
      <c r="K1794" s="487"/>
      <c r="L1794" s="573"/>
      <c r="M1794" s="573"/>
      <c r="N1794" s="456">
        <f t="shared" si="225"/>
        <v>0</v>
      </c>
      <c r="O1794" s="487"/>
      <c r="P1794" s="487"/>
      <c r="Q1794" s="274">
        <f t="shared" si="220"/>
        <v>0</v>
      </c>
      <c r="R1794" s="574">
        <f t="shared" si="221"/>
        <v>0</v>
      </c>
      <c r="S1794" s="275">
        <f t="shared" si="222"/>
        <v>0</v>
      </c>
      <c r="T1794" s="575"/>
      <c r="U1794" s="487"/>
      <c r="V1794" s="576"/>
      <c r="W1794" s="573"/>
      <c r="X1794" s="574">
        <f t="shared" si="226"/>
        <v>0</v>
      </c>
      <c r="Y1794" s="487"/>
      <c r="Z1794" s="487"/>
      <c r="AA1794" s="276">
        <f t="shared" si="227"/>
        <v>0</v>
      </c>
      <c r="AB1794" s="573"/>
      <c r="AC1794" s="487"/>
      <c r="AD1794" s="573"/>
      <c r="AE1794" s="487"/>
      <c r="AF1794" s="577">
        <f t="shared" si="223"/>
        <v>0</v>
      </c>
      <c r="AG1794" s="275">
        <f t="shared" si="224"/>
        <v>0</v>
      </c>
    </row>
    <row r="1795" spans="1:34" s="578" customFormat="1" ht="12" customHeight="1" thickBot="1">
      <c r="A1795" s="728" t="s">
        <v>1280</v>
      </c>
      <c r="B1795" s="728" t="s">
        <v>1787</v>
      </c>
      <c r="C1795" s="497" t="s">
        <v>1770</v>
      </c>
      <c r="D1795" s="730"/>
      <c r="E1795" s="733"/>
      <c r="F1795" s="573"/>
      <c r="G1795" s="487"/>
      <c r="H1795" s="573"/>
      <c r="I1795" s="487"/>
      <c r="J1795" s="573"/>
      <c r="K1795" s="487"/>
      <c r="L1795" s="573"/>
      <c r="M1795" s="573"/>
      <c r="N1795" s="456">
        <f t="shared" si="225"/>
        <v>0</v>
      </c>
      <c r="O1795" s="487"/>
      <c r="P1795" s="487"/>
      <c r="Q1795" s="274">
        <f t="shared" si="220"/>
        <v>0</v>
      </c>
      <c r="R1795" s="574">
        <f t="shared" si="221"/>
        <v>0</v>
      </c>
      <c r="S1795" s="275">
        <f t="shared" si="222"/>
        <v>0</v>
      </c>
      <c r="T1795" s="575"/>
      <c r="U1795" s="487"/>
      <c r="V1795" s="576"/>
      <c r="W1795" s="573"/>
      <c r="X1795" s="574">
        <f t="shared" si="226"/>
        <v>0</v>
      </c>
      <c r="Y1795" s="487"/>
      <c r="Z1795" s="487"/>
      <c r="AA1795" s="276">
        <f t="shared" si="227"/>
        <v>0</v>
      </c>
      <c r="AB1795" s="573"/>
      <c r="AC1795" s="487"/>
      <c r="AD1795" s="573"/>
      <c r="AE1795" s="487"/>
      <c r="AF1795" s="577">
        <f t="shared" si="223"/>
        <v>0</v>
      </c>
      <c r="AG1795" s="275">
        <f t="shared" si="224"/>
        <v>0</v>
      </c>
    </row>
    <row r="1796" spans="1:34" s="578" customFormat="1" ht="12" customHeight="1">
      <c r="A1796" s="728" t="s">
        <v>1280</v>
      </c>
      <c r="B1796" s="728" t="s">
        <v>1787</v>
      </c>
      <c r="C1796" s="734" t="s">
        <v>36</v>
      </c>
      <c r="D1796" s="730"/>
      <c r="E1796" s="733"/>
      <c r="F1796" s="573"/>
      <c r="G1796" s="487"/>
      <c r="H1796" s="587">
        <f>3945704+23100000</f>
        <v>27045704</v>
      </c>
      <c r="I1796" s="499">
        <v>24849146</v>
      </c>
      <c r="J1796" s="573"/>
      <c r="K1796" s="487"/>
      <c r="L1796" s="573"/>
      <c r="M1796" s="573"/>
      <c r="N1796" s="456">
        <f t="shared" si="225"/>
        <v>0</v>
      </c>
      <c r="O1796" s="487"/>
      <c r="P1796" s="487"/>
      <c r="Q1796" s="274">
        <f t="shared" si="220"/>
        <v>0</v>
      </c>
      <c r="R1796" s="574">
        <f t="shared" si="221"/>
        <v>27045704</v>
      </c>
      <c r="S1796" s="275">
        <f t="shared" si="222"/>
        <v>24849146</v>
      </c>
      <c r="T1796" s="575"/>
      <c r="U1796" s="487"/>
      <c r="V1796" s="576"/>
      <c r="W1796" s="573"/>
      <c r="X1796" s="574">
        <f t="shared" si="226"/>
        <v>0</v>
      </c>
      <c r="Y1796" s="487"/>
      <c r="Z1796" s="487"/>
      <c r="AA1796" s="276">
        <f t="shared" si="227"/>
        <v>0</v>
      </c>
      <c r="AB1796" s="573"/>
      <c r="AC1796" s="487"/>
      <c r="AD1796" s="573"/>
      <c r="AE1796" s="487"/>
      <c r="AF1796" s="577">
        <f t="shared" si="223"/>
        <v>27045704</v>
      </c>
      <c r="AG1796" s="275">
        <f t="shared" si="224"/>
        <v>24849146</v>
      </c>
    </row>
    <row r="1797" spans="1:34" s="578" customFormat="1" ht="12" customHeight="1">
      <c r="A1797" s="728" t="s">
        <v>1280</v>
      </c>
      <c r="B1797" s="728" t="s">
        <v>1821</v>
      </c>
      <c r="C1797" s="496" t="s">
        <v>828</v>
      </c>
      <c r="D1797" s="730"/>
      <c r="E1797" s="733"/>
      <c r="F1797" s="573"/>
      <c r="G1797" s="487"/>
      <c r="H1797" s="576"/>
      <c r="I1797" s="487"/>
      <c r="J1797" s="573"/>
      <c r="K1797" s="487"/>
      <c r="L1797" s="573"/>
      <c r="M1797" s="573"/>
      <c r="N1797" s="456">
        <f t="shared" si="225"/>
        <v>0</v>
      </c>
      <c r="O1797" s="487"/>
      <c r="P1797" s="487"/>
      <c r="Q1797" s="274">
        <f t="shared" si="220"/>
        <v>0</v>
      </c>
      <c r="R1797" s="574">
        <f t="shared" si="221"/>
        <v>0</v>
      </c>
      <c r="S1797" s="275">
        <f t="shared" si="222"/>
        <v>0</v>
      </c>
      <c r="T1797" s="575"/>
      <c r="U1797" s="487"/>
      <c r="V1797" s="576"/>
      <c r="W1797" s="573"/>
      <c r="X1797" s="574">
        <f t="shared" si="226"/>
        <v>0</v>
      </c>
      <c r="Y1797" s="487"/>
      <c r="Z1797" s="487"/>
      <c r="AA1797" s="276">
        <f t="shared" si="227"/>
        <v>0</v>
      </c>
      <c r="AB1797" s="573"/>
      <c r="AC1797" s="487"/>
      <c r="AD1797" s="573"/>
      <c r="AE1797" s="487"/>
      <c r="AF1797" s="577">
        <f t="shared" si="223"/>
        <v>0</v>
      </c>
      <c r="AG1797" s="275">
        <f t="shared" si="224"/>
        <v>0</v>
      </c>
    </row>
    <row r="1798" spans="1:34" s="578" customFormat="1" ht="12" customHeight="1">
      <c r="A1798" s="729" t="s">
        <v>1280</v>
      </c>
      <c r="B1798" s="728" t="s">
        <v>1821</v>
      </c>
      <c r="C1798" s="734" t="s">
        <v>37</v>
      </c>
      <c r="D1798" s="730"/>
      <c r="E1798" s="733"/>
      <c r="F1798" s="573"/>
      <c r="G1798" s="487"/>
      <c r="H1798" s="576">
        <v>27392</v>
      </c>
      <c r="I1798" s="487">
        <v>106392</v>
      </c>
      <c r="J1798" s="573"/>
      <c r="K1798" s="487"/>
      <c r="L1798" s="573"/>
      <c r="M1798" s="573"/>
      <c r="N1798" s="456">
        <f t="shared" si="225"/>
        <v>0</v>
      </c>
      <c r="O1798" s="487"/>
      <c r="P1798" s="487"/>
      <c r="Q1798" s="274">
        <f t="shared" si="220"/>
        <v>0</v>
      </c>
      <c r="R1798" s="574">
        <f t="shared" si="221"/>
        <v>27392</v>
      </c>
      <c r="S1798" s="275">
        <f t="shared" si="222"/>
        <v>106392</v>
      </c>
      <c r="T1798" s="575"/>
      <c r="U1798" s="487"/>
      <c r="V1798" s="576"/>
      <c r="W1798" s="573"/>
      <c r="X1798" s="574">
        <f t="shared" si="226"/>
        <v>0</v>
      </c>
      <c r="Y1798" s="487"/>
      <c r="Z1798" s="487"/>
      <c r="AA1798" s="276">
        <f t="shared" si="227"/>
        <v>0</v>
      </c>
      <c r="AB1798" s="573"/>
      <c r="AC1798" s="487"/>
      <c r="AD1798" s="573"/>
      <c r="AE1798" s="487"/>
      <c r="AF1798" s="577">
        <f t="shared" si="223"/>
        <v>27392</v>
      </c>
      <c r="AG1798" s="275">
        <f t="shared" si="224"/>
        <v>106392</v>
      </c>
    </row>
    <row r="1799" spans="1:34" s="578" customFormat="1" ht="12" customHeight="1">
      <c r="A1799" s="728" t="s">
        <v>1280</v>
      </c>
      <c r="B1799" s="728" t="s">
        <v>1821</v>
      </c>
      <c r="C1799" s="735" t="s">
        <v>38</v>
      </c>
      <c r="D1799" s="730"/>
      <c r="E1799" s="731"/>
      <c r="F1799" s="573"/>
      <c r="G1799" s="487"/>
      <c r="H1799" s="576">
        <v>27205973</v>
      </c>
      <c r="I1799" s="487">
        <v>26443473</v>
      </c>
      <c r="J1799" s="573"/>
      <c r="K1799" s="487"/>
      <c r="L1799" s="573"/>
      <c r="M1799" s="573"/>
      <c r="N1799" s="456">
        <f t="shared" si="225"/>
        <v>0</v>
      </c>
      <c r="O1799" s="487"/>
      <c r="P1799" s="487"/>
      <c r="Q1799" s="274">
        <f t="shared" si="220"/>
        <v>0</v>
      </c>
      <c r="R1799" s="574">
        <f t="shared" si="221"/>
        <v>27205973</v>
      </c>
      <c r="S1799" s="275">
        <f t="shared" si="222"/>
        <v>26443473</v>
      </c>
      <c r="T1799" s="575"/>
      <c r="U1799" s="487"/>
      <c r="V1799" s="576"/>
      <c r="W1799" s="573"/>
      <c r="X1799" s="574">
        <f t="shared" si="226"/>
        <v>0</v>
      </c>
      <c r="Y1799" s="487"/>
      <c r="Z1799" s="487"/>
      <c r="AA1799" s="276">
        <f t="shared" si="227"/>
        <v>0</v>
      </c>
      <c r="AB1799" s="573"/>
      <c r="AC1799" s="487"/>
      <c r="AD1799" s="573"/>
      <c r="AE1799" s="487"/>
      <c r="AF1799" s="577">
        <f t="shared" si="223"/>
        <v>27205973</v>
      </c>
      <c r="AG1799" s="275">
        <f t="shared" si="224"/>
        <v>26443473</v>
      </c>
    </row>
    <row r="1800" spans="1:34" s="578" customFormat="1" ht="12" customHeight="1" thickBot="1">
      <c r="A1800" s="728" t="s">
        <v>1280</v>
      </c>
      <c r="B1800" s="728" t="s">
        <v>1821</v>
      </c>
      <c r="C1800" s="735" t="s">
        <v>39</v>
      </c>
      <c r="D1800" s="730"/>
      <c r="E1800" s="731"/>
      <c r="F1800" s="573"/>
      <c r="G1800" s="487"/>
      <c r="H1800" s="591">
        <v>548492</v>
      </c>
      <c r="I1800" s="471">
        <v>548492</v>
      </c>
      <c r="J1800" s="573"/>
      <c r="K1800" s="487"/>
      <c r="L1800" s="573"/>
      <c r="M1800" s="573"/>
      <c r="N1800" s="456">
        <f t="shared" si="225"/>
        <v>0</v>
      </c>
      <c r="O1800" s="487"/>
      <c r="P1800" s="487"/>
      <c r="Q1800" s="274">
        <f t="shared" si="220"/>
        <v>0</v>
      </c>
      <c r="R1800" s="574">
        <f t="shared" si="221"/>
        <v>548492</v>
      </c>
      <c r="S1800" s="275">
        <f t="shared" si="222"/>
        <v>548492</v>
      </c>
      <c r="T1800" s="575"/>
      <c r="U1800" s="487"/>
      <c r="V1800" s="576"/>
      <c r="W1800" s="573"/>
      <c r="X1800" s="574">
        <f t="shared" si="226"/>
        <v>0</v>
      </c>
      <c r="Y1800" s="487"/>
      <c r="Z1800" s="487"/>
      <c r="AA1800" s="276">
        <f t="shared" si="227"/>
        <v>0</v>
      </c>
      <c r="AB1800" s="573"/>
      <c r="AC1800" s="487"/>
      <c r="AD1800" s="573"/>
      <c r="AE1800" s="487"/>
      <c r="AF1800" s="577">
        <f t="shared" si="223"/>
        <v>548492</v>
      </c>
      <c r="AG1800" s="275">
        <f t="shared" si="224"/>
        <v>548492</v>
      </c>
    </row>
    <row r="1801" spans="1:34" s="578" customFormat="1" ht="12" customHeight="1">
      <c r="A1801" s="728" t="s">
        <v>1280</v>
      </c>
      <c r="B1801" s="728" t="s">
        <v>1794</v>
      </c>
      <c r="C1801" s="496" t="s">
        <v>849</v>
      </c>
      <c r="D1801" s="730"/>
      <c r="E1801" s="733"/>
      <c r="F1801" s="573"/>
      <c r="G1801" s="487"/>
      <c r="H1801" s="573"/>
      <c r="I1801" s="487"/>
      <c r="J1801" s="573"/>
      <c r="K1801" s="487"/>
      <c r="L1801" s="573"/>
      <c r="M1801" s="573"/>
      <c r="N1801" s="456">
        <f t="shared" si="225"/>
        <v>0</v>
      </c>
      <c r="O1801" s="487"/>
      <c r="P1801" s="487"/>
      <c r="Q1801" s="274">
        <f t="shared" si="220"/>
        <v>0</v>
      </c>
      <c r="R1801" s="574">
        <f t="shared" si="221"/>
        <v>0</v>
      </c>
      <c r="S1801" s="275">
        <f t="shared" si="222"/>
        <v>0</v>
      </c>
      <c r="T1801" s="575"/>
      <c r="U1801" s="487"/>
      <c r="V1801" s="576"/>
      <c r="W1801" s="573"/>
      <c r="X1801" s="574">
        <f t="shared" si="226"/>
        <v>0</v>
      </c>
      <c r="Y1801" s="487"/>
      <c r="Z1801" s="487"/>
      <c r="AA1801" s="276">
        <f t="shared" si="227"/>
        <v>0</v>
      </c>
      <c r="AB1801" s="573"/>
      <c r="AC1801" s="487"/>
      <c r="AD1801" s="573"/>
      <c r="AE1801" s="487"/>
      <c r="AF1801" s="577">
        <f t="shared" si="223"/>
        <v>0</v>
      </c>
      <c r="AG1801" s="275">
        <f t="shared" si="224"/>
        <v>0</v>
      </c>
    </row>
    <row r="1802" spans="1:34" s="578" customFormat="1" ht="12" customHeight="1">
      <c r="A1802" s="728" t="s">
        <v>1280</v>
      </c>
      <c r="B1802" s="728" t="s">
        <v>1796</v>
      </c>
      <c r="C1802" s="498" t="s">
        <v>956</v>
      </c>
      <c r="D1802" s="730"/>
      <c r="E1802" s="733"/>
      <c r="F1802" s="573"/>
      <c r="G1802" s="487"/>
      <c r="H1802" s="573"/>
      <c r="I1802" s="487"/>
      <c r="J1802" s="573"/>
      <c r="K1802" s="487"/>
      <c r="L1802" s="573"/>
      <c r="M1802" s="573"/>
      <c r="N1802" s="456">
        <f t="shared" si="225"/>
        <v>0</v>
      </c>
      <c r="O1802" s="487"/>
      <c r="P1802" s="487"/>
      <c r="Q1802" s="274">
        <f t="shared" ref="Q1802:Q1865" si="228">SUM(O1802:P1802)</f>
        <v>0</v>
      </c>
      <c r="R1802" s="574">
        <f t="shared" ref="R1802:R1865" si="229">SUM(F1802,H1802,J1802,L1802)</f>
        <v>0</v>
      </c>
      <c r="S1802" s="275">
        <f t="shared" ref="S1802:S1865" si="230">SUM(G1802,I1802,K1802,O1802)</f>
        <v>0</v>
      </c>
      <c r="T1802" s="575"/>
      <c r="U1802" s="487"/>
      <c r="V1802" s="576"/>
      <c r="W1802" s="573"/>
      <c r="X1802" s="574">
        <f t="shared" si="226"/>
        <v>0</v>
      </c>
      <c r="Y1802" s="487"/>
      <c r="Z1802" s="487"/>
      <c r="AA1802" s="276">
        <f t="shared" si="227"/>
        <v>0</v>
      </c>
      <c r="AB1802" s="573"/>
      <c r="AC1802" s="487"/>
      <c r="AD1802" s="573"/>
      <c r="AE1802" s="487"/>
      <c r="AF1802" s="577">
        <f t="shared" ref="AF1802:AF1865" si="231">SUM(R1802,T1802,V1802,AB1802,AD1802)</f>
        <v>0</v>
      </c>
      <c r="AG1802" s="275">
        <f t="shared" ref="AG1802:AG1865" si="232">SUM(S1802,U1802,Y1802,AC1802,AE1802)</f>
        <v>0</v>
      </c>
    </row>
    <row r="1803" spans="1:34" ht="12" customHeight="1">
      <c r="A1803" s="728" t="s">
        <v>1280</v>
      </c>
      <c r="B1803" s="728" t="s">
        <v>1796</v>
      </c>
      <c r="C1803" s="734" t="s">
        <v>40</v>
      </c>
      <c r="D1803" s="730"/>
      <c r="E1803" s="733"/>
      <c r="F1803" s="573"/>
      <c r="G1803" s="487"/>
      <c r="H1803" s="573"/>
      <c r="I1803" s="487"/>
      <c r="J1803" s="573"/>
      <c r="K1803" s="487"/>
      <c r="L1803" s="573"/>
      <c r="M1803" s="573"/>
      <c r="N1803" s="456">
        <f t="shared" si="225"/>
        <v>0</v>
      </c>
      <c r="O1803" s="487"/>
      <c r="P1803" s="487"/>
      <c r="Q1803" s="274">
        <f t="shared" si="228"/>
        <v>0</v>
      </c>
      <c r="R1803" s="574">
        <f t="shared" si="229"/>
        <v>0</v>
      </c>
      <c r="S1803" s="275">
        <f t="shared" si="230"/>
        <v>0</v>
      </c>
      <c r="T1803" s="575">
        <f>1110079+44000+866824+118726</f>
        <v>2139629</v>
      </c>
      <c r="U1803" s="487">
        <f>1219259+1165564+45500+113226-106392</f>
        <v>2437157</v>
      </c>
      <c r="V1803" s="576"/>
      <c r="W1803" s="573"/>
      <c r="X1803" s="574">
        <f t="shared" si="226"/>
        <v>0</v>
      </c>
      <c r="Y1803" s="487"/>
      <c r="Z1803" s="487"/>
      <c r="AA1803" s="276">
        <f t="shared" si="227"/>
        <v>0</v>
      </c>
      <c r="AB1803" s="573"/>
      <c r="AC1803" s="487"/>
      <c r="AD1803" s="573"/>
      <c r="AE1803" s="487"/>
      <c r="AF1803" s="577">
        <f t="shared" si="231"/>
        <v>2139629</v>
      </c>
      <c r="AG1803" s="275">
        <f t="shared" si="232"/>
        <v>2437157</v>
      </c>
      <c r="AH1803" s="578"/>
    </row>
    <row r="1804" spans="1:34" ht="12" customHeight="1">
      <c r="A1804" s="642" t="s">
        <v>1281</v>
      </c>
      <c r="B1804" s="642" t="s">
        <v>1776</v>
      </c>
      <c r="C1804" s="643" t="s">
        <v>1525</v>
      </c>
      <c r="D1804" s="736">
        <v>199193</v>
      </c>
      <c r="E1804" s="737">
        <v>1</v>
      </c>
      <c r="F1804" s="573">
        <v>340022159</v>
      </c>
      <c r="G1804" s="487">
        <v>372449049</v>
      </c>
      <c r="H1804" s="573"/>
      <c r="I1804" s="487"/>
      <c r="J1804" s="573"/>
      <c r="K1804" s="487"/>
      <c r="L1804" s="573">
        <v>166883707</v>
      </c>
      <c r="M1804" s="573"/>
      <c r="N1804" s="456">
        <f t="shared" si="225"/>
        <v>166883707</v>
      </c>
      <c r="O1804" s="487">
        <v>173201416</v>
      </c>
      <c r="P1804" s="487"/>
      <c r="Q1804" s="274">
        <f t="shared" si="228"/>
        <v>173201416</v>
      </c>
      <c r="R1804" s="574">
        <f t="shared" si="229"/>
        <v>506905866</v>
      </c>
      <c r="S1804" s="275">
        <f t="shared" si="230"/>
        <v>545650465</v>
      </c>
      <c r="T1804" s="575"/>
      <c r="U1804" s="487"/>
      <c r="V1804" s="576"/>
      <c r="W1804" s="573"/>
      <c r="X1804" s="574">
        <f t="shared" si="226"/>
        <v>0</v>
      </c>
      <c r="Y1804" s="487"/>
      <c r="Z1804" s="487"/>
      <c r="AA1804" s="276">
        <f t="shared" si="227"/>
        <v>0</v>
      </c>
      <c r="AB1804" s="573"/>
      <c r="AC1804" s="487"/>
      <c r="AD1804" s="573"/>
      <c r="AE1804" s="487"/>
      <c r="AF1804" s="577">
        <f t="shared" si="231"/>
        <v>506905866</v>
      </c>
      <c r="AG1804" s="275">
        <f t="shared" si="232"/>
        <v>545650465</v>
      </c>
    </row>
    <row r="1805" spans="1:34" ht="12" customHeight="1">
      <c r="A1805" s="642" t="s">
        <v>1281</v>
      </c>
      <c r="B1805" s="642" t="s">
        <v>1793</v>
      </c>
      <c r="C1805" s="738" t="s">
        <v>1317</v>
      </c>
      <c r="D1805" s="736">
        <v>199193</v>
      </c>
      <c r="E1805" s="737">
        <v>1</v>
      </c>
      <c r="F1805" s="573"/>
      <c r="G1805" s="487"/>
      <c r="H1805" s="573"/>
      <c r="I1805" s="487"/>
      <c r="J1805" s="573"/>
      <c r="K1805" s="487"/>
      <c r="L1805" s="573"/>
      <c r="M1805" s="573"/>
      <c r="N1805" s="456">
        <f t="shared" si="225"/>
        <v>0</v>
      </c>
      <c r="O1805" s="487"/>
      <c r="P1805" s="487"/>
      <c r="Q1805" s="274">
        <f t="shared" si="228"/>
        <v>0</v>
      </c>
      <c r="R1805" s="574">
        <f t="shared" si="229"/>
        <v>0</v>
      </c>
      <c r="S1805" s="275">
        <f t="shared" si="230"/>
        <v>0</v>
      </c>
      <c r="T1805" s="575"/>
      <c r="U1805" s="487"/>
      <c r="V1805" s="576"/>
      <c r="W1805" s="573"/>
      <c r="X1805" s="574">
        <f t="shared" si="226"/>
        <v>0</v>
      </c>
      <c r="Y1805" s="487"/>
      <c r="Z1805" s="487"/>
      <c r="AA1805" s="276">
        <f t="shared" si="227"/>
        <v>0</v>
      </c>
      <c r="AB1805" s="573">
        <v>26941113</v>
      </c>
      <c r="AC1805" s="487">
        <v>28373304</v>
      </c>
      <c r="AD1805" s="573">
        <v>3720113</v>
      </c>
      <c r="AE1805" s="487">
        <v>3720113</v>
      </c>
      <c r="AF1805" s="577">
        <f t="shared" si="231"/>
        <v>30661226</v>
      </c>
      <c r="AG1805" s="275">
        <f t="shared" si="232"/>
        <v>32093417</v>
      </c>
    </row>
    <row r="1806" spans="1:34" ht="12" customHeight="1">
      <c r="A1806" s="642" t="s">
        <v>1281</v>
      </c>
      <c r="B1806" s="642" t="s">
        <v>1780</v>
      </c>
      <c r="C1806" s="283" t="s">
        <v>1769</v>
      </c>
      <c r="D1806" s="736">
        <v>199193</v>
      </c>
      <c r="E1806" s="737">
        <v>1</v>
      </c>
      <c r="F1806" s="573"/>
      <c r="G1806" s="487"/>
      <c r="H1806" s="573">
        <v>44062874</v>
      </c>
      <c r="I1806" s="487">
        <v>45406148</v>
      </c>
      <c r="J1806" s="573"/>
      <c r="K1806" s="487"/>
      <c r="L1806" s="573"/>
      <c r="M1806" s="573"/>
      <c r="N1806" s="456">
        <f t="shared" si="225"/>
        <v>0</v>
      </c>
      <c r="O1806" s="487"/>
      <c r="P1806" s="487"/>
      <c r="Q1806" s="274">
        <f t="shared" si="228"/>
        <v>0</v>
      </c>
      <c r="R1806" s="574">
        <f t="shared" si="229"/>
        <v>44062874</v>
      </c>
      <c r="S1806" s="275">
        <f t="shared" si="230"/>
        <v>45406148</v>
      </c>
      <c r="T1806" s="575"/>
      <c r="U1806" s="487"/>
      <c r="V1806" s="576"/>
      <c r="W1806" s="573"/>
      <c r="X1806" s="574">
        <f t="shared" si="226"/>
        <v>0</v>
      </c>
      <c r="Y1806" s="487"/>
      <c r="Z1806" s="487"/>
      <c r="AA1806" s="276">
        <f t="shared" si="227"/>
        <v>0</v>
      </c>
      <c r="AB1806" s="573"/>
      <c r="AC1806" s="487"/>
      <c r="AD1806" s="573"/>
      <c r="AE1806" s="487"/>
      <c r="AF1806" s="577">
        <f t="shared" si="231"/>
        <v>44062874</v>
      </c>
      <c r="AG1806" s="275">
        <f t="shared" si="232"/>
        <v>45406148</v>
      </c>
    </row>
    <row r="1807" spans="1:34" ht="12" customHeight="1">
      <c r="A1807" s="642" t="s">
        <v>1281</v>
      </c>
      <c r="B1807" s="642" t="s">
        <v>1781</v>
      </c>
      <c r="C1807" s="283" t="s">
        <v>1768</v>
      </c>
      <c r="D1807" s="736">
        <v>199193</v>
      </c>
      <c r="E1807" s="737">
        <v>1</v>
      </c>
      <c r="F1807" s="573"/>
      <c r="G1807" s="487"/>
      <c r="H1807" s="573"/>
      <c r="I1807" s="487"/>
      <c r="J1807" s="573"/>
      <c r="K1807" s="487"/>
      <c r="L1807" s="573"/>
      <c r="M1807" s="573"/>
      <c r="N1807" s="456">
        <f t="shared" si="225"/>
        <v>0</v>
      </c>
      <c r="O1807" s="487"/>
      <c r="P1807" s="487"/>
      <c r="Q1807" s="274">
        <f t="shared" si="228"/>
        <v>0</v>
      </c>
      <c r="R1807" s="574">
        <f t="shared" si="229"/>
        <v>0</v>
      </c>
      <c r="S1807" s="275">
        <f t="shared" si="230"/>
        <v>0</v>
      </c>
      <c r="T1807" s="575"/>
      <c r="U1807" s="487"/>
      <c r="V1807" s="576"/>
      <c r="W1807" s="573"/>
      <c r="X1807" s="574">
        <f t="shared" si="226"/>
        <v>0</v>
      </c>
      <c r="Y1807" s="487"/>
      <c r="Z1807" s="487"/>
      <c r="AA1807" s="276">
        <f t="shared" si="227"/>
        <v>0</v>
      </c>
      <c r="AB1807" s="573"/>
      <c r="AC1807" s="487"/>
      <c r="AD1807" s="573"/>
      <c r="AE1807" s="487"/>
      <c r="AF1807" s="577">
        <f t="shared" si="231"/>
        <v>0</v>
      </c>
      <c r="AG1807" s="275">
        <f t="shared" si="232"/>
        <v>0</v>
      </c>
    </row>
    <row r="1808" spans="1:34" ht="12" customHeight="1">
      <c r="A1808" s="642" t="s">
        <v>1281</v>
      </c>
      <c r="B1808" s="642" t="s">
        <v>1781</v>
      </c>
      <c r="C1808" s="738" t="s">
        <v>475</v>
      </c>
      <c r="D1808" s="736">
        <v>199193</v>
      </c>
      <c r="E1808" s="737">
        <v>1</v>
      </c>
      <c r="F1808" s="573"/>
      <c r="G1808" s="487"/>
      <c r="H1808" s="573">
        <v>64912224</v>
      </c>
      <c r="I1808" s="487">
        <v>62920006</v>
      </c>
      <c r="J1808" s="573"/>
      <c r="K1808" s="487"/>
      <c r="L1808" s="573"/>
      <c r="M1808" s="573"/>
      <c r="N1808" s="456">
        <f t="shared" si="225"/>
        <v>0</v>
      </c>
      <c r="O1808" s="487"/>
      <c r="P1808" s="487"/>
      <c r="Q1808" s="274">
        <f t="shared" si="228"/>
        <v>0</v>
      </c>
      <c r="R1808" s="574">
        <f t="shared" si="229"/>
        <v>64912224</v>
      </c>
      <c r="S1808" s="275">
        <f t="shared" si="230"/>
        <v>62920006</v>
      </c>
      <c r="T1808" s="575"/>
      <c r="U1808" s="487"/>
      <c r="V1808" s="576"/>
      <c r="W1808" s="573"/>
      <c r="X1808" s="574">
        <f t="shared" si="226"/>
        <v>0</v>
      </c>
      <c r="Y1808" s="487"/>
      <c r="Z1808" s="487"/>
      <c r="AA1808" s="276">
        <f t="shared" si="227"/>
        <v>0</v>
      </c>
      <c r="AB1808" s="573"/>
      <c r="AC1808" s="487"/>
      <c r="AD1808" s="573"/>
      <c r="AE1808" s="487"/>
      <c r="AF1808" s="577">
        <f t="shared" si="231"/>
        <v>64912224</v>
      </c>
      <c r="AG1808" s="275">
        <f t="shared" si="232"/>
        <v>62920006</v>
      </c>
    </row>
    <row r="1809" spans="1:33" ht="12" customHeight="1">
      <c r="A1809" s="642" t="s">
        <v>1281</v>
      </c>
      <c r="B1809" s="642" t="s">
        <v>1776</v>
      </c>
      <c r="C1809" s="643" t="s">
        <v>476</v>
      </c>
      <c r="D1809" s="736">
        <v>199120</v>
      </c>
      <c r="E1809" s="737">
        <v>1</v>
      </c>
      <c r="F1809" s="573">
        <v>284282600</v>
      </c>
      <c r="G1809" s="487">
        <v>301709293</v>
      </c>
      <c r="H1809" s="573"/>
      <c r="I1809" s="487"/>
      <c r="J1809" s="573"/>
      <c r="K1809" s="487"/>
      <c r="L1809" s="573">
        <v>188564559</v>
      </c>
      <c r="M1809" s="573"/>
      <c r="N1809" s="456">
        <f t="shared" si="225"/>
        <v>188564559</v>
      </c>
      <c r="O1809" s="487">
        <v>199628357</v>
      </c>
      <c r="P1809" s="487"/>
      <c r="Q1809" s="274">
        <f t="shared" si="228"/>
        <v>199628357</v>
      </c>
      <c r="R1809" s="574">
        <f t="shared" si="229"/>
        <v>472847159</v>
      </c>
      <c r="S1809" s="275">
        <f t="shared" si="230"/>
        <v>501337650</v>
      </c>
      <c r="T1809" s="575"/>
      <c r="U1809" s="487"/>
      <c r="V1809" s="576"/>
      <c r="W1809" s="573"/>
      <c r="X1809" s="574">
        <f t="shared" si="226"/>
        <v>0</v>
      </c>
      <c r="Y1809" s="487"/>
      <c r="Z1809" s="487"/>
      <c r="AA1809" s="276">
        <f t="shared" si="227"/>
        <v>0</v>
      </c>
      <c r="AB1809" s="573"/>
      <c r="AC1809" s="487"/>
      <c r="AD1809" s="573"/>
      <c r="AE1809" s="487"/>
      <c r="AF1809" s="577">
        <f t="shared" si="231"/>
        <v>472847159</v>
      </c>
      <c r="AG1809" s="275">
        <f t="shared" si="232"/>
        <v>501337650</v>
      </c>
    </row>
    <row r="1810" spans="1:33" ht="12" customHeight="1">
      <c r="A1810" s="642" t="s">
        <v>1281</v>
      </c>
      <c r="B1810" s="642" t="s">
        <v>1793</v>
      </c>
      <c r="C1810" s="283" t="s">
        <v>1429</v>
      </c>
      <c r="D1810" s="736">
        <v>199120</v>
      </c>
      <c r="E1810" s="737">
        <v>1</v>
      </c>
      <c r="F1810" s="573"/>
      <c r="G1810" s="487"/>
      <c r="H1810" s="573"/>
      <c r="I1810" s="487"/>
      <c r="J1810" s="573"/>
      <c r="K1810" s="487"/>
      <c r="L1810" s="573"/>
      <c r="M1810" s="573"/>
      <c r="N1810" s="456">
        <f t="shared" si="225"/>
        <v>0</v>
      </c>
      <c r="O1810" s="487"/>
      <c r="P1810" s="487"/>
      <c r="Q1810" s="274">
        <f t="shared" si="228"/>
        <v>0</v>
      </c>
      <c r="R1810" s="574">
        <f t="shared" si="229"/>
        <v>0</v>
      </c>
      <c r="S1810" s="275">
        <f t="shared" si="230"/>
        <v>0</v>
      </c>
      <c r="T1810" s="575"/>
      <c r="U1810" s="487"/>
      <c r="V1810" s="576"/>
      <c r="W1810" s="573"/>
      <c r="X1810" s="574">
        <f t="shared" si="226"/>
        <v>0</v>
      </c>
      <c r="Y1810" s="487"/>
      <c r="Z1810" s="487"/>
      <c r="AA1810" s="276">
        <f t="shared" si="227"/>
        <v>0</v>
      </c>
      <c r="AB1810" s="573"/>
      <c r="AC1810" s="487"/>
      <c r="AD1810" s="573"/>
      <c r="AE1810" s="487"/>
      <c r="AF1810" s="577">
        <f t="shared" si="231"/>
        <v>0</v>
      </c>
      <c r="AG1810" s="275">
        <f t="shared" si="232"/>
        <v>0</v>
      </c>
    </row>
    <row r="1811" spans="1:33" ht="12" customHeight="1">
      <c r="A1811" s="642" t="s">
        <v>1281</v>
      </c>
      <c r="B1811" s="642" t="s">
        <v>1793</v>
      </c>
      <c r="C1811" s="738" t="s">
        <v>1614</v>
      </c>
      <c r="D1811" s="736">
        <v>199120</v>
      </c>
      <c r="E1811" s="737">
        <v>1</v>
      </c>
      <c r="F1811" s="573"/>
      <c r="G1811" s="487"/>
      <c r="H1811" s="573"/>
      <c r="I1811" s="487"/>
      <c r="J1811" s="573"/>
      <c r="K1811" s="487"/>
      <c r="L1811" s="573"/>
      <c r="M1811" s="573"/>
      <c r="N1811" s="456">
        <f t="shared" ref="N1811:N1874" si="233">SUM(L1811:M1811)</f>
        <v>0</v>
      </c>
      <c r="O1811" s="487"/>
      <c r="P1811" s="487"/>
      <c r="Q1811" s="274">
        <f t="shared" si="228"/>
        <v>0</v>
      </c>
      <c r="R1811" s="574">
        <f t="shared" si="229"/>
        <v>0</v>
      </c>
      <c r="S1811" s="275">
        <f t="shared" si="230"/>
        <v>0</v>
      </c>
      <c r="T1811" s="575"/>
      <c r="U1811" s="487"/>
      <c r="V1811" s="576"/>
      <c r="W1811" s="573"/>
      <c r="X1811" s="574">
        <f t="shared" ref="X1811:X1874" si="234">SUM(V1811:W1811)</f>
        <v>0</v>
      </c>
      <c r="Y1811" s="487"/>
      <c r="Z1811" s="487"/>
      <c r="AA1811" s="276">
        <f t="shared" ref="AA1811:AA1874" si="235">SUM(Y1811:Z1811)</f>
        <v>0</v>
      </c>
      <c r="AB1811" s="573">
        <v>207586478</v>
      </c>
      <c r="AC1811" s="487">
        <v>220952479</v>
      </c>
      <c r="AD1811" s="573">
        <v>44235477</v>
      </c>
      <c r="AE1811" s="487">
        <v>47415010</v>
      </c>
      <c r="AF1811" s="577">
        <f t="shared" si="231"/>
        <v>251821955</v>
      </c>
      <c r="AG1811" s="275">
        <f t="shared" si="232"/>
        <v>268367489</v>
      </c>
    </row>
    <row r="1812" spans="1:33" ht="12" customHeight="1">
      <c r="A1812" s="642" t="s">
        <v>1281</v>
      </c>
      <c r="B1812" s="642" t="s">
        <v>1776</v>
      </c>
      <c r="C1812" s="643" t="s">
        <v>479</v>
      </c>
      <c r="D1812" s="736">
        <v>199139</v>
      </c>
      <c r="E1812" s="737">
        <v>2</v>
      </c>
      <c r="F1812" s="573">
        <v>173669900</v>
      </c>
      <c r="G1812" s="487">
        <v>190353065</v>
      </c>
      <c r="H1812" s="573"/>
      <c r="I1812" s="487"/>
      <c r="J1812" s="573"/>
      <c r="K1812" s="487"/>
      <c r="L1812" s="573">
        <v>88863920</v>
      </c>
      <c r="M1812" s="573" t="s">
        <v>648</v>
      </c>
      <c r="N1812" s="456">
        <f t="shared" si="233"/>
        <v>88863920</v>
      </c>
      <c r="O1812" s="487">
        <v>92160227</v>
      </c>
      <c r="P1812" s="487"/>
      <c r="Q1812" s="274">
        <f t="shared" si="228"/>
        <v>92160227</v>
      </c>
      <c r="R1812" s="574">
        <f t="shared" si="229"/>
        <v>262533820</v>
      </c>
      <c r="S1812" s="275">
        <f t="shared" si="230"/>
        <v>282513292</v>
      </c>
      <c r="T1812" s="575"/>
      <c r="U1812" s="487"/>
      <c r="V1812" s="576"/>
      <c r="W1812" s="573"/>
      <c r="X1812" s="574">
        <f t="shared" si="234"/>
        <v>0</v>
      </c>
      <c r="Y1812" s="487"/>
      <c r="Z1812" s="487"/>
      <c r="AA1812" s="276">
        <f t="shared" si="235"/>
        <v>0</v>
      </c>
      <c r="AB1812" s="573"/>
      <c r="AC1812" s="487"/>
      <c r="AD1812" s="573"/>
      <c r="AE1812" s="487"/>
      <c r="AF1812" s="577">
        <f t="shared" si="231"/>
        <v>262533820</v>
      </c>
      <c r="AG1812" s="275">
        <f t="shared" si="232"/>
        <v>282513292</v>
      </c>
    </row>
    <row r="1813" spans="1:33" ht="12" customHeight="1">
      <c r="A1813" s="642" t="s">
        <v>1281</v>
      </c>
      <c r="B1813" s="642" t="s">
        <v>1776</v>
      </c>
      <c r="C1813" s="643" t="s">
        <v>477</v>
      </c>
      <c r="D1813" s="736">
        <v>199148</v>
      </c>
      <c r="E1813" s="737">
        <v>2</v>
      </c>
      <c r="F1813" s="573">
        <v>156611888</v>
      </c>
      <c r="G1813" s="487">
        <v>170894106</v>
      </c>
      <c r="H1813" s="573"/>
      <c r="I1813" s="487"/>
      <c r="J1813" s="573"/>
      <c r="K1813" s="487"/>
      <c r="L1813" s="573">
        <v>61127581</v>
      </c>
      <c r="M1813" s="573" t="s">
        <v>648</v>
      </c>
      <c r="N1813" s="456">
        <f t="shared" si="233"/>
        <v>61127581</v>
      </c>
      <c r="O1813" s="487">
        <v>61123107</v>
      </c>
      <c r="P1813" s="487"/>
      <c r="Q1813" s="274">
        <f t="shared" si="228"/>
        <v>61123107</v>
      </c>
      <c r="R1813" s="574">
        <f t="shared" si="229"/>
        <v>217739469</v>
      </c>
      <c r="S1813" s="275">
        <f t="shared" si="230"/>
        <v>232017213</v>
      </c>
      <c r="T1813" s="575"/>
      <c r="U1813" s="487"/>
      <c r="V1813" s="576"/>
      <c r="W1813" s="573"/>
      <c r="X1813" s="574">
        <f t="shared" si="234"/>
        <v>0</v>
      </c>
      <c r="Y1813" s="487"/>
      <c r="Z1813" s="487"/>
      <c r="AA1813" s="276">
        <f t="shared" si="235"/>
        <v>0</v>
      </c>
      <c r="AB1813" s="573"/>
      <c r="AC1813" s="487"/>
      <c r="AD1813" s="573"/>
      <c r="AE1813" s="487"/>
      <c r="AF1813" s="577">
        <f t="shared" si="231"/>
        <v>217739469</v>
      </c>
      <c r="AG1813" s="275">
        <f t="shared" si="232"/>
        <v>232017213</v>
      </c>
    </row>
    <row r="1814" spans="1:33" ht="12" customHeight="1">
      <c r="A1814" s="642" t="s">
        <v>1281</v>
      </c>
      <c r="B1814" s="642" t="s">
        <v>1776</v>
      </c>
      <c r="C1814" s="643" t="s">
        <v>478</v>
      </c>
      <c r="D1814" s="736">
        <v>197869</v>
      </c>
      <c r="E1814" s="737">
        <v>3</v>
      </c>
      <c r="F1814" s="573">
        <v>129331078</v>
      </c>
      <c r="G1814" s="487">
        <v>137919102</v>
      </c>
      <c r="H1814" s="573"/>
      <c r="I1814" s="487"/>
      <c r="J1814" s="573"/>
      <c r="K1814" s="487"/>
      <c r="L1814" s="573">
        <v>57722315</v>
      </c>
      <c r="M1814" s="573"/>
      <c r="N1814" s="456">
        <f t="shared" si="233"/>
        <v>57722315</v>
      </c>
      <c r="O1814" s="487">
        <v>61002182</v>
      </c>
      <c r="P1814" s="487"/>
      <c r="Q1814" s="274">
        <f t="shared" si="228"/>
        <v>61002182</v>
      </c>
      <c r="R1814" s="574">
        <f t="shared" si="229"/>
        <v>187053393</v>
      </c>
      <c r="S1814" s="275">
        <f t="shared" si="230"/>
        <v>198921284</v>
      </c>
      <c r="T1814" s="575"/>
      <c r="U1814" s="487"/>
      <c r="V1814" s="576"/>
      <c r="W1814" s="573"/>
      <c r="X1814" s="574">
        <f t="shared" si="234"/>
        <v>0</v>
      </c>
      <c r="Y1814" s="487"/>
      <c r="Z1814" s="487"/>
      <c r="AA1814" s="276">
        <f t="shared" si="235"/>
        <v>0</v>
      </c>
      <c r="AB1814" s="573"/>
      <c r="AC1814" s="487"/>
      <c r="AD1814" s="573"/>
      <c r="AE1814" s="487"/>
      <c r="AF1814" s="577">
        <f t="shared" si="231"/>
        <v>187053393</v>
      </c>
      <c r="AG1814" s="275">
        <f t="shared" si="232"/>
        <v>198921284</v>
      </c>
    </row>
    <row r="1815" spans="1:33" ht="12" customHeight="1">
      <c r="A1815" s="642" t="s">
        <v>1281</v>
      </c>
      <c r="B1815" s="642" t="s">
        <v>1776</v>
      </c>
      <c r="C1815" s="641" t="s">
        <v>1379</v>
      </c>
      <c r="D1815" s="736">
        <v>198464</v>
      </c>
      <c r="E1815" s="737">
        <v>3</v>
      </c>
      <c r="F1815" s="573">
        <v>211451551</v>
      </c>
      <c r="G1815" s="487">
        <v>229920438</v>
      </c>
      <c r="H1815" s="573"/>
      <c r="I1815" s="487"/>
      <c r="J1815" s="573"/>
      <c r="K1815" s="487"/>
      <c r="L1815" s="573">
        <v>99100636</v>
      </c>
      <c r="M1815" s="573"/>
      <c r="N1815" s="456">
        <f t="shared" si="233"/>
        <v>99100636</v>
      </c>
      <c r="O1815" s="487">
        <v>101938343</v>
      </c>
      <c r="P1815" s="487"/>
      <c r="Q1815" s="274">
        <f t="shared" si="228"/>
        <v>101938343</v>
      </c>
      <c r="R1815" s="574">
        <f t="shared" si="229"/>
        <v>310552187</v>
      </c>
      <c r="S1815" s="275">
        <f t="shared" si="230"/>
        <v>331858781</v>
      </c>
      <c r="T1815" s="575"/>
      <c r="U1815" s="487"/>
      <c r="V1815" s="576"/>
      <c r="W1815" s="573"/>
      <c r="X1815" s="574">
        <f t="shared" si="234"/>
        <v>0</v>
      </c>
      <c r="Y1815" s="487"/>
      <c r="Z1815" s="487"/>
      <c r="AA1815" s="276">
        <f t="shared" si="235"/>
        <v>0</v>
      </c>
      <c r="AB1815" s="573"/>
      <c r="AC1815" s="487"/>
      <c r="AD1815" s="573"/>
      <c r="AE1815" s="487"/>
      <c r="AF1815" s="577">
        <f t="shared" si="231"/>
        <v>310552187</v>
      </c>
      <c r="AG1815" s="275">
        <f t="shared" si="232"/>
        <v>331858781</v>
      </c>
    </row>
    <row r="1816" spans="1:33" ht="12" customHeight="1">
      <c r="A1816" s="642" t="s">
        <v>1281</v>
      </c>
      <c r="B1816" s="642" t="s">
        <v>1793</v>
      </c>
      <c r="C1816" s="739" t="s">
        <v>1614</v>
      </c>
      <c r="D1816" s="736">
        <v>198464</v>
      </c>
      <c r="E1816" s="737">
        <v>3</v>
      </c>
      <c r="F1816" s="573"/>
      <c r="G1816" s="487"/>
      <c r="H1816" s="573"/>
      <c r="I1816" s="487"/>
      <c r="J1816" s="573"/>
      <c r="K1816" s="487"/>
      <c r="L1816" s="573"/>
      <c r="M1816" s="573"/>
      <c r="N1816" s="456">
        <f t="shared" si="233"/>
        <v>0</v>
      </c>
      <c r="O1816" s="487"/>
      <c r="P1816" s="487"/>
      <c r="Q1816" s="274">
        <f t="shared" si="228"/>
        <v>0</v>
      </c>
      <c r="R1816" s="574">
        <f t="shared" si="229"/>
        <v>0</v>
      </c>
      <c r="S1816" s="275">
        <f t="shared" si="230"/>
        <v>0</v>
      </c>
      <c r="T1816" s="575"/>
      <c r="U1816" s="487"/>
      <c r="V1816" s="576"/>
      <c r="W1816" s="573"/>
      <c r="X1816" s="574">
        <f t="shared" si="234"/>
        <v>0</v>
      </c>
      <c r="Y1816" s="487"/>
      <c r="Z1816" s="487"/>
      <c r="AA1816" s="276">
        <f t="shared" si="235"/>
        <v>0</v>
      </c>
      <c r="AB1816" s="573">
        <v>54439236</v>
      </c>
      <c r="AC1816" s="487">
        <v>55411606</v>
      </c>
      <c r="AD1816" s="573">
        <v>1949800</v>
      </c>
      <c r="AE1816" s="487">
        <v>2299600</v>
      </c>
      <c r="AF1816" s="577">
        <f t="shared" si="231"/>
        <v>56389036</v>
      </c>
      <c r="AG1816" s="275">
        <f t="shared" si="232"/>
        <v>57711206</v>
      </c>
    </row>
    <row r="1817" spans="1:33" ht="12" customHeight="1">
      <c r="A1817" s="642" t="s">
        <v>1281</v>
      </c>
      <c r="B1817" s="642" t="s">
        <v>1776</v>
      </c>
      <c r="C1817" s="641" t="s">
        <v>1380</v>
      </c>
      <c r="D1817" s="736">
        <v>199102</v>
      </c>
      <c r="E1817" s="737">
        <v>3</v>
      </c>
      <c r="F1817" s="573">
        <v>99046493</v>
      </c>
      <c r="G1817" s="487">
        <v>103921992</v>
      </c>
      <c r="H1817" s="573"/>
      <c r="I1817" s="487"/>
      <c r="J1817" s="573"/>
      <c r="K1817" s="487"/>
      <c r="L1817" s="573">
        <v>50725399</v>
      </c>
      <c r="M1817" s="573"/>
      <c r="N1817" s="456">
        <f t="shared" si="233"/>
        <v>50725399</v>
      </c>
      <c r="O1817" s="487">
        <v>51292704</v>
      </c>
      <c r="P1817" s="487"/>
      <c r="Q1817" s="274">
        <f t="shared" si="228"/>
        <v>51292704</v>
      </c>
      <c r="R1817" s="574">
        <f t="shared" si="229"/>
        <v>149771892</v>
      </c>
      <c r="S1817" s="275">
        <f t="shared" si="230"/>
        <v>155214696</v>
      </c>
      <c r="T1817" s="575"/>
      <c r="U1817" s="487"/>
      <c r="V1817" s="576"/>
      <c r="W1817" s="573"/>
      <c r="X1817" s="574">
        <f t="shared" si="234"/>
        <v>0</v>
      </c>
      <c r="Y1817" s="487"/>
      <c r="Z1817" s="487"/>
      <c r="AA1817" s="276">
        <f t="shared" si="235"/>
        <v>0</v>
      </c>
      <c r="AB1817" s="573"/>
      <c r="AC1817" s="487"/>
      <c r="AD1817" s="573"/>
      <c r="AE1817" s="487"/>
      <c r="AF1817" s="577">
        <f t="shared" si="231"/>
        <v>149771892</v>
      </c>
      <c r="AG1817" s="275">
        <f t="shared" si="232"/>
        <v>155214696</v>
      </c>
    </row>
    <row r="1818" spans="1:33" ht="12" customHeight="1">
      <c r="A1818" s="642" t="s">
        <v>1281</v>
      </c>
      <c r="B1818" s="642" t="s">
        <v>1776</v>
      </c>
      <c r="C1818" s="643" t="s">
        <v>1381</v>
      </c>
      <c r="D1818" s="736">
        <v>199157</v>
      </c>
      <c r="E1818" s="737">
        <v>3</v>
      </c>
      <c r="F1818" s="573">
        <v>84415479</v>
      </c>
      <c r="G1818" s="487">
        <v>95179452</v>
      </c>
      <c r="H1818" s="573"/>
      <c r="I1818" s="487"/>
      <c r="J1818" s="573"/>
      <c r="K1818" s="487"/>
      <c r="L1818" s="573">
        <v>31703459</v>
      </c>
      <c r="M1818" s="573"/>
      <c r="N1818" s="456">
        <f t="shared" si="233"/>
        <v>31703459</v>
      </c>
      <c r="O1818" s="487">
        <v>33504570</v>
      </c>
      <c r="P1818" s="487"/>
      <c r="Q1818" s="274">
        <f t="shared" si="228"/>
        <v>33504570</v>
      </c>
      <c r="R1818" s="574">
        <f t="shared" si="229"/>
        <v>116118938</v>
      </c>
      <c r="S1818" s="275">
        <f t="shared" si="230"/>
        <v>128684022</v>
      </c>
      <c r="T1818" s="575"/>
      <c r="U1818" s="487"/>
      <c r="V1818" s="576"/>
      <c r="W1818" s="573"/>
      <c r="X1818" s="574">
        <f t="shared" si="234"/>
        <v>0</v>
      </c>
      <c r="Y1818" s="487"/>
      <c r="Z1818" s="487"/>
      <c r="AA1818" s="276">
        <f t="shared" si="235"/>
        <v>0</v>
      </c>
      <c r="AB1818" s="573"/>
      <c r="AC1818" s="487"/>
      <c r="AD1818" s="573"/>
      <c r="AE1818" s="487"/>
      <c r="AF1818" s="577">
        <f t="shared" si="231"/>
        <v>116118938</v>
      </c>
      <c r="AG1818" s="275">
        <f t="shared" si="232"/>
        <v>128684022</v>
      </c>
    </row>
    <row r="1819" spans="1:33" ht="12" customHeight="1">
      <c r="A1819" s="642" t="s">
        <v>1281</v>
      </c>
      <c r="B1819" s="642" t="s">
        <v>1776</v>
      </c>
      <c r="C1819" s="643" t="s">
        <v>480</v>
      </c>
      <c r="D1819" s="736">
        <v>199218</v>
      </c>
      <c r="E1819" s="737">
        <v>3</v>
      </c>
      <c r="F1819" s="573">
        <v>99809774</v>
      </c>
      <c r="G1819" s="487">
        <v>103502765</v>
      </c>
      <c r="H1819" s="573"/>
      <c r="I1819" s="487"/>
      <c r="J1819" s="573"/>
      <c r="K1819" s="487"/>
      <c r="L1819" s="573">
        <v>50868028</v>
      </c>
      <c r="M1819" s="573"/>
      <c r="N1819" s="456">
        <f t="shared" si="233"/>
        <v>50868028</v>
      </c>
      <c r="O1819" s="487">
        <v>50665691</v>
      </c>
      <c r="P1819" s="487"/>
      <c r="Q1819" s="274">
        <f t="shared" si="228"/>
        <v>50665691</v>
      </c>
      <c r="R1819" s="574">
        <f t="shared" si="229"/>
        <v>150677802</v>
      </c>
      <c r="S1819" s="275">
        <f t="shared" si="230"/>
        <v>154168456</v>
      </c>
      <c r="T1819" s="575"/>
      <c r="U1819" s="487"/>
      <c r="V1819" s="576"/>
      <c r="W1819" s="573"/>
      <c r="X1819" s="574">
        <f t="shared" si="234"/>
        <v>0</v>
      </c>
      <c r="Y1819" s="487"/>
      <c r="Z1819" s="487"/>
      <c r="AA1819" s="276">
        <f t="shared" si="235"/>
        <v>0</v>
      </c>
      <c r="AB1819" s="573"/>
      <c r="AC1819" s="487"/>
      <c r="AD1819" s="573"/>
      <c r="AE1819" s="487"/>
      <c r="AF1819" s="577">
        <f t="shared" si="231"/>
        <v>150677802</v>
      </c>
      <c r="AG1819" s="275">
        <f t="shared" si="232"/>
        <v>154168456</v>
      </c>
    </row>
    <row r="1820" spans="1:33" ht="12" customHeight="1">
      <c r="A1820" s="642" t="s">
        <v>1281</v>
      </c>
      <c r="B1820" s="642" t="s">
        <v>1776</v>
      </c>
      <c r="C1820" s="643" t="s">
        <v>481</v>
      </c>
      <c r="D1820" s="736">
        <v>200004</v>
      </c>
      <c r="E1820" s="737">
        <v>3</v>
      </c>
      <c r="F1820" s="573">
        <v>80101851</v>
      </c>
      <c r="G1820" s="487">
        <v>87935528</v>
      </c>
      <c r="H1820" s="573"/>
      <c r="I1820" s="487"/>
      <c r="J1820" s="573"/>
      <c r="K1820" s="487"/>
      <c r="L1820" s="573">
        <v>26797179</v>
      </c>
      <c r="M1820" s="573"/>
      <c r="N1820" s="456">
        <f t="shared" si="233"/>
        <v>26797179</v>
      </c>
      <c r="O1820" s="487">
        <v>26938609</v>
      </c>
      <c r="P1820" s="487"/>
      <c r="Q1820" s="274">
        <f t="shared" si="228"/>
        <v>26938609</v>
      </c>
      <c r="R1820" s="574">
        <f t="shared" si="229"/>
        <v>106899030</v>
      </c>
      <c r="S1820" s="275">
        <f t="shared" si="230"/>
        <v>114874137</v>
      </c>
      <c r="T1820" s="575"/>
      <c r="U1820" s="487"/>
      <c r="V1820" s="576"/>
      <c r="W1820" s="573"/>
      <c r="X1820" s="574">
        <f t="shared" si="234"/>
        <v>0</v>
      </c>
      <c r="Y1820" s="487"/>
      <c r="Z1820" s="487"/>
      <c r="AA1820" s="276">
        <f t="shared" si="235"/>
        <v>0</v>
      </c>
      <c r="AB1820" s="573"/>
      <c r="AC1820" s="487"/>
      <c r="AD1820" s="573"/>
      <c r="AE1820" s="487"/>
      <c r="AF1820" s="577">
        <f t="shared" si="231"/>
        <v>106899030</v>
      </c>
      <c r="AG1820" s="275">
        <f t="shared" si="232"/>
        <v>114874137</v>
      </c>
    </row>
    <row r="1821" spans="1:33" ht="12" customHeight="1">
      <c r="A1821" s="642" t="s">
        <v>1281</v>
      </c>
      <c r="B1821" s="642" t="s">
        <v>1776</v>
      </c>
      <c r="C1821" s="643" t="s">
        <v>482</v>
      </c>
      <c r="D1821" s="736">
        <v>198543</v>
      </c>
      <c r="E1821" s="737">
        <v>4</v>
      </c>
      <c r="F1821" s="573">
        <v>56361501</v>
      </c>
      <c r="G1821" s="487">
        <v>59925013</v>
      </c>
      <c r="H1821" s="573"/>
      <c r="I1821" s="487"/>
      <c r="J1821" s="573"/>
      <c r="K1821" s="487"/>
      <c r="L1821" s="573">
        <v>18814670</v>
      </c>
      <c r="M1821" s="573"/>
      <c r="N1821" s="456">
        <f t="shared" si="233"/>
        <v>18814670</v>
      </c>
      <c r="O1821" s="487">
        <v>17323398</v>
      </c>
      <c r="P1821" s="487"/>
      <c r="Q1821" s="274">
        <f t="shared" si="228"/>
        <v>17323398</v>
      </c>
      <c r="R1821" s="574">
        <f t="shared" si="229"/>
        <v>75176171</v>
      </c>
      <c r="S1821" s="275">
        <f t="shared" si="230"/>
        <v>77248411</v>
      </c>
      <c r="T1821" s="575"/>
      <c r="U1821" s="487"/>
      <c r="V1821" s="576"/>
      <c r="W1821" s="573"/>
      <c r="X1821" s="574">
        <f t="shared" si="234"/>
        <v>0</v>
      </c>
      <c r="Y1821" s="487"/>
      <c r="Z1821" s="487"/>
      <c r="AA1821" s="276">
        <f t="shared" si="235"/>
        <v>0</v>
      </c>
      <c r="AB1821" s="573"/>
      <c r="AC1821" s="487"/>
      <c r="AD1821" s="573"/>
      <c r="AE1821" s="487"/>
      <c r="AF1821" s="577">
        <f t="shared" si="231"/>
        <v>75176171</v>
      </c>
      <c r="AG1821" s="275">
        <f t="shared" si="232"/>
        <v>77248411</v>
      </c>
    </row>
    <row r="1822" spans="1:33" ht="12" customHeight="1">
      <c r="A1822" s="642" t="s">
        <v>1281</v>
      </c>
      <c r="B1822" s="642" t="s">
        <v>1776</v>
      </c>
      <c r="C1822" s="643" t="s">
        <v>483</v>
      </c>
      <c r="D1822" s="736">
        <v>199281</v>
      </c>
      <c r="E1822" s="737">
        <v>5</v>
      </c>
      <c r="F1822" s="573">
        <v>57535219</v>
      </c>
      <c r="G1822" s="487">
        <v>59884214</v>
      </c>
      <c r="H1822" s="573"/>
      <c r="I1822" s="487"/>
      <c r="J1822" s="573"/>
      <c r="K1822" s="487"/>
      <c r="L1822" s="573">
        <v>15622931</v>
      </c>
      <c r="M1822" s="573"/>
      <c r="N1822" s="456">
        <f t="shared" si="233"/>
        <v>15622931</v>
      </c>
      <c r="O1822" s="487">
        <v>15901916</v>
      </c>
      <c r="P1822" s="487"/>
      <c r="Q1822" s="274">
        <f t="shared" si="228"/>
        <v>15901916</v>
      </c>
      <c r="R1822" s="574">
        <f t="shared" si="229"/>
        <v>73158150</v>
      </c>
      <c r="S1822" s="275">
        <f t="shared" si="230"/>
        <v>75786130</v>
      </c>
      <c r="T1822" s="575"/>
      <c r="U1822" s="487"/>
      <c r="V1822" s="576"/>
      <c r="W1822" s="573"/>
      <c r="X1822" s="574">
        <f t="shared" si="234"/>
        <v>0</v>
      </c>
      <c r="Y1822" s="487"/>
      <c r="Z1822" s="487"/>
      <c r="AA1822" s="276">
        <f t="shared" si="235"/>
        <v>0</v>
      </c>
      <c r="AB1822" s="573"/>
      <c r="AC1822" s="487"/>
      <c r="AD1822" s="573"/>
      <c r="AE1822" s="487"/>
      <c r="AF1822" s="577">
        <f t="shared" si="231"/>
        <v>73158150</v>
      </c>
      <c r="AG1822" s="275">
        <f t="shared" si="232"/>
        <v>75786130</v>
      </c>
    </row>
    <row r="1823" spans="1:33" ht="12" customHeight="1">
      <c r="A1823" s="642" t="s">
        <v>1281</v>
      </c>
      <c r="B1823" s="642" t="s">
        <v>1776</v>
      </c>
      <c r="C1823" s="643" t="s">
        <v>486</v>
      </c>
      <c r="D1823" s="736">
        <v>199999</v>
      </c>
      <c r="E1823" s="737">
        <v>5</v>
      </c>
      <c r="F1823" s="573">
        <v>69561462</v>
      </c>
      <c r="G1823" s="487">
        <v>71720063</v>
      </c>
      <c r="H1823" s="573"/>
      <c r="I1823" s="487"/>
      <c r="J1823" s="573"/>
      <c r="K1823" s="487"/>
      <c r="L1823" s="573">
        <v>16125643</v>
      </c>
      <c r="M1823" s="573"/>
      <c r="N1823" s="456">
        <f t="shared" si="233"/>
        <v>16125643</v>
      </c>
      <c r="O1823" s="487">
        <v>17911370</v>
      </c>
      <c r="P1823" s="487"/>
      <c r="Q1823" s="274">
        <f t="shared" si="228"/>
        <v>17911370</v>
      </c>
      <c r="R1823" s="574">
        <f t="shared" si="229"/>
        <v>85687105</v>
      </c>
      <c r="S1823" s="275">
        <f t="shared" si="230"/>
        <v>89631433</v>
      </c>
      <c r="T1823" s="575"/>
      <c r="U1823" s="487"/>
      <c r="V1823" s="576"/>
      <c r="W1823" s="573"/>
      <c r="X1823" s="574">
        <f t="shared" si="234"/>
        <v>0</v>
      </c>
      <c r="Y1823" s="487"/>
      <c r="Z1823" s="487"/>
      <c r="AA1823" s="276">
        <f t="shared" si="235"/>
        <v>0</v>
      </c>
      <c r="AB1823" s="573"/>
      <c r="AC1823" s="487"/>
      <c r="AD1823" s="573"/>
      <c r="AE1823" s="487"/>
      <c r="AF1823" s="577">
        <f t="shared" si="231"/>
        <v>85687105</v>
      </c>
      <c r="AG1823" s="275">
        <f t="shared" si="232"/>
        <v>89631433</v>
      </c>
    </row>
    <row r="1824" spans="1:33" ht="12" customHeight="1">
      <c r="A1824" s="642" t="s">
        <v>1281</v>
      </c>
      <c r="B1824" s="642" t="s">
        <v>1776</v>
      </c>
      <c r="C1824" s="643" t="s">
        <v>484</v>
      </c>
      <c r="D1824" s="736">
        <v>198507</v>
      </c>
      <c r="E1824" s="737">
        <v>6</v>
      </c>
      <c r="F1824" s="573">
        <v>33295369</v>
      </c>
      <c r="G1824" s="487">
        <v>37640821</v>
      </c>
      <c r="H1824" s="573"/>
      <c r="I1824" s="487"/>
      <c r="J1824" s="573"/>
      <c r="K1824" s="487"/>
      <c r="L1824" s="573">
        <v>9002087</v>
      </c>
      <c r="M1824" s="573"/>
      <c r="N1824" s="456">
        <f t="shared" si="233"/>
        <v>9002087</v>
      </c>
      <c r="O1824" s="487">
        <v>9732256</v>
      </c>
      <c r="P1824" s="487"/>
      <c r="Q1824" s="274">
        <f t="shared" si="228"/>
        <v>9732256</v>
      </c>
      <c r="R1824" s="574">
        <f t="shared" si="229"/>
        <v>42297456</v>
      </c>
      <c r="S1824" s="275">
        <f t="shared" si="230"/>
        <v>47373077</v>
      </c>
      <c r="T1824" s="575"/>
      <c r="U1824" s="487"/>
      <c r="V1824" s="576"/>
      <c r="W1824" s="573"/>
      <c r="X1824" s="574">
        <f t="shared" si="234"/>
        <v>0</v>
      </c>
      <c r="Y1824" s="487"/>
      <c r="Z1824" s="487"/>
      <c r="AA1824" s="276">
        <f t="shared" si="235"/>
        <v>0</v>
      </c>
      <c r="AB1824" s="573"/>
      <c r="AC1824" s="487"/>
      <c r="AD1824" s="573"/>
      <c r="AE1824" s="487"/>
      <c r="AF1824" s="577">
        <f t="shared" si="231"/>
        <v>42297456</v>
      </c>
      <c r="AG1824" s="275">
        <f t="shared" si="232"/>
        <v>47373077</v>
      </c>
    </row>
    <row r="1825" spans="1:33" ht="12" customHeight="1">
      <c r="A1825" s="642" t="s">
        <v>1281</v>
      </c>
      <c r="B1825" s="642" t="s">
        <v>1776</v>
      </c>
      <c r="C1825" s="643" t="s">
        <v>485</v>
      </c>
      <c r="D1825" s="736">
        <v>199111</v>
      </c>
      <c r="E1825" s="737">
        <v>6</v>
      </c>
      <c r="F1825" s="573">
        <v>33838716</v>
      </c>
      <c r="G1825" s="487">
        <v>37081338</v>
      </c>
      <c r="H1825" s="573"/>
      <c r="I1825" s="487"/>
      <c r="J1825" s="573"/>
      <c r="K1825" s="487"/>
      <c r="L1825" s="573">
        <v>14830011</v>
      </c>
      <c r="M1825" s="573"/>
      <c r="N1825" s="456">
        <f t="shared" si="233"/>
        <v>14830011</v>
      </c>
      <c r="O1825" s="487">
        <v>13608616</v>
      </c>
      <c r="P1825" s="487"/>
      <c r="Q1825" s="274">
        <f t="shared" si="228"/>
        <v>13608616</v>
      </c>
      <c r="R1825" s="574">
        <f t="shared" si="229"/>
        <v>48668727</v>
      </c>
      <c r="S1825" s="275">
        <f t="shared" si="230"/>
        <v>50689954</v>
      </c>
      <c r="T1825" s="575"/>
      <c r="U1825" s="487"/>
      <c r="V1825" s="576"/>
      <c r="W1825" s="573"/>
      <c r="X1825" s="574">
        <f t="shared" si="234"/>
        <v>0</v>
      </c>
      <c r="Y1825" s="487"/>
      <c r="Z1825" s="487"/>
      <c r="AA1825" s="276">
        <f t="shared" si="235"/>
        <v>0</v>
      </c>
      <c r="AB1825" s="573"/>
      <c r="AC1825" s="487"/>
      <c r="AD1825" s="573"/>
      <c r="AE1825" s="487"/>
      <c r="AF1825" s="577">
        <f t="shared" si="231"/>
        <v>48668727</v>
      </c>
      <c r="AG1825" s="275">
        <f t="shared" si="232"/>
        <v>50689954</v>
      </c>
    </row>
    <row r="1826" spans="1:33" ht="12" customHeight="1">
      <c r="A1826" s="642" t="s">
        <v>1281</v>
      </c>
      <c r="B1826" s="642" t="s">
        <v>1820</v>
      </c>
      <c r="C1826" s="643" t="s">
        <v>53</v>
      </c>
      <c r="D1826" s="736">
        <v>199184</v>
      </c>
      <c r="E1826" s="737">
        <v>15</v>
      </c>
      <c r="F1826" s="573"/>
      <c r="G1826" s="487"/>
      <c r="H1826" s="573"/>
      <c r="I1826" s="487"/>
      <c r="J1826" s="573"/>
      <c r="K1826" s="487"/>
      <c r="L1826" s="573"/>
      <c r="M1826" s="573"/>
      <c r="N1826" s="456">
        <f t="shared" si="233"/>
        <v>0</v>
      </c>
      <c r="O1826" s="487"/>
      <c r="P1826" s="487"/>
      <c r="Q1826" s="274">
        <f t="shared" si="228"/>
        <v>0</v>
      </c>
      <c r="R1826" s="574">
        <f t="shared" si="229"/>
        <v>0</v>
      </c>
      <c r="S1826" s="275">
        <f t="shared" si="230"/>
        <v>0</v>
      </c>
      <c r="T1826" s="575">
        <v>26426818</v>
      </c>
      <c r="U1826" s="487">
        <v>27949980</v>
      </c>
      <c r="V1826" s="576"/>
      <c r="W1826" s="573"/>
      <c r="X1826" s="574">
        <f t="shared" si="234"/>
        <v>0</v>
      </c>
      <c r="Y1826" s="487"/>
      <c r="Z1826" s="487"/>
      <c r="AA1826" s="276">
        <f t="shared" si="235"/>
        <v>0</v>
      </c>
      <c r="AB1826" s="573"/>
      <c r="AC1826" s="487"/>
      <c r="AD1826" s="573"/>
      <c r="AE1826" s="487"/>
      <c r="AF1826" s="577">
        <f t="shared" si="231"/>
        <v>26426818</v>
      </c>
      <c r="AG1826" s="275">
        <f t="shared" si="232"/>
        <v>27949980</v>
      </c>
    </row>
    <row r="1827" spans="1:33" ht="12" customHeight="1">
      <c r="A1827" s="642" t="s">
        <v>1281</v>
      </c>
      <c r="B1827" s="642" t="s">
        <v>1785</v>
      </c>
      <c r="C1827" s="284" t="s">
        <v>487</v>
      </c>
      <c r="D1827" s="736"/>
      <c r="E1827" s="737"/>
      <c r="F1827" s="573"/>
      <c r="G1827" s="487"/>
      <c r="H1827" s="573"/>
      <c r="I1827" s="487"/>
      <c r="J1827" s="573"/>
      <c r="K1827" s="487"/>
      <c r="L1827" s="573"/>
      <c r="M1827" s="573"/>
      <c r="N1827" s="456">
        <f t="shared" si="233"/>
        <v>0</v>
      </c>
      <c r="O1827" s="487"/>
      <c r="P1827" s="487"/>
      <c r="Q1827" s="274">
        <f t="shared" si="228"/>
        <v>0</v>
      </c>
      <c r="R1827" s="574">
        <f t="shared" si="229"/>
        <v>0</v>
      </c>
      <c r="S1827" s="275">
        <f t="shared" si="230"/>
        <v>0</v>
      </c>
      <c r="T1827" s="575"/>
      <c r="U1827" s="487"/>
      <c r="V1827" s="576"/>
      <c r="W1827" s="573"/>
      <c r="X1827" s="574">
        <f t="shared" si="234"/>
        <v>0</v>
      </c>
      <c r="Y1827" s="487"/>
      <c r="Z1827" s="487"/>
      <c r="AA1827" s="276">
        <f t="shared" si="235"/>
        <v>0</v>
      </c>
      <c r="AB1827" s="573"/>
      <c r="AC1827" s="487"/>
      <c r="AD1827" s="573"/>
      <c r="AE1827" s="487"/>
      <c r="AF1827" s="577">
        <f t="shared" si="231"/>
        <v>0</v>
      </c>
      <c r="AG1827" s="275">
        <f t="shared" si="232"/>
        <v>0</v>
      </c>
    </row>
    <row r="1828" spans="1:33" ht="12" customHeight="1" thickBot="1">
      <c r="A1828" s="642" t="s">
        <v>1281</v>
      </c>
      <c r="B1828" s="642" t="s">
        <v>1786</v>
      </c>
      <c r="C1828" s="283" t="s">
        <v>1891</v>
      </c>
      <c r="D1828" s="736"/>
      <c r="E1828" s="737"/>
      <c r="F1828" s="573"/>
      <c r="G1828" s="487"/>
      <c r="H1828" s="573"/>
      <c r="I1828" s="487"/>
      <c r="J1828" s="573"/>
      <c r="K1828" s="487"/>
      <c r="L1828" s="573"/>
      <c r="M1828" s="573"/>
      <c r="N1828" s="456">
        <f t="shared" si="233"/>
        <v>0</v>
      </c>
      <c r="O1828" s="487"/>
      <c r="P1828" s="487"/>
      <c r="Q1828" s="274">
        <f t="shared" si="228"/>
        <v>0</v>
      </c>
      <c r="R1828" s="574">
        <f t="shared" si="229"/>
        <v>0</v>
      </c>
      <c r="S1828" s="275">
        <f t="shared" si="230"/>
        <v>0</v>
      </c>
      <c r="T1828" s="575"/>
      <c r="U1828" s="487"/>
      <c r="V1828" s="576"/>
      <c r="W1828" s="573"/>
      <c r="X1828" s="574">
        <f t="shared" si="234"/>
        <v>0</v>
      </c>
      <c r="Y1828" s="487"/>
      <c r="Z1828" s="487"/>
      <c r="AA1828" s="276">
        <f t="shared" si="235"/>
        <v>0</v>
      </c>
      <c r="AB1828" s="573"/>
      <c r="AC1828" s="487"/>
      <c r="AD1828" s="573"/>
      <c r="AE1828" s="487"/>
      <c r="AF1828" s="577">
        <f t="shared" si="231"/>
        <v>0</v>
      </c>
      <c r="AG1828" s="275">
        <f t="shared" si="232"/>
        <v>0</v>
      </c>
    </row>
    <row r="1829" spans="1:33" ht="12" customHeight="1">
      <c r="A1829" s="642" t="s">
        <v>1281</v>
      </c>
      <c r="B1829" s="642" t="s">
        <v>1786</v>
      </c>
      <c r="C1829" s="739" t="s">
        <v>488</v>
      </c>
      <c r="D1829" s="736"/>
      <c r="E1829" s="737"/>
      <c r="F1829" s="573"/>
      <c r="G1829" s="487"/>
      <c r="H1829" s="587">
        <v>13674426</v>
      </c>
      <c r="I1829" s="1212">
        <v>13016727</v>
      </c>
      <c r="J1829" s="573"/>
      <c r="K1829" s="487"/>
      <c r="L1829" s="573"/>
      <c r="M1829" s="573"/>
      <c r="N1829" s="456">
        <f t="shared" si="233"/>
        <v>0</v>
      </c>
      <c r="O1829" s="487"/>
      <c r="P1829" s="487"/>
      <c r="Q1829" s="274">
        <f t="shared" si="228"/>
        <v>0</v>
      </c>
      <c r="R1829" s="574">
        <f t="shared" si="229"/>
        <v>13674426</v>
      </c>
      <c r="S1829" s="275">
        <f t="shared" si="230"/>
        <v>13016727</v>
      </c>
      <c r="T1829" s="575"/>
      <c r="U1829" s="487"/>
      <c r="V1829" s="576"/>
      <c r="W1829" s="573"/>
      <c r="X1829" s="574">
        <f t="shared" si="234"/>
        <v>0</v>
      </c>
      <c r="Y1829" s="487"/>
      <c r="Z1829" s="487"/>
      <c r="AA1829" s="276">
        <f t="shared" si="235"/>
        <v>0</v>
      </c>
      <c r="AB1829" s="573"/>
      <c r="AC1829" s="487"/>
      <c r="AD1829" s="573"/>
      <c r="AE1829" s="487"/>
      <c r="AF1829" s="577">
        <f t="shared" si="231"/>
        <v>13674426</v>
      </c>
      <c r="AG1829" s="275">
        <f t="shared" si="232"/>
        <v>13016727</v>
      </c>
    </row>
    <row r="1830" spans="1:33" ht="12" customHeight="1">
      <c r="A1830" s="642" t="s">
        <v>1281</v>
      </c>
      <c r="B1830" s="642" t="s">
        <v>1786</v>
      </c>
      <c r="C1830" s="739" t="s">
        <v>489</v>
      </c>
      <c r="D1830" s="736"/>
      <c r="E1830" s="737"/>
      <c r="F1830" s="573"/>
      <c r="G1830" s="487"/>
      <c r="H1830" s="576">
        <v>28823085</v>
      </c>
      <c r="I1830" s="1212">
        <v>30134763</v>
      </c>
      <c r="J1830" s="573"/>
      <c r="K1830" s="487"/>
      <c r="L1830" s="573"/>
      <c r="M1830" s="573"/>
      <c r="N1830" s="456">
        <f t="shared" si="233"/>
        <v>0</v>
      </c>
      <c r="O1830" s="487"/>
      <c r="P1830" s="487"/>
      <c r="Q1830" s="274">
        <f t="shared" si="228"/>
        <v>0</v>
      </c>
      <c r="R1830" s="574">
        <f t="shared" si="229"/>
        <v>28823085</v>
      </c>
      <c r="S1830" s="275">
        <f t="shared" si="230"/>
        <v>30134763</v>
      </c>
      <c r="T1830" s="575"/>
      <c r="U1830" s="487"/>
      <c r="V1830" s="576"/>
      <c r="W1830" s="573"/>
      <c r="X1830" s="574">
        <f t="shared" si="234"/>
        <v>0</v>
      </c>
      <c r="Y1830" s="487"/>
      <c r="Z1830" s="487"/>
      <c r="AA1830" s="276">
        <f t="shared" si="235"/>
        <v>0</v>
      </c>
      <c r="AB1830" s="573"/>
      <c r="AC1830" s="487"/>
      <c r="AD1830" s="573"/>
      <c r="AE1830" s="487"/>
      <c r="AF1830" s="577">
        <f t="shared" si="231"/>
        <v>28823085</v>
      </c>
      <c r="AG1830" s="275">
        <f t="shared" si="232"/>
        <v>30134763</v>
      </c>
    </row>
    <row r="1831" spans="1:33" ht="12" customHeight="1">
      <c r="A1831" s="642" t="s">
        <v>1281</v>
      </c>
      <c r="B1831" s="642" t="s">
        <v>1786</v>
      </c>
      <c r="C1831" s="739" t="s">
        <v>490</v>
      </c>
      <c r="D1831" s="736"/>
      <c r="E1831" s="737"/>
      <c r="F1831" s="573"/>
      <c r="G1831" s="487"/>
      <c r="H1831" s="576">
        <v>890220</v>
      </c>
      <c r="I1831" s="1212">
        <v>859024</v>
      </c>
      <c r="J1831" s="573"/>
      <c r="K1831" s="487"/>
      <c r="L1831" s="573"/>
      <c r="M1831" s="573"/>
      <c r="N1831" s="456">
        <f t="shared" si="233"/>
        <v>0</v>
      </c>
      <c r="O1831" s="487"/>
      <c r="P1831" s="487"/>
      <c r="Q1831" s="274">
        <f t="shared" si="228"/>
        <v>0</v>
      </c>
      <c r="R1831" s="574">
        <f t="shared" si="229"/>
        <v>890220</v>
      </c>
      <c r="S1831" s="275">
        <f t="shared" si="230"/>
        <v>859024</v>
      </c>
      <c r="T1831" s="575"/>
      <c r="U1831" s="487"/>
      <c r="V1831" s="576"/>
      <c r="W1831" s="573"/>
      <c r="X1831" s="574">
        <f t="shared" si="234"/>
        <v>0</v>
      </c>
      <c r="Y1831" s="487"/>
      <c r="Z1831" s="487"/>
      <c r="AA1831" s="276">
        <f t="shared" si="235"/>
        <v>0</v>
      </c>
      <c r="AB1831" s="573"/>
      <c r="AC1831" s="487"/>
      <c r="AD1831" s="573"/>
      <c r="AE1831" s="487"/>
      <c r="AF1831" s="577">
        <f t="shared" si="231"/>
        <v>890220</v>
      </c>
      <c r="AG1831" s="275">
        <f t="shared" si="232"/>
        <v>859024</v>
      </c>
    </row>
    <row r="1832" spans="1:33" ht="12" customHeight="1">
      <c r="A1832" s="642" t="s">
        <v>1281</v>
      </c>
      <c r="B1832" s="642" t="s">
        <v>1786</v>
      </c>
      <c r="C1832" s="738" t="s">
        <v>491</v>
      </c>
      <c r="D1832" s="740"/>
      <c r="E1832" s="645"/>
      <c r="F1832" s="573"/>
      <c r="G1832" s="487"/>
      <c r="H1832" s="576"/>
      <c r="I1832" s="487"/>
      <c r="J1832" s="573"/>
      <c r="K1832" s="487"/>
      <c r="L1832" s="573"/>
      <c r="M1832" s="573"/>
      <c r="N1832" s="456">
        <f t="shared" si="233"/>
        <v>0</v>
      </c>
      <c r="O1832" s="487"/>
      <c r="P1832" s="487"/>
      <c r="Q1832" s="274">
        <f t="shared" si="228"/>
        <v>0</v>
      </c>
      <c r="R1832" s="574">
        <f t="shared" si="229"/>
        <v>0</v>
      </c>
      <c r="S1832" s="275">
        <f t="shared" si="230"/>
        <v>0</v>
      </c>
      <c r="T1832" s="575">
        <v>53009966</v>
      </c>
      <c r="U1832" s="487">
        <v>46011882</v>
      </c>
      <c r="V1832" s="576"/>
      <c r="W1832" s="573"/>
      <c r="X1832" s="574">
        <f t="shared" si="234"/>
        <v>0</v>
      </c>
      <c r="Y1832" s="487"/>
      <c r="Z1832" s="487"/>
      <c r="AA1832" s="276">
        <f t="shared" si="235"/>
        <v>0</v>
      </c>
      <c r="AB1832" s="573"/>
      <c r="AC1832" s="487"/>
      <c r="AD1832" s="573"/>
      <c r="AE1832" s="487"/>
      <c r="AF1832" s="577">
        <f t="shared" si="231"/>
        <v>53009966</v>
      </c>
      <c r="AG1832" s="275">
        <f t="shared" si="232"/>
        <v>46011882</v>
      </c>
    </row>
    <row r="1833" spans="1:33" ht="12" customHeight="1">
      <c r="A1833" s="642" t="s">
        <v>1281</v>
      </c>
      <c r="B1833" s="642" t="s">
        <v>1786</v>
      </c>
      <c r="C1833" s="738" t="s">
        <v>492</v>
      </c>
      <c r="D1833" s="740"/>
      <c r="E1833" s="645"/>
      <c r="F1833" s="573"/>
      <c r="G1833" s="487"/>
      <c r="H1833" s="576"/>
      <c r="I1833" s="487"/>
      <c r="J1833" s="573"/>
      <c r="K1833" s="487"/>
      <c r="L1833" s="573"/>
      <c r="M1833" s="573"/>
      <c r="N1833" s="456">
        <f t="shared" si="233"/>
        <v>0</v>
      </c>
      <c r="O1833" s="487"/>
      <c r="P1833" s="487"/>
      <c r="Q1833" s="274">
        <f t="shared" si="228"/>
        <v>0</v>
      </c>
      <c r="R1833" s="574">
        <f t="shared" si="229"/>
        <v>0</v>
      </c>
      <c r="S1833" s="275">
        <f t="shared" si="230"/>
        <v>0</v>
      </c>
      <c r="T1833" s="575">
        <v>49689944</v>
      </c>
      <c r="U1833" s="487">
        <v>52109208</v>
      </c>
      <c r="V1833" s="576"/>
      <c r="W1833" s="573"/>
      <c r="X1833" s="574">
        <f t="shared" si="234"/>
        <v>0</v>
      </c>
      <c r="Y1833" s="487"/>
      <c r="Z1833" s="487"/>
      <c r="AA1833" s="276">
        <f t="shared" si="235"/>
        <v>0</v>
      </c>
      <c r="AB1833" s="573"/>
      <c r="AC1833" s="487"/>
      <c r="AD1833" s="573"/>
      <c r="AE1833" s="487"/>
      <c r="AF1833" s="577">
        <f t="shared" si="231"/>
        <v>49689944</v>
      </c>
      <c r="AG1833" s="275">
        <f t="shared" si="232"/>
        <v>52109208</v>
      </c>
    </row>
    <row r="1834" spans="1:33" ht="12" customHeight="1">
      <c r="A1834" s="642" t="s">
        <v>1281</v>
      </c>
      <c r="B1834" s="642" t="s">
        <v>1791</v>
      </c>
      <c r="C1834" s="308" t="s">
        <v>1881</v>
      </c>
      <c r="D1834" s="736"/>
      <c r="E1834" s="737"/>
      <c r="F1834" s="573"/>
      <c r="G1834" s="487"/>
      <c r="H1834" s="576"/>
      <c r="I1834" s="487"/>
      <c r="J1834" s="573"/>
      <c r="K1834" s="487"/>
      <c r="L1834" s="573"/>
      <c r="M1834" s="573"/>
      <c r="N1834" s="456">
        <f t="shared" si="233"/>
        <v>0</v>
      </c>
      <c r="O1834" s="487"/>
      <c r="P1834" s="487"/>
      <c r="Q1834" s="274">
        <f t="shared" si="228"/>
        <v>0</v>
      </c>
      <c r="R1834" s="574">
        <f t="shared" si="229"/>
        <v>0</v>
      </c>
      <c r="S1834" s="275">
        <f t="shared" si="230"/>
        <v>0</v>
      </c>
      <c r="T1834" s="575"/>
      <c r="U1834" s="487"/>
      <c r="V1834" s="576"/>
      <c r="W1834" s="573"/>
      <c r="X1834" s="574">
        <f t="shared" si="234"/>
        <v>0</v>
      </c>
      <c r="Y1834" s="487"/>
      <c r="Z1834" s="487"/>
      <c r="AA1834" s="276">
        <f t="shared" si="235"/>
        <v>0</v>
      </c>
      <c r="AB1834" s="573"/>
      <c r="AC1834" s="487"/>
      <c r="AD1834" s="573"/>
      <c r="AE1834" s="487"/>
      <c r="AF1834" s="577">
        <f t="shared" si="231"/>
        <v>0</v>
      </c>
      <c r="AG1834" s="275">
        <f t="shared" si="232"/>
        <v>0</v>
      </c>
    </row>
    <row r="1835" spans="1:33" ht="12" customHeight="1">
      <c r="A1835" s="642" t="s">
        <v>1281</v>
      </c>
      <c r="B1835" s="642" t="s">
        <v>1791</v>
      </c>
      <c r="C1835" s="739" t="s">
        <v>493</v>
      </c>
      <c r="D1835" s="736"/>
      <c r="E1835" s="737"/>
      <c r="F1835" s="573"/>
      <c r="G1835" s="487"/>
      <c r="H1835" s="576">
        <v>6677308</v>
      </c>
      <c r="I1835" s="1212">
        <v>6106016</v>
      </c>
      <c r="J1835" s="573"/>
      <c r="K1835" s="487"/>
      <c r="L1835" s="573"/>
      <c r="M1835" s="573"/>
      <c r="N1835" s="456">
        <f t="shared" si="233"/>
        <v>0</v>
      </c>
      <c r="O1835" s="487"/>
      <c r="P1835" s="487"/>
      <c r="Q1835" s="274">
        <f t="shared" si="228"/>
        <v>0</v>
      </c>
      <c r="R1835" s="574">
        <f t="shared" si="229"/>
        <v>6677308</v>
      </c>
      <c r="S1835" s="275">
        <f t="shared" si="230"/>
        <v>6106016</v>
      </c>
      <c r="T1835" s="575"/>
      <c r="U1835" s="487"/>
      <c r="V1835" s="576"/>
      <c r="W1835" s="573"/>
      <c r="X1835" s="574">
        <f t="shared" si="234"/>
        <v>0</v>
      </c>
      <c r="Y1835" s="487"/>
      <c r="Z1835" s="487"/>
      <c r="AA1835" s="276">
        <f t="shared" si="235"/>
        <v>0</v>
      </c>
      <c r="AB1835" s="573"/>
      <c r="AC1835" s="487"/>
      <c r="AD1835" s="573"/>
      <c r="AE1835" s="487"/>
      <c r="AF1835" s="577">
        <f t="shared" si="231"/>
        <v>6677308</v>
      </c>
      <c r="AG1835" s="275">
        <f t="shared" si="232"/>
        <v>6106016</v>
      </c>
    </row>
    <row r="1836" spans="1:33" ht="12" customHeight="1">
      <c r="A1836" s="642" t="s">
        <v>1281</v>
      </c>
      <c r="B1836" s="642" t="s">
        <v>1821</v>
      </c>
      <c r="C1836" s="284" t="s">
        <v>1571</v>
      </c>
      <c r="D1836" s="740"/>
      <c r="E1836" s="645"/>
      <c r="F1836" s="573"/>
      <c r="G1836" s="487"/>
      <c r="H1836" s="576"/>
      <c r="I1836" s="487"/>
      <c r="J1836" s="573"/>
      <c r="K1836" s="487"/>
      <c r="L1836" s="573"/>
      <c r="M1836" s="573"/>
      <c r="N1836" s="456">
        <f t="shared" si="233"/>
        <v>0</v>
      </c>
      <c r="O1836" s="487"/>
      <c r="P1836" s="487"/>
      <c r="Q1836" s="274">
        <f t="shared" si="228"/>
        <v>0</v>
      </c>
      <c r="R1836" s="574">
        <f t="shared" si="229"/>
        <v>0</v>
      </c>
      <c r="S1836" s="275">
        <f t="shared" si="230"/>
        <v>0</v>
      </c>
      <c r="T1836" s="575"/>
      <c r="U1836" s="487"/>
      <c r="V1836" s="576"/>
      <c r="W1836" s="573"/>
      <c r="X1836" s="574">
        <f t="shared" si="234"/>
        <v>0</v>
      </c>
      <c r="Y1836" s="487"/>
      <c r="Z1836" s="487"/>
      <c r="AA1836" s="276">
        <f t="shared" si="235"/>
        <v>0</v>
      </c>
      <c r="AB1836" s="573"/>
      <c r="AC1836" s="487"/>
      <c r="AD1836" s="573"/>
      <c r="AE1836" s="487"/>
      <c r="AF1836" s="577">
        <f t="shared" si="231"/>
        <v>0</v>
      </c>
      <c r="AG1836" s="275">
        <f t="shared" si="232"/>
        <v>0</v>
      </c>
    </row>
    <row r="1837" spans="1:33" ht="12" customHeight="1" thickBot="1">
      <c r="A1837" s="642" t="s">
        <v>1281</v>
      </c>
      <c r="B1837" s="642" t="s">
        <v>1821</v>
      </c>
      <c r="C1837" s="738" t="s">
        <v>1572</v>
      </c>
      <c r="D1837" s="740"/>
      <c r="E1837" s="645"/>
      <c r="F1837" s="573"/>
      <c r="G1837" s="487"/>
      <c r="H1837" s="591">
        <v>0</v>
      </c>
      <c r="I1837" s="1212">
        <v>6948856</v>
      </c>
      <c r="J1837" s="573"/>
      <c r="K1837" s="487"/>
      <c r="L1837" s="573"/>
      <c r="M1837" s="573"/>
      <c r="N1837" s="456">
        <f t="shared" si="233"/>
        <v>0</v>
      </c>
      <c r="O1837" s="487"/>
      <c r="P1837" s="487"/>
      <c r="Q1837" s="274">
        <f t="shared" si="228"/>
        <v>0</v>
      </c>
      <c r="R1837" s="574">
        <f t="shared" si="229"/>
        <v>0</v>
      </c>
      <c r="S1837" s="275">
        <f t="shared" si="230"/>
        <v>6948856</v>
      </c>
      <c r="T1837" s="575"/>
      <c r="U1837" s="487"/>
      <c r="V1837" s="576"/>
      <c r="W1837" s="573"/>
      <c r="X1837" s="574">
        <f t="shared" si="234"/>
        <v>0</v>
      </c>
      <c r="Y1837" s="487"/>
      <c r="Z1837" s="487"/>
      <c r="AA1837" s="276">
        <f t="shared" si="235"/>
        <v>0</v>
      </c>
      <c r="AB1837" s="573"/>
      <c r="AC1837" s="487"/>
      <c r="AD1837" s="573"/>
      <c r="AE1837" s="487"/>
      <c r="AF1837" s="577">
        <f t="shared" si="231"/>
        <v>0</v>
      </c>
      <c r="AG1837" s="275">
        <f t="shared" si="232"/>
        <v>6948856</v>
      </c>
    </row>
    <row r="1838" spans="1:33" ht="12" customHeight="1">
      <c r="A1838" s="642" t="s">
        <v>1281</v>
      </c>
      <c r="B1838" s="642" t="s">
        <v>1794</v>
      </c>
      <c r="C1838" s="284" t="s">
        <v>849</v>
      </c>
      <c r="D1838" s="736"/>
      <c r="E1838" s="737"/>
      <c r="F1838" s="573"/>
      <c r="G1838" s="487"/>
      <c r="H1838" s="573"/>
      <c r="I1838" s="487"/>
      <c r="J1838" s="573"/>
      <c r="K1838" s="487"/>
      <c r="L1838" s="573"/>
      <c r="M1838" s="573"/>
      <c r="N1838" s="456">
        <f t="shared" si="233"/>
        <v>0</v>
      </c>
      <c r="O1838" s="487"/>
      <c r="P1838" s="487"/>
      <c r="Q1838" s="274">
        <f t="shared" si="228"/>
        <v>0</v>
      </c>
      <c r="R1838" s="574">
        <f t="shared" si="229"/>
        <v>0</v>
      </c>
      <c r="S1838" s="275">
        <f t="shared" si="230"/>
        <v>0</v>
      </c>
      <c r="T1838" s="575"/>
      <c r="U1838" s="487"/>
      <c r="V1838" s="576"/>
      <c r="W1838" s="573"/>
      <c r="X1838" s="574">
        <f t="shared" si="234"/>
        <v>0</v>
      </c>
      <c r="Y1838" s="487"/>
      <c r="Z1838" s="487"/>
      <c r="AA1838" s="276">
        <f t="shared" si="235"/>
        <v>0</v>
      </c>
      <c r="AB1838" s="573"/>
      <c r="AC1838" s="487"/>
      <c r="AD1838" s="573"/>
      <c r="AE1838" s="487"/>
      <c r="AF1838" s="577">
        <f t="shared" si="231"/>
        <v>0</v>
      </c>
      <c r="AG1838" s="275">
        <f t="shared" si="232"/>
        <v>0</v>
      </c>
    </row>
    <row r="1839" spans="1:33" ht="12" customHeight="1">
      <c r="A1839" s="642" t="s">
        <v>1281</v>
      </c>
      <c r="B1839" s="642" t="s">
        <v>1795</v>
      </c>
      <c r="C1839" s="283" t="s">
        <v>957</v>
      </c>
      <c r="D1839" s="736"/>
      <c r="E1839" s="737"/>
      <c r="F1839" s="573"/>
      <c r="G1839" s="487"/>
      <c r="H1839" s="573"/>
      <c r="I1839" s="487"/>
      <c r="J1839" s="573"/>
      <c r="K1839" s="487"/>
      <c r="L1839" s="573"/>
      <c r="M1839" s="573"/>
      <c r="N1839" s="456">
        <f t="shared" si="233"/>
        <v>0</v>
      </c>
      <c r="O1839" s="487"/>
      <c r="P1839" s="487"/>
      <c r="Q1839" s="274">
        <f t="shared" si="228"/>
        <v>0</v>
      </c>
      <c r="R1839" s="574">
        <f t="shared" si="229"/>
        <v>0</v>
      </c>
      <c r="S1839" s="275">
        <f t="shared" si="230"/>
        <v>0</v>
      </c>
      <c r="T1839" s="575"/>
      <c r="U1839" s="487"/>
      <c r="V1839" s="576"/>
      <c r="W1839" s="573"/>
      <c r="X1839" s="574">
        <f t="shared" si="234"/>
        <v>0</v>
      </c>
      <c r="Y1839" s="487"/>
      <c r="Z1839" s="487"/>
      <c r="AA1839" s="276">
        <f t="shared" si="235"/>
        <v>0</v>
      </c>
      <c r="AB1839" s="573"/>
      <c r="AC1839" s="487"/>
      <c r="AD1839" s="573"/>
      <c r="AE1839" s="487"/>
      <c r="AF1839" s="577">
        <f t="shared" si="231"/>
        <v>0</v>
      </c>
      <c r="AG1839" s="275">
        <f t="shared" si="232"/>
        <v>0</v>
      </c>
    </row>
    <row r="1840" spans="1:33" ht="12" customHeight="1">
      <c r="A1840" s="642" t="s">
        <v>1281</v>
      </c>
      <c r="B1840" s="642" t="s">
        <v>1795</v>
      </c>
      <c r="C1840" s="739" t="s">
        <v>1573</v>
      </c>
      <c r="D1840" s="736"/>
      <c r="E1840" s="737"/>
      <c r="F1840" s="573"/>
      <c r="G1840" s="487"/>
      <c r="H1840" s="573"/>
      <c r="I1840" s="487"/>
      <c r="J1840" s="573"/>
      <c r="K1840" s="487"/>
      <c r="L1840" s="573"/>
      <c r="M1840" s="573"/>
      <c r="N1840" s="456">
        <f t="shared" si="233"/>
        <v>0</v>
      </c>
      <c r="O1840" s="487"/>
      <c r="P1840" s="487"/>
      <c r="Q1840" s="274">
        <f t="shared" si="228"/>
        <v>0</v>
      </c>
      <c r="R1840" s="574">
        <f t="shared" si="229"/>
        <v>0</v>
      </c>
      <c r="S1840" s="275">
        <f t="shared" si="230"/>
        <v>0</v>
      </c>
      <c r="T1840" s="575">
        <v>53368030</v>
      </c>
      <c r="U1840" s="487">
        <v>41451967</v>
      </c>
      <c r="V1840" s="576"/>
      <c r="W1840" s="573"/>
      <c r="X1840" s="574">
        <f t="shared" si="234"/>
        <v>0</v>
      </c>
      <c r="Y1840" s="487"/>
      <c r="Z1840" s="487"/>
      <c r="AA1840" s="276">
        <f t="shared" si="235"/>
        <v>0</v>
      </c>
      <c r="AB1840" s="573"/>
      <c r="AC1840" s="487"/>
      <c r="AD1840" s="573"/>
      <c r="AE1840" s="487"/>
      <c r="AF1840" s="577">
        <f t="shared" si="231"/>
        <v>53368030</v>
      </c>
      <c r="AG1840" s="275">
        <f t="shared" si="232"/>
        <v>41451967</v>
      </c>
    </row>
    <row r="1841" spans="1:33" ht="12" customHeight="1">
      <c r="A1841" s="642" t="s">
        <v>1281</v>
      </c>
      <c r="B1841" s="642" t="s">
        <v>1797</v>
      </c>
      <c r="C1841" s="283" t="s">
        <v>955</v>
      </c>
      <c r="D1841" s="736"/>
      <c r="E1841" s="737"/>
      <c r="F1841" s="573"/>
      <c r="G1841" s="487"/>
      <c r="H1841" s="573"/>
      <c r="I1841" s="487"/>
      <c r="J1841" s="573"/>
      <c r="K1841" s="487"/>
      <c r="L1841" s="573"/>
      <c r="M1841" s="573"/>
      <c r="N1841" s="456">
        <f t="shared" si="233"/>
        <v>0</v>
      </c>
      <c r="O1841" s="487"/>
      <c r="P1841" s="487"/>
      <c r="Q1841" s="274">
        <f t="shared" si="228"/>
        <v>0</v>
      </c>
      <c r="R1841" s="574">
        <f t="shared" si="229"/>
        <v>0</v>
      </c>
      <c r="S1841" s="275">
        <f t="shared" si="230"/>
        <v>0</v>
      </c>
      <c r="T1841" s="575"/>
      <c r="U1841" s="487"/>
      <c r="V1841" s="576"/>
      <c r="W1841" s="573"/>
      <c r="X1841" s="574">
        <f t="shared" si="234"/>
        <v>0</v>
      </c>
      <c r="Y1841" s="487"/>
      <c r="Z1841" s="487"/>
      <c r="AA1841" s="276">
        <f t="shared" si="235"/>
        <v>0</v>
      </c>
      <c r="AB1841" s="573"/>
      <c r="AC1841" s="487"/>
      <c r="AD1841" s="573"/>
      <c r="AE1841" s="487"/>
      <c r="AF1841" s="577">
        <f t="shared" si="231"/>
        <v>0</v>
      </c>
      <c r="AG1841" s="275">
        <f t="shared" si="232"/>
        <v>0</v>
      </c>
    </row>
    <row r="1842" spans="1:33" ht="12" customHeight="1">
      <c r="A1842" s="642" t="s">
        <v>1281</v>
      </c>
      <c r="B1842" s="642" t="s">
        <v>1797</v>
      </c>
      <c r="C1842" s="738" t="s">
        <v>1873</v>
      </c>
      <c r="D1842" s="740"/>
      <c r="E1842" s="645"/>
      <c r="F1842" s="573"/>
      <c r="G1842" s="487"/>
      <c r="H1842" s="573"/>
      <c r="I1842" s="487"/>
      <c r="J1842" s="573"/>
      <c r="K1842" s="487"/>
      <c r="L1842" s="573"/>
      <c r="M1842" s="573"/>
      <c r="N1842" s="456">
        <f t="shared" si="233"/>
        <v>0</v>
      </c>
      <c r="O1842" s="487"/>
      <c r="P1842" s="487"/>
      <c r="Q1842" s="274">
        <f t="shared" si="228"/>
        <v>0</v>
      </c>
      <c r="R1842" s="574">
        <f t="shared" si="229"/>
        <v>0</v>
      </c>
      <c r="S1842" s="275">
        <f t="shared" si="230"/>
        <v>0</v>
      </c>
      <c r="T1842" s="575">
        <v>192900</v>
      </c>
      <c r="U1842" s="487">
        <v>187571</v>
      </c>
      <c r="V1842" s="576"/>
      <c r="W1842" s="573"/>
      <c r="X1842" s="574">
        <f t="shared" si="234"/>
        <v>0</v>
      </c>
      <c r="Y1842" s="487"/>
      <c r="Z1842" s="487"/>
      <c r="AA1842" s="276">
        <f t="shared" si="235"/>
        <v>0</v>
      </c>
      <c r="AB1842" s="573"/>
      <c r="AC1842" s="487"/>
      <c r="AD1842" s="573"/>
      <c r="AE1842" s="487"/>
      <c r="AF1842" s="577">
        <f t="shared" si="231"/>
        <v>192900</v>
      </c>
      <c r="AG1842" s="275">
        <f t="shared" si="232"/>
        <v>187571</v>
      </c>
    </row>
    <row r="1843" spans="1:33" ht="12" customHeight="1">
      <c r="A1843" s="642" t="s">
        <v>1281</v>
      </c>
      <c r="B1843" s="642" t="s">
        <v>1798</v>
      </c>
      <c r="C1843" s="283" t="s">
        <v>1606</v>
      </c>
      <c r="D1843" s="736"/>
      <c r="E1843" s="737"/>
      <c r="F1843" s="573"/>
      <c r="G1843" s="487"/>
      <c r="H1843" s="573"/>
      <c r="I1843" s="487"/>
      <c r="J1843" s="573"/>
      <c r="K1843" s="487"/>
      <c r="L1843" s="573"/>
      <c r="M1843" s="573"/>
      <c r="N1843" s="456">
        <f t="shared" si="233"/>
        <v>0</v>
      </c>
      <c r="O1843" s="487"/>
      <c r="P1843" s="487"/>
      <c r="Q1843" s="274">
        <f t="shared" si="228"/>
        <v>0</v>
      </c>
      <c r="R1843" s="574">
        <f t="shared" si="229"/>
        <v>0</v>
      </c>
      <c r="S1843" s="275">
        <f t="shared" si="230"/>
        <v>0</v>
      </c>
      <c r="T1843" s="575"/>
      <c r="U1843" s="487"/>
      <c r="V1843" s="576"/>
      <c r="W1843" s="573"/>
      <c r="X1843" s="574">
        <f t="shared" si="234"/>
        <v>0</v>
      </c>
      <c r="Y1843" s="487"/>
      <c r="Z1843" s="487"/>
      <c r="AA1843" s="276">
        <f t="shared" si="235"/>
        <v>0</v>
      </c>
      <c r="AB1843" s="573"/>
      <c r="AC1843" s="487"/>
      <c r="AD1843" s="573"/>
      <c r="AE1843" s="487"/>
      <c r="AF1843" s="577">
        <f t="shared" si="231"/>
        <v>0</v>
      </c>
      <c r="AG1843" s="275">
        <f t="shared" si="232"/>
        <v>0</v>
      </c>
    </row>
    <row r="1844" spans="1:33" ht="12" customHeight="1">
      <c r="A1844" s="642" t="s">
        <v>1281</v>
      </c>
      <c r="B1844" s="642" t="s">
        <v>1799</v>
      </c>
      <c r="C1844" s="284" t="s">
        <v>853</v>
      </c>
      <c r="D1844" s="736"/>
      <c r="E1844" s="737"/>
      <c r="F1844" s="573"/>
      <c r="G1844" s="487"/>
      <c r="H1844" s="573"/>
      <c r="I1844" s="487"/>
      <c r="J1844" s="573"/>
      <c r="K1844" s="487"/>
      <c r="L1844" s="573"/>
      <c r="M1844" s="573"/>
      <c r="N1844" s="456">
        <f t="shared" si="233"/>
        <v>0</v>
      </c>
      <c r="O1844" s="487"/>
      <c r="P1844" s="487"/>
      <c r="Q1844" s="274">
        <f t="shared" si="228"/>
        <v>0</v>
      </c>
      <c r="R1844" s="574">
        <f t="shared" si="229"/>
        <v>0</v>
      </c>
      <c r="S1844" s="275">
        <f t="shared" si="230"/>
        <v>0</v>
      </c>
      <c r="T1844" s="575"/>
      <c r="U1844" s="487"/>
      <c r="V1844" s="576"/>
      <c r="W1844" s="573"/>
      <c r="X1844" s="574">
        <f t="shared" si="234"/>
        <v>0</v>
      </c>
      <c r="Y1844" s="487"/>
      <c r="Z1844" s="487"/>
      <c r="AA1844" s="276">
        <f t="shared" si="235"/>
        <v>0</v>
      </c>
      <c r="AB1844" s="573"/>
      <c r="AC1844" s="487"/>
      <c r="AD1844" s="573"/>
      <c r="AE1844" s="487"/>
      <c r="AF1844" s="577">
        <f t="shared" si="231"/>
        <v>0</v>
      </c>
      <c r="AG1844" s="275">
        <f t="shared" si="232"/>
        <v>0</v>
      </c>
    </row>
    <row r="1845" spans="1:33" ht="12" customHeight="1">
      <c r="A1845" s="642" t="s">
        <v>1281</v>
      </c>
      <c r="B1845" s="642" t="s">
        <v>1799</v>
      </c>
      <c r="C1845" s="739" t="s">
        <v>1574</v>
      </c>
      <c r="D1845" s="736"/>
      <c r="E1845" s="737"/>
      <c r="F1845" s="573"/>
      <c r="G1845" s="487"/>
      <c r="H1845" s="573"/>
      <c r="I1845" s="487"/>
      <c r="J1845" s="573"/>
      <c r="K1845" s="487"/>
      <c r="L1845" s="573"/>
      <c r="M1845" s="573"/>
      <c r="N1845" s="456">
        <f t="shared" si="233"/>
        <v>0</v>
      </c>
      <c r="O1845" s="487"/>
      <c r="P1845" s="487"/>
      <c r="Q1845" s="274">
        <f t="shared" si="228"/>
        <v>0</v>
      </c>
      <c r="R1845" s="574">
        <f t="shared" si="229"/>
        <v>0</v>
      </c>
      <c r="S1845" s="275">
        <f t="shared" si="230"/>
        <v>0</v>
      </c>
      <c r="T1845" s="575">
        <v>1705540</v>
      </c>
      <c r="U1845" s="487">
        <v>1767000</v>
      </c>
      <c r="V1845" s="576"/>
      <c r="W1845" s="573"/>
      <c r="X1845" s="574">
        <f t="shared" si="234"/>
        <v>0</v>
      </c>
      <c r="Y1845" s="487"/>
      <c r="Z1845" s="487"/>
      <c r="AA1845" s="276">
        <f t="shared" si="235"/>
        <v>0</v>
      </c>
      <c r="AB1845" s="573"/>
      <c r="AC1845" s="487"/>
      <c r="AD1845" s="573"/>
      <c r="AE1845" s="487"/>
      <c r="AF1845" s="577">
        <f t="shared" si="231"/>
        <v>1705540</v>
      </c>
      <c r="AG1845" s="275">
        <f t="shared" si="232"/>
        <v>1767000</v>
      </c>
    </row>
    <row r="1846" spans="1:33" ht="12" customHeight="1">
      <c r="A1846" s="642" t="s">
        <v>1281</v>
      </c>
      <c r="B1846" s="642" t="s">
        <v>1799</v>
      </c>
      <c r="C1846" s="738" t="s">
        <v>1575</v>
      </c>
      <c r="D1846" s="740"/>
      <c r="E1846" s="645"/>
      <c r="F1846" s="573"/>
      <c r="G1846" s="487"/>
      <c r="H1846" s="573"/>
      <c r="I1846" s="487"/>
      <c r="J1846" s="573"/>
      <c r="K1846" s="487"/>
      <c r="L1846" s="573"/>
      <c r="M1846" s="573"/>
      <c r="N1846" s="456">
        <f t="shared" si="233"/>
        <v>0</v>
      </c>
      <c r="O1846" s="487"/>
      <c r="P1846" s="487"/>
      <c r="Q1846" s="274">
        <f t="shared" si="228"/>
        <v>0</v>
      </c>
      <c r="R1846" s="574">
        <f t="shared" si="229"/>
        <v>0</v>
      </c>
      <c r="S1846" s="275">
        <f t="shared" si="230"/>
        <v>0</v>
      </c>
      <c r="T1846" s="575">
        <v>63635</v>
      </c>
      <c r="U1846" s="487">
        <v>63635</v>
      </c>
      <c r="V1846" s="576"/>
      <c r="W1846" s="573"/>
      <c r="X1846" s="574">
        <f t="shared" si="234"/>
        <v>0</v>
      </c>
      <c r="Y1846" s="487"/>
      <c r="Z1846" s="487"/>
      <c r="AA1846" s="276">
        <f t="shared" si="235"/>
        <v>0</v>
      </c>
      <c r="AB1846" s="573"/>
      <c r="AC1846" s="487"/>
      <c r="AD1846" s="573"/>
      <c r="AE1846" s="487"/>
      <c r="AF1846" s="577">
        <f t="shared" si="231"/>
        <v>63635</v>
      </c>
      <c r="AG1846" s="275">
        <f t="shared" si="232"/>
        <v>63635</v>
      </c>
    </row>
    <row r="1847" spans="1:33" ht="12" customHeight="1">
      <c r="A1847" s="642" t="s">
        <v>1281</v>
      </c>
      <c r="B1847" s="642" t="s">
        <v>1800</v>
      </c>
      <c r="C1847" s="284" t="s">
        <v>858</v>
      </c>
      <c r="D1847" s="736"/>
      <c r="E1847" s="737"/>
      <c r="F1847" s="573"/>
      <c r="G1847" s="487"/>
      <c r="H1847" s="573"/>
      <c r="I1847" s="487"/>
      <c r="J1847" s="573"/>
      <c r="K1847" s="487"/>
      <c r="L1847" s="573"/>
      <c r="M1847" s="573"/>
      <c r="N1847" s="456">
        <f t="shared" si="233"/>
        <v>0</v>
      </c>
      <c r="O1847" s="487"/>
      <c r="P1847" s="487"/>
      <c r="Q1847" s="274">
        <f t="shared" si="228"/>
        <v>0</v>
      </c>
      <c r="R1847" s="574">
        <f t="shared" si="229"/>
        <v>0</v>
      </c>
      <c r="S1847" s="275">
        <f t="shared" si="230"/>
        <v>0</v>
      </c>
      <c r="T1847" s="575"/>
      <c r="U1847" s="487"/>
      <c r="V1847" s="576"/>
      <c r="W1847" s="573"/>
      <c r="X1847" s="574">
        <f t="shared" si="234"/>
        <v>0</v>
      </c>
      <c r="Y1847" s="487"/>
      <c r="Z1847" s="487"/>
      <c r="AA1847" s="276">
        <f t="shared" si="235"/>
        <v>0</v>
      </c>
      <c r="AB1847" s="573"/>
      <c r="AC1847" s="487"/>
      <c r="AD1847" s="573"/>
      <c r="AE1847" s="487"/>
      <c r="AF1847" s="577">
        <f t="shared" si="231"/>
        <v>0</v>
      </c>
      <c r="AG1847" s="275">
        <f t="shared" si="232"/>
        <v>0</v>
      </c>
    </row>
    <row r="1848" spans="1:33" ht="12" customHeight="1">
      <c r="A1848" s="642" t="s">
        <v>1281</v>
      </c>
      <c r="B1848" s="642" t="s">
        <v>1801</v>
      </c>
      <c r="C1848" s="283" t="s">
        <v>859</v>
      </c>
      <c r="D1848" s="740"/>
      <c r="E1848" s="737"/>
      <c r="F1848" s="573"/>
      <c r="G1848" s="487"/>
      <c r="H1848" s="573"/>
      <c r="I1848" s="487"/>
      <c r="J1848" s="573"/>
      <c r="K1848" s="487"/>
      <c r="L1848" s="573"/>
      <c r="M1848" s="573"/>
      <c r="N1848" s="456">
        <f t="shared" si="233"/>
        <v>0</v>
      </c>
      <c r="O1848" s="487"/>
      <c r="P1848" s="487"/>
      <c r="Q1848" s="274">
        <f t="shared" si="228"/>
        <v>0</v>
      </c>
      <c r="R1848" s="574">
        <f t="shared" si="229"/>
        <v>0</v>
      </c>
      <c r="S1848" s="275">
        <f t="shared" si="230"/>
        <v>0</v>
      </c>
      <c r="T1848" s="575"/>
      <c r="U1848" s="487"/>
      <c r="V1848" s="576"/>
      <c r="W1848" s="573"/>
      <c r="X1848" s="574">
        <f t="shared" si="234"/>
        <v>0</v>
      </c>
      <c r="Y1848" s="487"/>
      <c r="Z1848" s="487"/>
      <c r="AA1848" s="276">
        <f t="shared" si="235"/>
        <v>0</v>
      </c>
      <c r="AB1848" s="573"/>
      <c r="AC1848" s="487"/>
      <c r="AD1848" s="573"/>
      <c r="AE1848" s="487"/>
      <c r="AF1848" s="577">
        <f t="shared" si="231"/>
        <v>0</v>
      </c>
      <c r="AG1848" s="275">
        <f t="shared" si="232"/>
        <v>0</v>
      </c>
    </row>
    <row r="1849" spans="1:33" ht="12" customHeight="1">
      <c r="A1849" s="642" t="s">
        <v>1281</v>
      </c>
      <c r="B1849" s="642" t="s">
        <v>1801</v>
      </c>
      <c r="C1849" s="738" t="s">
        <v>1268</v>
      </c>
      <c r="D1849" s="740"/>
      <c r="E1849" s="737"/>
      <c r="F1849" s="573"/>
      <c r="G1849" s="487"/>
      <c r="H1849" s="573"/>
      <c r="I1849" s="487"/>
      <c r="J1849" s="573"/>
      <c r="K1849" s="487"/>
      <c r="L1849" s="573"/>
      <c r="M1849" s="573"/>
      <c r="N1849" s="456">
        <f t="shared" si="233"/>
        <v>0</v>
      </c>
      <c r="O1849" s="487"/>
      <c r="P1849" s="487"/>
      <c r="Q1849" s="274">
        <f t="shared" si="228"/>
        <v>0</v>
      </c>
      <c r="R1849" s="574">
        <f t="shared" si="229"/>
        <v>0</v>
      </c>
      <c r="S1849" s="275">
        <f t="shared" si="230"/>
        <v>0</v>
      </c>
      <c r="T1849" s="575">
        <f>107800+77500</f>
        <v>185300</v>
      </c>
      <c r="U1849" s="487">
        <f>7700+46400</f>
        <v>54100</v>
      </c>
      <c r="V1849" s="576"/>
      <c r="W1849" s="573"/>
      <c r="X1849" s="574">
        <f t="shared" si="234"/>
        <v>0</v>
      </c>
      <c r="Y1849" s="487"/>
      <c r="Z1849" s="487"/>
      <c r="AA1849" s="276">
        <f t="shared" si="235"/>
        <v>0</v>
      </c>
      <c r="AB1849" s="573"/>
      <c r="AC1849" s="487"/>
      <c r="AD1849" s="573"/>
      <c r="AE1849" s="487"/>
      <c r="AF1849" s="577">
        <f t="shared" si="231"/>
        <v>185300</v>
      </c>
      <c r="AG1849" s="275">
        <f t="shared" si="232"/>
        <v>54100</v>
      </c>
    </row>
    <row r="1850" spans="1:33" ht="12" customHeight="1">
      <c r="A1850" s="642" t="s">
        <v>1281</v>
      </c>
      <c r="B1850" s="642" t="s">
        <v>1801</v>
      </c>
      <c r="C1850" s="738" t="s">
        <v>704</v>
      </c>
      <c r="D1850" s="740"/>
      <c r="E1850" s="737"/>
      <c r="F1850" s="573"/>
      <c r="G1850" s="487"/>
      <c r="H1850" s="573"/>
      <c r="I1850" s="487"/>
      <c r="J1850" s="573"/>
      <c r="K1850" s="487"/>
      <c r="L1850" s="573"/>
      <c r="M1850" s="573"/>
      <c r="N1850" s="456">
        <f t="shared" si="233"/>
        <v>0</v>
      </c>
      <c r="O1850" s="487"/>
      <c r="P1850" s="487"/>
      <c r="Q1850" s="274">
        <f t="shared" si="228"/>
        <v>0</v>
      </c>
      <c r="R1850" s="574">
        <f t="shared" si="229"/>
        <v>0</v>
      </c>
      <c r="S1850" s="275">
        <f t="shared" si="230"/>
        <v>0</v>
      </c>
      <c r="T1850" s="575">
        <v>406100</v>
      </c>
      <c r="U1850" s="487">
        <v>137550</v>
      </c>
      <c r="V1850" s="576"/>
      <c r="W1850" s="573"/>
      <c r="X1850" s="574">
        <f t="shared" si="234"/>
        <v>0</v>
      </c>
      <c r="Y1850" s="487"/>
      <c r="Z1850" s="487"/>
      <c r="AA1850" s="276">
        <f t="shared" si="235"/>
        <v>0</v>
      </c>
      <c r="AB1850" s="573"/>
      <c r="AC1850" s="487"/>
      <c r="AD1850" s="573"/>
      <c r="AE1850" s="487"/>
      <c r="AF1850" s="577">
        <f t="shared" si="231"/>
        <v>406100</v>
      </c>
      <c r="AG1850" s="275">
        <f t="shared" si="232"/>
        <v>137550</v>
      </c>
    </row>
    <row r="1851" spans="1:33" ht="12" customHeight="1">
      <c r="A1851" s="642" t="s">
        <v>1281</v>
      </c>
      <c r="B1851" s="642" t="s">
        <v>1802</v>
      </c>
      <c r="C1851" s="283" t="s">
        <v>861</v>
      </c>
      <c r="D1851" s="740"/>
      <c r="E1851" s="737"/>
      <c r="F1851" s="573"/>
      <c r="G1851" s="487"/>
      <c r="H1851" s="573"/>
      <c r="I1851" s="487"/>
      <c r="J1851" s="573"/>
      <c r="K1851" s="487"/>
      <c r="L1851" s="573"/>
      <c r="M1851" s="573"/>
      <c r="N1851" s="456">
        <f t="shared" si="233"/>
        <v>0</v>
      </c>
      <c r="O1851" s="487"/>
      <c r="P1851" s="487"/>
      <c r="Q1851" s="274">
        <f t="shared" si="228"/>
        <v>0</v>
      </c>
      <c r="R1851" s="574">
        <f t="shared" si="229"/>
        <v>0</v>
      </c>
      <c r="S1851" s="275">
        <f t="shared" si="230"/>
        <v>0</v>
      </c>
      <c r="T1851" s="575"/>
      <c r="U1851" s="487"/>
      <c r="V1851" s="576"/>
      <c r="W1851" s="573"/>
      <c r="X1851" s="574">
        <f t="shared" si="234"/>
        <v>0</v>
      </c>
      <c r="Y1851" s="487"/>
      <c r="Z1851" s="487"/>
      <c r="AA1851" s="276">
        <f t="shared" si="235"/>
        <v>0</v>
      </c>
      <c r="AB1851" s="573"/>
      <c r="AC1851" s="487"/>
      <c r="AD1851" s="573"/>
      <c r="AE1851" s="487"/>
      <c r="AF1851" s="577">
        <f t="shared" si="231"/>
        <v>0</v>
      </c>
      <c r="AG1851" s="275">
        <f t="shared" si="232"/>
        <v>0</v>
      </c>
    </row>
    <row r="1852" spans="1:33" ht="12" customHeight="1">
      <c r="A1852" s="642" t="s">
        <v>1281</v>
      </c>
      <c r="B1852" s="642" t="s">
        <v>1802</v>
      </c>
      <c r="C1852" s="738" t="s">
        <v>521</v>
      </c>
      <c r="D1852" s="740"/>
      <c r="E1852" s="737"/>
      <c r="F1852" s="573"/>
      <c r="G1852" s="487"/>
      <c r="H1852" s="573"/>
      <c r="I1852" s="487"/>
      <c r="J1852" s="573"/>
      <c r="K1852" s="487"/>
      <c r="L1852" s="573"/>
      <c r="M1852" s="573"/>
      <c r="N1852" s="456">
        <f t="shared" si="233"/>
        <v>0</v>
      </c>
      <c r="O1852" s="487"/>
      <c r="P1852" s="487"/>
      <c r="Q1852" s="274">
        <f t="shared" si="228"/>
        <v>0</v>
      </c>
      <c r="R1852" s="574">
        <f t="shared" si="229"/>
        <v>0</v>
      </c>
      <c r="S1852" s="275">
        <f t="shared" si="230"/>
        <v>0</v>
      </c>
      <c r="T1852" s="575">
        <v>39300</v>
      </c>
      <c r="U1852" s="487">
        <v>19650</v>
      </c>
      <c r="V1852" s="576"/>
      <c r="W1852" s="573"/>
      <c r="X1852" s="574">
        <f t="shared" si="234"/>
        <v>0</v>
      </c>
      <c r="Y1852" s="487"/>
      <c r="Z1852" s="487"/>
      <c r="AA1852" s="276">
        <f t="shared" si="235"/>
        <v>0</v>
      </c>
      <c r="AB1852" s="573"/>
      <c r="AC1852" s="487"/>
      <c r="AD1852" s="573"/>
      <c r="AE1852" s="487"/>
      <c r="AF1852" s="577">
        <f t="shared" si="231"/>
        <v>39300</v>
      </c>
      <c r="AG1852" s="275">
        <f t="shared" si="232"/>
        <v>19650</v>
      </c>
    </row>
    <row r="1853" spans="1:33" ht="12" customHeight="1">
      <c r="A1853" s="642" t="s">
        <v>1281</v>
      </c>
      <c r="B1853" s="642" t="s">
        <v>1802</v>
      </c>
      <c r="C1853" s="738" t="s">
        <v>526</v>
      </c>
      <c r="D1853" s="740"/>
      <c r="E1853" s="737"/>
      <c r="F1853" s="573"/>
      <c r="G1853" s="487"/>
      <c r="H1853" s="573"/>
      <c r="I1853" s="487"/>
      <c r="J1853" s="573"/>
      <c r="K1853" s="487"/>
      <c r="L1853" s="573"/>
      <c r="M1853" s="573"/>
      <c r="N1853" s="456">
        <f t="shared" si="233"/>
        <v>0</v>
      </c>
      <c r="O1853" s="487"/>
      <c r="P1853" s="487"/>
      <c r="Q1853" s="274">
        <f t="shared" si="228"/>
        <v>0</v>
      </c>
      <c r="R1853" s="574">
        <f t="shared" si="229"/>
        <v>0</v>
      </c>
      <c r="S1853" s="275">
        <f t="shared" si="230"/>
        <v>0</v>
      </c>
      <c r="T1853" s="575">
        <v>183400</v>
      </c>
      <c r="U1853" s="487">
        <v>78600</v>
      </c>
      <c r="V1853" s="576"/>
      <c r="W1853" s="573"/>
      <c r="X1853" s="574">
        <f t="shared" si="234"/>
        <v>0</v>
      </c>
      <c r="Y1853" s="487"/>
      <c r="Z1853" s="487"/>
      <c r="AA1853" s="276">
        <f t="shared" si="235"/>
        <v>0</v>
      </c>
      <c r="AB1853" s="573"/>
      <c r="AC1853" s="487"/>
      <c r="AD1853" s="573"/>
      <c r="AE1853" s="487"/>
      <c r="AF1853" s="577">
        <f t="shared" si="231"/>
        <v>183400</v>
      </c>
      <c r="AG1853" s="275">
        <f t="shared" si="232"/>
        <v>78600</v>
      </c>
    </row>
    <row r="1854" spans="1:33" ht="12" customHeight="1">
      <c r="A1854" s="642" t="s">
        <v>1281</v>
      </c>
      <c r="B1854" s="642" t="s">
        <v>1803</v>
      </c>
      <c r="C1854" s="283" t="s">
        <v>954</v>
      </c>
      <c r="D1854" s="740"/>
      <c r="E1854" s="737"/>
      <c r="F1854" s="573"/>
      <c r="G1854" s="487"/>
      <c r="H1854" s="573"/>
      <c r="I1854" s="487"/>
      <c r="J1854" s="573"/>
      <c r="K1854" s="487"/>
      <c r="L1854" s="573"/>
      <c r="M1854" s="573"/>
      <c r="N1854" s="456">
        <f t="shared" si="233"/>
        <v>0</v>
      </c>
      <c r="O1854" s="487"/>
      <c r="P1854" s="487"/>
      <c r="Q1854" s="274">
        <f t="shared" si="228"/>
        <v>0</v>
      </c>
      <c r="R1854" s="574">
        <f t="shared" si="229"/>
        <v>0</v>
      </c>
      <c r="S1854" s="275">
        <f t="shared" si="230"/>
        <v>0</v>
      </c>
      <c r="T1854" s="575">
        <v>366800</v>
      </c>
      <c r="U1854" s="487">
        <f>45850+45850+26200+137550</f>
        <v>255450</v>
      </c>
      <c r="V1854" s="576"/>
      <c r="W1854" s="573"/>
      <c r="X1854" s="574">
        <f t="shared" si="234"/>
        <v>0</v>
      </c>
      <c r="Y1854" s="487"/>
      <c r="Z1854" s="487"/>
      <c r="AA1854" s="276">
        <f t="shared" si="235"/>
        <v>0</v>
      </c>
      <c r="AB1854" s="573"/>
      <c r="AC1854" s="487"/>
      <c r="AD1854" s="573"/>
      <c r="AE1854" s="487"/>
      <c r="AF1854" s="577">
        <f t="shared" si="231"/>
        <v>366800</v>
      </c>
      <c r="AG1854" s="275">
        <f t="shared" si="232"/>
        <v>255450</v>
      </c>
    </row>
    <row r="1855" spans="1:33" ht="12" customHeight="1">
      <c r="A1855" s="642" t="s">
        <v>1281</v>
      </c>
      <c r="B1855" s="642" t="s">
        <v>1804</v>
      </c>
      <c r="C1855" s="284" t="s">
        <v>418</v>
      </c>
      <c r="D1855" s="740"/>
      <c r="E1855" s="645"/>
      <c r="F1855" s="573"/>
      <c r="G1855" s="487"/>
      <c r="H1855" s="573"/>
      <c r="I1855" s="487"/>
      <c r="J1855" s="573"/>
      <c r="K1855" s="487"/>
      <c r="L1855" s="573"/>
      <c r="M1855" s="573"/>
      <c r="N1855" s="456">
        <f t="shared" si="233"/>
        <v>0</v>
      </c>
      <c r="O1855" s="487"/>
      <c r="P1855" s="487"/>
      <c r="Q1855" s="274">
        <f t="shared" si="228"/>
        <v>0</v>
      </c>
      <c r="R1855" s="574">
        <f t="shared" si="229"/>
        <v>0</v>
      </c>
      <c r="S1855" s="275">
        <f t="shared" si="230"/>
        <v>0</v>
      </c>
      <c r="T1855" s="575"/>
      <c r="U1855" s="487"/>
      <c r="V1855" s="576"/>
      <c r="W1855" s="573"/>
      <c r="X1855" s="574">
        <f t="shared" si="234"/>
        <v>0</v>
      </c>
      <c r="Y1855" s="487"/>
      <c r="Z1855" s="487"/>
      <c r="AA1855" s="276">
        <f t="shared" si="235"/>
        <v>0</v>
      </c>
      <c r="AB1855" s="573"/>
      <c r="AC1855" s="487"/>
      <c r="AD1855" s="573"/>
      <c r="AE1855" s="487"/>
      <c r="AF1855" s="577">
        <f t="shared" si="231"/>
        <v>0</v>
      </c>
      <c r="AG1855" s="275">
        <f t="shared" si="232"/>
        <v>0</v>
      </c>
    </row>
    <row r="1856" spans="1:33" ht="12" customHeight="1">
      <c r="A1856" s="642" t="s">
        <v>1281</v>
      </c>
      <c r="B1856" s="642" t="s">
        <v>1805</v>
      </c>
      <c r="C1856" s="476" t="s">
        <v>419</v>
      </c>
      <c r="D1856" s="740"/>
      <c r="E1856" s="645"/>
      <c r="F1856" s="573"/>
      <c r="G1856" s="487"/>
      <c r="H1856" s="573"/>
      <c r="I1856" s="487"/>
      <c r="J1856" s="573"/>
      <c r="K1856" s="487"/>
      <c r="L1856" s="573"/>
      <c r="M1856" s="573"/>
      <c r="N1856" s="456">
        <f t="shared" si="233"/>
        <v>0</v>
      </c>
      <c r="O1856" s="487"/>
      <c r="P1856" s="487"/>
      <c r="Q1856" s="274">
        <f t="shared" si="228"/>
        <v>0</v>
      </c>
      <c r="R1856" s="574">
        <f t="shared" si="229"/>
        <v>0</v>
      </c>
      <c r="S1856" s="275">
        <f t="shared" si="230"/>
        <v>0</v>
      </c>
      <c r="T1856" s="575"/>
      <c r="U1856" s="487"/>
      <c r="V1856" s="576"/>
      <c r="W1856" s="573"/>
      <c r="X1856" s="574">
        <f t="shared" si="234"/>
        <v>0</v>
      </c>
      <c r="Y1856" s="487"/>
      <c r="Z1856" s="487"/>
      <c r="AA1856" s="276">
        <f t="shared" si="235"/>
        <v>0</v>
      </c>
      <c r="AB1856" s="573"/>
      <c r="AC1856" s="487"/>
      <c r="AD1856" s="573"/>
      <c r="AE1856" s="487"/>
      <c r="AF1856" s="577">
        <f t="shared" si="231"/>
        <v>0</v>
      </c>
      <c r="AG1856" s="275">
        <f t="shared" si="232"/>
        <v>0</v>
      </c>
    </row>
    <row r="1857" spans="1:33" ht="12" customHeight="1">
      <c r="A1857" s="642" t="s">
        <v>1281</v>
      </c>
      <c r="B1857" s="642" t="s">
        <v>1805</v>
      </c>
      <c r="C1857" s="285" t="s">
        <v>495</v>
      </c>
      <c r="D1857" s="740"/>
      <c r="E1857" s="645"/>
      <c r="F1857" s="573"/>
      <c r="G1857" s="487"/>
      <c r="H1857" s="573"/>
      <c r="I1857" s="487"/>
      <c r="J1857" s="573"/>
      <c r="K1857" s="487"/>
      <c r="L1857" s="573"/>
      <c r="M1857" s="573"/>
      <c r="N1857" s="456">
        <f t="shared" si="233"/>
        <v>0</v>
      </c>
      <c r="O1857" s="487"/>
      <c r="P1857" s="487"/>
      <c r="Q1857" s="274">
        <f t="shared" si="228"/>
        <v>0</v>
      </c>
      <c r="R1857" s="574">
        <f t="shared" si="229"/>
        <v>0</v>
      </c>
      <c r="S1857" s="275">
        <f t="shared" si="230"/>
        <v>0</v>
      </c>
      <c r="T1857" s="575"/>
      <c r="U1857" s="487"/>
      <c r="V1857" s="576"/>
      <c r="W1857" s="573"/>
      <c r="X1857" s="574">
        <f t="shared" si="234"/>
        <v>0</v>
      </c>
      <c r="Y1857" s="487"/>
      <c r="Z1857" s="487"/>
      <c r="AA1857" s="276">
        <f t="shared" si="235"/>
        <v>0</v>
      </c>
      <c r="AB1857" s="573"/>
      <c r="AC1857" s="487"/>
      <c r="AD1857" s="573"/>
      <c r="AE1857" s="487"/>
      <c r="AF1857" s="577">
        <f t="shared" si="231"/>
        <v>0</v>
      </c>
      <c r="AG1857" s="275">
        <f t="shared" si="232"/>
        <v>0</v>
      </c>
    </row>
    <row r="1858" spans="1:33" ht="12" customHeight="1">
      <c r="A1858" s="642" t="s">
        <v>1281</v>
      </c>
      <c r="B1858" s="642" t="s">
        <v>1882</v>
      </c>
      <c r="C1858" s="741" t="s">
        <v>1883</v>
      </c>
      <c r="D1858" s="740"/>
      <c r="E1858" s="645"/>
      <c r="F1858" s="573"/>
      <c r="G1858" s="487"/>
      <c r="H1858" s="573"/>
      <c r="I1858" s="487"/>
      <c r="J1858" s="573"/>
      <c r="K1858" s="487"/>
      <c r="L1858" s="573"/>
      <c r="M1858" s="573"/>
      <c r="N1858" s="456">
        <f t="shared" si="233"/>
        <v>0</v>
      </c>
      <c r="O1858" s="487"/>
      <c r="P1858" s="487"/>
      <c r="Q1858" s="274">
        <f t="shared" si="228"/>
        <v>0</v>
      </c>
      <c r="R1858" s="574">
        <f t="shared" si="229"/>
        <v>0</v>
      </c>
      <c r="S1858" s="275">
        <f t="shared" si="230"/>
        <v>0</v>
      </c>
      <c r="T1858" s="575">
        <v>645000</v>
      </c>
      <c r="U1858" s="487">
        <v>645000</v>
      </c>
      <c r="V1858" s="576"/>
      <c r="W1858" s="573"/>
      <c r="X1858" s="574">
        <f t="shared" si="234"/>
        <v>0</v>
      </c>
      <c r="Y1858" s="487"/>
      <c r="Z1858" s="487"/>
      <c r="AA1858" s="276">
        <f t="shared" si="235"/>
        <v>0</v>
      </c>
      <c r="AB1858" s="573"/>
      <c r="AC1858" s="487"/>
      <c r="AD1858" s="573"/>
      <c r="AE1858" s="487"/>
      <c r="AF1858" s="577">
        <f t="shared" si="231"/>
        <v>645000</v>
      </c>
      <c r="AG1858" s="275">
        <f t="shared" si="232"/>
        <v>645000</v>
      </c>
    </row>
    <row r="1859" spans="1:33" ht="12" customHeight="1">
      <c r="A1859" s="642" t="s">
        <v>1281</v>
      </c>
      <c r="B1859" s="642" t="s">
        <v>1763</v>
      </c>
      <c r="C1859" s="741" t="s">
        <v>1761</v>
      </c>
      <c r="D1859" s="740"/>
      <c r="E1859" s="645"/>
      <c r="F1859" s="573"/>
      <c r="G1859" s="487"/>
      <c r="H1859" s="573"/>
      <c r="I1859" s="487"/>
      <c r="J1859" s="573"/>
      <c r="K1859" s="487"/>
      <c r="L1859" s="573"/>
      <c r="M1859" s="573"/>
      <c r="N1859" s="456">
        <f t="shared" si="233"/>
        <v>0</v>
      </c>
      <c r="O1859" s="487"/>
      <c r="P1859" s="487"/>
      <c r="Q1859" s="274">
        <f t="shared" si="228"/>
        <v>0</v>
      </c>
      <c r="R1859" s="574">
        <f t="shared" si="229"/>
        <v>0</v>
      </c>
      <c r="S1859" s="275">
        <f t="shared" si="230"/>
        <v>0</v>
      </c>
      <c r="T1859" s="575"/>
      <c r="U1859" s="487"/>
      <c r="V1859" s="576"/>
      <c r="W1859" s="573"/>
      <c r="X1859" s="574">
        <f t="shared" si="234"/>
        <v>0</v>
      </c>
      <c r="Y1859" s="487"/>
      <c r="Z1859" s="487"/>
      <c r="AA1859" s="276">
        <f t="shared" si="235"/>
        <v>0</v>
      </c>
      <c r="AB1859" s="573"/>
      <c r="AC1859" s="487"/>
      <c r="AD1859" s="573"/>
      <c r="AE1859" s="487"/>
      <c r="AF1859" s="577">
        <f t="shared" si="231"/>
        <v>0</v>
      </c>
      <c r="AG1859" s="275">
        <f t="shared" si="232"/>
        <v>0</v>
      </c>
    </row>
    <row r="1860" spans="1:33" ht="12" customHeight="1">
      <c r="A1860" s="642" t="s">
        <v>1281</v>
      </c>
      <c r="B1860" s="642" t="s">
        <v>1510</v>
      </c>
      <c r="C1860" s="741" t="s">
        <v>421</v>
      </c>
      <c r="D1860" s="740"/>
      <c r="E1860" s="645"/>
      <c r="F1860" s="573"/>
      <c r="G1860" s="487"/>
      <c r="H1860" s="573"/>
      <c r="I1860" s="487"/>
      <c r="J1860" s="573"/>
      <c r="K1860" s="487"/>
      <c r="L1860" s="573"/>
      <c r="M1860" s="573"/>
      <c r="N1860" s="456">
        <f t="shared" si="233"/>
        <v>0</v>
      </c>
      <c r="O1860" s="487"/>
      <c r="P1860" s="487"/>
      <c r="Q1860" s="274">
        <f t="shared" si="228"/>
        <v>0</v>
      </c>
      <c r="R1860" s="574">
        <f t="shared" si="229"/>
        <v>0</v>
      </c>
      <c r="S1860" s="275">
        <f t="shared" si="230"/>
        <v>0</v>
      </c>
      <c r="T1860" s="1144" t="s">
        <v>150</v>
      </c>
      <c r="U1860" s="487"/>
      <c r="V1860" s="576"/>
      <c r="W1860" s="573"/>
      <c r="X1860" s="574">
        <f t="shared" si="234"/>
        <v>0</v>
      </c>
      <c r="Y1860" s="487"/>
      <c r="Z1860" s="487"/>
      <c r="AA1860" s="276">
        <f t="shared" si="235"/>
        <v>0</v>
      </c>
      <c r="AB1860" s="573"/>
      <c r="AC1860" s="487"/>
      <c r="AD1860" s="573"/>
      <c r="AE1860" s="487"/>
      <c r="AF1860" s="577">
        <f t="shared" si="231"/>
        <v>0</v>
      </c>
      <c r="AG1860" s="275">
        <f t="shared" si="232"/>
        <v>0</v>
      </c>
    </row>
    <row r="1861" spans="1:33" ht="12" customHeight="1">
      <c r="A1861" s="642" t="s">
        <v>1281</v>
      </c>
      <c r="B1861" s="642" t="s">
        <v>1511</v>
      </c>
      <c r="C1861" s="741" t="s">
        <v>1883</v>
      </c>
      <c r="D1861" s="740"/>
      <c r="E1861" s="645"/>
      <c r="F1861" s="573"/>
      <c r="G1861" s="487"/>
      <c r="H1861" s="573"/>
      <c r="I1861" s="487"/>
      <c r="J1861" s="573"/>
      <c r="K1861" s="487"/>
      <c r="L1861" s="573"/>
      <c r="M1861" s="573"/>
      <c r="N1861" s="456">
        <f t="shared" si="233"/>
        <v>0</v>
      </c>
      <c r="O1861" s="487"/>
      <c r="P1861" s="487"/>
      <c r="Q1861" s="274">
        <f t="shared" si="228"/>
        <v>0</v>
      </c>
      <c r="R1861" s="574">
        <f t="shared" si="229"/>
        <v>0</v>
      </c>
      <c r="S1861" s="275">
        <f t="shared" si="230"/>
        <v>0</v>
      </c>
      <c r="T1861" s="1152"/>
      <c r="U1861" s="487"/>
      <c r="V1861" s="576"/>
      <c r="W1861" s="573"/>
      <c r="X1861" s="574">
        <f t="shared" si="234"/>
        <v>0</v>
      </c>
      <c r="Y1861" s="487"/>
      <c r="Z1861" s="487"/>
      <c r="AA1861" s="276">
        <f t="shared" si="235"/>
        <v>0</v>
      </c>
      <c r="AB1861" s="573"/>
      <c r="AC1861" s="487"/>
      <c r="AD1861" s="573"/>
      <c r="AE1861" s="487"/>
      <c r="AF1861" s="577">
        <f t="shared" si="231"/>
        <v>0</v>
      </c>
      <c r="AG1861" s="275">
        <f t="shared" si="232"/>
        <v>0</v>
      </c>
    </row>
    <row r="1862" spans="1:33" ht="12" customHeight="1">
      <c r="A1862" s="642" t="s">
        <v>1281</v>
      </c>
      <c r="B1862" s="642" t="s">
        <v>1763</v>
      </c>
      <c r="C1862" s="741" t="s">
        <v>1761</v>
      </c>
      <c r="D1862" s="740"/>
      <c r="E1862" s="645"/>
      <c r="F1862" s="573"/>
      <c r="G1862" s="487"/>
      <c r="H1862" s="573"/>
      <c r="I1862" s="487"/>
      <c r="J1862" s="573"/>
      <c r="K1862" s="487"/>
      <c r="L1862" s="573"/>
      <c r="M1862" s="573"/>
      <c r="N1862" s="456">
        <f t="shared" si="233"/>
        <v>0</v>
      </c>
      <c r="O1862" s="487"/>
      <c r="P1862" s="487"/>
      <c r="Q1862" s="274">
        <f t="shared" si="228"/>
        <v>0</v>
      </c>
      <c r="R1862" s="574">
        <f t="shared" si="229"/>
        <v>0</v>
      </c>
      <c r="S1862" s="275">
        <f t="shared" si="230"/>
        <v>0</v>
      </c>
      <c r="T1862" s="575"/>
      <c r="U1862" s="487"/>
      <c r="V1862" s="576"/>
      <c r="W1862" s="573"/>
      <c r="X1862" s="574">
        <f t="shared" si="234"/>
        <v>0</v>
      </c>
      <c r="Y1862" s="487"/>
      <c r="Z1862" s="487"/>
      <c r="AA1862" s="276">
        <f t="shared" si="235"/>
        <v>0</v>
      </c>
      <c r="AB1862" s="573"/>
      <c r="AC1862" s="487"/>
      <c r="AD1862" s="573"/>
      <c r="AE1862" s="487"/>
      <c r="AF1862" s="577">
        <f t="shared" si="231"/>
        <v>0</v>
      </c>
      <c r="AG1862" s="275">
        <f t="shared" si="232"/>
        <v>0</v>
      </c>
    </row>
    <row r="1863" spans="1:33" ht="12" customHeight="1">
      <c r="A1863" s="642" t="s">
        <v>1281</v>
      </c>
      <c r="B1863" s="642" t="s">
        <v>1413</v>
      </c>
      <c r="C1863" s="741" t="s">
        <v>422</v>
      </c>
      <c r="D1863" s="740"/>
      <c r="E1863" s="645"/>
      <c r="F1863" s="573"/>
      <c r="G1863" s="487"/>
      <c r="H1863" s="573"/>
      <c r="I1863" s="487"/>
      <c r="J1863" s="573"/>
      <c r="K1863" s="487"/>
      <c r="L1863" s="573"/>
      <c r="M1863" s="573"/>
      <c r="N1863" s="456">
        <f t="shared" si="233"/>
        <v>0</v>
      </c>
      <c r="O1863" s="487"/>
      <c r="P1863" s="487"/>
      <c r="Q1863" s="274">
        <f t="shared" si="228"/>
        <v>0</v>
      </c>
      <c r="R1863" s="574">
        <f t="shared" si="229"/>
        <v>0</v>
      </c>
      <c r="S1863" s="275">
        <f t="shared" si="230"/>
        <v>0</v>
      </c>
      <c r="T1863" s="575"/>
      <c r="U1863" s="487"/>
      <c r="V1863" s="576"/>
      <c r="W1863" s="573"/>
      <c r="X1863" s="574">
        <f t="shared" si="234"/>
        <v>0</v>
      </c>
      <c r="Y1863" s="487"/>
      <c r="Z1863" s="487"/>
      <c r="AA1863" s="276">
        <f t="shared" si="235"/>
        <v>0</v>
      </c>
      <c r="AB1863" s="573"/>
      <c r="AC1863" s="487"/>
      <c r="AD1863" s="573"/>
      <c r="AE1863" s="487"/>
      <c r="AF1863" s="577">
        <f t="shared" si="231"/>
        <v>0</v>
      </c>
      <c r="AG1863" s="275">
        <f t="shared" si="232"/>
        <v>0</v>
      </c>
    </row>
    <row r="1864" spans="1:33" ht="12" customHeight="1">
      <c r="A1864" s="642" t="s">
        <v>1281</v>
      </c>
      <c r="B1864" s="642" t="s">
        <v>1582</v>
      </c>
      <c r="C1864" s="741" t="s">
        <v>1883</v>
      </c>
      <c r="D1864" s="740"/>
      <c r="E1864" s="645"/>
      <c r="F1864" s="573"/>
      <c r="G1864" s="487"/>
      <c r="H1864" s="573"/>
      <c r="I1864" s="487"/>
      <c r="J1864" s="573"/>
      <c r="K1864" s="487"/>
      <c r="L1864" s="573"/>
      <c r="M1864" s="573"/>
      <c r="N1864" s="456">
        <f t="shared" si="233"/>
        <v>0</v>
      </c>
      <c r="O1864" s="487"/>
      <c r="P1864" s="487"/>
      <c r="Q1864" s="274">
        <f t="shared" si="228"/>
        <v>0</v>
      </c>
      <c r="R1864" s="574">
        <f t="shared" si="229"/>
        <v>0</v>
      </c>
      <c r="S1864" s="275">
        <f t="shared" si="230"/>
        <v>0</v>
      </c>
      <c r="T1864" s="575"/>
      <c r="U1864" s="487"/>
      <c r="V1864" s="576"/>
      <c r="W1864" s="573"/>
      <c r="X1864" s="574">
        <f t="shared" si="234"/>
        <v>0</v>
      </c>
      <c r="Y1864" s="487"/>
      <c r="Z1864" s="487"/>
      <c r="AA1864" s="276">
        <f t="shared" si="235"/>
        <v>0</v>
      </c>
      <c r="AB1864" s="573"/>
      <c r="AC1864" s="487"/>
      <c r="AD1864" s="573"/>
      <c r="AE1864" s="487"/>
      <c r="AF1864" s="577">
        <f t="shared" si="231"/>
        <v>0</v>
      </c>
      <c r="AG1864" s="275">
        <f t="shared" si="232"/>
        <v>0</v>
      </c>
    </row>
    <row r="1865" spans="1:33" ht="12" customHeight="1">
      <c r="A1865" s="642" t="s">
        <v>1281</v>
      </c>
      <c r="B1865" s="642" t="s">
        <v>1763</v>
      </c>
      <c r="C1865" s="741" t="s">
        <v>1761</v>
      </c>
      <c r="D1865" s="740"/>
      <c r="E1865" s="645"/>
      <c r="F1865" s="573"/>
      <c r="G1865" s="487"/>
      <c r="H1865" s="573"/>
      <c r="I1865" s="487"/>
      <c r="J1865" s="573"/>
      <c r="K1865" s="487"/>
      <c r="L1865" s="573"/>
      <c r="M1865" s="573"/>
      <c r="N1865" s="456">
        <f t="shared" si="233"/>
        <v>0</v>
      </c>
      <c r="O1865" s="487"/>
      <c r="P1865" s="487"/>
      <c r="Q1865" s="274">
        <f t="shared" si="228"/>
        <v>0</v>
      </c>
      <c r="R1865" s="574">
        <f t="shared" si="229"/>
        <v>0</v>
      </c>
      <c r="S1865" s="275">
        <f t="shared" si="230"/>
        <v>0</v>
      </c>
      <c r="T1865" s="575"/>
      <c r="U1865" s="487"/>
      <c r="V1865" s="576"/>
      <c r="W1865" s="573"/>
      <c r="X1865" s="574">
        <f t="shared" si="234"/>
        <v>0</v>
      </c>
      <c r="Y1865" s="487"/>
      <c r="Z1865" s="487"/>
      <c r="AA1865" s="276">
        <f t="shared" si="235"/>
        <v>0</v>
      </c>
      <c r="AB1865" s="573"/>
      <c r="AC1865" s="487"/>
      <c r="AD1865" s="573"/>
      <c r="AE1865" s="487"/>
      <c r="AF1865" s="577">
        <f t="shared" si="231"/>
        <v>0</v>
      </c>
      <c r="AG1865" s="275">
        <f t="shared" si="232"/>
        <v>0</v>
      </c>
    </row>
    <row r="1866" spans="1:33" ht="12" customHeight="1">
      <c r="A1866" s="642" t="s">
        <v>1281</v>
      </c>
      <c r="B1866" s="642" t="s">
        <v>1805</v>
      </c>
      <c r="C1866" s="322" t="s">
        <v>496</v>
      </c>
      <c r="D1866" s="740"/>
      <c r="E1866" s="645"/>
      <c r="F1866" s="573"/>
      <c r="G1866" s="487"/>
      <c r="H1866" s="573"/>
      <c r="I1866" s="487"/>
      <c r="J1866" s="573"/>
      <c r="K1866" s="487"/>
      <c r="L1866" s="573"/>
      <c r="M1866" s="573"/>
      <c r="N1866" s="456">
        <f t="shared" si="233"/>
        <v>0</v>
      </c>
      <c r="O1866" s="487"/>
      <c r="P1866" s="487"/>
      <c r="Q1866" s="274">
        <f t="shared" ref="Q1866:Q1929" si="236">SUM(O1866:P1866)</f>
        <v>0</v>
      </c>
      <c r="R1866" s="574">
        <f t="shared" ref="R1866:R1929" si="237">SUM(F1866,H1866,J1866,L1866)</f>
        <v>0</v>
      </c>
      <c r="S1866" s="275">
        <f t="shared" ref="S1866:S1929" si="238">SUM(G1866,I1866,K1866,O1866)</f>
        <v>0</v>
      </c>
      <c r="T1866" s="575"/>
      <c r="U1866" s="487"/>
      <c r="V1866" s="576"/>
      <c r="W1866" s="573"/>
      <c r="X1866" s="574">
        <f t="shared" si="234"/>
        <v>0</v>
      </c>
      <c r="Y1866" s="487"/>
      <c r="Z1866" s="487"/>
      <c r="AA1866" s="276">
        <f t="shared" si="235"/>
        <v>0</v>
      </c>
      <c r="AB1866" s="573"/>
      <c r="AC1866" s="487"/>
      <c r="AD1866" s="573"/>
      <c r="AE1866" s="487"/>
      <c r="AF1866" s="577">
        <f t="shared" ref="AF1866:AF1929" si="239">SUM(R1866,T1866,V1866,AB1866,AD1866)</f>
        <v>0</v>
      </c>
      <c r="AG1866" s="275">
        <f t="shared" ref="AG1866:AG1929" si="240">SUM(S1866,U1866,Y1866,AC1866,AE1866)</f>
        <v>0</v>
      </c>
    </row>
    <row r="1867" spans="1:33" ht="12" customHeight="1">
      <c r="A1867" s="642" t="s">
        <v>1281</v>
      </c>
      <c r="B1867" s="642" t="s">
        <v>1882</v>
      </c>
      <c r="C1867" s="741" t="s">
        <v>1883</v>
      </c>
      <c r="D1867" s="740"/>
      <c r="E1867" s="645"/>
      <c r="F1867" s="573"/>
      <c r="G1867" s="487"/>
      <c r="H1867" s="573"/>
      <c r="I1867" s="487"/>
      <c r="J1867" s="573"/>
      <c r="K1867" s="487"/>
      <c r="L1867" s="573"/>
      <c r="M1867" s="573"/>
      <c r="N1867" s="456">
        <f t="shared" si="233"/>
        <v>0</v>
      </c>
      <c r="O1867" s="487"/>
      <c r="P1867" s="487"/>
      <c r="Q1867" s="274">
        <f t="shared" si="236"/>
        <v>0</v>
      </c>
      <c r="R1867" s="574">
        <f t="shared" si="237"/>
        <v>0</v>
      </c>
      <c r="S1867" s="275">
        <f t="shared" si="238"/>
        <v>0</v>
      </c>
      <c r="T1867" s="575">
        <v>877765</v>
      </c>
      <c r="U1867" s="487">
        <v>877765</v>
      </c>
      <c r="V1867" s="576"/>
      <c r="W1867" s="573"/>
      <c r="X1867" s="574">
        <f t="shared" si="234"/>
        <v>0</v>
      </c>
      <c r="Y1867" s="487"/>
      <c r="Z1867" s="487"/>
      <c r="AA1867" s="276">
        <f t="shared" si="235"/>
        <v>0</v>
      </c>
      <c r="AB1867" s="573"/>
      <c r="AC1867" s="487"/>
      <c r="AD1867" s="573"/>
      <c r="AE1867" s="487"/>
      <c r="AF1867" s="577">
        <f t="shared" si="239"/>
        <v>877765</v>
      </c>
      <c r="AG1867" s="275">
        <f t="shared" si="240"/>
        <v>877765</v>
      </c>
    </row>
    <row r="1868" spans="1:33" ht="12" customHeight="1">
      <c r="A1868" s="642" t="s">
        <v>1281</v>
      </c>
      <c r="B1868" s="642" t="s">
        <v>1763</v>
      </c>
      <c r="C1868" s="741" t="s">
        <v>1761</v>
      </c>
      <c r="D1868" s="740"/>
      <c r="E1868" s="645"/>
      <c r="F1868" s="573"/>
      <c r="G1868" s="487"/>
      <c r="H1868" s="573"/>
      <c r="I1868" s="487"/>
      <c r="J1868" s="573"/>
      <c r="K1868" s="487"/>
      <c r="L1868" s="573"/>
      <c r="M1868" s="573"/>
      <c r="N1868" s="456">
        <f t="shared" si="233"/>
        <v>0</v>
      </c>
      <c r="O1868" s="487"/>
      <c r="P1868" s="487"/>
      <c r="Q1868" s="274">
        <f t="shared" si="236"/>
        <v>0</v>
      </c>
      <c r="R1868" s="574">
        <f t="shared" si="237"/>
        <v>0</v>
      </c>
      <c r="S1868" s="275">
        <f t="shared" si="238"/>
        <v>0</v>
      </c>
      <c r="T1868" s="575"/>
      <c r="U1868" s="487"/>
      <c r="V1868" s="576"/>
      <c r="W1868" s="573"/>
      <c r="X1868" s="574">
        <f t="shared" si="234"/>
        <v>0</v>
      </c>
      <c r="Y1868" s="487"/>
      <c r="Z1868" s="487"/>
      <c r="AA1868" s="276">
        <f t="shared" si="235"/>
        <v>0</v>
      </c>
      <c r="AB1868" s="573"/>
      <c r="AC1868" s="487"/>
      <c r="AD1868" s="573"/>
      <c r="AE1868" s="487"/>
      <c r="AF1868" s="577">
        <f t="shared" si="239"/>
        <v>0</v>
      </c>
      <c r="AG1868" s="275">
        <f t="shared" si="240"/>
        <v>0</v>
      </c>
    </row>
    <row r="1869" spans="1:33" ht="12" customHeight="1">
      <c r="A1869" s="642" t="s">
        <v>1281</v>
      </c>
      <c r="B1869" s="642" t="s">
        <v>1510</v>
      </c>
      <c r="C1869" s="741" t="s">
        <v>421</v>
      </c>
      <c r="D1869" s="740"/>
      <c r="E1869" s="645"/>
      <c r="F1869" s="573"/>
      <c r="G1869" s="487"/>
      <c r="H1869" s="573"/>
      <c r="I1869" s="487"/>
      <c r="J1869" s="573"/>
      <c r="K1869" s="487"/>
      <c r="L1869" s="573"/>
      <c r="M1869" s="573"/>
      <c r="N1869" s="456">
        <f t="shared" si="233"/>
        <v>0</v>
      </c>
      <c r="O1869" s="487"/>
      <c r="P1869" s="487"/>
      <c r="Q1869" s="274">
        <f t="shared" si="236"/>
        <v>0</v>
      </c>
      <c r="R1869" s="574">
        <f t="shared" si="237"/>
        <v>0</v>
      </c>
      <c r="S1869" s="275">
        <f t="shared" si="238"/>
        <v>0</v>
      </c>
      <c r="T1869" s="1144" t="s">
        <v>150</v>
      </c>
      <c r="U1869" s="487"/>
      <c r="V1869" s="576"/>
      <c r="W1869" s="573"/>
      <c r="X1869" s="574">
        <f t="shared" si="234"/>
        <v>0</v>
      </c>
      <c r="Y1869" s="487"/>
      <c r="Z1869" s="487"/>
      <c r="AA1869" s="276">
        <f t="shared" si="235"/>
        <v>0</v>
      </c>
      <c r="AB1869" s="573"/>
      <c r="AC1869" s="487"/>
      <c r="AD1869" s="573"/>
      <c r="AE1869" s="487"/>
      <c r="AF1869" s="577">
        <f t="shared" si="239"/>
        <v>0</v>
      </c>
      <c r="AG1869" s="275">
        <f t="shared" si="240"/>
        <v>0</v>
      </c>
    </row>
    <row r="1870" spans="1:33" ht="12" customHeight="1">
      <c r="A1870" s="642" t="s">
        <v>1281</v>
      </c>
      <c r="B1870" s="642" t="s">
        <v>1511</v>
      </c>
      <c r="C1870" s="741" t="s">
        <v>1883</v>
      </c>
      <c r="D1870" s="740"/>
      <c r="E1870" s="645"/>
      <c r="F1870" s="573"/>
      <c r="G1870" s="487"/>
      <c r="H1870" s="573"/>
      <c r="I1870" s="487"/>
      <c r="J1870" s="573"/>
      <c r="K1870" s="487"/>
      <c r="L1870" s="573"/>
      <c r="M1870" s="573"/>
      <c r="N1870" s="456">
        <f t="shared" si="233"/>
        <v>0</v>
      </c>
      <c r="O1870" s="487"/>
      <c r="P1870" s="487"/>
      <c r="Q1870" s="274">
        <f t="shared" si="236"/>
        <v>0</v>
      </c>
      <c r="R1870" s="574">
        <f t="shared" si="237"/>
        <v>0</v>
      </c>
      <c r="S1870" s="275">
        <f t="shared" si="238"/>
        <v>0</v>
      </c>
      <c r="T1870" s="1152"/>
      <c r="U1870" s="487"/>
      <c r="V1870" s="576"/>
      <c r="W1870" s="573"/>
      <c r="X1870" s="574">
        <f t="shared" si="234"/>
        <v>0</v>
      </c>
      <c r="Y1870" s="487"/>
      <c r="Z1870" s="487"/>
      <c r="AA1870" s="276">
        <f t="shared" si="235"/>
        <v>0</v>
      </c>
      <c r="AB1870" s="573"/>
      <c r="AC1870" s="487"/>
      <c r="AD1870" s="573"/>
      <c r="AE1870" s="487"/>
      <c r="AF1870" s="577">
        <f t="shared" si="239"/>
        <v>0</v>
      </c>
      <c r="AG1870" s="275">
        <f t="shared" si="240"/>
        <v>0</v>
      </c>
    </row>
    <row r="1871" spans="1:33" ht="12" customHeight="1">
      <c r="A1871" s="642" t="s">
        <v>1281</v>
      </c>
      <c r="B1871" s="642" t="s">
        <v>1763</v>
      </c>
      <c r="C1871" s="741" t="s">
        <v>1761</v>
      </c>
      <c r="D1871" s="740"/>
      <c r="E1871" s="645"/>
      <c r="F1871" s="573"/>
      <c r="G1871" s="487"/>
      <c r="H1871" s="573"/>
      <c r="I1871" s="487"/>
      <c r="J1871" s="573"/>
      <c r="K1871" s="487"/>
      <c r="L1871" s="573"/>
      <c r="M1871" s="573"/>
      <c r="N1871" s="456">
        <f t="shared" si="233"/>
        <v>0</v>
      </c>
      <c r="O1871" s="487"/>
      <c r="P1871" s="487"/>
      <c r="Q1871" s="274">
        <f t="shared" si="236"/>
        <v>0</v>
      </c>
      <c r="R1871" s="574">
        <f t="shared" si="237"/>
        <v>0</v>
      </c>
      <c r="S1871" s="275">
        <f t="shared" si="238"/>
        <v>0</v>
      </c>
      <c r="T1871" s="575"/>
      <c r="U1871" s="487"/>
      <c r="V1871" s="576"/>
      <c r="W1871" s="573"/>
      <c r="X1871" s="574">
        <f t="shared" si="234"/>
        <v>0</v>
      </c>
      <c r="Y1871" s="487"/>
      <c r="Z1871" s="487"/>
      <c r="AA1871" s="276">
        <f t="shared" si="235"/>
        <v>0</v>
      </c>
      <c r="AB1871" s="573"/>
      <c r="AC1871" s="487"/>
      <c r="AD1871" s="573"/>
      <c r="AE1871" s="487"/>
      <c r="AF1871" s="577">
        <f t="shared" si="239"/>
        <v>0</v>
      </c>
      <c r="AG1871" s="275">
        <f t="shared" si="240"/>
        <v>0</v>
      </c>
    </row>
    <row r="1872" spans="1:33" ht="12" customHeight="1">
      <c r="A1872" s="642" t="s">
        <v>1281</v>
      </c>
      <c r="B1872" s="642" t="s">
        <v>1413</v>
      </c>
      <c r="C1872" s="741" t="s">
        <v>422</v>
      </c>
      <c r="D1872" s="740"/>
      <c r="E1872" s="645"/>
      <c r="F1872" s="573"/>
      <c r="G1872" s="487"/>
      <c r="H1872" s="573"/>
      <c r="I1872" s="487"/>
      <c r="J1872" s="573"/>
      <c r="K1872" s="487"/>
      <c r="L1872" s="573"/>
      <c r="M1872" s="573"/>
      <c r="N1872" s="456">
        <f t="shared" si="233"/>
        <v>0</v>
      </c>
      <c r="O1872" s="487"/>
      <c r="P1872" s="487"/>
      <c r="Q1872" s="274">
        <f t="shared" si="236"/>
        <v>0</v>
      </c>
      <c r="R1872" s="574">
        <f t="shared" si="237"/>
        <v>0</v>
      </c>
      <c r="S1872" s="275">
        <f t="shared" si="238"/>
        <v>0</v>
      </c>
      <c r="T1872" s="575"/>
      <c r="U1872" s="487"/>
      <c r="V1872" s="576"/>
      <c r="W1872" s="573"/>
      <c r="X1872" s="574">
        <f t="shared" si="234"/>
        <v>0</v>
      </c>
      <c r="Y1872" s="487"/>
      <c r="Z1872" s="487"/>
      <c r="AA1872" s="276">
        <f t="shared" si="235"/>
        <v>0</v>
      </c>
      <c r="AB1872" s="573"/>
      <c r="AC1872" s="487"/>
      <c r="AD1872" s="573"/>
      <c r="AE1872" s="487"/>
      <c r="AF1872" s="577">
        <f t="shared" si="239"/>
        <v>0</v>
      </c>
      <c r="AG1872" s="275">
        <f t="shared" si="240"/>
        <v>0</v>
      </c>
    </row>
    <row r="1873" spans="1:33" ht="12" customHeight="1">
      <c r="A1873" s="642" t="s">
        <v>1281</v>
      </c>
      <c r="B1873" s="642" t="s">
        <v>1582</v>
      </c>
      <c r="C1873" s="741" t="s">
        <v>1883</v>
      </c>
      <c r="D1873" s="740"/>
      <c r="E1873" s="645"/>
      <c r="F1873" s="573"/>
      <c r="G1873" s="487"/>
      <c r="H1873" s="573"/>
      <c r="I1873" s="487"/>
      <c r="J1873" s="573"/>
      <c r="K1873" s="487"/>
      <c r="L1873" s="573"/>
      <c r="M1873" s="573"/>
      <c r="N1873" s="456">
        <f t="shared" si="233"/>
        <v>0</v>
      </c>
      <c r="O1873" s="487"/>
      <c r="P1873" s="487"/>
      <c r="Q1873" s="274">
        <f t="shared" si="236"/>
        <v>0</v>
      </c>
      <c r="R1873" s="574">
        <f t="shared" si="237"/>
        <v>0</v>
      </c>
      <c r="S1873" s="275">
        <f t="shared" si="238"/>
        <v>0</v>
      </c>
      <c r="T1873" s="575"/>
      <c r="U1873" s="487"/>
      <c r="V1873" s="576"/>
      <c r="W1873" s="573"/>
      <c r="X1873" s="574">
        <f t="shared" si="234"/>
        <v>0</v>
      </c>
      <c r="Y1873" s="487"/>
      <c r="Z1873" s="487"/>
      <c r="AA1873" s="276">
        <f t="shared" si="235"/>
        <v>0</v>
      </c>
      <c r="AB1873" s="573"/>
      <c r="AC1873" s="487"/>
      <c r="AD1873" s="573"/>
      <c r="AE1873" s="487"/>
      <c r="AF1873" s="577">
        <f t="shared" si="239"/>
        <v>0</v>
      </c>
      <c r="AG1873" s="275">
        <f t="shared" si="240"/>
        <v>0</v>
      </c>
    </row>
    <row r="1874" spans="1:33" ht="12" customHeight="1">
      <c r="A1874" s="642" t="s">
        <v>1281</v>
      </c>
      <c r="B1874" s="642" t="s">
        <v>1763</v>
      </c>
      <c r="C1874" s="741" t="s">
        <v>1761</v>
      </c>
      <c r="D1874" s="740"/>
      <c r="E1874" s="645"/>
      <c r="F1874" s="573"/>
      <c r="G1874" s="487"/>
      <c r="H1874" s="573"/>
      <c r="I1874" s="487"/>
      <c r="J1874" s="573"/>
      <c r="K1874" s="487"/>
      <c r="L1874" s="573"/>
      <c r="M1874" s="573"/>
      <c r="N1874" s="456">
        <f t="shared" si="233"/>
        <v>0</v>
      </c>
      <c r="O1874" s="487"/>
      <c r="P1874" s="487"/>
      <c r="Q1874" s="274">
        <f t="shared" si="236"/>
        <v>0</v>
      </c>
      <c r="R1874" s="574">
        <f t="shared" si="237"/>
        <v>0</v>
      </c>
      <c r="S1874" s="275">
        <f t="shared" si="238"/>
        <v>0</v>
      </c>
      <c r="T1874" s="575"/>
      <c r="U1874" s="487"/>
      <c r="V1874" s="576"/>
      <c r="W1874" s="573"/>
      <c r="X1874" s="574">
        <f t="shared" si="234"/>
        <v>0</v>
      </c>
      <c r="Y1874" s="487"/>
      <c r="Z1874" s="487"/>
      <c r="AA1874" s="276">
        <f t="shared" si="235"/>
        <v>0</v>
      </c>
      <c r="AB1874" s="573"/>
      <c r="AC1874" s="487"/>
      <c r="AD1874" s="573"/>
      <c r="AE1874" s="487"/>
      <c r="AF1874" s="577">
        <f t="shared" si="239"/>
        <v>0</v>
      </c>
      <c r="AG1874" s="275">
        <f t="shared" si="240"/>
        <v>0</v>
      </c>
    </row>
    <row r="1875" spans="1:33" ht="12" customHeight="1">
      <c r="A1875" s="642" t="s">
        <v>1281</v>
      </c>
      <c r="B1875" s="642" t="s">
        <v>1805</v>
      </c>
      <c r="C1875" s="285" t="s">
        <v>497</v>
      </c>
      <c r="D1875" s="740"/>
      <c r="E1875" s="645"/>
      <c r="F1875" s="573"/>
      <c r="G1875" s="487"/>
      <c r="H1875" s="573"/>
      <c r="I1875" s="487"/>
      <c r="J1875" s="573"/>
      <c r="K1875" s="487"/>
      <c r="L1875" s="573"/>
      <c r="M1875" s="573"/>
      <c r="N1875" s="456">
        <f t="shared" ref="N1875:N1938" si="241">SUM(L1875:M1875)</f>
        <v>0</v>
      </c>
      <c r="O1875" s="487"/>
      <c r="P1875" s="487"/>
      <c r="Q1875" s="274">
        <f t="shared" si="236"/>
        <v>0</v>
      </c>
      <c r="R1875" s="574">
        <f t="shared" si="237"/>
        <v>0</v>
      </c>
      <c r="S1875" s="275">
        <f t="shared" si="238"/>
        <v>0</v>
      </c>
      <c r="T1875" s="575"/>
      <c r="U1875" s="487"/>
      <c r="V1875" s="576"/>
      <c r="W1875" s="573"/>
      <c r="X1875" s="574">
        <f t="shared" ref="X1875:X1938" si="242">SUM(V1875:W1875)</f>
        <v>0</v>
      </c>
      <c r="Y1875" s="487"/>
      <c r="Z1875" s="487"/>
      <c r="AA1875" s="276">
        <f t="shared" ref="AA1875:AA1938" si="243">SUM(Y1875:Z1875)</f>
        <v>0</v>
      </c>
      <c r="AB1875" s="573"/>
      <c r="AC1875" s="487"/>
      <c r="AD1875" s="573"/>
      <c r="AE1875" s="487"/>
      <c r="AF1875" s="577">
        <f t="shared" si="239"/>
        <v>0</v>
      </c>
      <c r="AG1875" s="275">
        <f t="shared" si="240"/>
        <v>0</v>
      </c>
    </row>
    <row r="1876" spans="1:33" ht="12" customHeight="1">
      <c r="A1876" s="642" t="s">
        <v>1281</v>
      </c>
      <c r="B1876" s="642" t="s">
        <v>1882</v>
      </c>
      <c r="C1876" s="741" t="s">
        <v>1883</v>
      </c>
      <c r="D1876" s="740"/>
      <c r="E1876" s="645"/>
      <c r="F1876" s="573"/>
      <c r="G1876" s="487"/>
      <c r="H1876" s="573"/>
      <c r="I1876" s="487"/>
      <c r="J1876" s="573"/>
      <c r="K1876" s="487"/>
      <c r="L1876" s="573"/>
      <c r="M1876" s="573"/>
      <c r="N1876" s="456">
        <f t="shared" si="241"/>
        <v>0</v>
      </c>
      <c r="O1876" s="487"/>
      <c r="P1876" s="487"/>
      <c r="Q1876" s="274">
        <f t="shared" si="236"/>
        <v>0</v>
      </c>
      <c r="R1876" s="574">
        <f t="shared" si="237"/>
        <v>0</v>
      </c>
      <c r="S1876" s="275">
        <f t="shared" si="238"/>
        <v>0</v>
      </c>
      <c r="T1876" s="575">
        <v>822779</v>
      </c>
      <c r="U1876" s="487">
        <v>822779</v>
      </c>
      <c r="V1876" s="576"/>
      <c r="W1876" s="573"/>
      <c r="X1876" s="574">
        <f t="shared" si="242"/>
        <v>0</v>
      </c>
      <c r="Y1876" s="487"/>
      <c r="Z1876" s="487"/>
      <c r="AA1876" s="276">
        <f t="shared" si="243"/>
        <v>0</v>
      </c>
      <c r="AB1876" s="573"/>
      <c r="AC1876" s="487"/>
      <c r="AD1876" s="573"/>
      <c r="AE1876" s="487"/>
      <c r="AF1876" s="577">
        <f t="shared" si="239"/>
        <v>822779</v>
      </c>
      <c r="AG1876" s="275">
        <f t="shared" si="240"/>
        <v>822779</v>
      </c>
    </row>
    <row r="1877" spans="1:33" ht="12" customHeight="1">
      <c r="A1877" s="642" t="s">
        <v>1281</v>
      </c>
      <c r="B1877" s="642" t="s">
        <v>1763</v>
      </c>
      <c r="C1877" s="741" t="s">
        <v>1761</v>
      </c>
      <c r="D1877" s="740"/>
      <c r="E1877" s="645"/>
      <c r="F1877" s="573"/>
      <c r="G1877" s="487"/>
      <c r="H1877" s="573"/>
      <c r="I1877" s="487"/>
      <c r="J1877" s="573"/>
      <c r="K1877" s="487"/>
      <c r="L1877" s="573"/>
      <c r="M1877" s="573"/>
      <c r="N1877" s="456">
        <f t="shared" si="241"/>
        <v>0</v>
      </c>
      <c r="O1877" s="487"/>
      <c r="P1877" s="487"/>
      <c r="Q1877" s="274">
        <f t="shared" si="236"/>
        <v>0</v>
      </c>
      <c r="R1877" s="574">
        <f t="shared" si="237"/>
        <v>0</v>
      </c>
      <c r="S1877" s="275">
        <f t="shared" si="238"/>
        <v>0</v>
      </c>
      <c r="T1877" s="575"/>
      <c r="U1877" s="487"/>
      <c r="V1877" s="576"/>
      <c r="W1877" s="573"/>
      <c r="X1877" s="574">
        <f t="shared" si="242"/>
        <v>0</v>
      </c>
      <c r="Y1877" s="487"/>
      <c r="Z1877" s="487"/>
      <c r="AA1877" s="276">
        <f t="shared" si="243"/>
        <v>0</v>
      </c>
      <c r="AB1877" s="573"/>
      <c r="AC1877" s="487"/>
      <c r="AD1877" s="573"/>
      <c r="AE1877" s="487"/>
      <c r="AF1877" s="577">
        <f t="shared" si="239"/>
        <v>0</v>
      </c>
      <c r="AG1877" s="275">
        <f t="shared" si="240"/>
        <v>0</v>
      </c>
    </row>
    <row r="1878" spans="1:33" ht="12" customHeight="1">
      <c r="A1878" s="642" t="s">
        <v>1281</v>
      </c>
      <c r="B1878" s="642" t="s">
        <v>1510</v>
      </c>
      <c r="C1878" s="741" t="s">
        <v>421</v>
      </c>
      <c r="D1878" s="740"/>
      <c r="E1878" s="645"/>
      <c r="F1878" s="573"/>
      <c r="G1878" s="487"/>
      <c r="H1878" s="573"/>
      <c r="I1878" s="487"/>
      <c r="J1878" s="573"/>
      <c r="K1878" s="487"/>
      <c r="L1878" s="573"/>
      <c r="M1878" s="573"/>
      <c r="N1878" s="456">
        <f t="shared" si="241"/>
        <v>0</v>
      </c>
      <c r="O1878" s="487"/>
      <c r="P1878" s="487"/>
      <c r="Q1878" s="274">
        <f t="shared" si="236"/>
        <v>0</v>
      </c>
      <c r="R1878" s="574">
        <f t="shared" si="237"/>
        <v>0</v>
      </c>
      <c r="S1878" s="275">
        <f t="shared" si="238"/>
        <v>0</v>
      </c>
      <c r="T1878" s="1144" t="s">
        <v>150</v>
      </c>
      <c r="U1878" s="487"/>
      <c r="V1878" s="576"/>
      <c r="W1878" s="573"/>
      <c r="X1878" s="574">
        <f t="shared" si="242"/>
        <v>0</v>
      </c>
      <c r="Y1878" s="487"/>
      <c r="Z1878" s="487"/>
      <c r="AA1878" s="276">
        <f t="shared" si="243"/>
        <v>0</v>
      </c>
      <c r="AB1878" s="573"/>
      <c r="AC1878" s="487"/>
      <c r="AD1878" s="573"/>
      <c r="AE1878" s="487"/>
      <c r="AF1878" s="577">
        <f t="shared" si="239"/>
        <v>0</v>
      </c>
      <c r="AG1878" s="275">
        <f t="shared" si="240"/>
        <v>0</v>
      </c>
    </row>
    <row r="1879" spans="1:33" ht="12" customHeight="1">
      <c r="A1879" s="642" t="s">
        <v>1281</v>
      </c>
      <c r="B1879" s="642" t="s">
        <v>1511</v>
      </c>
      <c r="C1879" s="741" t="s">
        <v>1883</v>
      </c>
      <c r="D1879" s="740"/>
      <c r="E1879" s="645"/>
      <c r="F1879" s="573"/>
      <c r="G1879" s="487"/>
      <c r="H1879" s="573"/>
      <c r="I1879" s="487"/>
      <c r="J1879" s="573"/>
      <c r="K1879" s="487"/>
      <c r="L1879" s="573"/>
      <c r="M1879" s="573"/>
      <c r="N1879" s="456">
        <f t="shared" si="241"/>
        <v>0</v>
      </c>
      <c r="O1879" s="487"/>
      <c r="P1879" s="487"/>
      <c r="Q1879" s="274">
        <f t="shared" si="236"/>
        <v>0</v>
      </c>
      <c r="R1879" s="574">
        <f t="shared" si="237"/>
        <v>0</v>
      </c>
      <c r="S1879" s="275">
        <f t="shared" si="238"/>
        <v>0</v>
      </c>
      <c r="T1879" s="1152"/>
      <c r="U1879" s="487"/>
      <c r="V1879" s="576"/>
      <c r="W1879" s="573"/>
      <c r="X1879" s="574">
        <f t="shared" si="242"/>
        <v>0</v>
      </c>
      <c r="Y1879" s="487"/>
      <c r="Z1879" s="487"/>
      <c r="AA1879" s="276">
        <f t="shared" si="243"/>
        <v>0</v>
      </c>
      <c r="AB1879" s="573"/>
      <c r="AC1879" s="487"/>
      <c r="AD1879" s="573"/>
      <c r="AE1879" s="487"/>
      <c r="AF1879" s="577">
        <f t="shared" si="239"/>
        <v>0</v>
      </c>
      <c r="AG1879" s="275">
        <f t="shared" si="240"/>
        <v>0</v>
      </c>
    </row>
    <row r="1880" spans="1:33" ht="12" customHeight="1">
      <c r="A1880" s="642" t="s">
        <v>1281</v>
      </c>
      <c r="B1880" s="642" t="s">
        <v>1763</v>
      </c>
      <c r="C1880" s="741" t="s">
        <v>1761</v>
      </c>
      <c r="D1880" s="740"/>
      <c r="E1880" s="645"/>
      <c r="F1880" s="573"/>
      <c r="G1880" s="487"/>
      <c r="H1880" s="573"/>
      <c r="I1880" s="487"/>
      <c r="J1880" s="573"/>
      <c r="K1880" s="487"/>
      <c r="L1880" s="573"/>
      <c r="M1880" s="573"/>
      <c r="N1880" s="456">
        <f t="shared" si="241"/>
        <v>0</v>
      </c>
      <c r="O1880" s="487"/>
      <c r="P1880" s="487"/>
      <c r="Q1880" s="274">
        <f t="shared" si="236"/>
        <v>0</v>
      </c>
      <c r="R1880" s="574">
        <f t="shared" si="237"/>
        <v>0</v>
      </c>
      <c r="S1880" s="275">
        <f t="shared" si="238"/>
        <v>0</v>
      </c>
      <c r="T1880" s="575"/>
      <c r="U1880" s="487"/>
      <c r="V1880" s="576"/>
      <c r="W1880" s="573"/>
      <c r="X1880" s="574">
        <f t="shared" si="242"/>
        <v>0</v>
      </c>
      <c r="Y1880" s="487"/>
      <c r="Z1880" s="487"/>
      <c r="AA1880" s="276">
        <f t="shared" si="243"/>
        <v>0</v>
      </c>
      <c r="AB1880" s="573"/>
      <c r="AC1880" s="487"/>
      <c r="AD1880" s="573"/>
      <c r="AE1880" s="487"/>
      <c r="AF1880" s="577">
        <f t="shared" si="239"/>
        <v>0</v>
      </c>
      <c r="AG1880" s="275">
        <f t="shared" si="240"/>
        <v>0</v>
      </c>
    </row>
    <row r="1881" spans="1:33" ht="12" customHeight="1">
      <c r="A1881" s="642" t="s">
        <v>1281</v>
      </c>
      <c r="B1881" s="642" t="s">
        <v>1413</v>
      </c>
      <c r="C1881" s="741" t="s">
        <v>422</v>
      </c>
      <c r="D1881" s="740"/>
      <c r="E1881" s="645"/>
      <c r="F1881" s="573"/>
      <c r="G1881" s="487"/>
      <c r="H1881" s="573"/>
      <c r="I1881" s="487"/>
      <c r="J1881" s="573"/>
      <c r="K1881" s="487"/>
      <c r="L1881" s="573"/>
      <c r="M1881" s="573"/>
      <c r="N1881" s="456">
        <f t="shared" si="241"/>
        <v>0</v>
      </c>
      <c r="O1881" s="487"/>
      <c r="P1881" s="487"/>
      <c r="Q1881" s="274">
        <f t="shared" si="236"/>
        <v>0</v>
      </c>
      <c r="R1881" s="574">
        <f t="shared" si="237"/>
        <v>0</v>
      </c>
      <c r="S1881" s="275">
        <f t="shared" si="238"/>
        <v>0</v>
      </c>
      <c r="T1881" s="575"/>
      <c r="U1881" s="487"/>
      <c r="V1881" s="576"/>
      <c r="W1881" s="573"/>
      <c r="X1881" s="574">
        <f t="shared" si="242"/>
        <v>0</v>
      </c>
      <c r="Y1881" s="487"/>
      <c r="Z1881" s="487"/>
      <c r="AA1881" s="276">
        <f t="shared" si="243"/>
        <v>0</v>
      </c>
      <c r="AB1881" s="573"/>
      <c r="AC1881" s="487"/>
      <c r="AD1881" s="573"/>
      <c r="AE1881" s="487"/>
      <c r="AF1881" s="577">
        <f t="shared" si="239"/>
        <v>0</v>
      </c>
      <c r="AG1881" s="275">
        <f t="shared" si="240"/>
        <v>0</v>
      </c>
    </row>
    <row r="1882" spans="1:33" ht="12" customHeight="1">
      <c r="A1882" s="642" t="s">
        <v>1281</v>
      </c>
      <c r="B1882" s="642" t="s">
        <v>1582</v>
      </c>
      <c r="C1882" s="741" t="s">
        <v>1883</v>
      </c>
      <c r="D1882" s="740"/>
      <c r="E1882" s="645"/>
      <c r="F1882" s="573"/>
      <c r="G1882" s="487"/>
      <c r="H1882" s="573"/>
      <c r="I1882" s="487"/>
      <c r="J1882" s="573"/>
      <c r="K1882" s="487"/>
      <c r="L1882" s="573"/>
      <c r="M1882" s="573"/>
      <c r="N1882" s="456">
        <f t="shared" si="241"/>
        <v>0</v>
      </c>
      <c r="O1882" s="487"/>
      <c r="P1882" s="487"/>
      <c r="Q1882" s="274">
        <f t="shared" si="236"/>
        <v>0</v>
      </c>
      <c r="R1882" s="574">
        <f t="shared" si="237"/>
        <v>0</v>
      </c>
      <c r="S1882" s="275">
        <f t="shared" si="238"/>
        <v>0</v>
      </c>
      <c r="T1882" s="575"/>
      <c r="U1882" s="487"/>
      <c r="V1882" s="576"/>
      <c r="W1882" s="573"/>
      <c r="X1882" s="574">
        <f t="shared" si="242"/>
        <v>0</v>
      </c>
      <c r="Y1882" s="487"/>
      <c r="Z1882" s="487"/>
      <c r="AA1882" s="276">
        <f t="shared" si="243"/>
        <v>0</v>
      </c>
      <c r="AB1882" s="573"/>
      <c r="AC1882" s="487"/>
      <c r="AD1882" s="573"/>
      <c r="AE1882" s="487"/>
      <c r="AF1882" s="577">
        <f t="shared" si="239"/>
        <v>0</v>
      </c>
      <c r="AG1882" s="275">
        <f t="shared" si="240"/>
        <v>0</v>
      </c>
    </row>
    <row r="1883" spans="1:33" ht="12" customHeight="1">
      <c r="A1883" s="642" t="s">
        <v>1281</v>
      </c>
      <c r="B1883" s="642" t="s">
        <v>1763</v>
      </c>
      <c r="C1883" s="741" t="s">
        <v>1761</v>
      </c>
      <c r="D1883" s="740"/>
      <c r="E1883" s="645"/>
      <c r="F1883" s="573"/>
      <c r="G1883" s="487"/>
      <c r="H1883" s="573"/>
      <c r="I1883" s="487"/>
      <c r="J1883" s="573"/>
      <c r="K1883" s="487"/>
      <c r="L1883" s="573"/>
      <c r="M1883" s="573"/>
      <c r="N1883" s="456">
        <f t="shared" si="241"/>
        <v>0</v>
      </c>
      <c r="O1883" s="487"/>
      <c r="P1883" s="487"/>
      <c r="Q1883" s="274">
        <f t="shared" si="236"/>
        <v>0</v>
      </c>
      <c r="R1883" s="574">
        <f t="shared" si="237"/>
        <v>0</v>
      </c>
      <c r="S1883" s="275">
        <f t="shared" si="238"/>
        <v>0</v>
      </c>
      <c r="T1883" s="575"/>
      <c r="U1883" s="487"/>
      <c r="V1883" s="576"/>
      <c r="W1883" s="573"/>
      <c r="X1883" s="574">
        <f t="shared" si="242"/>
        <v>0</v>
      </c>
      <c r="Y1883" s="487"/>
      <c r="Z1883" s="487"/>
      <c r="AA1883" s="276">
        <f t="shared" si="243"/>
        <v>0</v>
      </c>
      <c r="AB1883" s="573"/>
      <c r="AC1883" s="487"/>
      <c r="AD1883" s="573"/>
      <c r="AE1883" s="487"/>
      <c r="AF1883" s="577">
        <f t="shared" si="239"/>
        <v>0</v>
      </c>
      <c r="AG1883" s="275">
        <f t="shared" si="240"/>
        <v>0</v>
      </c>
    </row>
    <row r="1884" spans="1:33" ht="12" customHeight="1">
      <c r="A1884" s="642" t="s">
        <v>1281</v>
      </c>
      <c r="B1884" s="642" t="s">
        <v>1805</v>
      </c>
      <c r="C1884" s="285" t="s">
        <v>1223</v>
      </c>
      <c r="D1884" s="740"/>
      <c r="E1884" s="645"/>
      <c r="F1884" s="573"/>
      <c r="G1884" s="487"/>
      <c r="H1884" s="573"/>
      <c r="I1884" s="487"/>
      <c r="J1884" s="573"/>
      <c r="K1884" s="487"/>
      <c r="L1884" s="573"/>
      <c r="M1884" s="573"/>
      <c r="N1884" s="456">
        <f t="shared" si="241"/>
        <v>0</v>
      </c>
      <c r="O1884" s="487"/>
      <c r="P1884" s="487"/>
      <c r="Q1884" s="274">
        <f t="shared" si="236"/>
        <v>0</v>
      </c>
      <c r="R1884" s="574">
        <f t="shared" si="237"/>
        <v>0</v>
      </c>
      <c r="S1884" s="275">
        <f t="shared" si="238"/>
        <v>0</v>
      </c>
      <c r="T1884" s="575"/>
      <c r="U1884" s="487"/>
      <c r="V1884" s="576"/>
      <c r="W1884" s="573"/>
      <c r="X1884" s="574">
        <f t="shared" si="242"/>
        <v>0</v>
      </c>
      <c r="Y1884" s="487"/>
      <c r="Z1884" s="487"/>
      <c r="AA1884" s="276">
        <f t="shared" si="243"/>
        <v>0</v>
      </c>
      <c r="AB1884" s="573"/>
      <c r="AC1884" s="487"/>
      <c r="AD1884" s="573"/>
      <c r="AE1884" s="487"/>
      <c r="AF1884" s="577">
        <f t="shared" si="239"/>
        <v>0</v>
      </c>
      <c r="AG1884" s="275">
        <f t="shared" si="240"/>
        <v>0</v>
      </c>
    </row>
    <row r="1885" spans="1:33" ht="12" customHeight="1">
      <c r="A1885" s="642" t="s">
        <v>1281</v>
      </c>
      <c r="B1885" s="642" t="s">
        <v>1882</v>
      </c>
      <c r="C1885" s="741" t="s">
        <v>1883</v>
      </c>
      <c r="D1885" s="740"/>
      <c r="E1885" s="645"/>
      <c r="F1885" s="573"/>
      <c r="G1885" s="487"/>
      <c r="H1885" s="573"/>
      <c r="I1885" s="487"/>
      <c r="J1885" s="573"/>
      <c r="K1885" s="487"/>
      <c r="L1885" s="573"/>
      <c r="M1885" s="573"/>
      <c r="N1885" s="456">
        <f t="shared" si="241"/>
        <v>0</v>
      </c>
      <c r="O1885" s="487"/>
      <c r="P1885" s="487"/>
      <c r="Q1885" s="274">
        <f t="shared" si="236"/>
        <v>0</v>
      </c>
      <c r="R1885" s="574">
        <f t="shared" si="237"/>
        <v>0</v>
      </c>
      <c r="S1885" s="275">
        <f t="shared" si="238"/>
        <v>0</v>
      </c>
      <c r="T1885" s="575">
        <v>67756</v>
      </c>
      <c r="U1885" s="487">
        <v>67756</v>
      </c>
      <c r="V1885" s="576"/>
      <c r="W1885" s="573"/>
      <c r="X1885" s="574">
        <f t="shared" si="242"/>
        <v>0</v>
      </c>
      <c r="Y1885" s="487"/>
      <c r="Z1885" s="487"/>
      <c r="AA1885" s="276">
        <f t="shared" si="243"/>
        <v>0</v>
      </c>
      <c r="AB1885" s="573"/>
      <c r="AC1885" s="487"/>
      <c r="AD1885" s="573"/>
      <c r="AE1885" s="487"/>
      <c r="AF1885" s="577">
        <f t="shared" si="239"/>
        <v>67756</v>
      </c>
      <c r="AG1885" s="275">
        <f t="shared" si="240"/>
        <v>67756</v>
      </c>
    </row>
    <row r="1886" spans="1:33" ht="12" customHeight="1">
      <c r="A1886" s="642" t="s">
        <v>1281</v>
      </c>
      <c r="B1886" s="642" t="s">
        <v>1763</v>
      </c>
      <c r="C1886" s="741" t="s">
        <v>1761</v>
      </c>
      <c r="D1886" s="740"/>
      <c r="E1886" s="645"/>
      <c r="F1886" s="573"/>
      <c r="G1886" s="487"/>
      <c r="H1886" s="573"/>
      <c r="I1886" s="487"/>
      <c r="J1886" s="573"/>
      <c r="K1886" s="487"/>
      <c r="L1886" s="573"/>
      <c r="M1886" s="573"/>
      <c r="N1886" s="456">
        <f t="shared" si="241"/>
        <v>0</v>
      </c>
      <c r="O1886" s="487"/>
      <c r="P1886" s="487"/>
      <c r="Q1886" s="274">
        <f t="shared" si="236"/>
        <v>0</v>
      </c>
      <c r="R1886" s="574">
        <f t="shared" si="237"/>
        <v>0</v>
      </c>
      <c r="S1886" s="275">
        <f t="shared" si="238"/>
        <v>0</v>
      </c>
      <c r="T1886" s="575"/>
      <c r="U1886" s="487"/>
      <c r="V1886" s="576"/>
      <c r="W1886" s="573"/>
      <c r="X1886" s="574">
        <f t="shared" si="242"/>
        <v>0</v>
      </c>
      <c r="Y1886" s="487"/>
      <c r="Z1886" s="487"/>
      <c r="AA1886" s="276">
        <f t="shared" si="243"/>
        <v>0</v>
      </c>
      <c r="AB1886" s="573"/>
      <c r="AC1886" s="487"/>
      <c r="AD1886" s="573"/>
      <c r="AE1886" s="487"/>
      <c r="AF1886" s="577">
        <f t="shared" si="239"/>
        <v>0</v>
      </c>
      <c r="AG1886" s="275">
        <f t="shared" si="240"/>
        <v>0</v>
      </c>
    </row>
    <row r="1887" spans="1:33" ht="12" customHeight="1">
      <c r="A1887" s="642" t="s">
        <v>1281</v>
      </c>
      <c r="B1887" s="642" t="s">
        <v>1510</v>
      </c>
      <c r="C1887" s="741" t="s">
        <v>421</v>
      </c>
      <c r="D1887" s="740"/>
      <c r="E1887" s="645"/>
      <c r="F1887" s="573"/>
      <c r="G1887" s="487"/>
      <c r="H1887" s="573"/>
      <c r="I1887" s="487"/>
      <c r="J1887" s="573"/>
      <c r="K1887" s="487"/>
      <c r="L1887" s="573"/>
      <c r="M1887" s="573"/>
      <c r="N1887" s="456">
        <f t="shared" si="241"/>
        <v>0</v>
      </c>
      <c r="O1887" s="487"/>
      <c r="P1887" s="487"/>
      <c r="Q1887" s="274">
        <f t="shared" si="236"/>
        <v>0</v>
      </c>
      <c r="R1887" s="574">
        <f t="shared" si="237"/>
        <v>0</v>
      </c>
      <c r="S1887" s="275">
        <f t="shared" si="238"/>
        <v>0</v>
      </c>
      <c r="T1887" s="1144" t="s">
        <v>150</v>
      </c>
      <c r="U1887" s="487"/>
      <c r="V1887" s="576"/>
      <c r="W1887" s="573"/>
      <c r="X1887" s="574">
        <f t="shared" si="242"/>
        <v>0</v>
      </c>
      <c r="Y1887" s="487"/>
      <c r="Z1887" s="487"/>
      <c r="AA1887" s="276">
        <f t="shared" si="243"/>
        <v>0</v>
      </c>
      <c r="AB1887" s="573"/>
      <c r="AC1887" s="487"/>
      <c r="AD1887" s="573"/>
      <c r="AE1887" s="487"/>
      <c r="AF1887" s="577">
        <f t="shared" si="239"/>
        <v>0</v>
      </c>
      <c r="AG1887" s="275">
        <f t="shared" si="240"/>
        <v>0</v>
      </c>
    </row>
    <row r="1888" spans="1:33" ht="12" customHeight="1">
      <c r="A1888" s="642" t="s">
        <v>1281</v>
      </c>
      <c r="B1888" s="642" t="s">
        <v>1511</v>
      </c>
      <c r="C1888" s="741" t="s">
        <v>1883</v>
      </c>
      <c r="D1888" s="740"/>
      <c r="E1888" s="645"/>
      <c r="F1888" s="573"/>
      <c r="G1888" s="487"/>
      <c r="H1888" s="573"/>
      <c r="I1888" s="487"/>
      <c r="J1888" s="573"/>
      <c r="K1888" s="487"/>
      <c r="L1888" s="573"/>
      <c r="M1888" s="573"/>
      <c r="N1888" s="456">
        <f t="shared" si="241"/>
        <v>0</v>
      </c>
      <c r="O1888" s="487"/>
      <c r="P1888" s="487"/>
      <c r="Q1888" s="274">
        <f t="shared" si="236"/>
        <v>0</v>
      </c>
      <c r="R1888" s="574">
        <f t="shared" si="237"/>
        <v>0</v>
      </c>
      <c r="S1888" s="275">
        <f t="shared" si="238"/>
        <v>0</v>
      </c>
      <c r="T1888" s="1152"/>
      <c r="U1888" s="487"/>
      <c r="V1888" s="576"/>
      <c r="W1888" s="573"/>
      <c r="X1888" s="574">
        <f t="shared" si="242"/>
        <v>0</v>
      </c>
      <c r="Y1888" s="487"/>
      <c r="Z1888" s="487"/>
      <c r="AA1888" s="276">
        <f t="shared" si="243"/>
        <v>0</v>
      </c>
      <c r="AB1888" s="573"/>
      <c r="AC1888" s="487"/>
      <c r="AD1888" s="573"/>
      <c r="AE1888" s="487"/>
      <c r="AF1888" s="577">
        <f t="shared" si="239"/>
        <v>0</v>
      </c>
      <c r="AG1888" s="275">
        <f t="shared" si="240"/>
        <v>0</v>
      </c>
    </row>
    <row r="1889" spans="1:33" ht="12" customHeight="1">
      <c r="A1889" s="642" t="s">
        <v>1281</v>
      </c>
      <c r="B1889" s="642" t="s">
        <v>1763</v>
      </c>
      <c r="C1889" s="741" t="s">
        <v>1761</v>
      </c>
      <c r="D1889" s="740"/>
      <c r="E1889" s="645"/>
      <c r="F1889" s="573"/>
      <c r="G1889" s="487"/>
      <c r="H1889" s="573"/>
      <c r="I1889" s="487"/>
      <c r="J1889" s="573"/>
      <c r="K1889" s="487"/>
      <c r="L1889" s="573"/>
      <c r="M1889" s="573"/>
      <c r="N1889" s="456">
        <f t="shared" si="241"/>
        <v>0</v>
      </c>
      <c r="O1889" s="487"/>
      <c r="P1889" s="487"/>
      <c r="Q1889" s="274">
        <f t="shared" si="236"/>
        <v>0</v>
      </c>
      <c r="R1889" s="574">
        <f t="shared" si="237"/>
        <v>0</v>
      </c>
      <c r="S1889" s="275">
        <f t="shared" si="238"/>
        <v>0</v>
      </c>
      <c r="T1889" s="575"/>
      <c r="U1889" s="487"/>
      <c r="V1889" s="576"/>
      <c r="W1889" s="573"/>
      <c r="X1889" s="574">
        <f t="shared" si="242"/>
        <v>0</v>
      </c>
      <c r="Y1889" s="487"/>
      <c r="Z1889" s="487"/>
      <c r="AA1889" s="276">
        <f t="shared" si="243"/>
        <v>0</v>
      </c>
      <c r="AB1889" s="573"/>
      <c r="AC1889" s="487"/>
      <c r="AD1889" s="573"/>
      <c r="AE1889" s="487"/>
      <c r="AF1889" s="577">
        <f t="shared" si="239"/>
        <v>0</v>
      </c>
      <c r="AG1889" s="275">
        <f t="shared" si="240"/>
        <v>0</v>
      </c>
    </row>
    <row r="1890" spans="1:33" ht="12" customHeight="1">
      <c r="A1890" s="642" t="s">
        <v>1281</v>
      </c>
      <c r="B1890" s="642" t="s">
        <v>1413</v>
      </c>
      <c r="C1890" s="741" t="s">
        <v>422</v>
      </c>
      <c r="D1890" s="740"/>
      <c r="E1890" s="645"/>
      <c r="F1890" s="573"/>
      <c r="G1890" s="487"/>
      <c r="H1890" s="573"/>
      <c r="I1890" s="487"/>
      <c r="J1890" s="573"/>
      <c r="K1890" s="487"/>
      <c r="L1890" s="573"/>
      <c r="M1890" s="573"/>
      <c r="N1890" s="456">
        <f t="shared" si="241"/>
        <v>0</v>
      </c>
      <c r="O1890" s="487"/>
      <c r="P1890" s="487"/>
      <c r="Q1890" s="274">
        <f t="shared" si="236"/>
        <v>0</v>
      </c>
      <c r="R1890" s="574">
        <f t="shared" si="237"/>
        <v>0</v>
      </c>
      <c r="S1890" s="275">
        <f t="shared" si="238"/>
        <v>0</v>
      </c>
      <c r="T1890" s="575"/>
      <c r="U1890" s="487"/>
      <c r="V1890" s="576"/>
      <c r="W1890" s="573"/>
      <c r="X1890" s="574">
        <f t="shared" si="242"/>
        <v>0</v>
      </c>
      <c r="Y1890" s="487"/>
      <c r="Z1890" s="487"/>
      <c r="AA1890" s="276">
        <f t="shared" si="243"/>
        <v>0</v>
      </c>
      <c r="AB1890" s="573"/>
      <c r="AC1890" s="487"/>
      <c r="AD1890" s="573"/>
      <c r="AE1890" s="487"/>
      <c r="AF1890" s="577">
        <f t="shared" si="239"/>
        <v>0</v>
      </c>
      <c r="AG1890" s="275">
        <f t="shared" si="240"/>
        <v>0</v>
      </c>
    </row>
    <row r="1891" spans="1:33" ht="12" customHeight="1">
      <c r="A1891" s="642" t="s">
        <v>1281</v>
      </c>
      <c r="B1891" s="642" t="s">
        <v>1582</v>
      </c>
      <c r="C1891" s="741" t="s">
        <v>1883</v>
      </c>
      <c r="D1891" s="740"/>
      <c r="E1891" s="645"/>
      <c r="F1891" s="573"/>
      <c r="G1891" s="487"/>
      <c r="H1891" s="573"/>
      <c r="I1891" s="487"/>
      <c r="J1891" s="573"/>
      <c r="K1891" s="487"/>
      <c r="L1891" s="573"/>
      <c r="M1891" s="573"/>
      <c r="N1891" s="456">
        <f t="shared" si="241"/>
        <v>0</v>
      </c>
      <c r="O1891" s="487"/>
      <c r="P1891" s="487"/>
      <c r="Q1891" s="274">
        <f t="shared" si="236"/>
        <v>0</v>
      </c>
      <c r="R1891" s="574">
        <f t="shared" si="237"/>
        <v>0</v>
      </c>
      <c r="S1891" s="275">
        <f t="shared" si="238"/>
        <v>0</v>
      </c>
      <c r="T1891" s="575"/>
      <c r="U1891" s="487"/>
      <c r="V1891" s="576"/>
      <c r="W1891" s="573"/>
      <c r="X1891" s="574">
        <f t="shared" si="242"/>
        <v>0</v>
      </c>
      <c r="Y1891" s="487"/>
      <c r="Z1891" s="487"/>
      <c r="AA1891" s="276">
        <f t="shared" si="243"/>
        <v>0</v>
      </c>
      <c r="AB1891" s="573"/>
      <c r="AC1891" s="487"/>
      <c r="AD1891" s="573"/>
      <c r="AE1891" s="487"/>
      <c r="AF1891" s="577">
        <f t="shared" si="239"/>
        <v>0</v>
      </c>
      <c r="AG1891" s="275">
        <f t="shared" si="240"/>
        <v>0</v>
      </c>
    </row>
    <row r="1892" spans="1:33" ht="12" customHeight="1">
      <c r="A1892" s="642" t="s">
        <v>1281</v>
      </c>
      <c r="B1892" s="642" t="s">
        <v>1763</v>
      </c>
      <c r="C1892" s="741" t="s">
        <v>1761</v>
      </c>
      <c r="D1892" s="740"/>
      <c r="E1892" s="645"/>
      <c r="F1892" s="573"/>
      <c r="G1892" s="487"/>
      <c r="H1892" s="573"/>
      <c r="I1892" s="487"/>
      <c r="J1892" s="573"/>
      <c r="K1892" s="487"/>
      <c r="L1892" s="573"/>
      <c r="M1892" s="573"/>
      <c r="N1892" s="456">
        <f t="shared" si="241"/>
        <v>0</v>
      </c>
      <c r="O1892" s="487"/>
      <c r="P1892" s="487"/>
      <c r="Q1892" s="274">
        <f t="shared" si="236"/>
        <v>0</v>
      </c>
      <c r="R1892" s="574">
        <f t="shared" si="237"/>
        <v>0</v>
      </c>
      <c r="S1892" s="275">
        <f t="shared" si="238"/>
        <v>0</v>
      </c>
      <c r="T1892" s="575"/>
      <c r="U1892" s="487"/>
      <c r="V1892" s="576"/>
      <c r="W1892" s="573"/>
      <c r="X1892" s="574">
        <f t="shared" si="242"/>
        <v>0</v>
      </c>
      <c r="Y1892" s="487"/>
      <c r="Z1892" s="487"/>
      <c r="AA1892" s="276">
        <f t="shared" si="243"/>
        <v>0</v>
      </c>
      <c r="AB1892" s="573"/>
      <c r="AC1892" s="487"/>
      <c r="AD1892" s="573"/>
      <c r="AE1892" s="487"/>
      <c r="AF1892" s="577">
        <f t="shared" si="239"/>
        <v>0</v>
      </c>
      <c r="AG1892" s="275">
        <f t="shared" si="240"/>
        <v>0</v>
      </c>
    </row>
    <row r="1893" spans="1:33" ht="12" customHeight="1">
      <c r="A1893" s="642" t="s">
        <v>1281</v>
      </c>
      <c r="B1893" s="642" t="s">
        <v>1805</v>
      </c>
      <c r="C1893" s="285" t="s">
        <v>498</v>
      </c>
      <c r="D1893" s="740"/>
      <c r="E1893" s="645"/>
      <c r="F1893" s="573"/>
      <c r="G1893" s="487"/>
      <c r="H1893" s="573"/>
      <c r="I1893" s="487"/>
      <c r="J1893" s="573"/>
      <c r="K1893" s="487"/>
      <c r="L1893" s="573"/>
      <c r="M1893" s="573"/>
      <c r="N1893" s="456">
        <f t="shared" si="241"/>
        <v>0</v>
      </c>
      <c r="O1893" s="487"/>
      <c r="P1893" s="487"/>
      <c r="Q1893" s="274">
        <f t="shared" si="236"/>
        <v>0</v>
      </c>
      <c r="R1893" s="574">
        <f t="shared" si="237"/>
        <v>0</v>
      </c>
      <c r="S1893" s="275">
        <f t="shared" si="238"/>
        <v>0</v>
      </c>
      <c r="T1893" s="575"/>
      <c r="U1893" s="487"/>
      <c r="V1893" s="576"/>
      <c r="W1893" s="573"/>
      <c r="X1893" s="574">
        <f t="shared" si="242"/>
        <v>0</v>
      </c>
      <c r="Y1893" s="487"/>
      <c r="Z1893" s="487"/>
      <c r="AA1893" s="276">
        <f t="shared" si="243"/>
        <v>0</v>
      </c>
      <c r="AB1893" s="573"/>
      <c r="AC1893" s="487"/>
      <c r="AD1893" s="573"/>
      <c r="AE1893" s="487"/>
      <c r="AF1893" s="577">
        <f t="shared" si="239"/>
        <v>0</v>
      </c>
      <c r="AG1893" s="275">
        <f t="shared" si="240"/>
        <v>0</v>
      </c>
    </row>
    <row r="1894" spans="1:33" ht="12" customHeight="1">
      <c r="A1894" s="642" t="s">
        <v>1281</v>
      </c>
      <c r="B1894" s="642" t="s">
        <v>1882</v>
      </c>
      <c r="C1894" s="741" t="s">
        <v>1883</v>
      </c>
      <c r="D1894" s="740"/>
      <c r="E1894" s="645"/>
      <c r="F1894" s="573"/>
      <c r="G1894" s="487"/>
      <c r="H1894" s="573"/>
      <c r="I1894" s="487"/>
      <c r="J1894" s="573"/>
      <c r="K1894" s="487"/>
      <c r="L1894" s="573"/>
      <c r="M1894" s="573"/>
      <c r="N1894" s="456">
        <f t="shared" si="241"/>
        <v>0</v>
      </c>
      <c r="O1894" s="487"/>
      <c r="P1894" s="487"/>
      <c r="Q1894" s="274">
        <f t="shared" si="236"/>
        <v>0</v>
      </c>
      <c r="R1894" s="574">
        <f t="shared" si="237"/>
        <v>0</v>
      </c>
      <c r="S1894" s="275">
        <f t="shared" si="238"/>
        <v>0</v>
      </c>
      <c r="T1894" s="575"/>
      <c r="U1894" s="487"/>
      <c r="V1894" s="576"/>
      <c r="W1894" s="573"/>
      <c r="X1894" s="574">
        <f t="shared" si="242"/>
        <v>0</v>
      </c>
      <c r="Y1894" s="487"/>
      <c r="Z1894" s="487"/>
      <c r="AA1894" s="276">
        <f t="shared" si="243"/>
        <v>0</v>
      </c>
      <c r="AB1894" s="573"/>
      <c r="AC1894" s="487"/>
      <c r="AD1894" s="573"/>
      <c r="AE1894" s="487"/>
      <c r="AF1894" s="577">
        <f t="shared" si="239"/>
        <v>0</v>
      </c>
      <c r="AG1894" s="275">
        <f t="shared" si="240"/>
        <v>0</v>
      </c>
    </row>
    <row r="1895" spans="1:33" ht="12" customHeight="1">
      <c r="A1895" s="642" t="s">
        <v>1281</v>
      </c>
      <c r="B1895" s="642" t="s">
        <v>1763</v>
      </c>
      <c r="C1895" s="741" t="s">
        <v>1761</v>
      </c>
      <c r="D1895" s="740"/>
      <c r="E1895" s="645"/>
      <c r="F1895" s="573"/>
      <c r="G1895" s="487"/>
      <c r="H1895" s="573"/>
      <c r="I1895" s="487"/>
      <c r="J1895" s="573"/>
      <c r="K1895" s="487"/>
      <c r="L1895" s="573"/>
      <c r="M1895" s="573"/>
      <c r="N1895" s="456">
        <f t="shared" si="241"/>
        <v>0</v>
      </c>
      <c r="O1895" s="487"/>
      <c r="P1895" s="487"/>
      <c r="Q1895" s="274">
        <f t="shared" si="236"/>
        <v>0</v>
      </c>
      <c r="R1895" s="574">
        <f t="shared" si="237"/>
        <v>0</v>
      </c>
      <c r="S1895" s="275">
        <f t="shared" si="238"/>
        <v>0</v>
      </c>
      <c r="T1895" s="575">
        <v>3426482</v>
      </c>
      <c r="U1895" s="487">
        <v>3426482</v>
      </c>
      <c r="V1895" s="576"/>
      <c r="W1895" s="573"/>
      <c r="X1895" s="574">
        <f t="shared" si="242"/>
        <v>0</v>
      </c>
      <c r="Y1895" s="487"/>
      <c r="Z1895" s="487"/>
      <c r="AA1895" s="276">
        <f t="shared" si="243"/>
        <v>0</v>
      </c>
      <c r="AB1895" s="573"/>
      <c r="AC1895" s="487"/>
      <c r="AD1895" s="573"/>
      <c r="AE1895" s="487"/>
      <c r="AF1895" s="577">
        <f t="shared" si="239"/>
        <v>3426482</v>
      </c>
      <c r="AG1895" s="275">
        <f t="shared" si="240"/>
        <v>3426482</v>
      </c>
    </row>
    <row r="1896" spans="1:33" ht="12" customHeight="1">
      <c r="A1896" s="642" t="s">
        <v>1281</v>
      </c>
      <c r="B1896" s="642" t="s">
        <v>1510</v>
      </c>
      <c r="C1896" s="741" t="s">
        <v>421</v>
      </c>
      <c r="D1896" s="740"/>
      <c r="E1896" s="645"/>
      <c r="F1896" s="573"/>
      <c r="G1896" s="487"/>
      <c r="H1896" s="573"/>
      <c r="I1896" s="487"/>
      <c r="J1896" s="573"/>
      <c r="K1896" s="487"/>
      <c r="L1896" s="573"/>
      <c r="M1896" s="573"/>
      <c r="N1896" s="456">
        <f t="shared" si="241"/>
        <v>0</v>
      </c>
      <c r="O1896" s="487"/>
      <c r="P1896" s="487"/>
      <c r="Q1896" s="274">
        <f t="shared" si="236"/>
        <v>0</v>
      </c>
      <c r="R1896" s="574">
        <f t="shared" si="237"/>
        <v>0</v>
      </c>
      <c r="S1896" s="275">
        <f t="shared" si="238"/>
        <v>0</v>
      </c>
      <c r="T1896" s="1144" t="s">
        <v>150</v>
      </c>
      <c r="U1896" s="487"/>
      <c r="V1896" s="576"/>
      <c r="W1896" s="573"/>
      <c r="X1896" s="574">
        <f t="shared" si="242"/>
        <v>0</v>
      </c>
      <c r="Y1896" s="487"/>
      <c r="Z1896" s="487"/>
      <c r="AA1896" s="276">
        <f t="shared" si="243"/>
        <v>0</v>
      </c>
      <c r="AB1896" s="573"/>
      <c r="AC1896" s="487"/>
      <c r="AD1896" s="573"/>
      <c r="AE1896" s="487"/>
      <c r="AF1896" s="577">
        <f t="shared" si="239"/>
        <v>0</v>
      </c>
      <c r="AG1896" s="275">
        <f t="shared" si="240"/>
        <v>0</v>
      </c>
    </row>
    <row r="1897" spans="1:33" ht="12" customHeight="1">
      <c r="A1897" s="642" t="s">
        <v>1281</v>
      </c>
      <c r="B1897" s="642" t="s">
        <v>1511</v>
      </c>
      <c r="C1897" s="741" t="s">
        <v>1883</v>
      </c>
      <c r="D1897" s="740"/>
      <c r="E1897" s="645"/>
      <c r="F1897" s="573"/>
      <c r="G1897" s="487"/>
      <c r="H1897" s="573"/>
      <c r="I1897" s="487"/>
      <c r="J1897" s="573"/>
      <c r="K1897" s="487"/>
      <c r="L1897" s="573"/>
      <c r="M1897" s="573"/>
      <c r="N1897" s="456">
        <f t="shared" si="241"/>
        <v>0</v>
      </c>
      <c r="O1897" s="487"/>
      <c r="P1897" s="487"/>
      <c r="Q1897" s="274">
        <f t="shared" si="236"/>
        <v>0</v>
      </c>
      <c r="R1897" s="574">
        <f t="shared" si="237"/>
        <v>0</v>
      </c>
      <c r="S1897" s="275">
        <f t="shared" si="238"/>
        <v>0</v>
      </c>
      <c r="T1897" s="1152"/>
      <c r="U1897" s="487"/>
      <c r="V1897" s="576"/>
      <c r="W1897" s="573"/>
      <c r="X1897" s="574">
        <f t="shared" si="242"/>
        <v>0</v>
      </c>
      <c r="Y1897" s="487"/>
      <c r="Z1897" s="487"/>
      <c r="AA1897" s="276">
        <f t="shared" si="243"/>
        <v>0</v>
      </c>
      <c r="AB1897" s="573"/>
      <c r="AC1897" s="487"/>
      <c r="AD1897" s="573"/>
      <c r="AE1897" s="487"/>
      <c r="AF1897" s="577">
        <f t="shared" si="239"/>
        <v>0</v>
      </c>
      <c r="AG1897" s="275">
        <f t="shared" si="240"/>
        <v>0</v>
      </c>
    </row>
    <row r="1898" spans="1:33" ht="12" customHeight="1">
      <c r="A1898" s="642" t="s">
        <v>1281</v>
      </c>
      <c r="B1898" s="642" t="s">
        <v>1763</v>
      </c>
      <c r="C1898" s="741" t="s">
        <v>1761</v>
      </c>
      <c r="D1898" s="740"/>
      <c r="E1898" s="645"/>
      <c r="F1898" s="573"/>
      <c r="G1898" s="487"/>
      <c r="H1898" s="573"/>
      <c r="I1898" s="487"/>
      <c r="J1898" s="573"/>
      <c r="K1898" s="487"/>
      <c r="L1898" s="573"/>
      <c r="M1898" s="573"/>
      <c r="N1898" s="456">
        <f t="shared" si="241"/>
        <v>0</v>
      </c>
      <c r="O1898" s="487"/>
      <c r="P1898" s="487"/>
      <c r="Q1898" s="274">
        <f t="shared" si="236"/>
        <v>0</v>
      </c>
      <c r="R1898" s="574">
        <f t="shared" si="237"/>
        <v>0</v>
      </c>
      <c r="S1898" s="275">
        <f t="shared" si="238"/>
        <v>0</v>
      </c>
      <c r="T1898" s="575"/>
      <c r="U1898" s="487"/>
      <c r="V1898" s="576"/>
      <c r="W1898" s="573"/>
      <c r="X1898" s="574">
        <f t="shared" si="242"/>
        <v>0</v>
      </c>
      <c r="Y1898" s="487"/>
      <c r="Z1898" s="487"/>
      <c r="AA1898" s="276">
        <f t="shared" si="243"/>
        <v>0</v>
      </c>
      <c r="AB1898" s="573"/>
      <c r="AC1898" s="487"/>
      <c r="AD1898" s="573"/>
      <c r="AE1898" s="487"/>
      <c r="AF1898" s="577">
        <f t="shared" si="239"/>
        <v>0</v>
      </c>
      <c r="AG1898" s="275">
        <f t="shared" si="240"/>
        <v>0</v>
      </c>
    </row>
    <row r="1899" spans="1:33" ht="12" customHeight="1">
      <c r="A1899" s="642" t="s">
        <v>1281</v>
      </c>
      <c r="B1899" s="642" t="s">
        <v>1413</v>
      </c>
      <c r="C1899" s="741" t="s">
        <v>422</v>
      </c>
      <c r="D1899" s="740"/>
      <c r="E1899" s="645"/>
      <c r="F1899" s="573"/>
      <c r="G1899" s="487"/>
      <c r="H1899" s="573"/>
      <c r="I1899" s="487"/>
      <c r="J1899" s="573"/>
      <c r="K1899" s="487"/>
      <c r="L1899" s="573"/>
      <c r="M1899" s="573"/>
      <c r="N1899" s="456">
        <f t="shared" si="241"/>
        <v>0</v>
      </c>
      <c r="O1899" s="487"/>
      <c r="P1899" s="487"/>
      <c r="Q1899" s="274">
        <f t="shared" si="236"/>
        <v>0</v>
      </c>
      <c r="R1899" s="574">
        <f t="shared" si="237"/>
        <v>0</v>
      </c>
      <c r="S1899" s="275">
        <f t="shared" si="238"/>
        <v>0</v>
      </c>
      <c r="T1899" s="575"/>
      <c r="U1899" s="487"/>
      <c r="V1899" s="576"/>
      <c r="W1899" s="573"/>
      <c r="X1899" s="574">
        <f t="shared" si="242"/>
        <v>0</v>
      </c>
      <c r="Y1899" s="487"/>
      <c r="Z1899" s="487"/>
      <c r="AA1899" s="276">
        <f t="shared" si="243"/>
        <v>0</v>
      </c>
      <c r="AB1899" s="573"/>
      <c r="AC1899" s="487"/>
      <c r="AD1899" s="573"/>
      <c r="AE1899" s="487"/>
      <c r="AF1899" s="577">
        <f t="shared" si="239"/>
        <v>0</v>
      </c>
      <c r="AG1899" s="275">
        <f t="shared" si="240"/>
        <v>0</v>
      </c>
    </row>
    <row r="1900" spans="1:33" ht="12" customHeight="1">
      <c r="A1900" s="642" t="s">
        <v>1281</v>
      </c>
      <c r="B1900" s="642" t="s">
        <v>1582</v>
      </c>
      <c r="C1900" s="741" t="s">
        <v>1883</v>
      </c>
      <c r="D1900" s="740"/>
      <c r="E1900" s="645"/>
      <c r="F1900" s="573"/>
      <c r="G1900" s="487"/>
      <c r="H1900" s="573"/>
      <c r="I1900" s="487"/>
      <c r="J1900" s="573"/>
      <c r="K1900" s="487"/>
      <c r="L1900" s="573"/>
      <c r="M1900" s="573"/>
      <c r="N1900" s="456">
        <f t="shared" si="241"/>
        <v>0</v>
      </c>
      <c r="O1900" s="487"/>
      <c r="P1900" s="487"/>
      <c r="Q1900" s="274">
        <f t="shared" si="236"/>
        <v>0</v>
      </c>
      <c r="R1900" s="574">
        <f t="shared" si="237"/>
        <v>0</v>
      </c>
      <c r="S1900" s="275">
        <f t="shared" si="238"/>
        <v>0</v>
      </c>
      <c r="T1900" s="575"/>
      <c r="U1900" s="487"/>
      <c r="V1900" s="576"/>
      <c r="W1900" s="573"/>
      <c r="X1900" s="574">
        <f t="shared" si="242"/>
        <v>0</v>
      </c>
      <c r="Y1900" s="487"/>
      <c r="Z1900" s="487"/>
      <c r="AA1900" s="276">
        <f t="shared" si="243"/>
        <v>0</v>
      </c>
      <c r="AB1900" s="573"/>
      <c r="AC1900" s="487"/>
      <c r="AD1900" s="573"/>
      <c r="AE1900" s="487"/>
      <c r="AF1900" s="577">
        <f t="shared" si="239"/>
        <v>0</v>
      </c>
      <c r="AG1900" s="275">
        <f t="shared" si="240"/>
        <v>0</v>
      </c>
    </row>
    <row r="1901" spans="1:33" ht="12" customHeight="1">
      <c r="A1901" s="642" t="s">
        <v>1281</v>
      </c>
      <c r="B1901" s="642" t="s">
        <v>1763</v>
      </c>
      <c r="C1901" s="741" t="s">
        <v>1761</v>
      </c>
      <c r="D1901" s="740"/>
      <c r="E1901" s="645"/>
      <c r="F1901" s="573"/>
      <c r="G1901" s="487"/>
      <c r="H1901" s="573"/>
      <c r="I1901" s="487"/>
      <c r="J1901" s="573"/>
      <c r="K1901" s="487"/>
      <c r="L1901" s="573"/>
      <c r="M1901" s="573"/>
      <c r="N1901" s="456">
        <f t="shared" si="241"/>
        <v>0</v>
      </c>
      <c r="O1901" s="487"/>
      <c r="P1901" s="487"/>
      <c r="Q1901" s="274">
        <f t="shared" si="236"/>
        <v>0</v>
      </c>
      <c r="R1901" s="574">
        <f t="shared" si="237"/>
        <v>0</v>
      </c>
      <c r="S1901" s="275">
        <f t="shared" si="238"/>
        <v>0</v>
      </c>
      <c r="T1901" s="575"/>
      <c r="U1901" s="487"/>
      <c r="V1901" s="576"/>
      <c r="W1901" s="573"/>
      <c r="X1901" s="574">
        <f t="shared" si="242"/>
        <v>0</v>
      </c>
      <c r="Y1901" s="487"/>
      <c r="Z1901" s="487"/>
      <c r="AA1901" s="276">
        <f t="shared" si="243"/>
        <v>0</v>
      </c>
      <c r="AB1901" s="573"/>
      <c r="AC1901" s="487"/>
      <c r="AD1901" s="573"/>
      <c r="AE1901" s="487"/>
      <c r="AF1901" s="577">
        <f t="shared" si="239"/>
        <v>0</v>
      </c>
      <c r="AG1901" s="275">
        <f t="shared" si="240"/>
        <v>0</v>
      </c>
    </row>
    <row r="1902" spans="1:33" ht="12" customHeight="1">
      <c r="A1902" s="642" t="s">
        <v>1281</v>
      </c>
      <c r="B1902" s="642" t="s">
        <v>1805</v>
      </c>
      <c r="C1902" s="285" t="s">
        <v>499</v>
      </c>
      <c r="D1902" s="740"/>
      <c r="E1902" s="645"/>
      <c r="F1902" s="573"/>
      <c r="G1902" s="487"/>
      <c r="H1902" s="573"/>
      <c r="I1902" s="487"/>
      <c r="J1902" s="573"/>
      <c r="K1902" s="487"/>
      <c r="L1902" s="573"/>
      <c r="M1902" s="573"/>
      <c r="N1902" s="456">
        <f t="shared" si="241"/>
        <v>0</v>
      </c>
      <c r="O1902" s="487"/>
      <c r="P1902" s="487"/>
      <c r="Q1902" s="274">
        <f t="shared" si="236"/>
        <v>0</v>
      </c>
      <c r="R1902" s="574">
        <f t="shared" si="237"/>
        <v>0</v>
      </c>
      <c r="S1902" s="275">
        <f t="shared" si="238"/>
        <v>0</v>
      </c>
      <c r="T1902" s="575"/>
      <c r="U1902" s="487"/>
      <c r="V1902" s="576"/>
      <c r="W1902" s="573"/>
      <c r="X1902" s="574">
        <f t="shared" si="242"/>
        <v>0</v>
      </c>
      <c r="Y1902" s="487"/>
      <c r="Z1902" s="487"/>
      <c r="AA1902" s="276">
        <f t="shared" si="243"/>
        <v>0</v>
      </c>
      <c r="AB1902" s="573"/>
      <c r="AC1902" s="487"/>
      <c r="AD1902" s="573"/>
      <c r="AE1902" s="487"/>
      <c r="AF1902" s="577">
        <f t="shared" si="239"/>
        <v>0</v>
      </c>
      <c r="AG1902" s="275">
        <f t="shared" si="240"/>
        <v>0</v>
      </c>
    </row>
    <row r="1903" spans="1:33" ht="12" customHeight="1">
      <c r="A1903" s="642" t="s">
        <v>1281</v>
      </c>
      <c r="B1903" s="642" t="s">
        <v>1882</v>
      </c>
      <c r="C1903" s="741" t="s">
        <v>1883</v>
      </c>
      <c r="D1903" s="740"/>
      <c r="E1903" s="645"/>
      <c r="F1903" s="573"/>
      <c r="G1903" s="487"/>
      <c r="H1903" s="573"/>
      <c r="I1903" s="487"/>
      <c r="J1903" s="573"/>
      <c r="K1903" s="487"/>
      <c r="L1903" s="573"/>
      <c r="M1903" s="573"/>
      <c r="N1903" s="456">
        <f t="shared" si="241"/>
        <v>0</v>
      </c>
      <c r="O1903" s="487"/>
      <c r="P1903" s="487"/>
      <c r="Q1903" s="274">
        <f t="shared" si="236"/>
        <v>0</v>
      </c>
      <c r="R1903" s="574">
        <f t="shared" si="237"/>
        <v>0</v>
      </c>
      <c r="S1903" s="275">
        <f t="shared" si="238"/>
        <v>0</v>
      </c>
      <c r="T1903" s="575"/>
      <c r="U1903" s="487"/>
      <c r="V1903" s="576"/>
      <c r="W1903" s="573"/>
      <c r="X1903" s="574">
        <f t="shared" si="242"/>
        <v>0</v>
      </c>
      <c r="Y1903" s="487"/>
      <c r="Z1903" s="487"/>
      <c r="AA1903" s="276">
        <f t="shared" si="243"/>
        <v>0</v>
      </c>
      <c r="AB1903" s="573"/>
      <c r="AC1903" s="487"/>
      <c r="AD1903" s="573"/>
      <c r="AE1903" s="487"/>
      <c r="AF1903" s="577">
        <f t="shared" si="239"/>
        <v>0</v>
      </c>
      <c r="AG1903" s="275">
        <f t="shared" si="240"/>
        <v>0</v>
      </c>
    </row>
    <row r="1904" spans="1:33" ht="12" customHeight="1">
      <c r="A1904" s="642" t="s">
        <v>1281</v>
      </c>
      <c r="B1904" s="642" t="s">
        <v>1763</v>
      </c>
      <c r="C1904" s="741" t="s">
        <v>1761</v>
      </c>
      <c r="D1904" s="740"/>
      <c r="E1904" s="645"/>
      <c r="F1904" s="573"/>
      <c r="G1904" s="487"/>
      <c r="H1904" s="573"/>
      <c r="I1904" s="487"/>
      <c r="J1904" s="573"/>
      <c r="K1904" s="487"/>
      <c r="L1904" s="573"/>
      <c r="M1904" s="573"/>
      <c r="N1904" s="456">
        <f t="shared" si="241"/>
        <v>0</v>
      </c>
      <c r="O1904" s="487"/>
      <c r="P1904" s="487"/>
      <c r="Q1904" s="274">
        <f t="shared" si="236"/>
        <v>0</v>
      </c>
      <c r="R1904" s="574">
        <f t="shared" si="237"/>
        <v>0</v>
      </c>
      <c r="S1904" s="275">
        <f t="shared" si="238"/>
        <v>0</v>
      </c>
      <c r="T1904" s="575">
        <v>5107293</v>
      </c>
      <c r="U1904" s="487">
        <v>5107293</v>
      </c>
      <c r="V1904" s="576"/>
      <c r="W1904" s="573"/>
      <c r="X1904" s="574">
        <f t="shared" si="242"/>
        <v>0</v>
      </c>
      <c r="Y1904" s="487"/>
      <c r="Z1904" s="487"/>
      <c r="AA1904" s="276">
        <f t="shared" si="243"/>
        <v>0</v>
      </c>
      <c r="AB1904" s="573"/>
      <c r="AC1904" s="487"/>
      <c r="AD1904" s="573"/>
      <c r="AE1904" s="487"/>
      <c r="AF1904" s="577">
        <f t="shared" si="239"/>
        <v>5107293</v>
      </c>
      <c r="AG1904" s="275">
        <f t="shared" si="240"/>
        <v>5107293</v>
      </c>
    </row>
    <row r="1905" spans="1:33" ht="12" customHeight="1">
      <c r="A1905" s="642" t="s">
        <v>1281</v>
      </c>
      <c r="B1905" s="642" t="s">
        <v>1510</v>
      </c>
      <c r="C1905" s="741" t="s">
        <v>421</v>
      </c>
      <c r="D1905" s="740"/>
      <c r="E1905" s="645"/>
      <c r="F1905" s="573"/>
      <c r="G1905" s="487"/>
      <c r="H1905" s="573"/>
      <c r="I1905" s="487"/>
      <c r="J1905" s="573"/>
      <c r="K1905" s="487"/>
      <c r="L1905" s="573"/>
      <c r="M1905" s="573"/>
      <c r="N1905" s="456">
        <f t="shared" si="241"/>
        <v>0</v>
      </c>
      <c r="O1905" s="487"/>
      <c r="P1905" s="487"/>
      <c r="Q1905" s="274">
        <f t="shared" si="236"/>
        <v>0</v>
      </c>
      <c r="R1905" s="574">
        <f t="shared" si="237"/>
        <v>0</v>
      </c>
      <c r="S1905" s="275">
        <f t="shared" si="238"/>
        <v>0</v>
      </c>
      <c r="T1905" s="1144" t="s">
        <v>150</v>
      </c>
      <c r="U1905" s="487"/>
      <c r="V1905" s="576"/>
      <c r="W1905" s="573"/>
      <c r="X1905" s="574">
        <f t="shared" si="242"/>
        <v>0</v>
      </c>
      <c r="Y1905" s="487"/>
      <c r="Z1905" s="487"/>
      <c r="AA1905" s="276">
        <f t="shared" si="243"/>
        <v>0</v>
      </c>
      <c r="AB1905" s="573"/>
      <c r="AC1905" s="487"/>
      <c r="AD1905" s="573"/>
      <c r="AE1905" s="487"/>
      <c r="AF1905" s="577">
        <f t="shared" si="239"/>
        <v>0</v>
      </c>
      <c r="AG1905" s="275">
        <f t="shared" si="240"/>
        <v>0</v>
      </c>
    </row>
    <row r="1906" spans="1:33" ht="12" customHeight="1">
      <c r="A1906" s="642" t="s">
        <v>1281</v>
      </c>
      <c r="B1906" s="642" t="s">
        <v>1511</v>
      </c>
      <c r="C1906" s="741" t="s">
        <v>1883</v>
      </c>
      <c r="D1906" s="740"/>
      <c r="E1906" s="645"/>
      <c r="F1906" s="573"/>
      <c r="G1906" s="487"/>
      <c r="H1906" s="573"/>
      <c r="I1906" s="487"/>
      <c r="J1906" s="573"/>
      <c r="K1906" s="487"/>
      <c r="L1906" s="573"/>
      <c r="M1906" s="573"/>
      <c r="N1906" s="456">
        <f t="shared" si="241"/>
        <v>0</v>
      </c>
      <c r="O1906" s="487"/>
      <c r="P1906" s="487"/>
      <c r="Q1906" s="274">
        <f t="shared" si="236"/>
        <v>0</v>
      </c>
      <c r="R1906" s="574">
        <f t="shared" si="237"/>
        <v>0</v>
      </c>
      <c r="S1906" s="275">
        <f t="shared" si="238"/>
        <v>0</v>
      </c>
      <c r="T1906" s="1147"/>
      <c r="U1906" s="487"/>
      <c r="V1906" s="576"/>
      <c r="W1906" s="573"/>
      <c r="X1906" s="574">
        <f t="shared" si="242"/>
        <v>0</v>
      </c>
      <c r="Y1906" s="487"/>
      <c r="Z1906" s="487"/>
      <c r="AA1906" s="276">
        <f t="shared" si="243"/>
        <v>0</v>
      </c>
      <c r="AB1906" s="573"/>
      <c r="AC1906" s="487"/>
      <c r="AD1906" s="573"/>
      <c r="AE1906" s="487"/>
      <c r="AF1906" s="577">
        <f t="shared" si="239"/>
        <v>0</v>
      </c>
      <c r="AG1906" s="275">
        <f t="shared" si="240"/>
        <v>0</v>
      </c>
    </row>
    <row r="1907" spans="1:33" ht="12" customHeight="1">
      <c r="A1907" s="642" t="s">
        <v>1281</v>
      </c>
      <c r="B1907" s="642" t="s">
        <v>1763</v>
      </c>
      <c r="C1907" s="741" t="s">
        <v>1761</v>
      </c>
      <c r="D1907" s="740"/>
      <c r="E1907" s="645"/>
      <c r="F1907" s="573"/>
      <c r="G1907" s="487"/>
      <c r="H1907" s="573"/>
      <c r="I1907" s="487"/>
      <c r="J1907" s="573"/>
      <c r="K1907" s="487"/>
      <c r="L1907" s="573"/>
      <c r="M1907" s="573"/>
      <c r="N1907" s="456">
        <f t="shared" si="241"/>
        <v>0</v>
      </c>
      <c r="O1907" s="487"/>
      <c r="P1907" s="487"/>
      <c r="Q1907" s="274">
        <f t="shared" si="236"/>
        <v>0</v>
      </c>
      <c r="R1907" s="574">
        <f t="shared" si="237"/>
        <v>0</v>
      </c>
      <c r="S1907" s="275">
        <f t="shared" si="238"/>
        <v>0</v>
      </c>
      <c r="T1907" s="575"/>
      <c r="U1907" s="487"/>
      <c r="V1907" s="576"/>
      <c r="W1907" s="573"/>
      <c r="X1907" s="574">
        <f t="shared" si="242"/>
        <v>0</v>
      </c>
      <c r="Y1907" s="487"/>
      <c r="Z1907" s="487"/>
      <c r="AA1907" s="276">
        <f t="shared" si="243"/>
        <v>0</v>
      </c>
      <c r="AB1907" s="573"/>
      <c r="AC1907" s="487"/>
      <c r="AD1907" s="573"/>
      <c r="AE1907" s="487"/>
      <c r="AF1907" s="577">
        <f t="shared" si="239"/>
        <v>0</v>
      </c>
      <c r="AG1907" s="275">
        <f t="shared" si="240"/>
        <v>0</v>
      </c>
    </row>
    <row r="1908" spans="1:33" ht="12" customHeight="1">
      <c r="A1908" s="642" t="s">
        <v>1281</v>
      </c>
      <c r="B1908" s="642" t="s">
        <v>1413</v>
      </c>
      <c r="C1908" s="741" t="s">
        <v>422</v>
      </c>
      <c r="D1908" s="740"/>
      <c r="E1908" s="645"/>
      <c r="F1908" s="573"/>
      <c r="G1908" s="487"/>
      <c r="H1908" s="573"/>
      <c r="I1908" s="487"/>
      <c r="J1908" s="573"/>
      <c r="K1908" s="487"/>
      <c r="L1908" s="573"/>
      <c r="M1908" s="573"/>
      <c r="N1908" s="456">
        <f t="shared" si="241"/>
        <v>0</v>
      </c>
      <c r="O1908" s="487"/>
      <c r="P1908" s="487"/>
      <c r="Q1908" s="274">
        <f t="shared" si="236"/>
        <v>0</v>
      </c>
      <c r="R1908" s="574">
        <f t="shared" si="237"/>
        <v>0</v>
      </c>
      <c r="S1908" s="275">
        <f t="shared" si="238"/>
        <v>0</v>
      </c>
      <c r="T1908" s="575"/>
      <c r="U1908" s="487"/>
      <c r="V1908" s="576"/>
      <c r="W1908" s="573"/>
      <c r="X1908" s="574">
        <f t="shared" si="242"/>
        <v>0</v>
      </c>
      <c r="Y1908" s="487"/>
      <c r="Z1908" s="487"/>
      <c r="AA1908" s="276">
        <f t="shared" si="243"/>
        <v>0</v>
      </c>
      <c r="AB1908" s="573"/>
      <c r="AC1908" s="487"/>
      <c r="AD1908" s="573"/>
      <c r="AE1908" s="487"/>
      <c r="AF1908" s="577">
        <f t="shared" si="239"/>
        <v>0</v>
      </c>
      <c r="AG1908" s="275">
        <f t="shared" si="240"/>
        <v>0</v>
      </c>
    </row>
    <row r="1909" spans="1:33" ht="12" customHeight="1">
      <c r="A1909" s="642" t="s">
        <v>1281</v>
      </c>
      <c r="B1909" s="642" t="s">
        <v>1582</v>
      </c>
      <c r="C1909" s="741" t="s">
        <v>1883</v>
      </c>
      <c r="D1909" s="740"/>
      <c r="E1909" s="645"/>
      <c r="F1909" s="573"/>
      <c r="G1909" s="487"/>
      <c r="H1909" s="573"/>
      <c r="I1909" s="487"/>
      <c r="J1909" s="573"/>
      <c r="K1909" s="487"/>
      <c r="L1909" s="573"/>
      <c r="M1909" s="573"/>
      <c r="N1909" s="456">
        <f t="shared" si="241"/>
        <v>0</v>
      </c>
      <c r="O1909" s="487"/>
      <c r="P1909" s="487"/>
      <c r="Q1909" s="274">
        <f t="shared" si="236"/>
        <v>0</v>
      </c>
      <c r="R1909" s="574">
        <f t="shared" si="237"/>
        <v>0</v>
      </c>
      <c r="S1909" s="275">
        <f t="shared" si="238"/>
        <v>0</v>
      </c>
      <c r="T1909" s="575"/>
      <c r="U1909" s="487"/>
      <c r="V1909" s="576"/>
      <c r="W1909" s="573"/>
      <c r="X1909" s="574">
        <f t="shared" si="242"/>
        <v>0</v>
      </c>
      <c r="Y1909" s="487"/>
      <c r="Z1909" s="487"/>
      <c r="AA1909" s="276">
        <f t="shared" si="243"/>
        <v>0</v>
      </c>
      <c r="AB1909" s="573"/>
      <c r="AC1909" s="487"/>
      <c r="AD1909" s="573"/>
      <c r="AE1909" s="487"/>
      <c r="AF1909" s="577">
        <f t="shared" si="239"/>
        <v>0</v>
      </c>
      <c r="AG1909" s="275">
        <f t="shared" si="240"/>
        <v>0</v>
      </c>
    </row>
    <row r="1910" spans="1:33" ht="12" customHeight="1">
      <c r="A1910" s="642" t="s">
        <v>1281</v>
      </c>
      <c r="B1910" s="642" t="s">
        <v>1763</v>
      </c>
      <c r="C1910" s="741" t="s">
        <v>1761</v>
      </c>
      <c r="D1910" s="740"/>
      <c r="E1910" s="645"/>
      <c r="F1910" s="573"/>
      <c r="G1910" s="487"/>
      <c r="H1910" s="573"/>
      <c r="I1910" s="487"/>
      <c r="J1910" s="573"/>
      <c r="K1910" s="487"/>
      <c r="L1910" s="573"/>
      <c r="M1910" s="573"/>
      <c r="N1910" s="456">
        <f t="shared" si="241"/>
        <v>0</v>
      </c>
      <c r="O1910" s="487"/>
      <c r="P1910" s="487"/>
      <c r="Q1910" s="274">
        <f t="shared" si="236"/>
        <v>0</v>
      </c>
      <c r="R1910" s="574">
        <f t="shared" si="237"/>
        <v>0</v>
      </c>
      <c r="S1910" s="275">
        <f t="shared" si="238"/>
        <v>0</v>
      </c>
      <c r="T1910" s="575"/>
      <c r="U1910" s="487"/>
      <c r="V1910" s="576"/>
      <c r="W1910" s="573"/>
      <c r="X1910" s="574">
        <f t="shared" si="242"/>
        <v>0</v>
      </c>
      <c r="Y1910" s="487"/>
      <c r="Z1910" s="487"/>
      <c r="AA1910" s="276">
        <f t="shared" si="243"/>
        <v>0</v>
      </c>
      <c r="AB1910" s="573"/>
      <c r="AC1910" s="487"/>
      <c r="AD1910" s="573"/>
      <c r="AE1910" s="487"/>
      <c r="AF1910" s="577">
        <f t="shared" si="239"/>
        <v>0</v>
      </c>
      <c r="AG1910" s="275">
        <f t="shared" si="240"/>
        <v>0</v>
      </c>
    </row>
    <row r="1911" spans="1:33" ht="12" customHeight="1">
      <c r="A1911" s="642" t="s">
        <v>1281</v>
      </c>
      <c r="B1911" s="742" t="s">
        <v>1806</v>
      </c>
      <c r="C1911" s="477" t="s">
        <v>193</v>
      </c>
      <c r="D1911" s="740"/>
      <c r="E1911" s="645"/>
      <c r="F1911" s="573"/>
      <c r="G1911" s="487"/>
      <c r="H1911" s="573"/>
      <c r="I1911" s="487"/>
      <c r="J1911" s="573"/>
      <c r="K1911" s="487"/>
      <c r="L1911" s="573"/>
      <c r="M1911" s="573"/>
      <c r="N1911" s="456">
        <f t="shared" si="241"/>
        <v>0</v>
      </c>
      <c r="O1911" s="487"/>
      <c r="P1911" s="487"/>
      <c r="Q1911" s="274">
        <f t="shared" si="236"/>
        <v>0</v>
      </c>
      <c r="R1911" s="574">
        <f t="shared" si="237"/>
        <v>0</v>
      </c>
      <c r="S1911" s="275">
        <f t="shared" si="238"/>
        <v>0</v>
      </c>
      <c r="T1911" s="575"/>
      <c r="U1911" s="487"/>
      <c r="V1911" s="576"/>
      <c r="W1911" s="573"/>
      <c r="X1911" s="574">
        <f t="shared" si="242"/>
        <v>0</v>
      </c>
      <c r="Y1911" s="487"/>
      <c r="Z1911" s="487"/>
      <c r="AA1911" s="276">
        <f t="shared" si="243"/>
        <v>0</v>
      </c>
      <c r="AB1911" s="573"/>
      <c r="AC1911" s="487"/>
      <c r="AD1911" s="573"/>
      <c r="AE1911" s="487"/>
      <c r="AF1911" s="577">
        <f t="shared" si="239"/>
        <v>0</v>
      </c>
      <c r="AG1911" s="275">
        <f t="shared" si="240"/>
        <v>0</v>
      </c>
    </row>
    <row r="1912" spans="1:33" ht="12" customHeight="1">
      <c r="A1912" s="642" t="s">
        <v>1281</v>
      </c>
      <c r="B1912" s="642" t="s">
        <v>1806</v>
      </c>
      <c r="C1912" s="285" t="s">
        <v>500</v>
      </c>
      <c r="D1912" s="740"/>
      <c r="E1912" s="645"/>
      <c r="F1912" s="573"/>
      <c r="G1912" s="487"/>
      <c r="H1912" s="573"/>
      <c r="I1912" s="487"/>
      <c r="J1912" s="573"/>
      <c r="K1912" s="487"/>
      <c r="L1912" s="573"/>
      <c r="M1912" s="573"/>
      <c r="N1912" s="456">
        <f t="shared" si="241"/>
        <v>0</v>
      </c>
      <c r="O1912" s="487"/>
      <c r="P1912" s="487"/>
      <c r="Q1912" s="274">
        <f t="shared" si="236"/>
        <v>0</v>
      </c>
      <c r="R1912" s="574">
        <f t="shared" si="237"/>
        <v>0</v>
      </c>
      <c r="S1912" s="275">
        <f t="shared" si="238"/>
        <v>0</v>
      </c>
      <c r="T1912" s="575"/>
      <c r="U1912" s="487"/>
      <c r="V1912" s="576"/>
      <c r="W1912" s="573"/>
      <c r="X1912" s="574">
        <f t="shared" si="242"/>
        <v>0</v>
      </c>
      <c r="Y1912" s="487"/>
      <c r="Z1912" s="487"/>
      <c r="AA1912" s="276">
        <f t="shared" si="243"/>
        <v>0</v>
      </c>
      <c r="AB1912" s="573"/>
      <c r="AC1912" s="487"/>
      <c r="AD1912" s="573"/>
      <c r="AE1912" s="487"/>
      <c r="AF1912" s="577">
        <f t="shared" si="239"/>
        <v>0</v>
      </c>
      <c r="AG1912" s="275">
        <f t="shared" si="240"/>
        <v>0</v>
      </c>
    </row>
    <row r="1913" spans="1:33" ht="12" customHeight="1">
      <c r="A1913" s="642" t="s">
        <v>1281</v>
      </c>
      <c r="B1913" s="742" t="s">
        <v>1764</v>
      </c>
      <c r="C1913" s="741" t="s">
        <v>1883</v>
      </c>
      <c r="D1913" s="740"/>
      <c r="E1913" s="645"/>
      <c r="F1913" s="573"/>
      <c r="G1913" s="487"/>
      <c r="H1913" s="573"/>
      <c r="I1913" s="487"/>
      <c r="J1913" s="573"/>
      <c r="K1913" s="487"/>
      <c r="L1913" s="573"/>
      <c r="M1913" s="573"/>
      <c r="N1913" s="456">
        <f t="shared" si="241"/>
        <v>0</v>
      </c>
      <c r="O1913" s="487"/>
      <c r="P1913" s="487"/>
      <c r="Q1913" s="274">
        <f t="shared" si="236"/>
        <v>0</v>
      </c>
      <c r="R1913" s="574">
        <f t="shared" si="237"/>
        <v>0</v>
      </c>
      <c r="S1913" s="275">
        <f t="shared" si="238"/>
        <v>0</v>
      </c>
      <c r="T1913" s="575">
        <v>98496370</v>
      </c>
      <c r="U1913" s="487">
        <v>136595136</v>
      </c>
      <c r="V1913" s="576"/>
      <c r="W1913" s="573"/>
      <c r="X1913" s="574">
        <f t="shared" si="242"/>
        <v>0</v>
      </c>
      <c r="Y1913" s="487"/>
      <c r="Z1913" s="487"/>
      <c r="AA1913" s="276">
        <f t="shared" si="243"/>
        <v>0</v>
      </c>
      <c r="AB1913" s="573"/>
      <c r="AC1913" s="487"/>
      <c r="AD1913" s="573"/>
      <c r="AE1913" s="487"/>
      <c r="AF1913" s="577">
        <f t="shared" si="239"/>
        <v>98496370</v>
      </c>
      <c r="AG1913" s="275">
        <f t="shared" si="240"/>
        <v>136595136</v>
      </c>
    </row>
    <row r="1914" spans="1:33" ht="12" customHeight="1">
      <c r="A1914" s="642" t="s">
        <v>1281</v>
      </c>
      <c r="B1914" s="742" t="s">
        <v>1765</v>
      </c>
      <c r="C1914" s="741" t="s">
        <v>1761</v>
      </c>
      <c r="D1914" s="740"/>
      <c r="E1914" s="645"/>
      <c r="F1914" s="573"/>
      <c r="G1914" s="487"/>
      <c r="H1914" s="573"/>
      <c r="I1914" s="487"/>
      <c r="J1914" s="573"/>
      <c r="K1914" s="487"/>
      <c r="L1914" s="573"/>
      <c r="M1914" s="573"/>
      <c r="N1914" s="456">
        <f t="shared" si="241"/>
        <v>0</v>
      </c>
      <c r="O1914" s="487"/>
      <c r="P1914" s="487"/>
      <c r="Q1914" s="274">
        <f t="shared" si="236"/>
        <v>0</v>
      </c>
      <c r="R1914" s="574">
        <f t="shared" si="237"/>
        <v>0</v>
      </c>
      <c r="S1914" s="275">
        <f t="shared" si="238"/>
        <v>0</v>
      </c>
      <c r="T1914" s="575"/>
      <c r="U1914" s="487"/>
      <c r="V1914" s="576"/>
      <c r="W1914" s="573"/>
      <c r="X1914" s="574">
        <f t="shared" si="242"/>
        <v>0</v>
      </c>
      <c r="Y1914" s="487"/>
      <c r="Z1914" s="487"/>
      <c r="AA1914" s="276">
        <f t="shared" si="243"/>
        <v>0</v>
      </c>
      <c r="AB1914" s="573"/>
      <c r="AC1914" s="487"/>
      <c r="AD1914" s="573"/>
      <c r="AE1914" s="487"/>
      <c r="AF1914" s="577">
        <f t="shared" si="239"/>
        <v>0</v>
      </c>
      <c r="AG1914" s="275">
        <f t="shared" si="240"/>
        <v>0</v>
      </c>
    </row>
    <row r="1915" spans="1:33" ht="12" customHeight="1">
      <c r="A1915" s="642" t="s">
        <v>1281</v>
      </c>
      <c r="B1915" s="642" t="s">
        <v>1806</v>
      </c>
      <c r="C1915" s="285" t="s">
        <v>501</v>
      </c>
      <c r="D1915" s="740"/>
      <c r="E1915" s="645"/>
      <c r="F1915" s="573"/>
      <c r="G1915" s="487"/>
      <c r="H1915" s="573"/>
      <c r="I1915" s="487"/>
      <c r="J1915" s="573"/>
      <c r="K1915" s="487"/>
      <c r="L1915" s="573"/>
      <c r="M1915" s="573"/>
      <c r="N1915" s="456">
        <f t="shared" si="241"/>
        <v>0</v>
      </c>
      <c r="O1915" s="487"/>
      <c r="P1915" s="487"/>
      <c r="Q1915" s="274">
        <f t="shared" si="236"/>
        <v>0</v>
      </c>
      <c r="R1915" s="574">
        <f t="shared" si="237"/>
        <v>0</v>
      </c>
      <c r="S1915" s="275">
        <f t="shared" si="238"/>
        <v>0</v>
      </c>
      <c r="T1915" s="575"/>
      <c r="U1915" s="487"/>
      <c r="V1915" s="576"/>
      <c r="W1915" s="573"/>
      <c r="X1915" s="574">
        <f t="shared" si="242"/>
        <v>0</v>
      </c>
      <c r="Y1915" s="487"/>
      <c r="Z1915" s="487"/>
      <c r="AA1915" s="276">
        <f t="shared" si="243"/>
        <v>0</v>
      </c>
      <c r="AB1915" s="573"/>
      <c r="AC1915" s="487"/>
      <c r="AD1915" s="573"/>
      <c r="AE1915" s="487"/>
      <c r="AF1915" s="577">
        <f t="shared" si="239"/>
        <v>0</v>
      </c>
      <c r="AG1915" s="275">
        <f t="shared" si="240"/>
        <v>0</v>
      </c>
    </row>
    <row r="1916" spans="1:33" ht="12" customHeight="1">
      <c r="A1916" s="742" t="s">
        <v>1281</v>
      </c>
      <c r="B1916" s="742" t="s">
        <v>1764</v>
      </c>
      <c r="C1916" s="741" t="s">
        <v>1883</v>
      </c>
      <c r="D1916" s="740"/>
      <c r="E1916" s="645"/>
      <c r="F1916" s="573"/>
      <c r="G1916" s="487"/>
      <c r="H1916" s="573"/>
      <c r="I1916" s="487"/>
      <c r="J1916" s="573"/>
      <c r="K1916" s="487"/>
      <c r="L1916" s="573"/>
      <c r="M1916" s="573"/>
      <c r="N1916" s="456">
        <f t="shared" si="241"/>
        <v>0</v>
      </c>
      <c r="O1916" s="487"/>
      <c r="P1916" s="487"/>
      <c r="Q1916" s="274">
        <f t="shared" si="236"/>
        <v>0</v>
      </c>
      <c r="R1916" s="574">
        <f t="shared" si="237"/>
        <v>0</v>
      </c>
      <c r="S1916" s="275">
        <f t="shared" si="238"/>
        <v>0</v>
      </c>
      <c r="T1916" s="575">
        <v>739174</v>
      </c>
      <c r="U1916" s="487">
        <v>364174</v>
      </c>
      <c r="V1916" s="576"/>
      <c r="W1916" s="573"/>
      <c r="X1916" s="574">
        <f t="shared" si="242"/>
        <v>0</v>
      </c>
      <c r="Y1916" s="487"/>
      <c r="Z1916" s="487"/>
      <c r="AA1916" s="276">
        <f t="shared" si="243"/>
        <v>0</v>
      </c>
      <c r="AB1916" s="573"/>
      <c r="AC1916" s="487"/>
      <c r="AD1916" s="573"/>
      <c r="AE1916" s="487"/>
      <c r="AF1916" s="577">
        <f t="shared" si="239"/>
        <v>739174</v>
      </c>
      <c r="AG1916" s="275">
        <f t="shared" si="240"/>
        <v>364174</v>
      </c>
    </row>
    <row r="1917" spans="1:33" ht="12" customHeight="1">
      <c r="A1917" s="742" t="s">
        <v>1281</v>
      </c>
      <c r="B1917" s="742" t="s">
        <v>1765</v>
      </c>
      <c r="C1917" s="741" t="s">
        <v>1761</v>
      </c>
      <c r="D1917" s="740"/>
      <c r="E1917" s="645"/>
      <c r="F1917" s="573"/>
      <c r="G1917" s="487"/>
      <c r="H1917" s="573"/>
      <c r="I1917" s="487"/>
      <c r="J1917" s="573"/>
      <c r="K1917" s="487"/>
      <c r="L1917" s="573"/>
      <c r="M1917" s="573"/>
      <c r="N1917" s="456">
        <f t="shared" si="241"/>
        <v>0</v>
      </c>
      <c r="O1917" s="487"/>
      <c r="P1917" s="487"/>
      <c r="Q1917" s="274">
        <f t="shared" si="236"/>
        <v>0</v>
      </c>
      <c r="R1917" s="574">
        <f t="shared" si="237"/>
        <v>0</v>
      </c>
      <c r="S1917" s="275">
        <f t="shared" si="238"/>
        <v>0</v>
      </c>
      <c r="T1917" s="575"/>
      <c r="U1917" s="487"/>
      <c r="V1917" s="576"/>
      <c r="W1917" s="573"/>
      <c r="X1917" s="574">
        <f t="shared" si="242"/>
        <v>0</v>
      </c>
      <c r="Y1917" s="487"/>
      <c r="Z1917" s="487"/>
      <c r="AA1917" s="276">
        <f t="shared" si="243"/>
        <v>0</v>
      </c>
      <c r="AB1917" s="573"/>
      <c r="AC1917" s="487"/>
      <c r="AD1917" s="573"/>
      <c r="AE1917" s="487"/>
      <c r="AF1917" s="577">
        <f t="shared" si="239"/>
        <v>0</v>
      </c>
      <c r="AG1917" s="275">
        <f t="shared" si="240"/>
        <v>0</v>
      </c>
    </row>
    <row r="1918" spans="1:33" ht="12" customHeight="1">
      <c r="A1918" s="641" t="s">
        <v>1281</v>
      </c>
      <c r="B1918" s="642" t="s">
        <v>1806</v>
      </c>
      <c r="C1918" s="285" t="s">
        <v>502</v>
      </c>
      <c r="D1918" s="740"/>
      <c r="E1918" s="645"/>
      <c r="F1918" s="573"/>
      <c r="G1918" s="487"/>
      <c r="H1918" s="573"/>
      <c r="I1918" s="487"/>
      <c r="J1918" s="573"/>
      <c r="K1918" s="487"/>
      <c r="L1918" s="573"/>
      <c r="M1918" s="573"/>
      <c r="N1918" s="456">
        <f t="shared" si="241"/>
        <v>0</v>
      </c>
      <c r="O1918" s="487"/>
      <c r="P1918" s="487"/>
      <c r="Q1918" s="274">
        <f t="shared" si="236"/>
        <v>0</v>
      </c>
      <c r="R1918" s="574">
        <f t="shared" si="237"/>
        <v>0</v>
      </c>
      <c r="S1918" s="275">
        <f t="shared" si="238"/>
        <v>0</v>
      </c>
      <c r="T1918" s="575"/>
      <c r="U1918" s="487"/>
      <c r="V1918" s="576"/>
      <c r="W1918" s="573"/>
      <c r="X1918" s="574">
        <f t="shared" si="242"/>
        <v>0</v>
      </c>
      <c r="Y1918" s="487"/>
      <c r="Z1918" s="487"/>
      <c r="AA1918" s="276">
        <f t="shared" si="243"/>
        <v>0</v>
      </c>
      <c r="AB1918" s="573"/>
      <c r="AC1918" s="487"/>
      <c r="AD1918" s="573"/>
      <c r="AE1918" s="487"/>
      <c r="AF1918" s="577">
        <f t="shared" si="239"/>
        <v>0</v>
      </c>
      <c r="AG1918" s="275">
        <f t="shared" si="240"/>
        <v>0</v>
      </c>
    </row>
    <row r="1919" spans="1:33" ht="12" customHeight="1">
      <c r="A1919" s="641" t="s">
        <v>1281</v>
      </c>
      <c r="B1919" s="742" t="s">
        <v>1764</v>
      </c>
      <c r="C1919" s="741" t="s">
        <v>1883</v>
      </c>
      <c r="D1919" s="740"/>
      <c r="E1919" s="645"/>
      <c r="F1919" s="573"/>
      <c r="G1919" s="487"/>
      <c r="H1919" s="573"/>
      <c r="I1919" s="487"/>
      <c r="J1919" s="573"/>
      <c r="K1919" s="487"/>
      <c r="L1919" s="573"/>
      <c r="M1919" s="573"/>
      <c r="N1919" s="456">
        <f t="shared" si="241"/>
        <v>0</v>
      </c>
      <c r="O1919" s="487"/>
      <c r="P1919" s="487"/>
      <c r="Q1919" s="274">
        <f t="shared" si="236"/>
        <v>0</v>
      </c>
      <c r="R1919" s="574">
        <f t="shared" si="237"/>
        <v>0</v>
      </c>
      <c r="S1919" s="275">
        <f t="shared" si="238"/>
        <v>0</v>
      </c>
      <c r="T1919" s="575">
        <v>5166168</v>
      </c>
      <c r="U1919" s="487">
        <v>5126646</v>
      </c>
      <c r="V1919" s="576"/>
      <c r="W1919" s="573"/>
      <c r="X1919" s="574">
        <f t="shared" si="242"/>
        <v>0</v>
      </c>
      <c r="Y1919" s="487"/>
      <c r="Z1919" s="487"/>
      <c r="AA1919" s="276">
        <f t="shared" si="243"/>
        <v>0</v>
      </c>
      <c r="AB1919" s="573"/>
      <c r="AC1919" s="487"/>
      <c r="AD1919" s="573"/>
      <c r="AE1919" s="487"/>
      <c r="AF1919" s="577">
        <f t="shared" si="239"/>
        <v>5166168</v>
      </c>
      <c r="AG1919" s="275">
        <f t="shared" si="240"/>
        <v>5126646</v>
      </c>
    </row>
    <row r="1920" spans="1:33" ht="12" customHeight="1">
      <c r="A1920" s="641" t="s">
        <v>1281</v>
      </c>
      <c r="B1920" s="742" t="s">
        <v>1765</v>
      </c>
      <c r="C1920" s="741" t="s">
        <v>1761</v>
      </c>
      <c r="D1920" s="740"/>
      <c r="E1920" s="645"/>
      <c r="F1920" s="573"/>
      <c r="G1920" s="487"/>
      <c r="H1920" s="573"/>
      <c r="I1920" s="487"/>
      <c r="J1920" s="573"/>
      <c r="K1920" s="487"/>
      <c r="L1920" s="573"/>
      <c r="M1920" s="573"/>
      <c r="N1920" s="456">
        <f t="shared" si="241"/>
        <v>0</v>
      </c>
      <c r="O1920" s="487"/>
      <c r="P1920" s="487"/>
      <c r="Q1920" s="274">
        <f t="shared" si="236"/>
        <v>0</v>
      </c>
      <c r="R1920" s="574">
        <f t="shared" si="237"/>
        <v>0</v>
      </c>
      <c r="S1920" s="275">
        <f t="shared" si="238"/>
        <v>0</v>
      </c>
      <c r="T1920" s="575"/>
      <c r="U1920" s="487"/>
      <c r="V1920" s="576"/>
      <c r="W1920" s="573"/>
      <c r="X1920" s="574">
        <f t="shared" si="242"/>
        <v>0</v>
      </c>
      <c r="Y1920" s="487"/>
      <c r="Z1920" s="487"/>
      <c r="AA1920" s="276">
        <f t="shared" si="243"/>
        <v>0</v>
      </c>
      <c r="AB1920" s="573"/>
      <c r="AC1920" s="487"/>
      <c r="AD1920" s="573"/>
      <c r="AE1920" s="487"/>
      <c r="AF1920" s="577">
        <f t="shared" si="239"/>
        <v>0</v>
      </c>
      <c r="AG1920" s="275">
        <f t="shared" si="240"/>
        <v>0</v>
      </c>
    </row>
    <row r="1921" spans="1:33" ht="12" customHeight="1">
      <c r="A1921" s="641" t="s">
        <v>1281</v>
      </c>
      <c r="B1921" s="642" t="s">
        <v>1806</v>
      </c>
      <c r="C1921" s="285" t="s">
        <v>503</v>
      </c>
      <c r="D1921" s="740"/>
      <c r="E1921" s="645"/>
      <c r="F1921" s="573"/>
      <c r="G1921" s="487"/>
      <c r="H1921" s="573"/>
      <c r="I1921" s="487"/>
      <c r="J1921" s="573"/>
      <c r="K1921" s="487"/>
      <c r="L1921" s="573"/>
      <c r="M1921" s="573"/>
      <c r="N1921" s="456">
        <f t="shared" si="241"/>
        <v>0</v>
      </c>
      <c r="O1921" s="487"/>
      <c r="P1921" s="487"/>
      <c r="Q1921" s="274">
        <f t="shared" si="236"/>
        <v>0</v>
      </c>
      <c r="R1921" s="574">
        <f t="shared" si="237"/>
        <v>0</v>
      </c>
      <c r="S1921" s="275">
        <f t="shared" si="238"/>
        <v>0</v>
      </c>
      <c r="T1921" s="575"/>
      <c r="U1921" s="487"/>
      <c r="V1921" s="576"/>
      <c r="W1921" s="573"/>
      <c r="X1921" s="574">
        <f t="shared" si="242"/>
        <v>0</v>
      </c>
      <c r="Y1921" s="487"/>
      <c r="Z1921" s="487"/>
      <c r="AA1921" s="276">
        <f t="shared" si="243"/>
        <v>0</v>
      </c>
      <c r="AB1921" s="573"/>
      <c r="AC1921" s="487"/>
      <c r="AD1921" s="573"/>
      <c r="AE1921" s="487"/>
      <c r="AF1921" s="577">
        <f t="shared" si="239"/>
        <v>0</v>
      </c>
      <c r="AG1921" s="275">
        <f t="shared" si="240"/>
        <v>0</v>
      </c>
    </row>
    <row r="1922" spans="1:33" ht="12" customHeight="1">
      <c r="A1922" s="641" t="s">
        <v>1281</v>
      </c>
      <c r="B1922" s="742" t="s">
        <v>1764</v>
      </c>
      <c r="C1922" s="741" t="s">
        <v>1883</v>
      </c>
      <c r="D1922" s="740"/>
      <c r="E1922" s="645"/>
      <c r="F1922" s="573"/>
      <c r="G1922" s="487"/>
      <c r="H1922" s="573"/>
      <c r="I1922" s="487"/>
      <c r="J1922" s="573"/>
      <c r="K1922" s="487"/>
      <c r="L1922" s="573"/>
      <c r="M1922" s="573"/>
      <c r="N1922" s="456">
        <f t="shared" si="241"/>
        <v>0</v>
      </c>
      <c r="O1922" s="487"/>
      <c r="P1922" s="487"/>
      <c r="Q1922" s="274">
        <f t="shared" si="236"/>
        <v>0</v>
      </c>
      <c r="R1922" s="574">
        <f t="shared" si="237"/>
        <v>0</v>
      </c>
      <c r="S1922" s="275">
        <f t="shared" si="238"/>
        <v>0</v>
      </c>
      <c r="T1922" s="575">
        <v>450239</v>
      </c>
      <c r="U1922" s="487">
        <v>450239</v>
      </c>
      <c r="V1922" s="576"/>
      <c r="W1922" s="573"/>
      <c r="X1922" s="574">
        <f t="shared" si="242"/>
        <v>0</v>
      </c>
      <c r="Y1922" s="487"/>
      <c r="Z1922" s="487"/>
      <c r="AA1922" s="276">
        <f t="shared" si="243"/>
        <v>0</v>
      </c>
      <c r="AB1922" s="573"/>
      <c r="AC1922" s="487"/>
      <c r="AD1922" s="573"/>
      <c r="AE1922" s="487"/>
      <c r="AF1922" s="577">
        <f t="shared" si="239"/>
        <v>450239</v>
      </c>
      <c r="AG1922" s="275">
        <f t="shared" si="240"/>
        <v>450239</v>
      </c>
    </row>
    <row r="1923" spans="1:33" ht="12" customHeight="1">
      <c r="A1923" s="641" t="s">
        <v>1281</v>
      </c>
      <c r="B1923" s="742" t="s">
        <v>1765</v>
      </c>
      <c r="C1923" s="741" t="s">
        <v>1761</v>
      </c>
      <c r="D1923" s="740"/>
      <c r="E1923" s="645"/>
      <c r="F1923" s="573"/>
      <c r="G1923" s="487"/>
      <c r="H1923" s="573"/>
      <c r="I1923" s="487"/>
      <c r="J1923" s="573"/>
      <c r="K1923" s="487"/>
      <c r="L1923" s="573"/>
      <c r="M1923" s="573"/>
      <c r="N1923" s="456">
        <f t="shared" si="241"/>
        <v>0</v>
      </c>
      <c r="O1923" s="487"/>
      <c r="P1923" s="487"/>
      <c r="Q1923" s="274">
        <f t="shared" si="236"/>
        <v>0</v>
      </c>
      <c r="R1923" s="574">
        <f t="shared" si="237"/>
        <v>0</v>
      </c>
      <c r="S1923" s="275">
        <f t="shared" si="238"/>
        <v>0</v>
      </c>
      <c r="T1923" s="575"/>
      <c r="U1923" s="487"/>
      <c r="V1923" s="576"/>
      <c r="W1923" s="573"/>
      <c r="X1923" s="574">
        <f t="shared" si="242"/>
        <v>0</v>
      </c>
      <c r="Y1923" s="487"/>
      <c r="Z1923" s="487"/>
      <c r="AA1923" s="276">
        <f t="shared" si="243"/>
        <v>0</v>
      </c>
      <c r="AB1923" s="573"/>
      <c r="AC1923" s="487"/>
      <c r="AD1923" s="573"/>
      <c r="AE1923" s="487"/>
      <c r="AF1923" s="577">
        <f t="shared" si="239"/>
        <v>0</v>
      </c>
      <c r="AG1923" s="275">
        <f t="shared" si="240"/>
        <v>0</v>
      </c>
    </row>
    <row r="1924" spans="1:33" ht="12" customHeight="1">
      <c r="A1924" s="641" t="s">
        <v>1281</v>
      </c>
      <c r="B1924" s="642" t="s">
        <v>1806</v>
      </c>
      <c r="C1924" s="285" t="s">
        <v>504</v>
      </c>
      <c r="D1924" s="740"/>
      <c r="E1924" s="645"/>
      <c r="F1924" s="573"/>
      <c r="G1924" s="487"/>
      <c r="H1924" s="573"/>
      <c r="I1924" s="487"/>
      <c r="J1924" s="573"/>
      <c r="K1924" s="487"/>
      <c r="L1924" s="573"/>
      <c r="M1924" s="573"/>
      <c r="N1924" s="456">
        <f t="shared" si="241"/>
        <v>0</v>
      </c>
      <c r="O1924" s="487"/>
      <c r="P1924" s="487"/>
      <c r="Q1924" s="274">
        <f t="shared" si="236"/>
        <v>0</v>
      </c>
      <c r="R1924" s="574">
        <f t="shared" si="237"/>
        <v>0</v>
      </c>
      <c r="S1924" s="275">
        <f t="shared" si="238"/>
        <v>0</v>
      </c>
      <c r="T1924" s="575"/>
      <c r="U1924" s="487"/>
      <c r="V1924" s="576"/>
      <c r="W1924" s="573"/>
      <c r="X1924" s="574">
        <f t="shared" si="242"/>
        <v>0</v>
      </c>
      <c r="Y1924" s="487"/>
      <c r="Z1924" s="487"/>
      <c r="AA1924" s="276">
        <f t="shared" si="243"/>
        <v>0</v>
      </c>
      <c r="AB1924" s="573"/>
      <c r="AC1924" s="487"/>
      <c r="AD1924" s="573"/>
      <c r="AE1924" s="487"/>
      <c r="AF1924" s="577">
        <f t="shared" si="239"/>
        <v>0</v>
      </c>
      <c r="AG1924" s="275">
        <f t="shared" si="240"/>
        <v>0</v>
      </c>
    </row>
    <row r="1925" spans="1:33" ht="12" customHeight="1">
      <c r="A1925" s="641" t="s">
        <v>1281</v>
      </c>
      <c r="B1925" s="642" t="s">
        <v>1764</v>
      </c>
      <c r="C1925" s="739" t="s">
        <v>1883</v>
      </c>
      <c r="D1925" s="740"/>
      <c r="E1925" s="645"/>
      <c r="F1925" s="573"/>
      <c r="G1925" s="487"/>
      <c r="H1925" s="573"/>
      <c r="I1925" s="487"/>
      <c r="J1925" s="573"/>
      <c r="K1925" s="487"/>
      <c r="L1925" s="573"/>
      <c r="M1925" s="573"/>
      <c r="N1925" s="456">
        <f t="shared" si="241"/>
        <v>0</v>
      </c>
      <c r="O1925" s="487"/>
      <c r="P1925" s="487"/>
      <c r="Q1925" s="274">
        <f t="shared" si="236"/>
        <v>0</v>
      </c>
      <c r="R1925" s="574">
        <f t="shared" si="237"/>
        <v>0</v>
      </c>
      <c r="S1925" s="275">
        <f t="shared" si="238"/>
        <v>0</v>
      </c>
      <c r="T1925" s="575"/>
      <c r="U1925" s="487"/>
      <c r="V1925" s="576"/>
      <c r="W1925" s="573"/>
      <c r="X1925" s="574">
        <f t="shared" si="242"/>
        <v>0</v>
      </c>
      <c r="Y1925" s="487"/>
      <c r="Z1925" s="487"/>
      <c r="AA1925" s="276">
        <f t="shared" si="243"/>
        <v>0</v>
      </c>
      <c r="AB1925" s="573"/>
      <c r="AC1925" s="487"/>
      <c r="AD1925" s="573"/>
      <c r="AE1925" s="487"/>
      <c r="AF1925" s="577">
        <f t="shared" si="239"/>
        <v>0</v>
      </c>
      <c r="AG1925" s="275">
        <f t="shared" si="240"/>
        <v>0</v>
      </c>
    </row>
    <row r="1926" spans="1:33" ht="12" customHeight="1">
      <c r="A1926" s="641" t="s">
        <v>1281</v>
      </c>
      <c r="B1926" s="642" t="s">
        <v>1765</v>
      </c>
      <c r="C1926" s="739" t="s">
        <v>1761</v>
      </c>
      <c r="D1926" s="740"/>
      <c r="E1926" s="645"/>
      <c r="F1926" s="573"/>
      <c r="G1926" s="487"/>
      <c r="H1926" s="573"/>
      <c r="I1926" s="487"/>
      <c r="J1926" s="573"/>
      <c r="K1926" s="487"/>
      <c r="L1926" s="573"/>
      <c r="M1926" s="573"/>
      <c r="N1926" s="456">
        <f t="shared" si="241"/>
        <v>0</v>
      </c>
      <c r="O1926" s="487"/>
      <c r="P1926" s="487"/>
      <c r="Q1926" s="274">
        <f t="shared" si="236"/>
        <v>0</v>
      </c>
      <c r="R1926" s="574">
        <f t="shared" si="237"/>
        <v>0</v>
      </c>
      <c r="S1926" s="275">
        <f t="shared" si="238"/>
        <v>0</v>
      </c>
      <c r="T1926" s="575">
        <v>3620000</v>
      </c>
      <c r="U1926" s="487">
        <v>3620000</v>
      </c>
      <c r="V1926" s="576"/>
      <c r="W1926" s="573"/>
      <c r="X1926" s="574">
        <f t="shared" si="242"/>
        <v>0</v>
      </c>
      <c r="Y1926" s="487"/>
      <c r="Z1926" s="487"/>
      <c r="AA1926" s="276">
        <f t="shared" si="243"/>
        <v>0</v>
      </c>
      <c r="AB1926" s="573"/>
      <c r="AC1926" s="487"/>
      <c r="AD1926" s="573"/>
      <c r="AE1926" s="487"/>
      <c r="AF1926" s="577">
        <f t="shared" si="239"/>
        <v>3620000</v>
      </c>
      <c r="AG1926" s="275">
        <f t="shared" si="240"/>
        <v>3620000</v>
      </c>
    </row>
    <row r="1927" spans="1:33" ht="12" customHeight="1">
      <c r="A1927" s="641" t="s">
        <v>1281</v>
      </c>
      <c r="B1927" s="642" t="s">
        <v>1807</v>
      </c>
      <c r="C1927" s="478" t="s">
        <v>1879</v>
      </c>
      <c r="D1927" s="740"/>
      <c r="E1927" s="645"/>
      <c r="F1927" s="573"/>
      <c r="G1927" s="487"/>
      <c r="H1927" s="573"/>
      <c r="I1927" s="487"/>
      <c r="J1927" s="573"/>
      <c r="K1927" s="487"/>
      <c r="L1927" s="573"/>
      <c r="M1927" s="573"/>
      <c r="N1927" s="456">
        <f t="shared" si="241"/>
        <v>0</v>
      </c>
      <c r="O1927" s="487"/>
      <c r="P1927" s="487"/>
      <c r="Q1927" s="274">
        <f t="shared" si="236"/>
        <v>0</v>
      </c>
      <c r="R1927" s="574">
        <f t="shared" si="237"/>
        <v>0</v>
      </c>
      <c r="S1927" s="275">
        <f t="shared" si="238"/>
        <v>0</v>
      </c>
      <c r="T1927" s="575"/>
      <c r="U1927" s="487"/>
      <c r="V1927" s="576"/>
      <c r="W1927" s="573"/>
      <c r="X1927" s="574">
        <f t="shared" si="242"/>
        <v>0</v>
      </c>
      <c r="Y1927" s="487"/>
      <c r="Z1927" s="487"/>
      <c r="AA1927" s="276">
        <f t="shared" si="243"/>
        <v>0</v>
      </c>
      <c r="AB1927" s="573"/>
      <c r="AC1927" s="487"/>
      <c r="AD1927" s="573"/>
      <c r="AE1927" s="487"/>
      <c r="AF1927" s="577">
        <f t="shared" si="239"/>
        <v>0</v>
      </c>
      <c r="AG1927" s="275">
        <f t="shared" si="240"/>
        <v>0</v>
      </c>
    </row>
    <row r="1928" spans="1:33" ht="12" customHeight="1">
      <c r="A1928" s="641" t="s">
        <v>1281</v>
      </c>
      <c r="B1928" s="642" t="s">
        <v>1807</v>
      </c>
      <c r="C1928" s="285" t="s">
        <v>505</v>
      </c>
      <c r="D1928" s="740"/>
      <c r="E1928" s="645"/>
      <c r="F1928" s="573"/>
      <c r="G1928" s="487"/>
      <c r="H1928" s="573"/>
      <c r="I1928" s="487"/>
      <c r="J1928" s="573"/>
      <c r="K1928" s="487"/>
      <c r="L1928" s="573"/>
      <c r="M1928" s="573"/>
      <c r="N1928" s="456">
        <f t="shared" si="241"/>
        <v>0</v>
      </c>
      <c r="O1928" s="487"/>
      <c r="P1928" s="487"/>
      <c r="Q1928" s="274">
        <f t="shared" si="236"/>
        <v>0</v>
      </c>
      <c r="R1928" s="574">
        <f t="shared" si="237"/>
        <v>0</v>
      </c>
      <c r="S1928" s="275">
        <f t="shared" si="238"/>
        <v>0</v>
      </c>
      <c r="T1928" s="575"/>
      <c r="U1928" s="487"/>
      <c r="V1928" s="576"/>
      <c r="W1928" s="573"/>
      <c r="X1928" s="574">
        <f t="shared" si="242"/>
        <v>0</v>
      </c>
      <c r="Y1928" s="487"/>
      <c r="Z1928" s="487"/>
      <c r="AA1928" s="276">
        <f t="shared" si="243"/>
        <v>0</v>
      </c>
      <c r="AB1928" s="573"/>
      <c r="AC1928" s="487"/>
      <c r="AD1928" s="573"/>
      <c r="AE1928" s="487"/>
      <c r="AF1928" s="577">
        <f t="shared" si="239"/>
        <v>0</v>
      </c>
      <c r="AG1928" s="275">
        <f t="shared" si="240"/>
        <v>0</v>
      </c>
    </row>
    <row r="1929" spans="1:33" ht="12" customHeight="1">
      <c r="A1929" s="641" t="s">
        <v>1281</v>
      </c>
      <c r="B1929" s="742" t="s">
        <v>1766</v>
      </c>
      <c r="C1929" s="741" t="s">
        <v>1883</v>
      </c>
      <c r="D1929" s="740"/>
      <c r="E1929" s="645"/>
      <c r="F1929" s="573"/>
      <c r="G1929" s="487"/>
      <c r="H1929" s="573"/>
      <c r="I1929" s="487"/>
      <c r="J1929" s="573"/>
      <c r="K1929" s="487"/>
      <c r="L1929" s="573"/>
      <c r="M1929" s="573"/>
      <c r="N1929" s="456">
        <f t="shared" si="241"/>
        <v>0</v>
      </c>
      <c r="O1929" s="487"/>
      <c r="P1929" s="487"/>
      <c r="Q1929" s="274">
        <f t="shared" si="236"/>
        <v>0</v>
      </c>
      <c r="R1929" s="574">
        <f t="shared" si="237"/>
        <v>0</v>
      </c>
      <c r="S1929" s="275">
        <f t="shared" si="238"/>
        <v>0</v>
      </c>
      <c r="T1929" s="575">
        <v>45158375</v>
      </c>
      <c r="U1929" s="487">
        <v>44058375</v>
      </c>
      <c r="V1929" s="576"/>
      <c r="W1929" s="573"/>
      <c r="X1929" s="574">
        <f t="shared" si="242"/>
        <v>0</v>
      </c>
      <c r="Y1929" s="487"/>
      <c r="Z1929" s="487"/>
      <c r="AA1929" s="276">
        <f t="shared" si="243"/>
        <v>0</v>
      </c>
      <c r="AB1929" s="573"/>
      <c r="AC1929" s="487"/>
      <c r="AD1929" s="573"/>
      <c r="AE1929" s="487"/>
      <c r="AF1929" s="577">
        <f t="shared" si="239"/>
        <v>45158375</v>
      </c>
      <c r="AG1929" s="275">
        <f t="shared" si="240"/>
        <v>44058375</v>
      </c>
    </row>
    <row r="1930" spans="1:33" ht="12" customHeight="1">
      <c r="A1930" s="641" t="s">
        <v>1281</v>
      </c>
      <c r="B1930" s="742" t="s">
        <v>1767</v>
      </c>
      <c r="C1930" s="741" t="s">
        <v>1761</v>
      </c>
      <c r="D1930" s="740"/>
      <c r="E1930" s="645"/>
      <c r="F1930" s="573"/>
      <c r="G1930" s="487"/>
      <c r="H1930" s="573"/>
      <c r="I1930" s="487"/>
      <c r="J1930" s="573"/>
      <c r="K1930" s="487"/>
      <c r="L1930" s="573"/>
      <c r="M1930" s="573"/>
      <c r="N1930" s="456">
        <f t="shared" si="241"/>
        <v>0</v>
      </c>
      <c r="O1930" s="487"/>
      <c r="P1930" s="487"/>
      <c r="Q1930" s="274">
        <f t="shared" ref="Q1930:Q1993" si="244">SUM(O1930:P1930)</f>
        <v>0</v>
      </c>
      <c r="R1930" s="574">
        <f t="shared" ref="R1930:R1993" si="245">SUM(F1930,H1930,J1930,L1930)</f>
        <v>0</v>
      </c>
      <c r="S1930" s="275">
        <f t="shared" ref="S1930:S1993" si="246">SUM(G1930,I1930,K1930,O1930)</f>
        <v>0</v>
      </c>
      <c r="T1930" s="575"/>
      <c r="U1930" s="487"/>
      <c r="V1930" s="576"/>
      <c r="W1930" s="573"/>
      <c r="X1930" s="574">
        <f t="shared" si="242"/>
        <v>0</v>
      </c>
      <c r="Y1930" s="487"/>
      <c r="Z1930" s="487"/>
      <c r="AA1930" s="276">
        <f t="shared" si="243"/>
        <v>0</v>
      </c>
      <c r="AB1930" s="573"/>
      <c r="AC1930" s="487"/>
      <c r="AD1930" s="573"/>
      <c r="AE1930" s="487"/>
      <c r="AF1930" s="577">
        <f t="shared" ref="AF1930:AF1993" si="247">SUM(R1930,T1930,V1930,AB1930,AD1930)</f>
        <v>0</v>
      </c>
      <c r="AG1930" s="275">
        <f t="shared" ref="AG1930:AG1993" si="248">SUM(S1930,U1930,Y1930,AC1930,AE1930)</f>
        <v>0</v>
      </c>
    </row>
    <row r="1931" spans="1:33" ht="12" customHeight="1">
      <c r="A1931" s="641" t="s">
        <v>1281</v>
      </c>
      <c r="B1931" s="642" t="s">
        <v>1807</v>
      </c>
      <c r="C1931" s="285" t="s">
        <v>506</v>
      </c>
      <c r="D1931" s="740"/>
      <c r="E1931" s="645"/>
      <c r="F1931" s="573"/>
      <c r="G1931" s="487"/>
      <c r="H1931" s="573"/>
      <c r="I1931" s="487"/>
      <c r="J1931" s="573"/>
      <c r="K1931" s="487"/>
      <c r="L1931" s="573"/>
      <c r="M1931" s="573"/>
      <c r="N1931" s="456">
        <f t="shared" si="241"/>
        <v>0</v>
      </c>
      <c r="O1931" s="487"/>
      <c r="P1931" s="487"/>
      <c r="Q1931" s="274">
        <f t="shared" si="244"/>
        <v>0</v>
      </c>
      <c r="R1931" s="574">
        <f t="shared" si="245"/>
        <v>0</v>
      </c>
      <c r="S1931" s="275">
        <f t="shared" si="246"/>
        <v>0</v>
      </c>
      <c r="T1931" s="575"/>
      <c r="U1931" s="487"/>
      <c r="V1931" s="576"/>
      <c r="W1931" s="573"/>
      <c r="X1931" s="574">
        <f t="shared" si="242"/>
        <v>0</v>
      </c>
      <c r="Y1931" s="487"/>
      <c r="Z1931" s="487"/>
      <c r="AA1931" s="276">
        <f t="shared" si="243"/>
        <v>0</v>
      </c>
      <c r="AB1931" s="573"/>
      <c r="AC1931" s="487"/>
      <c r="AD1931" s="573"/>
      <c r="AE1931" s="487"/>
      <c r="AF1931" s="577">
        <f t="shared" si="247"/>
        <v>0</v>
      </c>
      <c r="AG1931" s="275">
        <f t="shared" si="248"/>
        <v>0</v>
      </c>
    </row>
    <row r="1932" spans="1:33" ht="12" customHeight="1">
      <c r="A1932" s="641" t="s">
        <v>1281</v>
      </c>
      <c r="B1932" s="742" t="s">
        <v>1766</v>
      </c>
      <c r="C1932" s="741" t="s">
        <v>1883</v>
      </c>
      <c r="D1932" s="740"/>
      <c r="E1932" s="645"/>
      <c r="F1932" s="573"/>
      <c r="G1932" s="487"/>
      <c r="H1932" s="573"/>
      <c r="I1932" s="487"/>
      <c r="J1932" s="573"/>
      <c r="K1932" s="487"/>
      <c r="L1932" s="573"/>
      <c r="M1932" s="573"/>
      <c r="N1932" s="456">
        <f t="shared" si="241"/>
        <v>0</v>
      </c>
      <c r="O1932" s="487"/>
      <c r="P1932" s="487"/>
      <c r="Q1932" s="274">
        <f t="shared" si="244"/>
        <v>0</v>
      </c>
      <c r="R1932" s="574">
        <f t="shared" si="245"/>
        <v>0</v>
      </c>
      <c r="S1932" s="275">
        <f t="shared" si="246"/>
        <v>0</v>
      </c>
      <c r="T1932" s="575"/>
      <c r="U1932" s="487"/>
      <c r="V1932" s="576"/>
      <c r="W1932" s="573"/>
      <c r="X1932" s="574">
        <f t="shared" si="242"/>
        <v>0</v>
      </c>
      <c r="Y1932" s="487"/>
      <c r="Z1932" s="487"/>
      <c r="AA1932" s="276">
        <f t="shared" si="243"/>
        <v>0</v>
      </c>
      <c r="AB1932" s="573"/>
      <c r="AC1932" s="487"/>
      <c r="AD1932" s="573"/>
      <c r="AE1932" s="487"/>
      <c r="AF1932" s="577">
        <f t="shared" si="247"/>
        <v>0</v>
      </c>
      <c r="AG1932" s="275">
        <f t="shared" si="248"/>
        <v>0</v>
      </c>
    </row>
    <row r="1933" spans="1:33" ht="12" customHeight="1">
      <c r="A1933" s="641" t="s">
        <v>1281</v>
      </c>
      <c r="B1933" s="742" t="s">
        <v>1767</v>
      </c>
      <c r="C1933" s="741" t="s">
        <v>1761</v>
      </c>
      <c r="D1933" s="740"/>
      <c r="E1933" s="645"/>
      <c r="F1933" s="573"/>
      <c r="G1933" s="487"/>
      <c r="H1933" s="573"/>
      <c r="I1933" s="487"/>
      <c r="J1933" s="573"/>
      <c r="K1933" s="487"/>
      <c r="L1933" s="573"/>
      <c r="M1933" s="573"/>
      <c r="N1933" s="456">
        <f t="shared" si="241"/>
        <v>0</v>
      </c>
      <c r="O1933" s="487"/>
      <c r="P1933" s="487"/>
      <c r="Q1933" s="274">
        <f t="shared" si="244"/>
        <v>0</v>
      </c>
      <c r="R1933" s="574">
        <f t="shared" si="245"/>
        <v>0</v>
      </c>
      <c r="S1933" s="275">
        <f t="shared" si="246"/>
        <v>0</v>
      </c>
      <c r="T1933" s="575">
        <v>60822305</v>
      </c>
      <c r="U1933" s="487">
        <v>60935305</v>
      </c>
      <c r="V1933" s="576"/>
      <c r="W1933" s="573"/>
      <c r="X1933" s="574">
        <f t="shared" si="242"/>
        <v>0</v>
      </c>
      <c r="Y1933" s="487"/>
      <c r="Z1933" s="487"/>
      <c r="AA1933" s="276">
        <f t="shared" si="243"/>
        <v>0</v>
      </c>
      <c r="AB1933" s="573"/>
      <c r="AC1933" s="487"/>
      <c r="AD1933" s="573"/>
      <c r="AE1933" s="487"/>
      <c r="AF1933" s="577">
        <f t="shared" si="247"/>
        <v>60822305</v>
      </c>
      <c r="AG1933" s="275">
        <f t="shared" si="248"/>
        <v>60935305</v>
      </c>
    </row>
    <row r="1934" spans="1:33" ht="12" customHeight="1">
      <c r="A1934" s="646" t="s">
        <v>1281</v>
      </c>
      <c r="B1934" s="646" t="s">
        <v>1776</v>
      </c>
      <c r="C1934" s="743" t="s">
        <v>507</v>
      </c>
      <c r="D1934" s="648">
        <v>197887</v>
      </c>
      <c r="E1934" s="660">
        <v>8</v>
      </c>
      <c r="F1934" s="573">
        <v>20651730</v>
      </c>
      <c r="G1934" s="487">
        <v>22014914</v>
      </c>
      <c r="H1934" s="573"/>
      <c r="I1934" s="487"/>
      <c r="J1934" s="573">
        <v>8150101</v>
      </c>
      <c r="K1934" s="487">
        <v>9566533</v>
      </c>
      <c r="L1934" s="573">
        <v>4533665</v>
      </c>
      <c r="M1934" s="573"/>
      <c r="N1934" s="456">
        <f t="shared" si="241"/>
        <v>4533665</v>
      </c>
      <c r="O1934" s="487">
        <v>5108401</v>
      </c>
      <c r="P1934" s="487"/>
      <c r="Q1934" s="274">
        <f t="shared" si="244"/>
        <v>5108401</v>
      </c>
      <c r="R1934" s="574">
        <f t="shared" si="245"/>
        <v>33335496</v>
      </c>
      <c r="S1934" s="275">
        <f t="shared" si="246"/>
        <v>36689848</v>
      </c>
      <c r="T1934" s="575"/>
      <c r="U1934" s="487"/>
      <c r="V1934" s="576"/>
      <c r="W1934" s="573"/>
      <c r="X1934" s="574">
        <f t="shared" si="242"/>
        <v>0</v>
      </c>
      <c r="Y1934" s="487"/>
      <c r="Z1934" s="487"/>
      <c r="AA1934" s="276">
        <f t="shared" si="243"/>
        <v>0</v>
      </c>
      <c r="AB1934" s="573"/>
      <c r="AC1934" s="487"/>
      <c r="AD1934" s="573"/>
      <c r="AE1934" s="487"/>
      <c r="AF1934" s="577">
        <f t="shared" si="247"/>
        <v>33335496</v>
      </c>
      <c r="AG1934" s="275">
        <f t="shared" si="248"/>
        <v>36689848</v>
      </c>
    </row>
    <row r="1935" spans="1:33" ht="12" customHeight="1">
      <c r="A1935" s="646" t="s">
        <v>1281</v>
      </c>
      <c r="B1935" s="646" t="s">
        <v>1776</v>
      </c>
      <c r="C1935" s="305" t="s">
        <v>508</v>
      </c>
      <c r="D1935" s="648">
        <v>197887</v>
      </c>
      <c r="E1935" s="660">
        <v>8</v>
      </c>
      <c r="F1935" s="573"/>
      <c r="G1935" s="487"/>
      <c r="H1935" s="573">
        <v>256710</v>
      </c>
      <c r="I1935" s="487">
        <v>394376</v>
      </c>
      <c r="J1935" s="573"/>
      <c r="K1935" s="487"/>
      <c r="L1935" s="573"/>
      <c r="M1935" s="573"/>
      <c r="N1935" s="456">
        <f t="shared" si="241"/>
        <v>0</v>
      </c>
      <c r="O1935" s="487"/>
      <c r="P1935" s="487"/>
      <c r="Q1935" s="274">
        <f t="shared" si="244"/>
        <v>0</v>
      </c>
      <c r="R1935" s="574">
        <f t="shared" si="245"/>
        <v>256710</v>
      </c>
      <c r="S1935" s="275">
        <f t="shared" si="246"/>
        <v>394376</v>
      </c>
      <c r="T1935" s="575"/>
      <c r="U1935" s="487"/>
      <c r="V1935" s="576"/>
      <c r="W1935" s="573"/>
      <c r="X1935" s="574">
        <f t="shared" si="242"/>
        <v>0</v>
      </c>
      <c r="Y1935" s="487"/>
      <c r="Z1935" s="487"/>
      <c r="AA1935" s="276">
        <f t="shared" si="243"/>
        <v>0</v>
      </c>
      <c r="AB1935" s="573"/>
      <c r="AC1935" s="487"/>
      <c r="AD1935" s="573"/>
      <c r="AE1935" s="487"/>
      <c r="AF1935" s="577">
        <f t="shared" si="247"/>
        <v>256710</v>
      </c>
      <c r="AG1935" s="275">
        <f t="shared" si="248"/>
        <v>394376</v>
      </c>
    </row>
    <row r="1936" spans="1:33" ht="12" customHeight="1">
      <c r="A1936" s="646" t="s">
        <v>1281</v>
      </c>
      <c r="B1936" s="646" t="s">
        <v>1778</v>
      </c>
      <c r="C1936" s="305" t="s">
        <v>1891</v>
      </c>
      <c r="D1936" s="648">
        <v>197887</v>
      </c>
      <c r="E1936" s="660">
        <v>8</v>
      </c>
      <c r="F1936" s="573"/>
      <c r="G1936" s="487"/>
      <c r="H1936" s="573">
        <v>278862</v>
      </c>
      <c r="I1936" s="487">
        <v>282195</v>
      </c>
      <c r="J1936" s="573"/>
      <c r="K1936" s="487"/>
      <c r="L1936" s="573"/>
      <c r="M1936" s="573"/>
      <c r="N1936" s="456">
        <f t="shared" si="241"/>
        <v>0</v>
      </c>
      <c r="O1936" s="487"/>
      <c r="P1936" s="487"/>
      <c r="Q1936" s="274">
        <f t="shared" si="244"/>
        <v>0</v>
      </c>
      <c r="R1936" s="574">
        <f t="shared" si="245"/>
        <v>278862</v>
      </c>
      <c r="S1936" s="275">
        <f t="shared" si="246"/>
        <v>282195</v>
      </c>
      <c r="T1936" s="575"/>
      <c r="U1936" s="487"/>
      <c r="V1936" s="576"/>
      <c r="W1936" s="573"/>
      <c r="X1936" s="574">
        <f t="shared" si="242"/>
        <v>0</v>
      </c>
      <c r="Y1936" s="487"/>
      <c r="Z1936" s="487"/>
      <c r="AA1936" s="276">
        <f t="shared" si="243"/>
        <v>0</v>
      </c>
      <c r="AB1936" s="573"/>
      <c r="AC1936" s="487"/>
      <c r="AD1936" s="573"/>
      <c r="AE1936" s="487"/>
      <c r="AF1936" s="577">
        <f t="shared" si="247"/>
        <v>278862</v>
      </c>
      <c r="AG1936" s="275">
        <f t="shared" si="248"/>
        <v>282195</v>
      </c>
    </row>
    <row r="1937" spans="1:33" ht="12" customHeight="1">
      <c r="A1937" s="646" t="s">
        <v>1281</v>
      </c>
      <c r="B1937" s="646" t="s">
        <v>1787</v>
      </c>
      <c r="C1937" s="305" t="s">
        <v>1770</v>
      </c>
      <c r="D1937" s="648">
        <v>197887</v>
      </c>
      <c r="E1937" s="660">
        <v>8</v>
      </c>
      <c r="F1937" s="573"/>
      <c r="G1937" s="487"/>
      <c r="H1937" s="573">
        <v>1279807</v>
      </c>
      <c r="I1937" s="487">
        <v>1667122</v>
      </c>
      <c r="J1937" s="573"/>
      <c r="K1937" s="487"/>
      <c r="L1937" s="573">
        <v>574906</v>
      </c>
      <c r="M1937" s="573"/>
      <c r="N1937" s="456">
        <f t="shared" si="241"/>
        <v>574906</v>
      </c>
      <c r="O1937" s="487">
        <v>334983</v>
      </c>
      <c r="P1937" s="487"/>
      <c r="Q1937" s="274">
        <f t="shared" si="244"/>
        <v>334983</v>
      </c>
      <c r="R1937" s="574">
        <f t="shared" si="245"/>
        <v>1854713</v>
      </c>
      <c r="S1937" s="275">
        <f t="shared" si="246"/>
        <v>2002105</v>
      </c>
      <c r="T1937" s="575"/>
      <c r="U1937" s="487"/>
      <c r="V1937" s="576"/>
      <c r="W1937" s="573"/>
      <c r="X1937" s="574">
        <f t="shared" si="242"/>
        <v>0</v>
      </c>
      <c r="Y1937" s="487"/>
      <c r="Z1937" s="487"/>
      <c r="AA1937" s="276">
        <f t="shared" si="243"/>
        <v>0</v>
      </c>
      <c r="AB1937" s="573"/>
      <c r="AC1937" s="487"/>
      <c r="AD1937" s="573"/>
      <c r="AE1937" s="487"/>
      <c r="AF1937" s="577">
        <f t="shared" si="247"/>
        <v>1854713</v>
      </c>
      <c r="AG1937" s="275">
        <f t="shared" si="248"/>
        <v>2002105</v>
      </c>
    </row>
    <row r="1938" spans="1:33" ht="12" customHeight="1">
      <c r="A1938" s="646" t="s">
        <v>1281</v>
      </c>
      <c r="B1938" s="646" t="s">
        <v>1776</v>
      </c>
      <c r="C1938" s="743" t="s">
        <v>509</v>
      </c>
      <c r="D1938" s="648">
        <v>198154</v>
      </c>
      <c r="E1938" s="660">
        <v>8</v>
      </c>
      <c r="F1938" s="573">
        <v>24620902</v>
      </c>
      <c r="G1938" s="487">
        <v>26009545</v>
      </c>
      <c r="H1938" s="573"/>
      <c r="I1938" s="487"/>
      <c r="J1938" s="573">
        <v>5719069</v>
      </c>
      <c r="K1938" s="487">
        <v>7417127</v>
      </c>
      <c r="L1938" s="573">
        <v>6145398</v>
      </c>
      <c r="M1938" s="573"/>
      <c r="N1938" s="456">
        <f t="shared" si="241"/>
        <v>6145398</v>
      </c>
      <c r="O1938" s="487">
        <v>7755856</v>
      </c>
      <c r="P1938" s="487"/>
      <c r="Q1938" s="274">
        <f t="shared" si="244"/>
        <v>7755856</v>
      </c>
      <c r="R1938" s="574">
        <f t="shared" si="245"/>
        <v>36485369</v>
      </c>
      <c r="S1938" s="275">
        <f t="shared" si="246"/>
        <v>41182528</v>
      </c>
      <c r="T1938" s="575"/>
      <c r="U1938" s="487"/>
      <c r="V1938" s="576"/>
      <c r="W1938" s="573"/>
      <c r="X1938" s="574">
        <f t="shared" si="242"/>
        <v>0</v>
      </c>
      <c r="Y1938" s="487"/>
      <c r="Z1938" s="487"/>
      <c r="AA1938" s="276">
        <f t="shared" si="243"/>
        <v>0</v>
      </c>
      <c r="AB1938" s="573"/>
      <c r="AC1938" s="487"/>
      <c r="AD1938" s="573"/>
      <c r="AE1938" s="487"/>
      <c r="AF1938" s="577">
        <f t="shared" si="247"/>
        <v>36485369</v>
      </c>
      <c r="AG1938" s="275">
        <f t="shared" si="248"/>
        <v>41182528</v>
      </c>
    </row>
    <row r="1939" spans="1:33" ht="12" customHeight="1">
      <c r="A1939" s="646" t="s">
        <v>1281</v>
      </c>
      <c r="B1939" s="646" t="s">
        <v>1776</v>
      </c>
      <c r="C1939" s="305" t="s">
        <v>508</v>
      </c>
      <c r="D1939" s="648">
        <v>198154</v>
      </c>
      <c r="E1939" s="660">
        <v>8</v>
      </c>
      <c r="F1939" s="573"/>
      <c r="G1939" s="487"/>
      <c r="H1939" s="573">
        <v>107854</v>
      </c>
      <c r="I1939" s="487">
        <v>213113</v>
      </c>
      <c r="J1939" s="573"/>
      <c r="K1939" s="487"/>
      <c r="L1939" s="573"/>
      <c r="M1939" s="573"/>
      <c r="N1939" s="456">
        <f t="shared" ref="N1939:N2002" si="249">SUM(L1939:M1939)</f>
        <v>0</v>
      </c>
      <c r="O1939" s="487"/>
      <c r="P1939" s="487"/>
      <c r="Q1939" s="274">
        <f t="shared" si="244"/>
        <v>0</v>
      </c>
      <c r="R1939" s="574">
        <f t="shared" si="245"/>
        <v>107854</v>
      </c>
      <c r="S1939" s="275">
        <f t="shared" si="246"/>
        <v>213113</v>
      </c>
      <c r="T1939" s="575"/>
      <c r="U1939" s="487"/>
      <c r="V1939" s="576"/>
      <c r="W1939" s="573"/>
      <c r="X1939" s="574">
        <f t="shared" ref="X1939:X2002" si="250">SUM(V1939:W1939)</f>
        <v>0</v>
      </c>
      <c r="Y1939" s="487"/>
      <c r="Z1939" s="487"/>
      <c r="AA1939" s="276">
        <f t="shared" ref="AA1939:AA2002" si="251">SUM(Y1939:Z1939)</f>
        <v>0</v>
      </c>
      <c r="AB1939" s="573"/>
      <c r="AC1939" s="487"/>
      <c r="AD1939" s="573"/>
      <c r="AE1939" s="487"/>
      <c r="AF1939" s="577">
        <f t="shared" si="247"/>
        <v>107854</v>
      </c>
      <c r="AG1939" s="275">
        <f t="shared" si="248"/>
        <v>213113</v>
      </c>
    </row>
    <row r="1940" spans="1:33" ht="12" customHeight="1">
      <c r="A1940" s="646" t="s">
        <v>1281</v>
      </c>
      <c r="B1940" s="646" t="s">
        <v>1778</v>
      </c>
      <c r="C1940" s="305" t="s">
        <v>1891</v>
      </c>
      <c r="D1940" s="648">
        <v>198154</v>
      </c>
      <c r="E1940" s="660">
        <v>8</v>
      </c>
      <c r="F1940" s="573"/>
      <c r="G1940" s="487"/>
      <c r="H1940" s="573">
        <v>210279</v>
      </c>
      <c r="I1940" s="487">
        <v>223188</v>
      </c>
      <c r="J1940" s="573"/>
      <c r="K1940" s="487"/>
      <c r="L1940" s="573"/>
      <c r="M1940" s="573"/>
      <c r="N1940" s="456">
        <f t="shared" si="249"/>
        <v>0</v>
      </c>
      <c r="O1940" s="487"/>
      <c r="P1940" s="487"/>
      <c r="Q1940" s="274">
        <f t="shared" si="244"/>
        <v>0</v>
      </c>
      <c r="R1940" s="574">
        <f t="shared" si="245"/>
        <v>210279</v>
      </c>
      <c r="S1940" s="275">
        <f t="shared" si="246"/>
        <v>223188</v>
      </c>
      <c r="T1940" s="575"/>
      <c r="U1940" s="487"/>
      <c r="V1940" s="576"/>
      <c r="W1940" s="573"/>
      <c r="X1940" s="574">
        <f t="shared" si="250"/>
        <v>0</v>
      </c>
      <c r="Y1940" s="487"/>
      <c r="Z1940" s="487"/>
      <c r="AA1940" s="276">
        <f t="shared" si="251"/>
        <v>0</v>
      </c>
      <c r="AB1940" s="573"/>
      <c r="AC1940" s="487"/>
      <c r="AD1940" s="573"/>
      <c r="AE1940" s="487"/>
      <c r="AF1940" s="577">
        <f t="shared" si="247"/>
        <v>210279</v>
      </c>
      <c r="AG1940" s="275">
        <f t="shared" si="248"/>
        <v>223188</v>
      </c>
    </row>
    <row r="1941" spans="1:33" ht="12" customHeight="1">
      <c r="A1941" s="646" t="s">
        <v>1281</v>
      </c>
      <c r="B1941" s="646" t="s">
        <v>1787</v>
      </c>
      <c r="C1941" s="305" t="s">
        <v>1770</v>
      </c>
      <c r="D1941" s="648">
        <v>198154</v>
      </c>
      <c r="E1941" s="660">
        <v>8</v>
      </c>
      <c r="F1941" s="573"/>
      <c r="G1941" s="487"/>
      <c r="H1941" s="573">
        <v>1392906</v>
      </c>
      <c r="I1941" s="487">
        <v>1500900</v>
      </c>
      <c r="J1941" s="573"/>
      <c r="K1941" s="487"/>
      <c r="L1941" s="573">
        <v>315612</v>
      </c>
      <c r="M1941" s="573"/>
      <c r="N1941" s="456">
        <f t="shared" si="249"/>
        <v>315612</v>
      </c>
      <c r="O1941" s="487">
        <v>255229</v>
      </c>
      <c r="P1941" s="487"/>
      <c r="Q1941" s="274">
        <f t="shared" si="244"/>
        <v>255229</v>
      </c>
      <c r="R1941" s="574">
        <f t="shared" si="245"/>
        <v>1708518</v>
      </c>
      <c r="S1941" s="275">
        <f t="shared" si="246"/>
        <v>1756129</v>
      </c>
      <c r="T1941" s="575"/>
      <c r="U1941" s="487"/>
      <c r="V1941" s="576"/>
      <c r="W1941" s="573"/>
      <c r="X1941" s="574">
        <f t="shared" si="250"/>
        <v>0</v>
      </c>
      <c r="Y1941" s="487"/>
      <c r="Z1941" s="487"/>
      <c r="AA1941" s="276">
        <f t="shared" si="251"/>
        <v>0</v>
      </c>
      <c r="AB1941" s="573"/>
      <c r="AC1941" s="487"/>
      <c r="AD1941" s="573"/>
      <c r="AE1941" s="487"/>
      <c r="AF1941" s="577">
        <f t="shared" si="247"/>
        <v>1708518</v>
      </c>
      <c r="AG1941" s="275">
        <f t="shared" si="248"/>
        <v>1756129</v>
      </c>
    </row>
    <row r="1942" spans="1:33" ht="12" customHeight="1">
      <c r="A1942" s="646" t="s">
        <v>1281</v>
      </c>
      <c r="B1942" s="646" t="s">
        <v>1776</v>
      </c>
      <c r="C1942" s="743" t="s">
        <v>510</v>
      </c>
      <c r="D1942" s="648">
        <v>198233</v>
      </c>
      <c r="E1942" s="660">
        <v>8</v>
      </c>
      <c r="F1942" s="573">
        <v>17669173</v>
      </c>
      <c r="G1942" s="487">
        <v>17783041</v>
      </c>
      <c r="H1942" s="573"/>
      <c r="I1942" s="487"/>
      <c r="J1942" s="573">
        <v>2831526</v>
      </c>
      <c r="K1942" s="487">
        <v>3774000</v>
      </c>
      <c r="L1942" s="573">
        <v>3446760</v>
      </c>
      <c r="M1942" s="573"/>
      <c r="N1942" s="456">
        <f t="shared" si="249"/>
        <v>3446760</v>
      </c>
      <c r="O1942" s="487">
        <v>4273105</v>
      </c>
      <c r="P1942" s="487"/>
      <c r="Q1942" s="274">
        <f t="shared" si="244"/>
        <v>4273105</v>
      </c>
      <c r="R1942" s="574">
        <f t="shared" si="245"/>
        <v>23947459</v>
      </c>
      <c r="S1942" s="275">
        <f t="shared" si="246"/>
        <v>25830146</v>
      </c>
      <c r="T1942" s="575"/>
      <c r="U1942" s="487"/>
      <c r="V1942" s="576"/>
      <c r="W1942" s="573"/>
      <c r="X1942" s="574">
        <f t="shared" si="250"/>
        <v>0</v>
      </c>
      <c r="Y1942" s="487"/>
      <c r="Z1942" s="487"/>
      <c r="AA1942" s="276">
        <f t="shared" si="251"/>
        <v>0</v>
      </c>
      <c r="AB1942" s="573"/>
      <c r="AC1942" s="487"/>
      <c r="AD1942" s="573"/>
      <c r="AE1942" s="487"/>
      <c r="AF1942" s="577">
        <f t="shared" si="247"/>
        <v>23947459</v>
      </c>
      <c r="AG1942" s="275">
        <f t="shared" si="248"/>
        <v>25830146</v>
      </c>
    </row>
    <row r="1943" spans="1:33" ht="12" customHeight="1">
      <c r="A1943" s="646" t="s">
        <v>1281</v>
      </c>
      <c r="B1943" s="646" t="s">
        <v>1776</v>
      </c>
      <c r="C1943" s="305" t="s">
        <v>508</v>
      </c>
      <c r="D1943" s="648">
        <v>198233</v>
      </c>
      <c r="E1943" s="660">
        <v>8</v>
      </c>
      <c r="F1943" s="573"/>
      <c r="G1943" s="487"/>
      <c r="H1943" s="573">
        <v>136497</v>
      </c>
      <c r="I1943" s="487">
        <v>194771</v>
      </c>
      <c r="J1943" s="573"/>
      <c r="K1943" s="487"/>
      <c r="L1943" s="573"/>
      <c r="M1943" s="573"/>
      <c r="N1943" s="456">
        <f t="shared" si="249"/>
        <v>0</v>
      </c>
      <c r="O1943" s="487"/>
      <c r="P1943" s="487"/>
      <c r="Q1943" s="274">
        <f t="shared" si="244"/>
        <v>0</v>
      </c>
      <c r="R1943" s="574">
        <f t="shared" si="245"/>
        <v>136497</v>
      </c>
      <c r="S1943" s="275">
        <f t="shared" si="246"/>
        <v>194771</v>
      </c>
      <c r="T1943" s="575"/>
      <c r="U1943" s="487"/>
      <c r="V1943" s="576"/>
      <c r="W1943" s="573"/>
      <c r="X1943" s="574">
        <f t="shared" si="250"/>
        <v>0</v>
      </c>
      <c r="Y1943" s="487"/>
      <c r="Z1943" s="487"/>
      <c r="AA1943" s="276">
        <f t="shared" si="251"/>
        <v>0</v>
      </c>
      <c r="AB1943" s="573"/>
      <c r="AC1943" s="487"/>
      <c r="AD1943" s="573"/>
      <c r="AE1943" s="487"/>
      <c r="AF1943" s="577">
        <f t="shared" si="247"/>
        <v>136497</v>
      </c>
      <c r="AG1943" s="275">
        <f t="shared" si="248"/>
        <v>194771</v>
      </c>
    </row>
    <row r="1944" spans="1:33" ht="12" customHeight="1">
      <c r="A1944" s="646" t="s">
        <v>1281</v>
      </c>
      <c r="B1944" s="646" t="s">
        <v>1778</v>
      </c>
      <c r="C1944" s="305" t="s">
        <v>1891</v>
      </c>
      <c r="D1944" s="648">
        <v>198233</v>
      </c>
      <c r="E1944" s="660">
        <v>8</v>
      </c>
      <c r="F1944" s="573"/>
      <c r="G1944" s="487"/>
      <c r="H1944" s="573">
        <v>241100</v>
      </c>
      <c r="I1944" s="487">
        <v>240439</v>
      </c>
      <c r="J1944" s="573"/>
      <c r="K1944" s="487"/>
      <c r="L1944" s="573"/>
      <c r="M1944" s="573"/>
      <c r="N1944" s="456">
        <f t="shared" si="249"/>
        <v>0</v>
      </c>
      <c r="O1944" s="487"/>
      <c r="P1944" s="487"/>
      <c r="Q1944" s="274">
        <f t="shared" si="244"/>
        <v>0</v>
      </c>
      <c r="R1944" s="574">
        <f t="shared" si="245"/>
        <v>241100</v>
      </c>
      <c r="S1944" s="275">
        <f t="shared" si="246"/>
        <v>240439</v>
      </c>
      <c r="T1944" s="575"/>
      <c r="U1944" s="487"/>
      <c r="V1944" s="576"/>
      <c r="W1944" s="573"/>
      <c r="X1944" s="574">
        <f t="shared" si="250"/>
        <v>0</v>
      </c>
      <c r="Y1944" s="487"/>
      <c r="Z1944" s="487"/>
      <c r="AA1944" s="276">
        <f t="shared" si="251"/>
        <v>0</v>
      </c>
      <c r="AB1944" s="573"/>
      <c r="AC1944" s="487"/>
      <c r="AD1944" s="573"/>
      <c r="AE1944" s="487"/>
      <c r="AF1944" s="577">
        <f t="shared" si="247"/>
        <v>241100</v>
      </c>
      <c r="AG1944" s="275">
        <f t="shared" si="248"/>
        <v>240439</v>
      </c>
    </row>
    <row r="1945" spans="1:33" ht="12" customHeight="1">
      <c r="A1945" s="646" t="s">
        <v>1281</v>
      </c>
      <c r="B1945" s="646" t="s">
        <v>1787</v>
      </c>
      <c r="C1945" s="305" t="s">
        <v>1770</v>
      </c>
      <c r="D1945" s="648">
        <v>198233</v>
      </c>
      <c r="E1945" s="660">
        <v>8</v>
      </c>
      <c r="F1945" s="573"/>
      <c r="G1945" s="487"/>
      <c r="H1945" s="573">
        <v>955911</v>
      </c>
      <c r="I1945" s="487">
        <v>1161853</v>
      </c>
      <c r="J1945" s="573"/>
      <c r="K1945" s="487"/>
      <c r="L1945" s="573">
        <v>283855</v>
      </c>
      <c r="M1945" s="573"/>
      <c r="N1945" s="456">
        <f t="shared" si="249"/>
        <v>283855</v>
      </c>
      <c r="O1945" s="487">
        <v>104620</v>
      </c>
      <c r="P1945" s="487"/>
      <c r="Q1945" s="274">
        <f t="shared" si="244"/>
        <v>104620</v>
      </c>
      <c r="R1945" s="574">
        <f t="shared" si="245"/>
        <v>1239766</v>
      </c>
      <c r="S1945" s="275">
        <f t="shared" si="246"/>
        <v>1266473</v>
      </c>
      <c r="T1945" s="575"/>
      <c r="U1945" s="487"/>
      <c r="V1945" s="576"/>
      <c r="W1945" s="573"/>
      <c r="X1945" s="574">
        <f t="shared" si="250"/>
        <v>0</v>
      </c>
      <c r="Y1945" s="487"/>
      <c r="Z1945" s="487"/>
      <c r="AA1945" s="276">
        <f t="shared" si="251"/>
        <v>0</v>
      </c>
      <c r="AB1945" s="573"/>
      <c r="AC1945" s="487"/>
      <c r="AD1945" s="573"/>
      <c r="AE1945" s="487"/>
      <c r="AF1945" s="577">
        <f t="shared" si="247"/>
        <v>1239766</v>
      </c>
      <c r="AG1945" s="275">
        <f t="shared" si="248"/>
        <v>1266473</v>
      </c>
    </row>
    <row r="1946" spans="1:33" ht="12" customHeight="1">
      <c r="A1946" s="646" t="s">
        <v>1281</v>
      </c>
      <c r="B1946" s="646" t="s">
        <v>1776</v>
      </c>
      <c r="C1946" s="743" t="s">
        <v>511</v>
      </c>
      <c r="D1946" s="648">
        <v>198251</v>
      </c>
      <c r="E1946" s="660">
        <v>8</v>
      </c>
      <c r="F1946" s="573">
        <v>20529238</v>
      </c>
      <c r="G1946" s="487">
        <v>20761835</v>
      </c>
      <c r="H1946" s="573"/>
      <c r="I1946" s="487"/>
      <c r="J1946" s="573">
        <v>3252119</v>
      </c>
      <c r="K1946" s="487">
        <v>3342678</v>
      </c>
      <c r="L1946" s="573">
        <v>3247721</v>
      </c>
      <c r="M1946" s="573"/>
      <c r="N1946" s="456">
        <f t="shared" si="249"/>
        <v>3247721</v>
      </c>
      <c r="O1946" s="487">
        <v>3332090</v>
      </c>
      <c r="P1946" s="487"/>
      <c r="Q1946" s="274">
        <f t="shared" si="244"/>
        <v>3332090</v>
      </c>
      <c r="R1946" s="574">
        <f t="shared" si="245"/>
        <v>27029078</v>
      </c>
      <c r="S1946" s="275">
        <f t="shared" si="246"/>
        <v>27436603</v>
      </c>
      <c r="T1946" s="575"/>
      <c r="U1946" s="487"/>
      <c r="V1946" s="576"/>
      <c r="W1946" s="573"/>
      <c r="X1946" s="574">
        <f t="shared" si="250"/>
        <v>0</v>
      </c>
      <c r="Y1946" s="487"/>
      <c r="Z1946" s="487"/>
      <c r="AA1946" s="276">
        <f t="shared" si="251"/>
        <v>0</v>
      </c>
      <c r="AB1946" s="573"/>
      <c r="AC1946" s="487"/>
      <c r="AD1946" s="573"/>
      <c r="AE1946" s="487"/>
      <c r="AF1946" s="577">
        <f t="shared" si="247"/>
        <v>27029078</v>
      </c>
      <c r="AG1946" s="275">
        <f t="shared" si="248"/>
        <v>27436603</v>
      </c>
    </row>
    <row r="1947" spans="1:33" ht="12" customHeight="1">
      <c r="A1947" s="646" t="s">
        <v>1281</v>
      </c>
      <c r="B1947" s="646" t="s">
        <v>1776</v>
      </c>
      <c r="C1947" s="305" t="s">
        <v>508</v>
      </c>
      <c r="D1947" s="648">
        <v>198251</v>
      </c>
      <c r="E1947" s="660">
        <v>8</v>
      </c>
      <c r="F1947" s="573"/>
      <c r="G1947" s="487"/>
      <c r="H1947" s="573">
        <v>241917</v>
      </c>
      <c r="I1947" s="487">
        <v>367593</v>
      </c>
      <c r="J1947" s="573"/>
      <c r="K1947" s="487"/>
      <c r="L1947" s="573"/>
      <c r="M1947" s="573"/>
      <c r="N1947" s="456">
        <f t="shared" si="249"/>
        <v>0</v>
      </c>
      <c r="O1947" s="487"/>
      <c r="P1947" s="487"/>
      <c r="Q1947" s="274">
        <f t="shared" si="244"/>
        <v>0</v>
      </c>
      <c r="R1947" s="574">
        <f t="shared" si="245"/>
        <v>241917</v>
      </c>
      <c r="S1947" s="275">
        <f t="shared" si="246"/>
        <v>367593</v>
      </c>
      <c r="T1947" s="575"/>
      <c r="U1947" s="487"/>
      <c r="V1947" s="576"/>
      <c r="W1947" s="573"/>
      <c r="X1947" s="574">
        <f t="shared" si="250"/>
        <v>0</v>
      </c>
      <c r="Y1947" s="487"/>
      <c r="Z1947" s="487"/>
      <c r="AA1947" s="276">
        <f t="shared" si="251"/>
        <v>0</v>
      </c>
      <c r="AB1947" s="573"/>
      <c r="AC1947" s="487"/>
      <c r="AD1947" s="573"/>
      <c r="AE1947" s="487"/>
      <c r="AF1947" s="577">
        <f t="shared" si="247"/>
        <v>241917</v>
      </c>
      <c r="AG1947" s="275">
        <f t="shared" si="248"/>
        <v>367593</v>
      </c>
    </row>
    <row r="1948" spans="1:33" ht="12" customHeight="1">
      <c r="A1948" s="646" t="s">
        <v>1281</v>
      </c>
      <c r="B1948" s="646" t="s">
        <v>1778</v>
      </c>
      <c r="C1948" s="305" t="s">
        <v>1891</v>
      </c>
      <c r="D1948" s="648">
        <v>198251</v>
      </c>
      <c r="E1948" s="660">
        <v>8</v>
      </c>
      <c r="F1948" s="573"/>
      <c r="G1948" s="487"/>
      <c r="H1948" s="573">
        <v>227461</v>
      </c>
      <c r="I1948" s="487">
        <v>223160</v>
      </c>
      <c r="J1948" s="573"/>
      <c r="K1948" s="487"/>
      <c r="L1948" s="573"/>
      <c r="M1948" s="573"/>
      <c r="N1948" s="456">
        <f t="shared" si="249"/>
        <v>0</v>
      </c>
      <c r="O1948" s="487"/>
      <c r="P1948" s="487"/>
      <c r="Q1948" s="274">
        <f t="shared" si="244"/>
        <v>0</v>
      </c>
      <c r="R1948" s="574">
        <f t="shared" si="245"/>
        <v>227461</v>
      </c>
      <c r="S1948" s="275">
        <f t="shared" si="246"/>
        <v>223160</v>
      </c>
      <c r="T1948" s="575"/>
      <c r="U1948" s="487"/>
      <c r="V1948" s="576"/>
      <c r="W1948" s="573"/>
      <c r="X1948" s="574">
        <f t="shared" si="250"/>
        <v>0</v>
      </c>
      <c r="Y1948" s="487"/>
      <c r="Z1948" s="487"/>
      <c r="AA1948" s="276">
        <f t="shared" si="251"/>
        <v>0</v>
      </c>
      <c r="AB1948" s="573"/>
      <c r="AC1948" s="487"/>
      <c r="AD1948" s="573"/>
      <c r="AE1948" s="487"/>
      <c r="AF1948" s="577">
        <f t="shared" si="247"/>
        <v>227461</v>
      </c>
      <c r="AG1948" s="275">
        <f t="shared" si="248"/>
        <v>223160</v>
      </c>
    </row>
    <row r="1949" spans="1:33" ht="12" customHeight="1">
      <c r="A1949" s="646" t="s">
        <v>1281</v>
      </c>
      <c r="B1949" s="646" t="s">
        <v>1787</v>
      </c>
      <c r="C1949" s="305" t="s">
        <v>1770</v>
      </c>
      <c r="D1949" s="648">
        <v>198251</v>
      </c>
      <c r="E1949" s="660">
        <v>8</v>
      </c>
      <c r="F1949" s="573"/>
      <c r="G1949" s="487"/>
      <c r="H1949" s="573">
        <v>1432864</v>
      </c>
      <c r="I1949" s="487">
        <v>1528326</v>
      </c>
      <c r="J1949" s="573"/>
      <c r="K1949" s="487"/>
      <c r="L1949" s="573">
        <v>353406</v>
      </c>
      <c r="M1949" s="573"/>
      <c r="N1949" s="456">
        <f t="shared" si="249"/>
        <v>353406</v>
      </c>
      <c r="O1949" s="487">
        <v>246794</v>
      </c>
      <c r="P1949" s="487"/>
      <c r="Q1949" s="274">
        <f t="shared" si="244"/>
        <v>246794</v>
      </c>
      <c r="R1949" s="574">
        <f t="shared" si="245"/>
        <v>1786270</v>
      </c>
      <c r="S1949" s="275">
        <f t="shared" si="246"/>
        <v>1775120</v>
      </c>
      <c r="T1949" s="575"/>
      <c r="U1949" s="487"/>
      <c r="V1949" s="576"/>
      <c r="W1949" s="573"/>
      <c r="X1949" s="574">
        <f t="shared" si="250"/>
        <v>0</v>
      </c>
      <c r="Y1949" s="487"/>
      <c r="Z1949" s="487"/>
      <c r="AA1949" s="276">
        <f t="shared" si="251"/>
        <v>0</v>
      </c>
      <c r="AB1949" s="573"/>
      <c r="AC1949" s="487"/>
      <c r="AD1949" s="573"/>
      <c r="AE1949" s="487"/>
      <c r="AF1949" s="577">
        <f t="shared" si="247"/>
        <v>1786270</v>
      </c>
      <c r="AG1949" s="275">
        <f t="shared" si="248"/>
        <v>1775120</v>
      </c>
    </row>
    <row r="1950" spans="1:33" ht="12" customHeight="1">
      <c r="A1950" s="646" t="s">
        <v>1281</v>
      </c>
      <c r="B1950" s="646" t="s">
        <v>1776</v>
      </c>
      <c r="C1950" s="743" t="s">
        <v>512</v>
      </c>
      <c r="D1950" s="648">
        <v>198260</v>
      </c>
      <c r="E1950" s="660">
        <v>8</v>
      </c>
      <c r="F1950" s="573">
        <v>46484405</v>
      </c>
      <c r="G1950" s="487">
        <v>51492512</v>
      </c>
      <c r="H1950" s="573"/>
      <c r="I1950" s="487"/>
      <c r="J1950" s="573">
        <v>25174542</v>
      </c>
      <c r="K1950" s="487">
        <v>28294542</v>
      </c>
      <c r="L1950" s="573">
        <v>14228565</v>
      </c>
      <c r="M1950" s="573"/>
      <c r="N1950" s="456">
        <f t="shared" si="249"/>
        <v>14228565</v>
      </c>
      <c r="O1950" s="487">
        <v>15768574</v>
      </c>
      <c r="P1950" s="487"/>
      <c r="Q1950" s="274">
        <f t="shared" si="244"/>
        <v>15768574</v>
      </c>
      <c r="R1950" s="574">
        <f t="shared" si="245"/>
        <v>85887512</v>
      </c>
      <c r="S1950" s="275">
        <f t="shared" si="246"/>
        <v>95555628</v>
      </c>
      <c r="T1950" s="575"/>
      <c r="U1950" s="487"/>
      <c r="V1950" s="576"/>
      <c r="W1950" s="573"/>
      <c r="X1950" s="574">
        <f t="shared" si="250"/>
        <v>0</v>
      </c>
      <c r="Y1950" s="487"/>
      <c r="Z1950" s="487"/>
      <c r="AA1950" s="276">
        <f t="shared" si="251"/>
        <v>0</v>
      </c>
      <c r="AB1950" s="573"/>
      <c r="AC1950" s="487"/>
      <c r="AD1950" s="573"/>
      <c r="AE1950" s="487"/>
      <c r="AF1950" s="577">
        <f t="shared" si="247"/>
        <v>85887512</v>
      </c>
      <c r="AG1950" s="275">
        <f t="shared" si="248"/>
        <v>95555628</v>
      </c>
    </row>
    <row r="1951" spans="1:33" ht="12" customHeight="1">
      <c r="A1951" s="646" t="s">
        <v>1281</v>
      </c>
      <c r="B1951" s="646" t="s">
        <v>1776</v>
      </c>
      <c r="C1951" s="305" t="s">
        <v>508</v>
      </c>
      <c r="D1951" s="648">
        <v>198260</v>
      </c>
      <c r="E1951" s="660">
        <v>8</v>
      </c>
      <c r="F1951" s="573"/>
      <c r="G1951" s="487"/>
      <c r="H1951" s="573">
        <v>243741</v>
      </c>
      <c r="I1951" s="487">
        <v>409638</v>
      </c>
      <c r="J1951" s="573"/>
      <c r="K1951" s="487"/>
      <c r="L1951" s="573"/>
      <c r="M1951" s="573"/>
      <c r="N1951" s="456">
        <f t="shared" si="249"/>
        <v>0</v>
      </c>
      <c r="O1951" s="487"/>
      <c r="P1951" s="487"/>
      <c r="Q1951" s="274">
        <f t="shared" si="244"/>
        <v>0</v>
      </c>
      <c r="R1951" s="574">
        <f t="shared" si="245"/>
        <v>243741</v>
      </c>
      <c r="S1951" s="275">
        <f t="shared" si="246"/>
        <v>409638</v>
      </c>
      <c r="T1951" s="575"/>
      <c r="U1951" s="487"/>
      <c r="V1951" s="576"/>
      <c r="W1951" s="573"/>
      <c r="X1951" s="574">
        <f t="shared" si="250"/>
        <v>0</v>
      </c>
      <c r="Y1951" s="487"/>
      <c r="Z1951" s="487"/>
      <c r="AA1951" s="276">
        <f t="shared" si="251"/>
        <v>0</v>
      </c>
      <c r="AB1951" s="573"/>
      <c r="AC1951" s="487"/>
      <c r="AD1951" s="573"/>
      <c r="AE1951" s="487"/>
      <c r="AF1951" s="577">
        <f t="shared" si="247"/>
        <v>243741</v>
      </c>
      <c r="AG1951" s="275">
        <f t="shared" si="248"/>
        <v>409638</v>
      </c>
    </row>
    <row r="1952" spans="1:33" ht="12" customHeight="1">
      <c r="A1952" s="646" t="s">
        <v>1281</v>
      </c>
      <c r="B1952" s="646" t="s">
        <v>1778</v>
      </c>
      <c r="C1952" s="305" t="s">
        <v>1891</v>
      </c>
      <c r="D1952" s="648">
        <v>198260</v>
      </c>
      <c r="E1952" s="660">
        <v>8</v>
      </c>
      <c r="F1952" s="573"/>
      <c r="G1952" s="487"/>
      <c r="H1952" s="573">
        <v>267143</v>
      </c>
      <c r="I1952" s="487">
        <v>251273</v>
      </c>
      <c r="J1952" s="573"/>
      <c r="K1952" s="487"/>
      <c r="L1952" s="573"/>
      <c r="M1952" s="573"/>
      <c r="N1952" s="456">
        <f t="shared" si="249"/>
        <v>0</v>
      </c>
      <c r="O1952" s="487"/>
      <c r="P1952" s="487"/>
      <c r="Q1952" s="274">
        <f t="shared" si="244"/>
        <v>0</v>
      </c>
      <c r="R1952" s="574">
        <f t="shared" si="245"/>
        <v>267143</v>
      </c>
      <c r="S1952" s="275">
        <f t="shared" si="246"/>
        <v>251273</v>
      </c>
      <c r="T1952" s="575"/>
      <c r="U1952" s="487"/>
      <c r="V1952" s="576"/>
      <c r="W1952" s="573"/>
      <c r="X1952" s="574">
        <f t="shared" si="250"/>
        <v>0</v>
      </c>
      <c r="Y1952" s="487"/>
      <c r="Z1952" s="487"/>
      <c r="AA1952" s="276">
        <f t="shared" si="251"/>
        <v>0</v>
      </c>
      <c r="AB1952" s="573"/>
      <c r="AC1952" s="487"/>
      <c r="AD1952" s="573"/>
      <c r="AE1952" s="487"/>
      <c r="AF1952" s="577">
        <f t="shared" si="247"/>
        <v>267143</v>
      </c>
      <c r="AG1952" s="275">
        <f t="shared" si="248"/>
        <v>251273</v>
      </c>
    </row>
    <row r="1953" spans="1:33" ht="12" customHeight="1">
      <c r="A1953" s="646" t="s">
        <v>1281</v>
      </c>
      <c r="B1953" s="646" t="s">
        <v>1787</v>
      </c>
      <c r="C1953" s="305" t="s">
        <v>1770</v>
      </c>
      <c r="D1953" s="648">
        <v>198260</v>
      </c>
      <c r="E1953" s="660">
        <v>8</v>
      </c>
      <c r="F1953" s="573"/>
      <c r="G1953" s="487"/>
      <c r="H1953" s="573">
        <v>1565206</v>
      </c>
      <c r="I1953" s="487">
        <v>1862141</v>
      </c>
      <c r="J1953" s="573"/>
      <c r="K1953" s="487"/>
      <c r="L1953" s="573">
        <v>705505</v>
      </c>
      <c r="M1953" s="573"/>
      <c r="N1953" s="456">
        <f t="shared" si="249"/>
        <v>705505</v>
      </c>
      <c r="O1953" s="487">
        <v>253920</v>
      </c>
      <c r="P1953" s="487"/>
      <c r="Q1953" s="274">
        <f t="shared" si="244"/>
        <v>253920</v>
      </c>
      <c r="R1953" s="574">
        <f t="shared" si="245"/>
        <v>2270711</v>
      </c>
      <c r="S1953" s="275">
        <f t="shared" si="246"/>
        <v>2116061</v>
      </c>
      <c r="T1953" s="575"/>
      <c r="U1953" s="487"/>
      <c r="V1953" s="576"/>
      <c r="W1953" s="573"/>
      <c r="X1953" s="574">
        <f t="shared" si="250"/>
        <v>0</v>
      </c>
      <c r="Y1953" s="487"/>
      <c r="Z1953" s="487"/>
      <c r="AA1953" s="276">
        <f t="shared" si="251"/>
        <v>0</v>
      </c>
      <c r="AB1953" s="573"/>
      <c r="AC1953" s="487"/>
      <c r="AD1953" s="573"/>
      <c r="AE1953" s="487"/>
      <c r="AF1953" s="577">
        <f t="shared" si="247"/>
        <v>2270711</v>
      </c>
      <c r="AG1953" s="275">
        <f t="shared" si="248"/>
        <v>2116061</v>
      </c>
    </row>
    <row r="1954" spans="1:33" ht="12" customHeight="1">
      <c r="A1954" s="646" t="s">
        <v>1281</v>
      </c>
      <c r="B1954" s="646" t="s">
        <v>1776</v>
      </c>
      <c r="C1954" s="743" t="s">
        <v>513</v>
      </c>
      <c r="D1954" s="648">
        <v>198534</v>
      </c>
      <c r="E1954" s="660">
        <v>8</v>
      </c>
      <c r="F1954" s="573">
        <v>36876415</v>
      </c>
      <c r="G1954" s="487">
        <v>35432036</v>
      </c>
      <c r="H1954" s="573"/>
      <c r="I1954" s="487"/>
      <c r="J1954" s="573">
        <v>9125151</v>
      </c>
      <c r="K1954" s="487">
        <v>9521293</v>
      </c>
      <c r="L1954" s="573">
        <v>7898108</v>
      </c>
      <c r="M1954" s="573"/>
      <c r="N1954" s="456">
        <f t="shared" si="249"/>
        <v>7898108</v>
      </c>
      <c r="O1954" s="487">
        <v>9441975</v>
      </c>
      <c r="P1954" s="487"/>
      <c r="Q1954" s="274">
        <f t="shared" si="244"/>
        <v>9441975</v>
      </c>
      <c r="R1954" s="574">
        <f t="shared" si="245"/>
        <v>53899674</v>
      </c>
      <c r="S1954" s="275">
        <f t="shared" si="246"/>
        <v>54395304</v>
      </c>
      <c r="T1954" s="575"/>
      <c r="U1954" s="487"/>
      <c r="V1954" s="576"/>
      <c r="W1954" s="573"/>
      <c r="X1954" s="574">
        <f t="shared" si="250"/>
        <v>0</v>
      </c>
      <c r="Y1954" s="487"/>
      <c r="Z1954" s="487"/>
      <c r="AA1954" s="276">
        <f t="shared" si="251"/>
        <v>0</v>
      </c>
      <c r="AB1954" s="573"/>
      <c r="AC1954" s="487"/>
      <c r="AD1954" s="573"/>
      <c r="AE1954" s="487"/>
      <c r="AF1954" s="577">
        <f t="shared" si="247"/>
        <v>53899674</v>
      </c>
      <c r="AG1954" s="275">
        <f t="shared" si="248"/>
        <v>54395304</v>
      </c>
    </row>
    <row r="1955" spans="1:33" ht="12" customHeight="1">
      <c r="A1955" s="646" t="s">
        <v>1281</v>
      </c>
      <c r="B1955" s="646" t="s">
        <v>1776</v>
      </c>
      <c r="C1955" s="305" t="s">
        <v>508</v>
      </c>
      <c r="D1955" s="648">
        <v>198534</v>
      </c>
      <c r="E1955" s="660">
        <v>8</v>
      </c>
      <c r="F1955" s="573"/>
      <c r="G1955" s="487"/>
      <c r="H1955" s="573">
        <v>279929</v>
      </c>
      <c r="I1955" s="487">
        <v>402149</v>
      </c>
      <c r="J1955" s="573"/>
      <c r="K1955" s="487"/>
      <c r="L1955" s="573"/>
      <c r="M1955" s="573"/>
      <c r="N1955" s="456">
        <f t="shared" si="249"/>
        <v>0</v>
      </c>
      <c r="O1955" s="487"/>
      <c r="P1955" s="487"/>
      <c r="Q1955" s="274">
        <f t="shared" si="244"/>
        <v>0</v>
      </c>
      <c r="R1955" s="574">
        <f t="shared" si="245"/>
        <v>279929</v>
      </c>
      <c r="S1955" s="275">
        <f t="shared" si="246"/>
        <v>402149</v>
      </c>
      <c r="T1955" s="575"/>
      <c r="U1955" s="487"/>
      <c r="V1955" s="576"/>
      <c r="W1955" s="573"/>
      <c r="X1955" s="574">
        <f t="shared" si="250"/>
        <v>0</v>
      </c>
      <c r="Y1955" s="487"/>
      <c r="Z1955" s="487"/>
      <c r="AA1955" s="276">
        <f t="shared" si="251"/>
        <v>0</v>
      </c>
      <c r="AB1955" s="573"/>
      <c r="AC1955" s="487"/>
      <c r="AD1955" s="573"/>
      <c r="AE1955" s="487"/>
      <c r="AF1955" s="577">
        <f t="shared" si="247"/>
        <v>279929</v>
      </c>
      <c r="AG1955" s="275">
        <f t="shared" si="248"/>
        <v>402149</v>
      </c>
    </row>
    <row r="1956" spans="1:33" ht="12" customHeight="1">
      <c r="A1956" s="646" t="s">
        <v>1281</v>
      </c>
      <c r="B1956" s="646" t="s">
        <v>1778</v>
      </c>
      <c r="C1956" s="305" t="s">
        <v>1891</v>
      </c>
      <c r="D1956" s="648">
        <v>198534</v>
      </c>
      <c r="E1956" s="660">
        <v>8</v>
      </c>
      <c r="F1956" s="573"/>
      <c r="G1956" s="487"/>
      <c r="H1956" s="573">
        <v>230154</v>
      </c>
      <c r="I1956" s="487">
        <v>239234</v>
      </c>
      <c r="J1956" s="573"/>
      <c r="K1956" s="487"/>
      <c r="L1956" s="573"/>
      <c r="M1956" s="573"/>
      <c r="N1956" s="456">
        <f t="shared" si="249"/>
        <v>0</v>
      </c>
      <c r="O1956" s="487"/>
      <c r="P1956" s="487"/>
      <c r="Q1956" s="274">
        <f t="shared" si="244"/>
        <v>0</v>
      </c>
      <c r="R1956" s="574">
        <f t="shared" si="245"/>
        <v>230154</v>
      </c>
      <c r="S1956" s="275">
        <f t="shared" si="246"/>
        <v>239234</v>
      </c>
      <c r="T1956" s="575"/>
      <c r="U1956" s="487"/>
      <c r="V1956" s="576"/>
      <c r="W1956" s="573"/>
      <c r="X1956" s="574">
        <f t="shared" si="250"/>
        <v>0</v>
      </c>
      <c r="Y1956" s="487"/>
      <c r="Z1956" s="487"/>
      <c r="AA1956" s="276">
        <f t="shared" si="251"/>
        <v>0</v>
      </c>
      <c r="AB1956" s="573"/>
      <c r="AC1956" s="487"/>
      <c r="AD1956" s="573"/>
      <c r="AE1956" s="487"/>
      <c r="AF1956" s="577">
        <f t="shared" si="247"/>
        <v>230154</v>
      </c>
      <c r="AG1956" s="275">
        <f t="shared" si="248"/>
        <v>239234</v>
      </c>
    </row>
    <row r="1957" spans="1:33" ht="12" customHeight="1">
      <c r="A1957" s="646" t="s">
        <v>1281</v>
      </c>
      <c r="B1957" s="646" t="s">
        <v>1787</v>
      </c>
      <c r="C1957" s="305" t="s">
        <v>1770</v>
      </c>
      <c r="D1957" s="648">
        <v>198534</v>
      </c>
      <c r="E1957" s="660">
        <v>8</v>
      </c>
      <c r="F1957" s="573"/>
      <c r="G1957" s="487"/>
      <c r="H1957" s="573">
        <v>2955544</v>
      </c>
      <c r="I1957" s="487">
        <v>3193199</v>
      </c>
      <c r="J1957" s="573"/>
      <c r="K1957" s="487"/>
      <c r="L1957" s="573">
        <v>948233</v>
      </c>
      <c r="M1957" s="573"/>
      <c r="N1957" s="456">
        <f t="shared" si="249"/>
        <v>948233</v>
      </c>
      <c r="O1957" s="487">
        <v>516269</v>
      </c>
      <c r="P1957" s="487"/>
      <c r="Q1957" s="274">
        <f t="shared" si="244"/>
        <v>516269</v>
      </c>
      <c r="R1957" s="574">
        <f t="shared" si="245"/>
        <v>3903777</v>
      </c>
      <c r="S1957" s="275">
        <f t="shared" si="246"/>
        <v>3709468</v>
      </c>
      <c r="T1957" s="575"/>
      <c r="U1957" s="487"/>
      <c r="V1957" s="576"/>
      <c r="W1957" s="573"/>
      <c r="X1957" s="574">
        <f t="shared" si="250"/>
        <v>0</v>
      </c>
      <c r="Y1957" s="487"/>
      <c r="Z1957" s="487"/>
      <c r="AA1957" s="276">
        <f t="shared" si="251"/>
        <v>0</v>
      </c>
      <c r="AB1957" s="573"/>
      <c r="AC1957" s="487"/>
      <c r="AD1957" s="573"/>
      <c r="AE1957" s="487"/>
      <c r="AF1957" s="577">
        <f t="shared" si="247"/>
        <v>3903777</v>
      </c>
      <c r="AG1957" s="275">
        <f t="shared" si="248"/>
        <v>3709468</v>
      </c>
    </row>
    <row r="1958" spans="1:33" ht="12" customHeight="1">
      <c r="A1958" s="646" t="s">
        <v>1281</v>
      </c>
      <c r="B1958" s="646" t="s">
        <v>1776</v>
      </c>
      <c r="C1958" s="743" t="s">
        <v>514</v>
      </c>
      <c r="D1958" s="648">
        <v>198552</v>
      </c>
      <c r="E1958" s="660">
        <v>8</v>
      </c>
      <c r="F1958" s="573">
        <v>22368887</v>
      </c>
      <c r="G1958" s="487">
        <v>23466647</v>
      </c>
      <c r="H1958" s="573"/>
      <c r="I1958" s="487"/>
      <c r="J1958" s="573">
        <v>6221037</v>
      </c>
      <c r="K1958" s="487">
        <v>8052738</v>
      </c>
      <c r="L1958" s="573">
        <v>5557630</v>
      </c>
      <c r="M1958" s="573"/>
      <c r="N1958" s="456">
        <f t="shared" si="249"/>
        <v>5557630</v>
      </c>
      <c r="O1958" s="487">
        <v>6523496</v>
      </c>
      <c r="P1958" s="487"/>
      <c r="Q1958" s="274">
        <f t="shared" si="244"/>
        <v>6523496</v>
      </c>
      <c r="R1958" s="574">
        <f t="shared" si="245"/>
        <v>34147554</v>
      </c>
      <c r="S1958" s="275">
        <f t="shared" si="246"/>
        <v>38042881</v>
      </c>
      <c r="T1958" s="575"/>
      <c r="U1958" s="487"/>
      <c r="V1958" s="576"/>
      <c r="W1958" s="573"/>
      <c r="X1958" s="574">
        <f t="shared" si="250"/>
        <v>0</v>
      </c>
      <c r="Y1958" s="487"/>
      <c r="Z1958" s="487"/>
      <c r="AA1958" s="276">
        <f t="shared" si="251"/>
        <v>0</v>
      </c>
      <c r="AB1958" s="573"/>
      <c r="AC1958" s="487"/>
      <c r="AD1958" s="573"/>
      <c r="AE1958" s="487"/>
      <c r="AF1958" s="577">
        <f t="shared" si="247"/>
        <v>34147554</v>
      </c>
      <c r="AG1958" s="275">
        <f t="shared" si="248"/>
        <v>38042881</v>
      </c>
    </row>
    <row r="1959" spans="1:33" ht="12" customHeight="1">
      <c r="A1959" s="646" t="s">
        <v>1281</v>
      </c>
      <c r="B1959" s="646" t="s">
        <v>1776</v>
      </c>
      <c r="C1959" s="305" t="s">
        <v>508</v>
      </c>
      <c r="D1959" s="648">
        <v>198552</v>
      </c>
      <c r="E1959" s="660">
        <v>8</v>
      </c>
      <c r="F1959" s="573"/>
      <c r="G1959" s="487"/>
      <c r="H1959" s="573">
        <v>344163</v>
      </c>
      <c r="I1959" s="487">
        <v>545229</v>
      </c>
      <c r="J1959" s="573"/>
      <c r="K1959" s="487"/>
      <c r="L1959" s="573"/>
      <c r="M1959" s="573"/>
      <c r="N1959" s="456">
        <f t="shared" si="249"/>
        <v>0</v>
      </c>
      <c r="O1959" s="487"/>
      <c r="P1959" s="487"/>
      <c r="Q1959" s="274">
        <f t="shared" si="244"/>
        <v>0</v>
      </c>
      <c r="R1959" s="574">
        <f t="shared" si="245"/>
        <v>344163</v>
      </c>
      <c r="S1959" s="275">
        <f t="shared" si="246"/>
        <v>545229</v>
      </c>
      <c r="T1959" s="575"/>
      <c r="U1959" s="487"/>
      <c r="V1959" s="576"/>
      <c r="W1959" s="573"/>
      <c r="X1959" s="574">
        <f t="shared" si="250"/>
        <v>0</v>
      </c>
      <c r="Y1959" s="487"/>
      <c r="Z1959" s="487"/>
      <c r="AA1959" s="276">
        <f t="shared" si="251"/>
        <v>0</v>
      </c>
      <c r="AB1959" s="573"/>
      <c r="AC1959" s="487"/>
      <c r="AD1959" s="573"/>
      <c r="AE1959" s="487"/>
      <c r="AF1959" s="577">
        <f t="shared" si="247"/>
        <v>344163</v>
      </c>
      <c r="AG1959" s="275">
        <f t="shared" si="248"/>
        <v>545229</v>
      </c>
    </row>
    <row r="1960" spans="1:33" ht="12" customHeight="1">
      <c r="A1960" s="646" t="s">
        <v>1281</v>
      </c>
      <c r="B1960" s="646" t="s">
        <v>1778</v>
      </c>
      <c r="C1960" s="305" t="s">
        <v>1891</v>
      </c>
      <c r="D1960" s="648">
        <v>198552</v>
      </c>
      <c r="E1960" s="660">
        <v>8</v>
      </c>
      <c r="F1960" s="573"/>
      <c r="G1960" s="487"/>
      <c r="H1960" s="573">
        <v>252097</v>
      </c>
      <c r="I1960" s="487">
        <v>249675</v>
      </c>
      <c r="J1960" s="573"/>
      <c r="K1960" s="487"/>
      <c r="L1960" s="573"/>
      <c r="M1960" s="573"/>
      <c r="N1960" s="456">
        <f t="shared" si="249"/>
        <v>0</v>
      </c>
      <c r="O1960" s="487"/>
      <c r="P1960" s="487"/>
      <c r="Q1960" s="274">
        <f t="shared" si="244"/>
        <v>0</v>
      </c>
      <c r="R1960" s="574">
        <f t="shared" si="245"/>
        <v>252097</v>
      </c>
      <c r="S1960" s="275">
        <f t="shared" si="246"/>
        <v>249675</v>
      </c>
      <c r="T1960" s="575"/>
      <c r="U1960" s="487"/>
      <c r="V1960" s="576"/>
      <c r="W1960" s="573"/>
      <c r="X1960" s="574">
        <f t="shared" si="250"/>
        <v>0</v>
      </c>
      <c r="Y1960" s="487"/>
      <c r="Z1960" s="487"/>
      <c r="AA1960" s="276">
        <f t="shared" si="251"/>
        <v>0</v>
      </c>
      <c r="AB1960" s="573"/>
      <c r="AC1960" s="487"/>
      <c r="AD1960" s="573"/>
      <c r="AE1960" s="487"/>
      <c r="AF1960" s="577">
        <f t="shared" si="247"/>
        <v>252097</v>
      </c>
      <c r="AG1960" s="275">
        <f t="shared" si="248"/>
        <v>249675</v>
      </c>
    </row>
    <row r="1961" spans="1:33" ht="12" customHeight="1">
      <c r="A1961" s="646" t="s">
        <v>1281</v>
      </c>
      <c r="B1961" s="646" t="s">
        <v>1787</v>
      </c>
      <c r="C1961" s="305" t="s">
        <v>1770</v>
      </c>
      <c r="D1961" s="648">
        <v>198552</v>
      </c>
      <c r="E1961" s="660">
        <v>8</v>
      </c>
      <c r="F1961" s="573"/>
      <c r="G1961" s="487"/>
      <c r="H1961" s="573">
        <v>1295578</v>
      </c>
      <c r="I1961" s="487">
        <v>1545898</v>
      </c>
      <c r="J1961" s="573"/>
      <c r="K1961" s="487"/>
      <c r="L1961" s="573">
        <v>676424</v>
      </c>
      <c r="M1961" s="573"/>
      <c r="N1961" s="456">
        <f t="shared" si="249"/>
        <v>676424</v>
      </c>
      <c r="O1961" s="487">
        <v>515508</v>
      </c>
      <c r="P1961" s="487"/>
      <c r="Q1961" s="274">
        <f t="shared" si="244"/>
        <v>515508</v>
      </c>
      <c r="R1961" s="574">
        <f t="shared" si="245"/>
        <v>1972002</v>
      </c>
      <c r="S1961" s="275">
        <f t="shared" si="246"/>
        <v>2061406</v>
      </c>
      <c r="T1961" s="575"/>
      <c r="U1961" s="487"/>
      <c r="V1961" s="576"/>
      <c r="W1961" s="573"/>
      <c r="X1961" s="574">
        <f t="shared" si="250"/>
        <v>0</v>
      </c>
      <c r="Y1961" s="487"/>
      <c r="Z1961" s="487"/>
      <c r="AA1961" s="276">
        <f t="shared" si="251"/>
        <v>0</v>
      </c>
      <c r="AB1961" s="573"/>
      <c r="AC1961" s="487"/>
      <c r="AD1961" s="573"/>
      <c r="AE1961" s="487"/>
      <c r="AF1961" s="577">
        <f t="shared" si="247"/>
        <v>1972002</v>
      </c>
      <c r="AG1961" s="275">
        <f t="shared" si="248"/>
        <v>2061406</v>
      </c>
    </row>
    <row r="1962" spans="1:33" ht="12" customHeight="1">
      <c r="A1962" s="646" t="s">
        <v>1281</v>
      </c>
      <c r="B1962" s="646" t="s">
        <v>1776</v>
      </c>
      <c r="C1962" s="743" t="s">
        <v>515</v>
      </c>
      <c r="D1962" s="648">
        <v>198622</v>
      </c>
      <c r="E1962" s="660">
        <v>8</v>
      </c>
      <c r="F1962" s="573">
        <v>33077984</v>
      </c>
      <c r="G1962" s="487">
        <v>35232788</v>
      </c>
      <c r="H1962" s="573"/>
      <c r="I1962" s="487"/>
      <c r="J1962" s="573">
        <v>10748028</v>
      </c>
      <c r="K1962" s="487">
        <v>11752690</v>
      </c>
      <c r="L1962" s="573">
        <v>7970836</v>
      </c>
      <c r="M1962" s="573"/>
      <c r="N1962" s="456">
        <f t="shared" si="249"/>
        <v>7970836</v>
      </c>
      <c r="O1962" s="487">
        <v>9816032</v>
      </c>
      <c r="P1962" s="487"/>
      <c r="Q1962" s="274">
        <f t="shared" si="244"/>
        <v>9816032</v>
      </c>
      <c r="R1962" s="574">
        <f t="shared" si="245"/>
        <v>51796848</v>
      </c>
      <c r="S1962" s="275">
        <f t="shared" si="246"/>
        <v>56801510</v>
      </c>
      <c r="T1962" s="575"/>
      <c r="U1962" s="487"/>
      <c r="V1962" s="576"/>
      <c r="W1962" s="573"/>
      <c r="X1962" s="574">
        <f t="shared" si="250"/>
        <v>0</v>
      </c>
      <c r="Y1962" s="487"/>
      <c r="Z1962" s="487"/>
      <c r="AA1962" s="276">
        <f t="shared" si="251"/>
        <v>0</v>
      </c>
      <c r="AB1962" s="573"/>
      <c r="AC1962" s="487"/>
      <c r="AD1962" s="573"/>
      <c r="AE1962" s="487"/>
      <c r="AF1962" s="577">
        <f t="shared" si="247"/>
        <v>51796848</v>
      </c>
      <c r="AG1962" s="275">
        <f t="shared" si="248"/>
        <v>56801510</v>
      </c>
    </row>
    <row r="1963" spans="1:33" ht="12" customHeight="1">
      <c r="A1963" s="646" t="s">
        <v>1281</v>
      </c>
      <c r="B1963" s="646" t="s">
        <v>1776</v>
      </c>
      <c r="C1963" s="305" t="s">
        <v>508</v>
      </c>
      <c r="D1963" s="648">
        <v>198622</v>
      </c>
      <c r="E1963" s="660">
        <v>8</v>
      </c>
      <c r="F1963" s="573"/>
      <c r="G1963" s="487"/>
      <c r="H1963" s="573">
        <v>278318</v>
      </c>
      <c r="I1963" s="487">
        <v>461445</v>
      </c>
      <c r="J1963" s="573"/>
      <c r="K1963" s="487"/>
      <c r="L1963" s="573"/>
      <c r="M1963" s="573"/>
      <c r="N1963" s="456">
        <f t="shared" si="249"/>
        <v>0</v>
      </c>
      <c r="O1963" s="487"/>
      <c r="P1963" s="487"/>
      <c r="Q1963" s="274">
        <f t="shared" si="244"/>
        <v>0</v>
      </c>
      <c r="R1963" s="574">
        <f t="shared" si="245"/>
        <v>278318</v>
      </c>
      <c r="S1963" s="275">
        <f t="shared" si="246"/>
        <v>461445</v>
      </c>
      <c r="T1963" s="575"/>
      <c r="U1963" s="487"/>
      <c r="V1963" s="576"/>
      <c r="W1963" s="573"/>
      <c r="X1963" s="574">
        <f t="shared" si="250"/>
        <v>0</v>
      </c>
      <c r="Y1963" s="487"/>
      <c r="Z1963" s="487"/>
      <c r="AA1963" s="276">
        <f t="shared" si="251"/>
        <v>0</v>
      </c>
      <c r="AB1963" s="573"/>
      <c r="AC1963" s="487"/>
      <c r="AD1963" s="573"/>
      <c r="AE1963" s="487"/>
      <c r="AF1963" s="577">
        <f t="shared" si="247"/>
        <v>278318</v>
      </c>
      <c r="AG1963" s="275">
        <f t="shared" si="248"/>
        <v>461445</v>
      </c>
    </row>
    <row r="1964" spans="1:33" ht="12" customHeight="1">
      <c r="A1964" s="646" t="s">
        <v>1281</v>
      </c>
      <c r="B1964" s="646" t="s">
        <v>1778</v>
      </c>
      <c r="C1964" s="305" t="s">
        <v>1891</v>
      </c>
      <c r="D1964" s="648">
        <v>198622</v>
      </c>
      <c r="E1964" s="660">
        <v>8</v>
      </c>
      <c r="F1964" s="573"/>
      <c r="G1964" s="487"/>
      <c r="H1964" s="573">
        <v>272015</v>
      </c>
      <c r="I1964" s="487">
        <v>265001</v>
      </c>
      <c r="J1964" s="573"/>
      <c r="K1964" s="487"/>
      <c r="L1964" s="573"/>
      <c r="M1964" s="573"/>
      <c r="N1964" s="456">
        <f t="shared" si="249"/>
        <v>0</v>
      </c>
      <c r="O1964" s="487"/>
      <c r="P1964" s="487"/>
      <c r="Q1964" s="274">
        <f t="shared" si="244"/>
        <v>0</v>
      </c>
      <c r="R1964" s="574">
        <f t="shared" si="245"/>
        <v>272015</v>
      </c>
      <c r="S1964" s="275">
        <f t="shared" si="246"/>
        <v>265001</v>
      </c>
      <c r="T1964" s="575"/>
      <c r="U1964" s="487"/>
      <c r="V1964" s="576"/>
      <c r="W1964" s="573"/>
      <c r="X1964" s="574">
        <f t="shared" si="250"/>
        <v>0</v>
      </c>
      <c r="Y1964" s="487"/>
      <c r="Z1964" s="487"/>
      <c r="AA1964" s="276">
        <f t="shared" si="251"/>
        <v>0</v>
      </c>
      <c r="AB1964" s="573"/>
      <c r="AC1964" s="487"/>
      <c r="AD1964" s="573"/>
      <c r="AE1964" s="487"/>
      <c r="AF1964" s="577">
        <f t="shared" si="247"/>
        <v>272015</v>
      </c>
      <c r="AG1964" s="275">
        <f t="shared" si="248"/>
        <v>265001</v>
      </c>
    </row>
    <row r="1965" spans="1:33" ht="12" customHeight="1">
      <c r="A1965" s="646" t="s">
        <v>1281</v>
      </c>
      <c r="B1965" s="646" t="s">
        <v>1787</v>
      </c>
      <c r="C1965" s="305" t="s">
        <v>1770</v>
      </c>
      <c r="D1965" s="648">
        <v>198622</v>
      </c>
      <c r="E1965" s="660">
        <v>8</v>
      </c>
      <c r="F1965" s="573"/>
      <c r="G1965" s="487"/>
      <c r="H1965" s="573">
        <v>1282171</v>
      </c>
      <c r="I1965" s="487">
        <v>1809979</v>
      </c>
      <c r="J1965" s="573"/>
      <c r="K1965" s="487"/>
      <c r="L1965" s="573">
        <v>710741</v>
      </c>
      <c r="M1965" s="573"/>
      <c r="N1965" s="456">
        <f t="shared" si="249"/>
        <v>710741</v>
      </c>
      <c r="O1965" s="487">
        <v>337028</v>
      </c>
      <c r="P1965" s="487"/>
      <c r="Q1965" s="274">
        <f t="shared" si="244"/>
        <v>337028</v>
      </c>
      <c r="R1965" s="574">
        <f t="shared" si="245"/>
        <v>1992912</v>
      </c>
      <c r="S1965" s="275">
        <f t="shared" si="246"/>
        <v>2147007</v>
      </c>
      <c r="T1965" s="575"/>
      <c r="U1965" s="487"/>
      <c r="V1965" s="576"/>
      <c r="W1965" s="573"/>
      <c r="X1965" s="574">
        <f t="shared" si="250"/>
        <v>0</v>
      </c>
      <c r="Y1965" s="487"/>
      <c r="Z1965" s="487"/>
      <c r="AA1965" s="276">
        <f t="shared" si="251"/>
        <v>0</v>
      </c>
      <c r="AB1965" s="573"/>
      <c r="AC1965" s="487"/>
      <c r="AD1965" s="573"/>
      <c r="AE1965" s="487"/>
      <c r="AF1965" s="577">
        <f t="shared" si="247"/>
        <v>1992912</v>
      </c>
      <c r="AG1965" s="275">
        <f t="shared" si="248"/>
        <v>2147007</v>
      </c>
    </row>
    <row r="1966" spans="1:33" ht="12" customHeight="1">
      <c r="A1966" s="646" t="s">
        <v>1281</v>
      </c>
      <c r="B1966" s="646" t="s">
        <v>1776</v>
      </c>
      <c r="C1966" s="743" t="s">
        <v>516</v>
      </c>
      <c r="D1966" s="659">
        <v>199333</v>
      </c>
      <c r="E1966" s="660">
        <v>8</v>
      </c>
      <c r="F1966" s="573">
        <v>20308043</v>
      </c>
      <c r="G1966" s="487">
        <v>20984881</v>
      </c>
      <c r="H1966" s="573"/>
      <c r="I1966" s="487"/>
      <c r="J1966" s="573">
        <v>3704400</v>
      </c>
      <c r="K1966" s="487">
        <v>3968689</v>
      </c>
      <c r="L1966" s="573">
        <v>5669315</v>
      </c>
      <c r="M1966" s="573"/>
      <c r="N1966" s="456">
        <f t="shared" si="249"/>
        <v>5669315</v>
      </c>
      <c r="O1966" s="487">
        <v>6444324</v>
      </c>
      <c r="P1966" s="487"/>
      <c r="Q1966" s="274">
        <f t="shared" si="244"/>
        <v>6444324</v>
      </c>
      <c r="R1966" s="574">
        <f t="shared" si="245"/>
        <v>29681758</v>
      </c>
      <c r="S1966" s="275">
        <f t="shared" si="246"/>
        <v>31397894</v>
      </c>
      <c r="T1966" s="575"/>
      <c r="U1966" s="487"/>
      <c r="V1966" s="576"/>
      <c r="W1966" s="573"/>
      <c r="X1966" s="574">
        <f t="shared" si="250"/>
        <v>0</v>
      </c>
      <c r="Y1966" s="487"/>
      <c r="Z1966" s="487"/>
      <c r="AA1966" s="276">
        <f t="shared" si="251"/>
        <v>0</v>
      </c>
      <c r="AB1966" s="573"/>
      <c r="AC1966" s="487"/>
      <c r="AD1966" s="573"/>
      <c r="AE1966" s="487"/>
      <c r="AF1966" s="577">
        <f t="shared" si="247"/>
        <v>29681758</v>
      </c>
      <c r="AG1966" s="275">
        <f t="shared" si="248"/>
        <v>31397894</v>
      </c>
    </row>
    <row r="1967" spans="1:33" ht="12" customHeight="1">
      <c r="A1967" s="646" t="s">
        <v>1281</v>
      </c>
      <c r="B1967" s="646" t="s">
        <v>1776</v>
      </c>
      <c r="C1967" s="305" t="s">
        <v>508</v>
      </c>
      <c r="D1967" s="659">
        <v>199333</v>
      </c>
      <c r="E1967" s="660">
        <v>8</v>
      </c>
      <c r="F1967" s="573"/>
      <c r="G1967" s="487"/>
      <c r="H1967" s="573">
        <v>266918</v>
      </c>
      <c r="I1967" s="487">
        <v>421815</v>
      </c>
      <c r="J1967" s="573"/>
      <c r="K1967" s="487"/>
      <c r="L1967" s="573"/>
      <c r="M1967" s="573"/>
      <c r="N1967" s="456">
        <f t="shared" si="249"/>
        <v>0</v>
      </c>
      <c r="O1967" s="487"/>
      <c r="P1967" s="487"/>
      <c r="Q1967" s="274">
        <f t="shared" si="244"/>
        <v>0</v>
      </c>
      <c r="R1967" s="574">
        <f t="shared" si="245"/>
        <v>266918</v>
      </c>
      <c r="S1967" s="275">
        <f t="shared" si="246"/>
        <v>421815</v>
      </c>
      <c r="T1967" s="575"/>
      <c r="U1967" s="487"/>
      <c r="V1967" s="576"/>
      <c r="W1967" s="573"/>
      <c r="X1967" s="574">
        <f t="shared" si="250"/>
        <v>0</v>
      </c>
      <c r="Y1967" s="487"/>
      <c r="Z1967" s="487"/>
      <c r="AA1967" s="276">
        <f t="shared" si="251"/>
        <v>0</v>
      </c>
      <c r="AB1967" s="573"/>
      <c r="AC1967" s="487"/>
      <c r="AD1967" s="573"/>
      <c r="AE1967" s="487"/>
      <c r="AF1967" s="577">
        <f t="shared" si="247"/>
        <v>266918</v>
      </c>
      <c r="AG1967" s="275">
        <f t="shared" si="248"/>
        <v>421815</v>
      </c>
    </row>
    <row r="1968" spans="1:33" ht="12" customHeight="1">
      <c r="A1968" s="646" t="s">
        <v>1281</v>
      </c>
      <c r="B1968" s="646" t="s">
        <v>1778</v>
      </c>
      <c r="C1968" s="305" t="s">
        <v>1891</v>
      </c>
      <c r="D1968" s="659">
        <v>199333</v>
      </c>
      <c r="E1968" s="660">
        <v>8</v>
      </c>
      <c r="F1968" s="573"/>
      <c r="G1968" s="487"/>
      <c r="H1968" s="573">
        <v>181378</v>
      </c>
      <c r="I1968" s="487">
        <v>196178</v>
      </c>
      <c r="J1968" s="573"/>
      <c r="K1968" s="487"/>
      <c r="L1968" s="573"/>
      <c r="M1968" s="573"/>
      <c r="N1968" s="456">
        <f t="shared" si="249"/>
        <v>0</v>
      </c>
      <c r="O1968" s="487"/>
      <c r="P1968" s="487"/>
      <c r="Q1968" s="274">
        <f t="shared" si="244"/>
        <v>0</v>
      </c>
      <c r="R1968" s="574">
        <f t="shared" si="245"/>
        <v>181378</v>
      </c>
      <c r="S1968" s="275">
        <f t="shared" si="246"/>
        <v>196178</v>
      </c>
      <c r="T1968" s="575"/>
      <c r="U1968" s="487"/>
      <c r="V1968" s="576"/>
      <c r="W1968" s="573"/>
      <c r="X1968" s="574">
        <f t="shared" si="250"/>
        <v>0</v>
      </c>
      <c r="Y1968" s="487"/>
      <c r="Z1968" s="487"/>
      <c r="AA1968" s="276">
        <f t="shared" si="251"/>
        <v>0</v>
      </c>
      <c r="AB1968" s="573"/>
      <c r="AC1968" s="487"/>
      <c r="AD1968" s="573"/>
      <c r="AE1968" s="487"/>
      <c r="AF1968" s="577">
        <f t="shared" si="247"/>
        <v>181378</v>
      </c>
      <c r="AG1968" s="275">
        <f t="shared" si="248"/>
        <v>196178</v>
      </c>
    </row>
    <row r="1969" spans="1:33" ht="12" customHeight="1">
      <c r="A1969" s="646" t="s">
        <v>1281</v>
      </c>
      <c r="B1969" s="646" t="s">
        <v>1787</v>
      </c>
      <c r="C1969" s="305" t="s">
        <v>1770</v>
      </c>
      <c r="D1969" s="659">
        <v>199333</v>
      </c>
      <c r="E1969" s="660">
        <v>8</v>
      </c>
      <c r="F1969" s="573"/>
      <c r="G1969" s="487"/>
      <c r="H1969" s="573">
        <v>838209</v>
      </c>
      <c r="I1969" s="487">
        <v>907509</v>
      </c>
      <c r="J1969" s="573"/>
      <c r="K1969" s="487"/>
      <c r="L1969" s="573">
        <v>164738</v>
      </c>
      <c r="M1969" s="573"/>
      <c r="N1969" s="456">
        <f t="shared" si="249"/>
        <v>164738</v>
      </c>
      <c r="O1969" s="487">
        <v>187728</v>
      </c>
      <c r="P1969" s="487"/>
      <c r="Q1969" s="274">
        <f t="shared" si="244"/>
        <v>187728</v>
      </c>
      <c r="R1969" s="574">
        <f t="shared" si="245"/>
        <v>1002947</v>
      </c>
      <c r="S1969" s="275">
        <f t="shared" si="246"/>
        <v>1095237</v>
      </c>
      <c r="T1969" s="575"/>
      <c r="U1969" s="487"/>
      <c r="V1969" s="576"/>
      <c r="W1969" s="573"/>
      <c r="X1969" s="574">
        <f t="shared" si="250"/>
        <v>0</v>
      </c>
      <c r="Y1969" s="487"/>
      <c r="Z1969" s="487"/>
      <c r="AA1969" s="276">
        <f t="shared" si="251"/>
        <v>0</v>
      </c>
      <c r="AB1969" s="573"/>
      <c r="AC1969" s="487"/>
      <c r="AD1969" s="573"/>
      <c r="AE1969" s="487"/>
      <c r="AF1969" s="577">
        <f t="shared" si="247"/>
        <v>1002947</v>
      </c>
      <c r="AG1969" s="275">
        <f t="shared" si="248"/>
        <v>1095237</v>
      </c>
    </row>
    <row r="1970" spans="1:33" ht="12" customHeight="1">
      <c r="A1970" s="646" t="s">
        <v>1281</v>
      </c>
      <c r="B1970" s="646" t="s">
        <v>1776</v>
      </c>
      <c r="C1970" s="743" t="s">
        <v>517</v>
      </c>
      <c r="D1970" s="648">
        <v>199856</v>
      </c>
      <c r="E1970" s="660">
        <v>8</v>
      </c>
      <c r="F1970" s="573">
        <v>37182732</v>
      </c>
      <c r="G1970" s="487">
        <v>39820707</v>
      </c>
      <c r="H1970" s="573"/>
      <c r="I1970" s="487"/>
      <c r="J1970" s="573">
        <v>16738165</v>
      </c>
      <c r="K1970" s="487">
        <v>18525000</v>
      </c>
      <c r="L1970" s="573">
        <v>9897310</v>
      </c>
      <c r="M1970" s="573"/>
      <c r="N1970" s="456">
        <f t="shared" si="249"/>
        <v>9897310</v>
      </c>
      <c r="O1970" s="487">
        <v>13738654</v>
      </c>
      <c r="P1970" s="487"/>
      <c r="Q1970" s="274">
        <f t="shared" si="244"/>
        <v>13738654</v>
      </c>
      <c r="R1970" s="574">
        <f t="shared" si="245"/>
        <v>63818207</v>
      </c>
      <c r="S1970" s="275">
        <f t="shared" si="246"/>
        <v>72084361</v>
      </c>
      <c r="T1970" s="575"/>
      <c r="U1970" s="487"/>
      <c r="V1970" s="576"/>
      <c r="W1970" s="573"/>
      <c r="X1970" s="574">
        <f t="shared" si="250"/>
        <v>0</v>
      </c>
      <c r="Y1970" s="487"/>
      <c r="Z1970" s="487"/>
      <c r="AA1970" s="276">
        <f t="shared" si="251"/>
        <v>0</v>
      </c>
      <c r="AB1970" s="573"/>
      <c r="AC1970" s="487"/>
      <c r="AD1970" s="573"/>
      <c r="AE1970" s="487"/>
      <c r="AF1970" s="577">
        <f t="shared" si="247"/>
        <v>63818207</v>
      </c>
      <c r="AG1970" s="275">
        <f t="shared" si="248"/>
        <v>72084361</v>
      </c>
    </row>
    <row r="1971" spans="1:33" ht="12" customHeight="1">
      <c r="A1971" s="646" t="s">
        <v>1281</v>
      </c>
      <c r="B1971" s="646" t="s">
        <v>1776</v>
      </c>
      <c r="C1971" s="305" t="s">
        <v>508</v>
      </c>
      <c r="D1971" s="648">
        <v>199856</v>
      </c>
      <c r="E1971" s="660">
        <v>8</v>
      </c>
      <c r="F1971" s="573"/>
      <c r="G1971" s="487"/>
      <c r="H1971" s="573">
        <v>306464</v>
      </c>
      <c r="I1971" s="487">
        <v>528191</v>
      </c>
      <c r="J1971" s="573"/>
      <c r="K1971" s="487"/>
      <c r="L1971" s="573"/>
      <c r="M1971" s="573"/>
      <c r="N1971" s="456">
        <f t="shared" si="249"/>
        <v>0</v>
      </c>
      <c r="O1971" s="487"/>
      <c r="P1971" s="487"/>
      <c r="Q1971" s="274">
        <f t="shared" si="244"/>
        <v>0</v>
      </c>
      <c r="R1971" s="574">
        <f t="shared" si="245"/>
        <v>306464</v>
      </c>
      <c r="S1971" s="275">
        <f t="shared" si="246"/>
        <v>528191</v>
      </c>
      <c r="T1971" s="575"/>
      <c r="U1971" s="487"/>
      <c r="V1971" s="576"/>
      <c r="W1971" s="573"/>
      <c r="X1971" s="574">
        <f t="shared" si="250"/>
        <v>0</v>
      </c>
      <c r="Y1971" s="487"/>
      <c r="Z1971" s="487"/>
      <c r="AA1971" s="276">
        <f t="shared" si="251"/>
        <v>0</v>
      </c>
      <c r="AB1971" s="573"/>
      <c r="AC1971" s="487"/>
      <c r="AD1971" s="573"/>
      <c r="AE1971" s="487"/>
      <c r="AF1971" s="577">
        <f t="shared" si="247"/>
        <v>306464</v>
      </c>
      <c r="AG1971" s="275">
        <f t="shared" si="248"/>
        <v>528191</v>
      </c>
    </row>
    <row r="1972" spans="1:33" ht="12" customHeight="1">
      <c r="A1972" s="646" t="s">
        <v>1281</v>
      </c>
      <c r="B1972" s="646" t="s">
        <v>1778</v>
      </c>
      <c r="C1972" s="305" t="s">
        <v>1891</v>
      </c>
      <c r="D1972" s="648">
        <v>199856</v>
      </c>
      <c r="E1972" s="660">
        <v>8</v>
      </c>
      <c r="F1972" s="573"/>
      <c r="G1972" s="487"/>
      <c r="H1972" s="573">
        <v>238736</v>
      </c>
      <c r="I1972" s="487">
        <v>236023</v>
      </c>
      <c r="J1972" s="573"/>
      <c r="K1972" s="487"/>
      <c r="L1972" s="573"/>
      <c r="M1972" s="573"/>
      <c r="N1972" s="456">
        <f t="shared" si="249"/>
        <v>0</v>
      </c>
      <c r="O1972" s="487"/>
      <c r="P1972" s="487"/>
      <c r="Q1972" s="274">
        <f t="shared" si="244"/>
        <v>0</v>
      </c>
      <c r="R1972" s="574">
        <f t="shared" si="245"/>
        <v>238736</v>
      </c>
      <c r="S1972" s="275">
        <f t="shared" si="246"/>
        <v>236023</v>
      </c>
      <c r="T1972" s="575"/>
      <c r="U1972" s="487"/>
      <c r="V1972" s="576"/>
      <c r="W1972" s="573"/>
      <c r="X1972" s="574">
        <f t="shared" si="250"/>
        <v>0</v>
      </c>
      <c r="Y1972" s="487"/>
      <c r="Z1972" s="487"/>
      <c r="AA1972" s="276">
        <f t="shared" si="251"/>
        <v>0</v>
      </c>
      <c r="AB1972" s="573"/>
      <c r="AC1972" s="487"/>
      <c r="AD1972" s="573"/>
      <c r="AE1972" s="487"/>
      <c r="AF1972" s="577">
        <f t="shared" si="247"/>
        <v>238736</v>
      </c>
      <c r="AG1972" s="275">
        <f t="shared" si="248"/>
        <v>236023</v>
      </c>
    </row>
    <row r="1973" spans="1:33" ht="12" customHeight="1">
      <c r="A1973" s="646" t="s">
        <v>1281</v>
      </c>
      <c r="B1973" s="646" t="s">
        <v>1787</v>
      </c>
      <c r="C1973" s="305" t="s">
        <v>1770</v>
      </c>
      <c r="D1973" s="648">
        <v>199856</v>
      </c>
      <c r="E1973" s="660">
        <v>8</v>
      </c>
      <c r="F1973" s="573"/>
      <c r="G1973" s="487"/>
      <c r="H1973" s="573">
        <v>2726535</v>
      </c>
      <c r="I1973" s="487">
        <v>2910560</v>
      </c>
      <c r="J1973" s="573"/>
      <c r="K1973" s="487"/>
      <c r="L1973" s="573">
        <v>822516</v>
      </c>
      <c r="M1973" s="573"/>
      <c r="N1973" s="456">
        <f t="shared" si="249"/>
        <v>822516</v>
      </c>
      <c r="O1973" s="487">
        <v>775772</v>
      </c>
      <c r="P1973" s="487"/>
      <c r="Q1973" s="274">
        <f t="shared" si="244"/>
        <v>775772</v>
      </c>
      <c r="R1973" s="574">
        <f t="shared" si="245"/>
        <v>3549051</v>
      </c>
      <c r="S1973" s="275">
        <f t="shared" si="246"/>
        <v>3686332</v>
      </c>
      <c r="T1973" s="575"/>
      <c r="U1973" s="487"/>
      <c r="V1973" s="576"/>
      <c r="W1973" s="573"/>
      <c r="X1973" s="574">
        <f t="shared" si="250"/>
        <v>0</v>
      </c>
      <c r="Y1973" s="487"/>
      <c r="Z1973" s="487"/>
      <c r="AA1973" s="276">
        <f t="shared" si="251"/>
        <v>0</v>
      </c>
      <c r="AB1973" s="573"/>
      <c r="AC1973" s="487"/>
      <c r="AD1973" s="573"/>
      <c r="AE1973" s="487"/>
      <c r="AF1973" s="577">
        <f t="shared" si="247"/>
        <v>3549051</v>
      </c>
      <c r="AG1973" s="275">
        <f t="shared" si="248"/>
        <v>3686332</v>
      </c>
    </row>
    <row r="1974" spans="1:33" ht="12" customHeight="1">
      <c r="A1974" s="646" t="s">
        <v>1281</v>
      </c>
      <c r="B1974" s="646" t="s">
        <v>1776</v>
      </c>
      <c r="C1974" s="743" t="s">
        <v>518</v>
      </c>
      <c r="D1974" s="648">
        <v>198455</v>
      </c>
      <c r="E1974" s="660">
        <v>8</v>
      </c>
      <c r="F1974" s="573">
        <v>15861707</v>
      </c>
      <c r="G1974" s="487">
        <v>16103504</v>
      </c>
      <c r="H1974" s="573"/>
      <c r="I1974" s="487"/>
      <c r="J1974" s="573">
        <v>4044184</v>
      </c>
      <c r="K1974" s="487">
        <v>5386147</v>
      </c>
      <c r="L1974" s="573">
        <v>4264852</v>
      </c>
      <c r="M1974" s="573"/>
      <c r="N1974" s="456">
        <f t="shared" si="249"/>
        <v>4264852</v>
      </c>
      <c r="O1974" s="487">
        <v>3978496</v>
      </c>
      <c r="P1974" s="487"/>
      <c r="Q1974" s="274">
        <f t="shared" si="244"/>
        <v>3978496</v>
      </c>
      <c r="R1974" s="574">
        <f t="shared" si="245"/>
        <v>24170743</v>
      </c>
      <c r="S1974" s="275">
        <f t="shared" si="246"/>
        <v>25468147</v>
      </c>
      <c r="T1974" s="575"/>
      <c r="U1974" s="487"/>
      <c r="V1974" s="576"/>
      <c r="W1974" s="573"/>
      <c r="X1974" s="574">
        <f t="shared" si="250"/>
        <v>0</v>
      </c>
      <c r="Y1974" s="487"/>
      <c r="Z1974" s="487"/>
      <c r="AA1974" s="276">
        <f t="shared" si="251"/>
        <v>0</v>
      </c>
      <c r="AB1974" s="573"/>
      <c r="AC1974" s="487"/>
      <c r="AD1974" s="573"/>
      <c r="AE1974" s="487"/>
      <c r="AF1974" s="577">
        <f t="shared" si="247"/>
        <v>24170743</v>
      </c>
      <c r="AG1974" s="275">
        <f t="shared" si="248"/>
        <v>25468147</v>
      </c>
    </row>
    <row r="1975" spans="1:33" ht="12" customHeight="1">
      <c r="A1975" s="646" t="s">
        <v>1281</v>
      </c>
      <c r="B1975" s="646" t="s">
        <v>1776</v>
      </c>
      <c r="C1975" s="305" t="s">
        <v>508</v>
      </c>
      <c r="D1975" s="648">
        <v>198455</v>
      </c>
      <c r="E1975" s="660">
        <v>8</v>
      </c>
      <c r="F1975" s="573"/>
      <c r="G1975" s="487"/>
      <c r="H1975" s="573">
        <v>187122</v>
      </c>
      <c r="I1975" s="487">
        <v>306204</v>
      </c>
      <c r="J1975" s="573"/>
      <c r="K1975" s="487"/>
      <c r="L1975" s="573"/>
      <c r="M1975" s="573"/>
      <c r="N1975" s="456">
        <f t="shared" si="249"/>
        <v>0</v>
      </c>
      <c r="O1975" s="487"/>
      <c r="P1975" s="487"/>
      <c r="Q1975" s="274">
        <f t="shared" si="244"/>
        <v>0</v>
      </c>
      <c r="R1975" s="574">
        <f t="shared" si="245"/>
        <v>187122</v>
      </c>
      <c r="S1975" s="275">
        <f t="shared" si="246"/>
        <v>306204</v>
      </c>
      <c r="T1975" s="575"/>
      <c r="U1975" s="487"/>
      <c r="V1975" s="576"/>
      <c r="W1975" s="573"/>
      <c r="X1975" s="574">
        <f t="shared" si="250"/>
        <v>0</v>
      </c>
      <c r="Y1975" s="487"/>
      <c r="Z1975" s="487"/>
      <c r="AA1975" s="276">
        <f t="shared" si="251"/>
        <v>0</v>
      </c>
      <c r="AB1975" s="573"/>
      <c r="AC1975" s="487"/>
      <c r="AD1975" s="573"/>
      <c r="AE1975" s="487"/>
      <c r="AF1975" s="577">
        <f t="shared" si="247"/>
        <v>187122</v>
      </c>
      <c r="AG1975" s="275">
        <f t="shared" si="248"/>
        <v>306204</v>
      </c>
    </row>
    <row r="1976" spans="1:33" ht="12" customHeight="1">
      <c r="A1976" s="646" t="s">
        <v>1281</v>
      </c>
      <c r="B1976" s="646" t="s">
        <v>1778</v>
      </c>
      <c r="C1976" s="305" t="s">
        <v>1891</v>
      </c>
      <c r="D1976" s="648">
        <v>198455</v>
      </c>
      <c r="E1976" s="660">
        <v>8</v>
      </c>
      <c r="F1976" s="573"/>
      <c r="G1976" s="487"/>
      <c r="H1976" s="573">
        <v>203711</v>
      </c>
      <c r="I1976" s="487">
        <v>200605</v>
      </c>
      <c r="J1976" s="573"/>
      <c r="K1976" s="487"/>
      <c r="L1976" s="573"/>
      <c r="M1976" s="573"/>
      <c r="N1976" s="456">
        <f t="shared" si="249"/>
        <v>0</v>
      </c>
      <c r="O1976" s="487"/>
      <c r="P1976" s="487"/>
      <c r="Q1976" s="274">
        <f t="shared" si="244"/>
        <v>0</v>
      </c>
      <c r="R1976" s="574">
        <f t="shared" si="245"/>
        <v>203711</v>
      </c>
      <c r="S1976" s="275">
        <f t="shared" si="246"/>
        <v>200605</v>
      </c>
      <c r="T1976" s="575"/>
      <c r="U1976" s="487"/>
      <c r="V1976" s="576"/>
      <c r="W1976" s="573"/>
      <c r="X1976" s="574">
        <f t="shared" si="250"/>
        <v>0</v>
      </c>
      <c r="Y1976" s="487"/>
      <c r="Z1976" s="487"/>
      <c r="AA1976" s="276">
        <f t="shared" si="251"/>
        <v>0</v>
      </c>
      <c r="AB1976" s="573"/>
      <c r="AC1976" s="487"/>
      <c r="AD1976" s="573"/>
      <c r="AE1976" s="487"/>
      <c r="AF1976" s="577">
        <f t="shared" si="247"/>
        <v>203711</v>
      </c>
      <c r="AG1976" s="275">
        <f t="shared" si="248"/>
        <v>200605</v>
      </c>
    </row>
    <row r="1977" spans="1:33" ht="12" customHeight="1">
      <c r="A1977" s="646" t="s">
        <v>1281</v>
      </c>
      <c r="B1977" s="646" t="s">
        <v>1787</v>
      </c>
      <c r="C1977" s="305" t="s">
        <v>1770</v>
      </c>
      <c r="D1977" s="648">
        <v>198455</v>
      </c>
      <c r="E1977" s="660">
        <v>8</v>
      </c>
      <c r="F1977" s="573"/>
      <c r="G1977" s="578"/>
      <c r="H1977" s="573">
        <v>1719100</v>
      </c>
      <c r="I1977" s="487">
        <v>1875523</v>
      </c>
      <c r="J1977" s="573"/>
      <c r="K1977" s="487"/>
      <c r="L1977" s="573">
        <v>417494</v>
      </c>
      <c r="M1977" s="573"/>
      <c r="N1977" s="456">
        <f t="shared" si="249"/>
        <v>417494</v>
      </c>
      <c r="O1977" s="487">
        <v>442557</v>
      </c>
      <c r="P1977" s="487"/>
      <c r="Q1977" s="274">
        <f t="shared" si="244"/>
        <v>442557</v>
      </c>
      <c r="R1977" s="574">
        <f t="shared" si="245"/>
        <v>2136594</v>
      </c>
      <c r="S1977" s="275">
        <f t="shared" si="246"/>
        <v>2318080</v>
      </c>
      <c r="T1977" s="575"/>
      <c r="U1977" s="487"/>
      <c r="V1977" s="576"/>
      <c r="W1977" s="573"/>
      <c r="X1977" s="574">
        <f t="shared" si="250"/>
        <v>0</v>
      </c>
      <c r="Y1977" s="487"/>
      <c r="Z1977" s="487"/>
      <c r="AA1977" s="276">
        <f t="shared" si="251"/>
        <v>0</v>
      </c>
      <c r="AB1977" s="573"/>
      <c r="AC1977" s="487"/>
      <c r="AD1977" s="573"/>
      <c r="AE1977" s="487"/>
      <c r="AF1977" s="577">
        <f t="shared" si="247"/>
        <v>2136594</v>
      </c>
      <c r="AG1977" s="275">
        <f t="shared" si="248"/>
        <v>2318080</v>
      </c>
    </row>
    <row r="1978" spans="1:33" ht="12" customHeight="1">
      <c r="A1978" s="646" t="s">
        <v>1281</v>
      </c>
      <c r="B1978" s="646" t="s">
        <v>1776</v>
      </c>
      <c r="C1978" s="743" t="s">
        <v>519</v>
      </c>
      <c r="D1978" s="648">
        <v>199494</v>
      </c>
      <c r="E1978" s="660">
        <v>8</v>
      </c>
      <c r="F1978" s="573">
        <v>18801746</v>
      </c>
      <c r="G1978" s="487">
        <v>19065991</v>
      </c>
      <c r="H1978" s="573"/>
      <c r="I1978" s="487"/>
      <c r="J1978" s="573">
        <v>3464844</v>
      </c>
      <c r="K1978" s="487">
        <v>3894520</v>
      </c>
      <c r="L1978" s="573">
        <v>3865391</v>
      </c>
      <c r="M1978" s="573"/>
      <c r="N1978" s="456">
        <f t="shared" si="249"/>
        <v>3865391</v>
      </c>
      <c r="O1978" s="487">
        <v>4458866</v>
      </c>
      <c r="P1978" s="487"/>
      <c r="Q1978" s="274">
        <f t="shared" si="244"/>
        <v>4458866</v>
      </c>
      <c r="R1978" s="574">
        <f t="shared" si="245"/>
        <v>26131981</v>
      </c>
      <c r="S1978" s="275">
        <f t="shared" si="246"/>
        <v>27419377</v>
      </c>
      <c r="T1978" s="575"/>
      <c r="U1978" s="487"/>
      <c r="V1978" s="576"/>
      <c r="W1978" s="573"/>
      <c r="X1978" s="574">
        <f t="shared" si="250"/>
        <v>0</v>
      </c>
      <c r="Y1978" s="487"/>
      <c r="Z1978" s="487"/>
      <c r="AA1978" s="276">
        <f t="shared" si="251"/>
        <v>0</v>
      </c>
      <c r="AB1978" s="573"/>
      <c r="AC1978" s="487"/>
      <c r="AD1978" s="573"/>
      <c r="AE1978" s="487"/>
      <c r="AF1978" s="577">
        <f t="shared" si="247"/>
        <v>26131981</v>
      </c>
      <c r="AG1978" s="275">
        <f t="shared" si="248"/>
        <v>27419377</v>
      </c>
    </row>
    <row r="1979" spans="1:33" ht="12" customHeight="1">
      <c r="A1979" s="646" t="s">
        <v>1281</v>
      </c>
      <c r="B1979" s="646" t="s">
        <v>1776</v>
      </c>
      <c r="C1979" s="305" t="s">
        <v>508</v>
      </c>
      <c r="D1979" s="648">
        <v>199494</v>
      </c>
      <c r="E1979" s="660">
        <v>8</v>
      </c>
      <c r="F1979" s="573"/>
      <c r="G1979" s="487"/>
      <c r="H1979" s="573">
        <v>90654</v>
      </c>
      <c r="I1979" s="487">
        <v>138977</v>
      </c>
      <c r="J1979" s="573"/>
      <c r="K1979" s="487"/>
      <c r="L1979" s="573"/>
      <c r="M1979" s="573"/>
      <c r="N1979" s="456">
        <f t="shared" si="249"/>
        <v>0</v>
      </c>
      <c r="O1979" s="487"/>
      <c r="P1979" s="487"/>
      <c r="Q1979" s="274">
        <f t="shared" si="244"/>
        <v>0</v>
      </c>
      <c r="R1979" s="574">
        <f t="shared" si="245"/>
        <v>90654</v>
      </c>
      <c r="S1979" s="275">
        <f t="shared" si="246"/>
        <v>138977</v>
      </c>
      <c r="T1979" s="575"/>
      <c r="U1979" s="487"/>
      <c r="V1979" s="576"/>
      <c r="W1979" s="573"/>
      <c r="X1979" s="574">
        <f t="shared" si="250"/>
        <v>0</v>
      </c>
      <c r="Y1979" s="487"/>
      <c r="Z1979" s="487"/>
      <c r="AA1979" s="276">
        <f t="shared" si="251"/>
        <v>0</v>
      </c>
      <c r="AB1979" s="573"/>
      <c r="AC1979" s="487"/>
      <c r="AD1979" s="573"/>
      <c r="AE1979" s="487"/>
      <c r="AF1979" s="577">
        <f t="shared" si="247"/>
        <v>90654</v>
      </c>
      <c r="AG1979" s="275">
        <f t="shared" si="248"/>
        <v>138977</v>
      </c>
    </row>
    <row r="1980" spans="1:33" ht="12" customHeight="1">
      <c r="A1980" s="646" t="s">
        <v>1281</v>
      </c>
      <c r="B1980" s="646" t="s">
        <v>1778</v>
      </c>
      <c r="C1980" s="305" t="s">
        <v>1891</v>
      </c>
      <c r="D1980" s="648">
        <v>199494</v>
      </c>
      <c r="E1980" s="660">
        <v>8</v>
      </c>
      <c r="F1980" s="573"/>
      <c r="G1980" s="487"/>
      <c r="H1980" s="573">
        <v>212444</v>
      </c>
      <c r="I1980" s="487">
        <v>217692</v>
      </c>
      <c r="J1980" s="573"/>
      <c r="K1980" s="487"/>
      <c r="L1980" s="573"/>
      <c r="M1980" s="573"/>
      <c r="N1980" s="456">
        <f t="shared" si="249"/>
        <v>0</v>
      </c>
      <c r="O1980" s="487"/>
      <c r="P1980" s="487"/>
      <c r="Q1980" s="274">
        <f t="shared" si="244"/>
        <v>0</v>
      </c>
      <c r="R1980" s="574">
        <f t="shared" si="245"/>
        <v>212444</v>
      </c>
      <c r="S1980" s="275">
        <f t="shared" si="246"/>
        <v>217692</v>
      </c>
      <c r="T1980" s="575"/>
      <c r="U1980" s="487"/>
      <c r="V1980" s="576"/>
      <c r="W1980" s="573"/>
      <c r="X1980" s="574">
        <f t="shared" si="250"/>
        <v>0</v>
      </c>
      <c r="Y1980" s="487"/>
      <c r="Z1980" s="487"/>
      <c r="AA1980" s="276">
        <f t="shared" si="251"/>
        <v>0</v>
      </c>
      <c r="AB1980" s="573"/>
      <c r="AC1980" s="487"/>
      <c r="AD1980" s="573"/>
      <c r="AE1980" s="487"/>
      <c r="AF1980" s="577">
        <f t="shared" si="247"/>
        <v>212444</v>
      </c>
      <c r="AG1980" s="275">
        <f t="shared" si="248"/>
        <v>217692</v>
      </c>
    </row>
    <row r="1981" spans="1:33" ht="12" customHeight="1">
      <c r="A1981" s="646" t="s">
        <v>1281</v>
      </c>
      <c r="B1981" s="646" t="s">
        <v>1787</v>
      </c>
      <c r="C1981" s="305" t="s">
        <v>1770</v>
      </c>
      <c r="D1981" s="648">
        <v>199494</v>
      </c>
      <c r="E1981" s="660">
        <v>8</v>
      </c>
      <c r="F1981" s="573"/>
      <c r="G1981" s="487"/>
      <c r="H1981" s="573">
        <v>1462543</v>
      </c>
      <c r="I1981" s="487">
        <v>1633233</v>
      </c>
      <c r="J1981" s="573"/>
      <c r="K1981" s="487"/>
      <c r="L1981" s="573">
        <v>338948</v>
      </c>
      <c r="M1981" s="573"/>
      <c r="N1981" s="456">
        <f t="shared" si="249"/>
        <v>338948</v>
      </c>
      <c r="O1981" s="487">
        <v>213206</v>
      </c>
      <c r="P1981" s="487"/>
      <c r="Q1981" s="274">
        <f t="shared" si="244"/>
        <v>213206</v>
      </c>
      <c r="R1981" s="574">
        <f t="shared" si="245"/>
        <v>1801491</v>
      </c>
      <c r="S1981" s="275">
        <f t="shared" si="246"/>
        <v>1846439</v>
      </c>
      <c r="T1981" s="575"/>
      <c r="U1981" s="487"/>
      <c r="V1981" s="576"/>
      <c r="W1981" s="573"/>
      <c r="X1981" s="574">
        <f t="shared" si="250"/>
        <v>0</v>
      </c>
      <c r="Y1981" s="487"/>
      <c r="Z1981" s="487"/>
      <c r="AA1981" s="276">
        <f t="shared" si="251"/>
        <v>0</v>
      </c>
      <c r="AB1981" s="573"/>
      <c r="AC1981" s="487"/>
      <c r="AD1981" s="573"/>
      <c r="AE1981" s="487"/>
      <c r="AF1981" s="577">
        <f t="shared" si="247"/>
        <v>1801491</v>
      </c>
      <c r="AG1981" s="275">
        <f t="shared" si="248"/>
        <v>1846439</v>
      </c>
    </row>
    <row r="1982" spans="1:33" ht="12" customHeight="1">
      <c r="A1982" s="646" t="s">
        <v>1281</v>
      </c>
      <c r="B1982" s="646" t="s">
        <v>1776</v>
      </c>
      <c r="C1982" s="743" t="s">
        <v>520</v>
      </c>
      <c r="D1982" s="648">
        <v>199786</v>
      </c>
      <c r="E1982" s="660">
        <v>9</v>
      </c>
      <c r="F1982" s="573">
        <v>15238460</v>
      </c>
      <c r="G1982" s="487">
        <v>14699943</v>
      </c>
      <c r="H1982" s="573"/>
      <c r="I1982" s="487"/>
      <c r="J1982" s="573">
        <v>2531000</v>
      </c>
      <c r="K1982" s="487">
        <v>2889766</v>
      </c>
      <c r="L1982" s="573">
        <v>2918944</v>
      </c>
      <c r="M1982" s="573"/>
      <c r="N1982" s="456">
        <f t="shared" si="249"/>
        <v>2918944</v>
      </c>
      <c r="O1982" s="487">
        <v>3597698</v>
      </c>
      <c r="P1982" s="487"/>
      <c r="Q1982" s="274">
        <f t="shared" si="244"/>
        <v>3597698</v>
      </c>
      <c r="R1982" s="574">
        <f t="shared" si="245"/>
        <v>20688404</v>
      </c>
      <c r="S1982" s="275">
        <f t="shared" si="246"/>
        <v>21187407</v>
      </c>
      <c r="T1982" s="575"/>
      <c r="U1982" s="487"/>
      <c r="V1982" s="576"/>
      <c r="W1982" s="573"/>
      <c r="X1982" s="574">
        <f t="shared" si="250"/>
        <v>0</v>
      </c>
      <c r="Y1982" s="487"/>
      <c r="Z1982" s="487"/>
      <c r="AA1982" s="276">
        <f t="shared" si="251"/>
        <v>0</v>
      </c>
      <c r="AB1982" s="573"/>
      <c r="AC1982" s="487"/>
      <c r="AD1982" s="573"/>
      <c r="AE1982" s="487"/>
      <c r="AF1982" s="577">
        <f t="shared" si="247"/>
        <v>20688404</v>
      </c>
      <c r="AG1982" s="275">
        <f t="shared" si="248"/>
        <v>21187407</v>
      </c>
    </row>
    <row r="1983" spans="1:33" ht="12" customHeight="1">
      <c r="A1983" s="646" t="s">
        <v>1281</v>
      </c>
      <c r="B1983" s="646" t="s">
        <v>1776</v>
      </c>
      <c r="C1983" s="305" t="s">
        <v>508</v>
      </c>
      <c r="D1983" s="648">
        <v>199786</v>
      </c>
      <c r="E1983" s="660">
        <v>9</v>
      </c>
      <c r="F1983" s="573"/>
      <c r="G1983" s="487"/>
      <c r="H1983" s="573">
        <v>131981</v>
      </c>
      <c r="I1983" s="487">
        <v>153293</v>
      </c>
      <c r="J1983" s="573"/>
      <c r="K1983" s="487"/>
      <c r="L1983" s="573"/>
      <c r="M1983" s="573"/>
      <c r="N1983" s="456">
        <f t="shared" si="249"/>
        <v>0</v>
      </c>
      <c r="O1983" s="487"/>
      <c r="P1983" s="487"/>
      <c r="Q1983" s="274">
        <f t="shared" si="244"/>
        <v>0</v>
      </c>
      <c r="R1983" s="574">
        <f t="shared" si="245"/>
        <v>131981</v>
      </c>
      <c r="S1983" s="275">
        <f t="shared" si="246"/>
        <v>153293</v>
      </c>
      <c r="T1983" s="575"/>
      <c r="U1983" s="487"/>
      <c r="V1983" s="576"/>
      <c r="W1983" s="573"/>
      <c r="X1983" s="574">
        <f t="shared" si="250"/>
        <v>0</v>
      </c>
      <c r="Y1983" s="487"/>
      <c r="Z1983" s="487"/>
      <c r="AA1983" s="276">
        <f t="shared" si="251"/>
        <v>0</v>
      </c>
      <c r="AB1983" s="573"/>
      <c r="AC1983" s="487"/>
      <c r="AD1983" s="573"/>
      <c r="AE1983" s="487"/>
      <c r="AF1983" s="577">
        <f t="shared" si="247"/>
        <v>131981</v>
      </c>
      <c r="AG1983" s="275">
        <f t="shared" si="248"/>
        <v>153293</v>
      </c>
    </row>
    <row r="1984" spans="1:33" ht="12" customHeight="1">
      <c r="A1984" s="646" t="s">
        <v>1281</v>
      </c>
      <c r="B1984" s="646" t="s">
        <v>1778</v>
      </c>
      <c r="C1984" s="305" t="s">
        <v>1891</v>
      </c>
      <c r="D1984" s="648">
        <v>199786</v>
      </c>
      <c r="E1984" s="660">
        <v>9</v>
      </c>
      <c r="F1984" s="573"/>
      <c r="G1984" s="487"/>
      <c r="H1984" s="573">
        <v>210305</v>
      </c>
      <c r="I1984" s="487">
        <v>222325</v>
      </c>
      <c r="J1984" s="573"/>
      <c r="K1984" s="487"/>
      <c r="L1984" s="573"/>
      <c r="M1984" s="573"/>
      <c r="N1984" s="456">
        <f t="shared" si="249"/>
        <v>0</v>
      </c>
      <c r="O1984" s="487"/>
      <c r="P1984" s="487"/>
      <c r="Q1984" s="274">
        <f t="shared" si="244"/>
        <v>0</v>
      </c>
      <c r="R1984" s="574">
        <f t="shared" si="245"/>
        <v>210305</v>
      </c>
      <c r="S1984" s="275">
        <f t="shared" si="246"/>
        <v>222325</v>
      </c>
      <c r="T1984" s="575"/>
      <c r="U1984" s="487"/>
      <c r="V1984" s="576"/>
      <c r="W1984" s="573"/>
      <c r="X1984" s="574">
        <f t="shared" si="250"/>
        <v>0</v>
      </c>
      <c r="Y1984" s="487"/>
      <c r="Z1984" s="487"/>
      <c r="AA1984" s="276">
        <f t="shared" si="251"/>
        <v>0</v>
      </c>
      <c r="AB1984" s="573"/>
      <c r="AC1984" s="487"/>
      <c r="AD1984" s="573"/>
      <c r="AE1984" s="487"/>
      <c r="AF1984" s="577">
        <f t="shared" si="247"/>
        <v>210305</v>
      </c>
      <c r="AG1984" s="275">
        <f t="shared" si="248"/>
        <v>222325</v>
      </c>
    </row>
    <row r="1985" spans="1:33" ht="12" customHeight="1">
      <c r="A1985" s="646" t="s">
        <v>1281</v>
      </c>
      <c r="B1985" s="646" t="s">
        <v>1787</v>
      </c>
      <c r="C1985" s="305" t="s">
        <v>1770</v>
      </c>
      <c r="D1985" s="648">
        <v>199786</v>
      </c>
      <c r="E1985" s="660">
        <v>9</v>
      </c>
      <c r="F1985" s="573"/>
      <c r="G1985" s="487"/>
      <c r="H1985" s="573">
        <v>377329</v>
      </c>
      <c r="I1985" s="487">
        <v>673781</v>
      </c>
      <c r="J1985" s="573"/>
      <c r="K1985" s="487"/>
      <c r="L1985" s="573">
        <v>395726</v>
      </c>
      <c r="M1985" s="573"/>
      <c r="N1985" s="456">
        <f t="shared" si="249"/>
        <v>395726</v>
      </c>
      <c r="O1985" s="487">
        <v>202594</v>
      </c>
      <c r="P1985" s="487"/>
      <c r="Q1985" s="274">
        <f t="shared" si="244"/>
        <v>202594</v>
      </c>
      <c r="R1985" s="574">
        <f t="shared" si="245"/>
        <v>773055</v>
      </c>
      <c r="S1985" s="275">
        <f t="shared" si="246"/>
        <v>876375</v>
      </c>
      <c r="T1985" s="575"/>
      <c r="U1985" s="487"/>
      <c r="V1985" s="576"/>
      <c r="W1985" s="573"/>
      <c r="X1985" s="574">
        <f t="shared" si="250"/>
        <v>0</v>
      </c>
      <c r="Y1985" s="487"/>
      <c r="Z1985" s="487"/>
      <c r="AA1985" s="276">
        <f t="shared" si="251"/>
        <v>0</v>
      </c>
      <c r="AB1985" s="573"/>
      <c r="AC1985" s="487"/>
      <c r="AD1985" s="573"/>
      <c r="AE1985" s="487"/>
      <c r="AF1985" s="577">
        <f t="shared" si="247"/>
        <v>773055</v>
      </c>
      <c r="AG1985" s="275">
        <f t="shared" si="248"/>
        <v>876375</v>
      </c>
    </row>
    <row r="1986" spans="1:33" ht="12" customHeight="1">
      <c r="A1986" s="646" t="s">
        <v>1281</v>
      </c>
      <c r="B1986" s="646" t="s">
        <v>1776</v>
      </c>
      <c r="C1986" s="743" t="s">
        <v>1471</v>
      </c>
      <c r="D1986" s="648">
        <v>198039</v>
      </c>
      <c r="E1986" s="660">
        <v>9</v>
      </c>
      <c r="F1986" s="573">
        <v>8093893</v>
      </c>
      <c r="G1986" s="487">
        <v>7948845</v>
      </c>
      <c r="H1986" s="573"/>
      <c r="I1986" s="487"/>
      <c r="J1986" s="573">
        <v>2265982</v>
      </c>
      <c r="K1986" s="487">
        <v>2976561</v>
      </c>
      <c r="L1986" s="573">
        <v>1688149</v>
      </c>
      <c r="M1986" s="573"/>
      <c r="N1986" s="456">
        <f t="shared" si="249"/>
        <v>1688149</v>
      </c>
      <c r="O1986" s="487">
        <v>1685994</v>
      </c>
      <c r="P1986" s="487"/>
      <c r="Q1986" s="274">
        <f t="shared" si="244"/>
        <v>1685994</v>
      </c>
      <c r="R1986" s="574">
        <f t="shared" si="245"/>
        <v>12048024</v>
      </c>
      <c r="S1986" s="275">
        <f t="shared" si="246"/>
        <v>12611400</v>
      </c>
      <c r="T1986" s="575"/>
      <c r="U1986" s="487"/>
      <c r="V1986" s="576"/>
      <c r="W1986" s="573"/>
      <c r="X1986" s="574">
        <f t="shared" si="250"/>
        <v>0</v>
      </c>
      <c r="Y1986" s="487"/>
      <c r="Z1986" s="487"/>
      <c r="AA1986" s="276">
        <f t="shared" si="251"/>
        <v>0</v>
      </c>
      <c r="AB1986" s="573"/>
      <c r="AC1986" s="487"/>
      <c r="AD1986" s="573"/>
      <c r="AE1986" s="487"/>
      <c r="AF1986" s="577">
        <f t="shared" si="247"/>
        <v>12048024</v>
      </c>
      <c r="AG1986" s="275">
        <f t="shared" si="248"/>
        <v>12611400</v>
      </c>
    </row>
    <row r="1987" spans="1:33" ht="12" customHeight="1">
      <c r="A1987" s="646" t="s">
        <v>1281</v>
      </c>
      <c r="B1987" s="646" t="s">
        <v>1776</v>
      </c>
      <c r="C1987" s="305" t="s">
        <v>508</v>
      </c>
      <c r="D1987" s="648">
        <v>198039</v>
      </c>
      <c r="E1987" s="660">
        <v>9</v>
      </c>
      <c r="F1987" s="573"/>
      <c r="G1987" s="487"/>
      <c r="H1987" s="573">
        <v>39792</v>
      </c>
      <c r="I1987" s="487">
        <v>58672</v>
      </c>
      <c r="J1987" s="573"/>
      <c r="K1987" s="487"/>
      <c r="L1987" s="573"/>
      <c r="M1987" s="573"/>
      <c r="N1987" s="456">
        <f t="shared" si="249"/>
        <v>0</v>
      </c>
      <c r="O1987" s="487"/>
      <c r="P1987" s="487"/>
      <c r="Q1987" s="274">
        <f t="shared" si="244"/>
        <v>0</v>
      </c>
      <c r="R1987" s="574">
        <f t="shared" si="245"/>
        <v>39792</v>
      </c>
      <c r="S1987" s="275">
        <f t="shared" si="246"/>
        <v>58672</v>
      </c>
      <c r="T1987" s="575"/>
      <c r="U1987" s="487"/>
      <c r="V1987" s="576"/>
      <c r="W1987" s="573"/>
      <c r="X1987" s="574">
        <f t="shared" si="250"/>
        <v>0</v>
      </c>
      <c r="Y1987" s="487"/>
      <c r="Z1987" s="487"/>
      <c r="AA1987" s="276">
        <f t="shared" si="251"/>
        <v>0</v>
      </c>
      <c r="AB1987" s="573"/>
      <c r="AC1987" s="487"/>
      <c r="AD1987" s="573"/>
      <c r="AE1987" s="487"/>
      <c r="AF1987" s="577">
        <f t="shared" si="247"/>
        <v>39792</v>
      </c>
      <c r="AG1987" s="275">
        <f t="shared" si="248"/>
        <v>58672</v>
      </c>
    </row>
    <row r="1988" spans="1:33" ht="12" customHeight="1">
      <c r="A1988" s="646" t="s">
        <v>1281</v>
      </c>
      <c r="B1988" s="646" t="s">
        <v>1778</v>
      </c>
      <c r="C1988" s="305" t="s">
        <v>1891</v>
      </c>
      <c r="D1988" s="648">
        <v>198039</v>
      </c>
      <c r="E1988" s="660">
        <v>9</v>
      </c>
      <c r="F1988" s="573"/>
      <c r="G1988" s="487"/>
      <c r="H1988" s="573">
        <v>194257</v>
      </c>
      <c r="I1988" s="487">
        <v>205670</v>
      </c>
      <c r="J1988" s="573"/>
      <c r="K1988" s="487"/>
      <c r="L1988" s="573"/>
      <c r="M1988" s="573"/>
      <c r="N1988" s="456">
        <f t="shared" si="249"/>
        <v>0</v>
      </c>
      <c r="O1988" s="487"/>
      <c r="P1988" s="487"/>
      <c r="Q1988" s="274">
        <f t="shared" si="244"/>
        <v>0</v>
      </c>
      <c r="R1988" s="574">
        <f t="shared" si="245"/>
        <v>194257</v>
      </c>
      <c r="S1988" s="275">
        <f t="shared" si="246"/>
        <v>205670</v>
      </c>
      <c r="T1988" s="575"/>
      <c r="U1988" s="487"/>
      <c r="V1988" s="576"/>
      <c r="W1988" s="573"/>
      <c r="X1988" s="574">
        <f t="shared" si="250"/>
        <v>0</v>
      </c>
      <c r="Y1988" s="487"/>
      <c r="Z1988" s="487"/>
      <c r="AA1988" s="276">
        <f t="shared" si="251"/>
        <v>0</v>
      </c>
      <c r="AB1988" s="573"/>
      <c r="AC1988" s="487"/>
      <c r="AD1988" s="573"/>
      <c r="AE1988" s="487"/>
      <c r="AF1988" s="577">
        <f t="shared" si="247"/>
        <v>194257</v>
      </c>
      <c r="AG1988" s="275">
        <f t="shared" si="248"/>
        <v>205670</v>
      </c>
    </row>
    <row r="1989" spans="1:33" ht="12" customHeight="1">
      <c r="A1989" s="646" t="s">
        <v>1281</v>
      </c>
      <c r="B1989" s="646" t="s">
        <v>1787</v>
      </c>
      <c r="C1989" s="305" t="s">
        <v>1770</v>
      </c>
      <c r="D1989" s="648">
        <v>198039</v>
      </c>
      <c r="E1989" s="660">
        <v>9</v>
      </c>
      <c r="F1989" s="573"/>
      <c r="G1989" s="487"/>
      <c r="H1989" s="573">
        <v>1141941</v>
      </c>
      <c r="I1989" s="487">
        <v>1227192</v>
      </c>
      <c r="J1989" s="573"/>
      <c r="K1989" s="487"/>
      <c r="L1989" s="573">
        <v>291628</v>
      </c>
      <c r="M1989" s="573"/>
      <c r="N1989" s="456">
        <f t="shared" si="249"/>
        <v>291628</v>
      </c>
      <c r="O1989" s="487">
        <v>189858</v>
      </c>
      <c r="P1989" s="487"/>
      <c r="Q1989" s="274">
        <f t="shared" si="244"/>
        <v>189858</v>
      </c>
      <c r="R1989" s="574">
        <f t="shared" si="245"/>
        <v>1433569</v>
      </c>
      <c r="S1989" s="275">
        <f t="shared" si="246"/>
        <v>1417050</v>
      </c>
      <c r="T1989" s="575"/>
      <c r="U1989" s="487"/>
      <c r="V1989" s="576"/>
      <c r="W1989" s="573"/>
      <c r="X1989" s="574">
        <f t="shared" si="250"/>
        <v>0</v>
      </c>
      <c r="Y1989" s="487"/>
      <c r="Z1989" s="487"/>
      <c r="AA1989" s="276">
        <f t="shared" si="251"/>
        <v>0</v>
      </c>
      <c r="AB1989" s="573"/>
      <c r="AC1989" s="487"/>
      <c r="AD1989" s="573"/>
      <c r="AE1989" s="487"/>
      <c r="AF1989" s="577">
        <f t="shared" si="247"/>
        <v>1433569</v>
      </c>
      <c r="AG1989" s="275">
        <f t="shared" si="248"/>
        <v>1417050</v>
      </c>
    </row>
    <row r="1990" spans="1:33" ht="12" customHeight="1">
      <c r="A1990" s="646" t="s">
        <v>1281</v>
      </c>
      <c r="B1990" s="646" t="s">
        <v>1776</v>
      </c>
      <c r="C1990" s="743" t="s">
        <v>1472</v>
      </c>
      <c r="D1990" s="648">
        <v>198118</v>
      </c>
      <c r="E1990" s="660">
        <v>9</v>
      </c>
      <c r="F1990" s="573">
        <v>15393133</v>
      </c>
      <c r="G1990" s="487">
        <v>16425319</v>
      </c>
      <c r="H1990" s="573"/>
      <c r="I1990" s="487"/>
      <c r="J1990" s="573">
        <v>3568720</v>
      </c>
      <c r="K1990" s="487">
        <v>4683628</v>
      </c>
      <c r="L1990" s="573">
        <v>3274833</v>
      </c>
      <c r="M1990" s="573"/>
      <c r="N1990" s="456">
        <f t="shared" si="249"/>
        <v>3274833</v>
      </c>
      <c r="O1990" s="487">
        <v>3275898</v>
      </c>
      <c r="P1990" s="487"/>
      <c r="Q1990" s="274">
        <f t="shared" si="244"/>
        <v>3275898</v>
      </c>
      <c r="R1990" s="574">
        <f t="shared" si="245"/>
        <v>22236686</v>
      </c>
      <c r="S1990" s="275">
        <f t="shared" si="246"/>
        <v>24384845</v>
      </c>
      <c r="T1990" s="575"/>
      <c r="U1990" s="487"/>
      <c r="V1990" s="576"/>
      <c r="W1990" s="573"/>
      <c r="X1990" s="574">
        <f t="shared" si="250"/>
        <v>0</v>
      </c>
      <c r="Y1990" s="487"/>
      <c r="Z1990" s="487"/>
      <c r="AA1990" s="276">
        <f t="shared" si="251"/>
        <v>0</v>
      </c>
      <c r="AB1990" s="573"/>
      <c r="AC1990" s="487"/>
      <c r="AD1990" s="573"/>
      <c r="AE1990" s="487"/>
      <c r="AF1990" s="577">
        <f t="shared" si="247"/>
        <v>22236686</v>
      </c>
      <c r="AG1990" s="275">
        <f t="shared" si="248"/>
        <v>24384845</v>
      </c>
    </row>
    <row r="1991" spans="1:33" ht="12" customHeight="1">
      <c r="A1991" s="646" t="s">
        <v>1281</v>
      </c>
      <c r="B1991" s="646" t="s">
        <v>1776</v>
      </c>
      <c r="C1991" s="305" t="s">
        <v>508</v>
      </c>
      <c r="D1991" s="648">
        <v>198118</v>
      </c>
      <c r="E1991" s="660">
        <v>9</v>
      </c>
      <c r="F1991" s="573"/>
      <c r="G1991" s="487"/>
      <c r="H1991" s="573">
        <v>125800</v>
      </c>
      <c r="I1991" s="487">
        <v>181127</v>
      </c>
      <c r="J1991" s="573"/>
      <c r="K1991" s="487"/>
      <c r="L1991" s="573"/>
      <c r="M1991" s="573"/>
      <c r="N1991" s="456">
        <f t="shared" si="249"/>
        <v>0</v>
      </c>
      <c r="O1991" s="487"/>
      <c r="P1991" s="487"/>
      <c r="Q1991" s="274">
        <f t="shared" si="244"/>
        <v>0</v>
      </c>
      <c r="R1991" s="574">
        <f t="shared" si="245"/>
        <v>125800</v>
      </c>
      <c r="S1991" s="275">
        <f t="shared" si="246"/>
        <v>181127</v>
      </c>
      <c r="T1991" s="575"/>
      <c r="U1991" s="487"/>
      <c r="V1991" s="576"/>
      <c r="W1991" s="573"/>
      <c r="X1991" s="574">
        <f t="shared" si="250"/>
        <v>0</v>
      </c>
      <c r="Y1991" s="487"/>
      <c r="Z1991" s="487"/>
      <c r="AA1991" s="276">
        <f t="shared" si="251"/>
        <v>0</v>
      </c>
      <c r="AB1991" s="573"/>
      <c r="AC1991" s="487"/>
      <c r="AD1991" s="573"/>
      <c r="AE1991" s="487"/>
      <c r="AF1991" s="577">
        <f t="shared" si="247"/>
        <v>125800</v>
      </c>
      <c r="AG1991" s="275">
        <f t="shared" si="248"/>
        <v>181127</v>
      </c>
    </row>
    <row r="1992" spans="1:33" ht="12" customHeight="1">
      <c r="A1992" s="646" t="s">
        <v>1281</v>
      </c>
      <c r="B1992" s="646" t="s">
        <v>1778</v>
      </c>
      <c r="C1992" s="305" t="s">
        <v>1891</v>
      </c>
      <c r="D1992" s="648">
        <v>198118</v>
      </c>
      <c r="E1992" s="660">
        <v>9</v>
      </c>
      <c r="F1992" s="573"/>
      <c r="G1992" s="487"/>
      <c r="H1992" s="573">
        <v>187894</v>
      </c>
      <c r="I1992" s="487">
        <v>193688</v>
      </c>
      <c r="J1992" s="573"/>
      <c r="K1992" s="487"/>
      <c r="L1992" s="573"/>
      <c r="M1992" s="573"/>
      <c r="N1992" s="456">
        <f t="shared" si="249"/>
        <v>0</v>
      </c>
      <c r="O1992" s="487"/>
      <c r="P1992" s="487"/>
      <c r="Q1992" s="274">
        <f t="shared" si="244"/>
        <v>0</v>
      </c>
      <c r="R1992" s="574">
        <f t="shared" si="245"/>
        <v>187894</v>
      </c>
      <c r="S1992" s="275">
        <f t="shared" si="246"/>
        <v>193688</v>
      </c>
      <c r="T1992" s="575"/>
      <c r="U1992" s="487"/>
      <c r="V1992" s="576"/>
      <c r="W1992" s="573"/>
      <c r="X1992" s="574">
        <f t="shared" si="250"/>
        <v>0</v>
      </c>
      <c r="Y1992" s="487"/>
      <c r="Z1992" s="487"/>
      <c r="AA1992" s="276">
        <f t="shared" si="251"/>
        <v>0</v>
      </c>
      <c r="AB1992" s="573"/>
      <c r="AC1992" s="487"/>
      <c r="AD1992" s="573"/>
      <c r="AE1992" s="487"/>
      <c r="AF1992" s="577">
        <f t="shared" si="247"/>
        <v>187894</v>
      </c>
      <c r="AG1992" s="275">
        <f t="shared" si="248"/>
        <v>193688</v>
      </c>
    </row>
    <row r="1993" spans="1:33" ht="12" customHeight="1">
      <c r="A1993" s="646" t="s">
        <v>1281</v>
      </c>
      <c r="B1993" s="646" t="s">
        <v>1787</v>
      </c>
      <c r="C1993" s="305" t="s">
        <v>1770</v>
      </c>
      <c r="D1993" s="648">
        <v>198118</v>
      </c>
      <c r="E1993" s="660">
        <v>9</v>
      </c>
      <c r="F1993" s="573"/>
      <c r="G1993" s="487"/>
      <c r="H1993" s="573">
        <v>926278</v>
      </c>
      <c r="I1993" s="487">
        <v>1157152</v>
      </c>
      <c r="J1993" s="573"/>
      <c r="K1993" s="487"/>
      <c r="L1993" s="573">
        <v>297593</v>
      </c>
      <c r="M1993" s="573"/>
      <c r="N1993" s="456">
        <f t="shared" si="249"/>
        <v>297593</v>
      </c>
      <c r="O1993" s="487">
        <v>117187</v>
      </c>
      <c r="P1993" s="487"/>
      <c r="Q1993" s="274">
        <f t="shared" si="244"/>
        <v>117187</v>
      </c>
      <c r="R1993" s="574">
        <f t="shared" si="245"/>
        <v>1223871</v>
      </c>
      <c r="S1993" s="275">
        <f t="shared" si="246"/>
        <v>1274339</v>
      </c>
      <c r="T1993" s="575"/>
      <c r="U1993" s="487"/>
      <c r="V1993" s="576"/>
      <c r="W1993" s="573"/>
      <c r="X1993" s="574">
        <f t="shared" si="250"/>
        <v>0</v>
      </c>
      <c r="Y1993" s="487"/>
      <c r="Z1993" s="487"/>
      <c r="AA1993" s="276">
        <f t="shared" si="251"/>
        <v>0</v>
      </c>
      <c r="AB1993" s="573"/>
      <c r="AC1993" s="487"/>
      <c r="AD1993" s="573"/>
      <c r="AE1993" s="487"/>
      <c r="AF1993" s="577">
        <f t="shared" si="247"/>
        <v>1223871</v>
      </c>
      <c r="AG1993" s="275">
        <f t="shared" si="248"/>
        <v>1274339</v>
      </c>
    </row>
    <row r="1994" spans="1:33" ht="12" customHeight="1">
      <c r="A1994" s="646" t="s">
        <v>1281</v>
      </c>
      <c r="B1994" s="646" t="s">
        <v>1776</v>
      </c>
      <c r="C1994" s="743" t="s">
        <v>1473</v>
      </c>
      <c r="D1994" s="648">
        <v>198321</v>
      </c>
      <c r="E1994" s="660">
        <v>9</v>
      </c>
      <c r="F1994" s="573">
        <v>12618245</v>
      </c>
      <c r="G1994" s="487">
        <v>12026044</v>
      </c>
      <c r="H1994" s="573"/>
      <c r="I1994" s="487"/>
      <c r="J1994" s="573">
        <v>1150129</v>
      </c>
      <c r="K1994" s="487">
        <v>1350129</v>
      </c>
      <c r="L1994" s="573">
        <v>1622777</v>
      </c>
      <c r="M1994" s="573"/>
      <c r="N1994" s="456">
        <f t="shared" si="249"/>
        <v>1622777</v>
      </c>
      <c r="O1994" s="487">
        <v>2290018</v>
      </c>
      <c r="P1994" s="487"/>
      <c r="Q1994" s="274">
        <f t="shared" ref="Q1994:Q2057" si="252">SUM(O1994:P1994)</f>
        <v>2290018</v>
      </c>
      <c r="R1994" s="574">
        <f t="shared" ref="R1994:R2057" si="253">SUM(F1994,H1994,J1994,L1994)</f>
        <v>15391151</v>
      </c>
      <c r="S1994" s="275">
        <f t="shared" ref="S1994:S2057" si="254">SUM(G1994,I1994,K1994,O1994)</f>
        <v>15666191</v>
      </c>
      <c r="T1994" s="575"/>
      <c r="U1994" s="487"/>
      <c r="V1994" s="576"/>
      <c r="W1994" s="573"/>
      <c r="X1994" s="574">
        <f t="shared" si="250"/>
        <v>0</v>
      </c>
      <c r="Y1994" s="487"/>
      <c r="Z1994" s="487"/>
      <c r="AA1994" s="276">
        <f t="shared" si="251"/>
        <v>0</v>
      </c>
      <c r="AB1994" s="573"/>
      <c r="AC1994" s="487"/>
      <c r="AD1994" s="573"/>
      <c r="AE1994" s="487"/>
      <c r="AF1994" s="577">
        <f t="shared" ref="AF1994:AF2057" si="255">SUM(R1994,T1994,V1994,AB1994,AD1994)</f>
        <v>15391151</v>
      </c>
      <c r="AG1994" s="275">
        <f t="shared" ref="AG1994:AG2057" si="256">SUM(S1994,U1994,Y1994,AC1994,AE1994)</f>
        <v>15666191</v>
      </c>
    </row>
    <row r="1995" spans="1:33" ht="12" customHeight="1">
      <c r="A1995" s="646" t="s">
        <v>1281</v>
      </c>
      <c r="B1995" s="646" t="s">
        <v>1776</v>
      </c>
      <c r="C1995" s="305" t="s">
        <v>508</v>
      </c>
      <c r="D1995" s="648">
        <v>198321</v>
      </c>
      <c r="E1995" s="660">
        <v>9</v>
      </c>
      <c r="F1995" s="573"/>
      <c r="G1995" s="487"/>
      <c r="H1995" s="573">
        <v>69654</v>
      </c>
      <c r="I1995" s="487">
        <v>89111</v>
      </c>
      <c r="J1995" s="573"/>
      <c r="K1995" s="487"/>
      <c r="L1995" s="573"/>
      <c r="M1995" s="573"/>
      <c r="N1995" s="456">
        <f t="shared" si="249"/>
        <v>0</v>
      </c>
      <c r="O1995" s="487"/>
      <c r="P1995" s="487"/>
      <c r="Q1995" s="274">
        <f t="shared" si="252"/>
        <v>0</v>
      </c>
      <c r="R1995" s="574">
        <f t="shared" si="253"/>
        <v>69654</v>
      </c>
      <c r="S1995" s="275">
        <f t="shared" si="254"/>
        <v>89111</v>
      </c>
      <c r="T1995" s="575"/>
      <c r="U1995" s="487"/>
      <c r="V1995" s="576"/>
      <c r="W1995" s="573"/>
      <c r="X1995" s="574">
        <f t="shared" si="250"/>
        <v>0</v>
      </c>
      <c r="Y1995" s="487"/>
      <c r="Z1995" s="487"/>
      <c r="AA1995" s="276">
        <f t="shared" si="251"/>
        <v>0</v>
      </c>
      <c r="AB1995" s="573"/>
      <c r="AC1995" s="487"/>
      <c r="AD1995" s="573"/>
      <c r="AE1995" s="487"/>
      <c r="AF1995" s="577">
        <f t="shared" si="255"/>
        <v>69654</v>
      </c>
      <c r="AG1995" s="275">
        <f t="shared" si="256"/>
        <v>89111</v>
      </c>
    </row>
    <row r="1996" spans="1:33" ht="12" customHeight="1">
      <c r="A1996" s="646" t="s">
        <v>1281</v>
      </c>
      <c r="B1996" s="646" t="s">
        <v>1778</v>
      </c>
      <c r="C1996" s="305" t="s">
        <v>1891</v>
      </c>
      <c r="D1996" s="648">
        <v>198321</v>
      </c>
      <c r="E1996" s="660">
        <v>9</v>
      </c>
      <c r="F1996" s="573"/>
      <c r="G1996" s="487"/>
      <c r="H1996" s="573">
        <v>198074</v>
      </c>
      <c r="I1996" s="487">
        <v>212152</v>
      </c>
      <c r="J1996" s="573"/>
      <c r="K1996" s="487"/>
      <c r="L1996" s="573"/>
      <c r="M1996" s="573"/>
      <c r="N1996" s="456">
        <f t="shared" si="249"/>
        <v>0</v>
      </c>
      <c r="O1996" s="487"/>
      <c r="P1996" s="487"/>
      <c r="Q1996" s="274">
        <f t="shared" si="252"/>
        <v>0</v>
      </c>
      <c r="R1996" s="574">
        <f t="shared" si="253"/>
        <v>198074</v>
      </c>
      <c r="S1996" s="275">
        <f t="shared" si="254"/>
        <v>212152</v>
      </c>
      <c r="T1996" s="575"/>
      <c r="U1996" s="487"/>
      <c r="V1996" s="576"/>
      <c r="W1996" s="573"/>
      <c r="X1996" s="574">
        <f t="shared" si="250"/>
        <v>0</v>
      </c>
      <c r="Y1996" s="487"/>
      <c r="Z1996" s="487"/>
      <c r="AA1996" s="276">
        <f t="shared" si="251"/>
        <v>0</v>
      </c>
      <c r="AB1996" s="573"/>
      <c r="AC1996" s="487"/>
      <c r="AD1996" s="573"/>
      <c r="AE1996" s="487"/>
      <c r="AF1996" s="577">
        <f t="shared" si="255"/>
        <v>198074</v>
      </c>
      <c r="AG1996" s="275">
        <f t="shared" si="256"/>
        <v>212152</v>
      </c>
    </row>
    <row r="1997" spans="1:33" ht="12" customHeight="1">
      <c r="A1997" s="646" t="s">
        <v>1281</v>
      </c>
      <c r="B1997" s="646" t="s">
        <v>1787</v>
      </c>
      <c r="C1997" s="305" t="s">
        <v>1770</v>
      </c>
      <c r="D1997" s="648">
        <v>198321</v>
      </c>
      <c r="E1997" s="660">
        <v>9</v>
      </c>
      <c r="F1997" s="573"/>
      <c r="G1997" s="487"/>
      <c r="H1997" s="573">
        <v>607299</v>
      </c>
      <c r="I1997" s="487">
        <v>597504</v>
      </c>
      <c r="J1997" s="573"/>
      <c r="K1997" s="487"/>
      <c r="L1997" s="573">
        <v>96960</v>
      </c>
      <c r="M1997" s="573"/>
      <c r="N1997" s="456">
        <f t="shared" si="249"/>
        <v>96960</v>
      </c>
      <c r="O1997" s="487">
        <v>88870</v>
      </c>
      <c r="P1997" s="487"/>
      <c r="Q1997" s="274">
        <f t="shared" si="252"/>
        <v>88870</v>
      </c>
      <c r="R1997" s="574">
        <f t="shared" si="253"/>
        <v>704259</v>
      </c>
      <c r="S1997" s="275">
        <f t="shared" si="254"/>
        <v>686374</v>
      </c>
      <c r="T1997" s="575"/>
      <c r="U1997" s="487"/>
      <c r="V1997" s="576"/>
      <c r="W1997" s="573"/>
      <c r="X1997" s="574">
        <f t="shared" si="250"/>
        <v>0</v>
      </c>
      <c r="Y1997" s="487"/>
      <c r="Z1997" s="487"/>
      <c r="AA1997" s="276">
        <f t="shared" si="251"/>
        <v>0</v>
      </c>
      <c r="AB1997" s="573"/>
      <c r="AC1997" s="487"/>
      <c r="AD1997" s="573"/>
      <c r="AE1997" s="487"/>
      <c r="AF1997" s="577">
        <f t="shared" si="255"/>
        <v>704259</v>
      </c>
      <c r="AG1997" s="275">
        <f t="shared" si="256"/>
        <v>686374</v>
      </c>
    </row>
    <row r="1998" spans="1:33" ht="12" customHeight="1">
      <c r="A1998" s="646" t="s">
        <v>1281</v>
      </c>
      <c r="B1998" s="646" t="s">
        <v>1776</v>
      </c>
      <c r="C1998" s="743" t="s">
        <v>1474</v>
      </c>
      <c r="D1998" s="648">
        <v>198330</v>
      </c>
      <c r="E1998" s="660">
        <v>9</v>
      </c>
      <c r="F1998" s="573">
        <v>13193903</v>
      </c>
      <c r="G1998" s="487">
        <v>14453039</v>
      </c>
      <c r="H1998" s="573"/>
      <c r="I1998" s="487"/>
      <c r="J1998" s="573">
        <v>2716231</v>
      </c>
      <c r="K1998" s="487">
        <v>3527429</v>
      </c>
      <c r="L1998" s="573">
        <v>5205059</v>
      </c>
      <c r="M1998" s="573"/>
      <c r="N1998" s="456">
        <f t="shared" si="249"/>
        <v>5205059</v>
      </c>
      <c r="O1998" s="487">
        <v>4229084</v>
      </c>
      <c r="P1998" s="487"/>
      <c r="Q1998" s="274">
        <f t="shared" si="252"/>
        <v>4229084</v>
      </c>
      <c r="R1998" s="574">
        <f t="shared" si="253"/>
        <v>21115193</v>
      </c>
      <c r="S1998" s="275">
        <f t="shared" si="254"/>
        <v>22209552</v>
      </c>
      <c r="T1998" s="575"/>
      <c r="U1998" s="487"/>
      <c r="V1998" s="576"/>
      <c r="W1998" s="573"/>
      <c r="X1998" s="574">
        <f t="shared" si="250"/>
        <v>0</v>
      </c>
      <c r="Y1998" s="487"/>
      <c r="Z1998" s="487"/>
      <c r="AA1998" s="276">
        <f t="shared" si="251"/>
        <v>0</v>
      </c>
      <c r="AB1998" s="573"/>
      <c r="AC1998" s="487"/>
      <c r="AD1998" s="573"/>
      <c r="AE1998" s="487"/>
      <c r="AF1998" s="577">
        <f t="shared" si="255"/>
        <v>21115193</v>
      </c>
      <c r="AG1998" s="275">
        <f t="shared" si="256"/>
        <v>22209552</v>
      </c>
    </row>
    <row r="1999" spans="1:33" ht="12" customHeight="1">
      <c r="A1999" s="646" t="s">
        <v>1281</v>
      </c>
      <c r="B1999" s="646" t="s">
        <v>1776</v>
      </c>
      <c r="C1999" s="305" t="s">
        <v>508</v>
      </c>
      <c r="D1999" s="648">
        <v>198330</v>
      </c>
      <c r="E1999" s="660">
        <v>9</v>
      </c>
      <c r="F1999" s="573"/>
      <c r="G1999" s="487"/>
      <c r="H1999" s="573">
        <v>103928</v>
      </c>
      <c r="I1999" s="487">
        <v>159031</v>
      </c>
      <c r="J1999" s="573"/>
      <c r="K1999" s="487"/>
      <c r="L1999" s="573"/>
      <c r="M1999" s="573"/>
      <c r="N1999" s="456">
        <f t="shared" si="249"/>
        <v>0</v>
      </c>
      <c r="O1999" s="487"/>
      <c r="P1999" s="487"/>
      <c r="Q1999" s="274">
        <f t="shared" si="252"/>
        <v>0</v>
      </c>
      <c r="R1999" s="574">
        <f t="shared" si="253"/>
        <v>103928</v>
      </c>
      <c r="S1999" s="275">
        <f t="shared" si="254"/>
        <v>159031</v>
      </c>
      <c r="T1999" s="575"/>
      <c r="U1999" s="487"/>
      <c r="V1999" s="576"/>
      <c r="W1999" s="573"/>
      <c r="X1999" s="574">
        <f t="shared" si="250"/>
        <v>0</v>
      </c>
      <c r="Y1999" s="487"/>
      <c r="Z1999" s="487"/>
      <c r="AA1999" s="276">
        <f t="shared" si="251"/>
        <v>0</v>
      </c>
      <c r="AB1999" s="573"/>
      <c r="AC1999" s="487"/>
      <c r="AD1999" s="573"/>
      <c r="AE1999" s="487"/>
      <c r="AF1999" s="577">
        <f t="shared" si="255"/>
        <v>103928</v>
      </c>
      <c r="AG1999" s="275">
        <f t="shared" si="256"/>
        <v>159031</v>
      </c>
    </row>
    <row r="2000" spans="1:33" ht="12" customHeight="1">
      <c r="A2000" s="646" t="s">
        <v>1281</v>
      </c>
      <c r="B2000" s="646" t="s">
        <v>1778</v>
      </c>
      <c r="C2000" s="305" t="s">
        <v>1891</v>
      </c>
      <c r="D2000" s="648">
        <v>198330</v>
      </c>
      <c r="E2000" s="660">
        <v>9</v>
      </c>
      <c r="F2000" s="573"/>
      <c r="G2000" s="487"/>
      <c r="H2000" s="573">
        <v>191120</v>
      </c>
      <c r="I2000" s="487">
        <v>188682</v>
      </c>
      <c r="J2000" s="573"/>
      <c r="K2000" s="487"/>
      <c r="L2000" s="573"/>
      <c r="M2000" s="573"/>
      <c r="N2000" s="456">
        <f t="shared" si="249"/>
        <v>0</v>
      </c>
      <c r="O2000" s="487"/>
      <c r="P2000" s="487"/>
      <c r="Q2000" s="274">
        <f t="shared" si="252"/>
        <v>0</v>
      </c>
      <c r="R2000" s="574">
        <f t="shared" si="253"/>
        <v>191120</v>
      </c>
      <c r="S2000" s="275">
        <f t="shared" si="254"/>
        <v>188682</v>
      </c>
      <c r="T2000" s="575"/>
      <c r="U2000" s="487"/>
      <c r="V2000" s="576"/>
      <c r="W2000" s="573"/>
      <c r="X2000" s="574">
        <f t="shared" si="250"/>
        <v>0</v>
      </c>
      <c r="Y2000" s="487"/>
      <c r="Z2000" s="487"/>
      <c r="AA2000" s="276">
        <f t="shared" si="251"/>
        <v>0</v>
      </c>
      <c r="AB2000" s="573"/>
      <c r="AC2000" s="487"/>
      <c r="AD2000" s="573"/>
      <c r="AE2000" s="487"/>
      <c r="AF2000" s="577">
        <f t="shared" si="255"/>
        <v>191120</v>
      </c>
      <c r="AG2000" s="275">
        <f t="shared" si="256"/>
        <v>188682</v>
      </c>
    </row>
    <row r="2001" spans="1:33" ht="12" customHeight="1">
      <c r="A2001" s="646" t="s">
        <v>1281</v>
      </c>
      <c r="B2001" s="646" t="s">
        <v>1787</v>
      </c>
      <c r="C2001" s="305" t="s">
        <v>1770</v>
      </c>
      <c r="D2001" s="648">
        <v>198330</v>
      </c>
      <c r="E2001" s="660">
        <v>9</v>
      </c>
      <c r="F2001" s="573"/>
      <c r="G2001" s="487"/>
      <c r="H2001" s="573">
        <v>1270600</v>
      </c>
      <c r="I2001" s="487">
        <v>1637807</v>
      </c>
      <c r="J2001" s="573"/>
      <c r="K2001" s="487"/>
      <c r="L2001" s="573">
        <v>963151</v>
      </c>
      <c r="M2001" s="573"/>
      <c r="N2001" s="456">
        <f t="shared" si="249"/>
        <v>963151</v>
      </c>
      <c r="O2001" s="487">
        <v>529285</v>
      </c>
      <c r="P2001" s="487"/>
      <c r="Q2001" s="274">
        <f t="shared" si="252"/>
        <v>529285</v>
      </c>
      <c r="R2001" s="574">
        <f t="shared" si="253"/>
        <v>2233751</v>
      </c>
      <c r="S2001" s="275">
        <f t="shared" si="254"/>
        <v>2167092</v>
      </c>
      <c r="T2001" s="575"/>
      <c r="U2001" s="487"/>
      <c r="V2001" s="576"/>
      <c r="W2001" s="573"/>
      <c r="X2001" s="574">
        <f t="shared" si="250"/>
        <v>0</v>
      </c>
      <c r="Y2001" s="487"/>
      <c r="Z2001" s="487"/>
      <c r="AA2001" s="276">
        <f t="shared" si="251"/>
        <v>0</v>
      </c>
      <c r="AB2001" s="573"/>
      <c r="AC2001" s="487"/>
      <c r="AD2001" s="573"/>
      <c r="AE2001" s="487"/>
      <c r="AF2001" s="577">
        <f t="shared" si="255"/>
        <v>2233751</v>
      </c>
      <c r="AG2001" s="275">
        <f t="shared" si="256"/>
        <v>2167092</v>
      </c>
    </row>
    <row r="2002" spans="1:33" ht="12" customHeight="1">
      <c r="A2002" s="646" t="s">
        <v>1281</v>
      </c>
      <c r="B2002" s="646" t="s">
        <v>1776</v>
      </c>
      <c r="C2002" s="743" t="s">
        <v>1475</v>
      </c>
      <c r="D2002" s="648">
        <v>197814</v>
      </c>
      <c r="E2002" s="660">
        <v>9</v>
      </c>
      <c r="F2002" s="573">
        <v>9514362</v>
      </c>
      <c r="G2002" s="487">
        <v>10049735</v>
      </c>
      <c r="H2002" s="573"/>
      <c r="I2002" s="487"/>
      <c r="J2002" s="573">
        <v>1443606</v>
      </c>
      <c r="K2002" s="487">
        <v>1582360</v>
      </c>
      <c r="L2002" s="573">
        <v>1796917</v>
      </c>
      <c r="M2002" s="573"/>
      <c r="N2002" s="456">
        <f t="shared" si="249"/>
        <v>1796917</v>
      </c>
      <c r="O2002" s="487">
        <v>1872865</v>
      </c>
      <c r="P2002" s="487"/>
      <c r="Q2002" s="274">
        <f t="shared" si="252"/>
        <v>1872865</v>
      </c>
      <c r="R2002" s="574">
        <f t="shared" si="253"/>
        <v>12754885</v>
      </c>
      <c r="S2002" s="275">
        <f t="shared" si="254"/>
        <v>13504960</v>
      </c>
      <c r="T2002" s="575"/>
      <c r="U2002" s="487"/>
      <c r="V2002" s="576"/>
      <c r="W2002" s="573"/>
      <c r="X2002" s="574">
        <f t="shared" si="250"/>
        <v>0</v>
      </c>
      <c r="Y2002" s="487"/>
      <c r="Z2002" s="487"/>
      <c r="AA2002" s="276">
        <f t="shared" si="251"/>
        <v>0</v>
      </c>
      <c r="AB2002" s="573"/>
      <c r="AC2002" s="487"/>
      <c r="AD2002" s="573"/>
      <c r="AE2002" s="487"/>
      <c r="AF2002" s="577">
        <f t="shared" si="255"/>
        <v>12754885</v>
      </c>
      <c r="AG2002" s="275">
        <f t="shared" si="256"/>
        <v>13504960</v>
      </c>
    </row>
    <row r="2003" spans="1:33" ht="12" customHeight="1">
      <c r="A2003" s="646" t="s">
        <v>1281</v>
      </c>
      <c r="B2003" s="646" t="s">
        <v>1776</v>
      </c>
      <c r="C2003" s="305" t="s">
        <v>508</v>
      </c>
      <c r="D2003" s="648">
        <v>197814</v>
      </c>
      <c r="E2003" s="660">
        <v>9</v>
      </c>
      <c r="F2003" s="573"/>
      <c r="G2003" s="487"/>
      <c r="H2003" s="573">
        <v>53406</v>
      </c>
      <c r="I2003" s="487">
        <v>68589</v>
      </c>
      <c r="J2003" s="573"/>
      <c r="K2003" s="487"/>
      <c r="L2003" s="573"/>
      <c r="M2003" s="573"/>
      <c r="N2003" s="456">
        <f t="shared" ref="N2003:N2066" si="257">SUM(L2003:M2003)</f>
        <v>0</v>
      </c>
      <c r="O2003" s="487"/>
      <c r="P2003" s="487"/>
      <c r="Q2003" s="274">
        <f t="shared" si="252"/>
        <v>0</v>
      </c>
      <c r="R2003" s="574">
        <f t="shared" si="253"/>
        <v>53406</v>
      </c>
      <c r="S2003" s="275">
        <f t="shared" si="254"/>
        <v>68589</v>
      </c>
      <c r="T2003" s="575"/>
      <c r="U2003" s="487"/>
      <c r="V2003" s="576"/>
      <c r="W2003" s="573"/>
      <c r="X2003" s="574">
        <f t="shared" ref="X2003:X2066" si="258">SUM(V2003:W2003)</f>
        <v>0</v>
      </c>
      <c r="Y2003" s="487"/>
      <c r="Z2003" s="487"/>
      <c r="AA2003" s="276">
        <f t="shared" ref="AA2003:AA2066" si="259">SUM(Y2003:Z2003)</f>
        <v>0</v>
      </c>
      <c r="AB2003" s="573"/>
      <c r="AC2003" s="487"/>
      <c r="AD2003" s="573"/>
      <c r="AE2003" s="487"/>
      <c r="AF2003" s="577">
        <f t="shared" si="255"/>
        <v>53406</v>
      </c>
      <c r="AG2003" s="275">
        <f t="shared" si="256"/>
        <v>68589</v>
      </c>
    </row>
    <row r="2004" spans="1:33" ht="12" customHeight="1">
      <c r="A2004" s="646" t="s">
        <v>1281</v>
      </c>
      <c r="B2004" s="646" t="s">
        <v>1778</v>
      </c>
      <c r="C2004" s="305" t="s">
        <v>1891</v>
      </c>
      <c r="D2004" s="648">
        <v>197814</v>
      </c>
      <c r="E2004" s="660">
        <v>9</v>
      </c>
      <c r="F2004" s="573"/>
      <c r="G2004" s="487"/>
      <c r="H2004" s="573">
        <v>175525</v>
      </c>
      <c r="I2004" s="487">
        <v>170428</v>
      </c>
      <c r="J2004" s="573"/>
      <c r="K2004" s="487"/>
      <c r="L2004" s="573"/>
      <c r="M2004" s="573"/>
      <c r="N2004" s="456">
        <f t="shared" si="257"/>
        <v>0</v>
      </c>
      <c r="O2004" s="487"/>
      <c r="P2004" s="487"/>
      <c r="Q2004" s="274">
        <f t="shared" si="252"/>
        <v>0</v>
      </c>
      <c r="R2004" s="574">
        <f t="shared" si="253"/>
        <v>175525</v>
      </c>
      <c r="S2004" s="275">
        <f t="shared" si="254"/>
        <v>170428</v>
      </c>
      <c r="T2004" s="575"/>
      <c r="U2004" s="487"/>
      <c r="V2004" s="576"/>
      <c r="W2004" s="573"/>
      <c r="X2004" s="574">
        <f t="shared" si="258"/>
        <v>0</v>
      </c>
      <c r="Y2004" s="487"/>
      <c r="Z2004" s="487"/>
      <c r="AA2004" s="276">
        <f t="shared" si="259"/>
        <v>0</v>
      </c>
      <c r="AB2004" s="573"/>
      <c r="AC2004" s="487"/>
      <c r="AD2004" s="573"/>
      <c r="AE2004" s="487"/>
      <c r="AF2004" s="577">
        <f t="shared" si="255"/>
        <v>175525</v>
      </c>
      <c r="AG2004" s="275">
        <f t="shared" si="256"/>
        <v>170428</v>
      </c>
    </row>
    <row r="2005" spans="1:33" ht="12" customHeight="1">
      <c r="A2005" s="646" t="s">
        <v>1281</v>
      </c>
      <c r="B2005" s="646" t="s">
        <v>1787</v>
      </c>
      <c r="C2005" s="305" t="s">
        <v>1770</v>
      </c>
      <c r="D2005" s="648">
        <v>197814</v>
      </c>
      <c r="E2005" s="660">
        <v>9</v>
      </c>
      <c r="F2005" s="573"/>
      <c r="G2005" s="487"/>
      <c r="H2005" s="573">
        <v>518080</v>
      </c>
      <c r="I2005" s="487">
        <v>606451</v>
      </c>
      <c r="J2005" s="573"/>
      <c r="K2005" s="487"/>
      <c r="L2005" s="573">
        <v>164660</v>
      </c>
      <c r="M2005" s="573"/>
      <c r="N2005" s="456">
        <f t="shared" si="257"/>
        <v>164660</v>
      </c>
      <c r="O2005" s="487">
        <v>119472</v>
      </c>
      <c r="P2005" s="487"/>
      <c r="Q2005" s="274">
        <f t="shared" si="252"/>
        <v>119472</v>
      </c>
      <c r="R2005" s="574">
        <f t="shared" si="253"/>
        <v>682740</v>
      </c>
      <c r="S2005" s="275">
        <f t="shared" si="254"/>
        <v>725923</v>
      </c>
      <c r="T2005" s="575"/>
      <c r="U2005" s="487"/>
      <c r="V2005" s="576"/>
      <c r="W2005" s="573"/>
      <c r="X2005" s="574">
        <f t="shared" si="258"/>
        <v>0</v>
      </c>
      <c r="Y2005" s="487"/>
      <c r="Z2005" s="487"/>
      <c r="AA2005" s="276">
        <f t="shared" si="259"/>
        <v>0</v>
      </c>
      <c r="AB2005" s="573"/>
      <c r="AC2005" s="487"/>
      <c r="AD2005" s="573"/>
      <c r="AE2005" s="487"/>
      <c r="AF2005" s="577">
        <f t="shared" si="255"/>
        <v>682740</v>
      </c>
      <c r="AG2005" s="275">
        <f t="shared" si="256"/>
        <v>725923</v>
      </c>
    </row>
    <row r="2006" spans="1:33" ht="12" customHeight="1">
      <c r="A2006" s="646" t="s">
        <v>1281</v>
      </c>
      <c r="B2006" s="646" t="s">
        <v>1776</v>
      </c>
      <c r="C2006" s="743" t="s">
        <v>1476</v>
      </c>
      <c r="D2006" s="648">
        <v>198367</v>
      </c>
      <c r="E2006" s="660">
        <v>9</v>
      </c>
      <c r="F2006" s="573">
        <v>9955988</v>
      </c>
      <c r="G2006" s="487">
        <v>10725017</v>
      </c>
      <c r="H2006" s="573"/>
      <c r="I2006" s="487"/>
      <c r="J2006" s="573">
        <v>2985130</v>
      </c>
      <c r="K2006" s="487">
        <v>3330130</v>
      </c>
      <c r="L2006" s="573">
        <v>3096462</v>
      </c>
      <c r="M2006" s="573"/>
      <c r="N2006" s="456">
        <f t="shared" si="257"/>
        <v>3096462</v>
      </c>
      <c r="O2006" s="487">
        <v>2629878</v>
      </c>
      <c r="P2006" s="487"/>
      <c r="Q2006" s="274">
        <f t="shared" si="252"/>
        <v>2629878</v>
      </c>
      <c r="R2006" s="574">
        <f t="shared" si="253"/>
        <v>16037580</v>
      </c>
      <c r="S2006" s="275">
        <f t="shared" si="254"/>
        <v>16685025</v>
      </c>
      <c r="T2006" s="575"/>
      <c r="U2006" s="487"/>
      <c r="V2006" s="576"/>
      <c r="W2006" s="573"/>
      <c r="X2006" s="574">
        <f t="shared" si="258"/>
        <v>0</v>
      </c>
      <c r="Y2006" s="487"/>
      <c r="Z2006" s="487"/>
      <c r="AA2006" s="276">
        <f t="shared" si="259"/>
        <v>0</v>
      </c>
      <c r="AB2006" s="573"/>
      <c r="AC2006" s="487"/>
      <c r="AD2006" s="573"/>
      <c r="AE2006" s="487"/>
      <c r="AF2006" s="577">
        <f t="shared" si="255"/>
        <v>16037580</v>
      </c>
      <c r="AG2006" s="275">
        <f t="shared" si="256"/>
        <v>16685025</v>
      </c>
    </row>
    <row r="2007" spans="1:33" ht="12" customHeight="1">
      <c r="A2007" s="646" t="s">
        <v>1281</v>
      </c>
      <c r="B2007" s="646" t="s">
        <v>1776</v>
      </c>
      <c r="C2007" s="305" t="s">
        <v>508</v>
      </c>
      <c r="D2007" s="648">
        <v>198367</v>
      </c>
      <c r="E2007" s="660">
        <v>9</v>
      </c>
      <c r="F2007" s="573"/>
      <c r="G2007" s="487"/>
      <c r="H2007" s="573">
        <v>96562</v>
      </c>
      <c r="I2007" s="487">
        <v>142889</v>
      </c>
      <c r="J2007" s="573"/>
      <c r="K2007" s="487"/>
      <c r="L2007" s="573"/>
      <c r="M2007" s="573"/>
      <c r="N2007" s="456">
        <f t="shared" si="257"/>
        <v>0</v>
      </c>
      <c r="O2007" s="487"/>
      <c r="P2007" s="487"/>
      <c r="Q2007" s="274">
        <f t="shared" si="252"/>
        <v>0</v>
      </c>
      <c r="R2007" s="574">
        <f t="shared" si="253"/>
        <v>96562</v>
      </c>
      <c r="S2007" s="275">
        <f t="shared" si="254"/>
        <v>142889</v>
      </c>
      <c r="T2007" s="575"/>
      <c r="U2007" s="487"/>
      <c r="V2007" s="576"/>
      <c r="W2007" s="573"/>
      <c r="X2007" s="574">
        <f t="shared" si="258"/>
        <v>0</v>
      </c>
      <c r="Y2007" s="487"/>
      <c r="Z2007" s="487"/>
      <c r="AA2007" s="276">
        <f t="shared" si="259"/>
        <v>0</v>
      </c>
      <c r="AB2007" s="573"/>
      <c r="AC2007" s="487"/>
      <c r="AD2007" s="573"/>
      <c r="AE2007" s="487"/>
      <c r="AF2007" s="577">
        <f t="shared" si="255"/>
        <v>96562</v>
      </c>
      <c r="AG2007" s="275">
        <f t="shared" si="256"/>
        <v>142889</v>
      </c>
    </row>
    <row r="2008" spans="1:33" ht="12" customHeight="1">
      <c r="A2008" s="646" t="s">
        <v>1281</v>
      </c>
      <c r="B2008" s="646" t="s">
        <v>1778</v>
      </c>
      <c r="C2008" s="305" t="s">
        <v>1891</v>
      </c>
      <c r="D2008" s="648">
        <v>198367</v>
      </c>
      <c r="E2008" s="660">
        <v>9</v>
      </c>
      <c r="F2008" s="573"/>
      <c r="G2008" s="487"/>
      <c r="H2008" s="573">
        <v>196918</v>
      </c>
      <c r="I2008" s="487">
        <v>212216</v>
      </c>
      <c r="J2008" s="573"/>
      <c r="K2008" s="487"/>
      <c r="L2008" s="573"/>
      <c r="M2008" s="573"/>
      <c r="N2008" s="456">
        <f t="shared" si="257"/>
        <v>0</v>
      </c>
      <c r="O2008" s="487"/>
      <c r="P2008" s="487"/>
      <c r="Q2008" s="274">
        <f t="shared" si="252"/>
        <v>0</v>
      </c>
      <c r="R2008" s="574">
        <f t="shared" si="253"/>
        <v>196918</v>
      </c>
      <c r="S2008" s="275">
        <f t="shared" si="254"/>
        <v>212216</v>
      </c>
      <c r="T2008" s="575"/>
      <c r="U2008" s="487"/>
      <c r="V2008" s="576"/>
      <c r="W2008" s="573"/>
      <c r="X2008" s="574">
        <f t="shared" si="258"/>
        <v>0</v>
      </c>
      <c r="Y2008" s="487"/>
      <c r="Z2008" s="487"/>
      <c r="AA2008" s="276">
        <f t="shared" si="259"/>
        <v>0</v>
      </c>
      <c r="AB2008" s="573"/>
      <c r="AC2008" s="487"/>
      <c r="AD2008" s="573"/>
      <c r="AE2008" s="487"/>
      <c r="AF2008" s="577">
        <f t="shared" si="255"/>
        <v>196918</v>
      </c>
      <c r="AG2008" s="275">
        <f t="shared" si="256"/>
        <v>212216</v>
      </c>
    </row>
    <row r="2009" spans="1:33" ht="12" customHeight="1">
      <c r="A2009" s="646" t="s">
        <v>1281</v>
      </c>
      <c r="B2009" s="646" t="s">
        <v>1787</v>
      </c>
      <c r="C2009" s="305" t="s">
        <v>1770</v>
      </c>
      <c r="D2009" s="648">
        <v>198367</v>
      </c>
      <c r="E2009" s="660">
        <v>9</v>
      </c>
      <c r="F2009" s="573"/>
      <c r="G2009" s="487"/>
      <c r="H2009" s="573">
        <v>732815</v>
      </c>
      <c r="I2009" s="487">
        <v>835247</v>
      </c>
      <c r="J2009" s="573"/>
      <c r="K2009" s="487"/>
      <c r="L2009" s="573">
        <v>212470</v>
      </c>
      <c r="M2009" s="573"/>
      <c r="N2009" s="456">
        <f t="shared" si="257"/>
        <v>212470</v>
      </c>
      <c r="O2009" s="487">
        <v>160945</v>
      </c>
      <c r="P2009" s="487"/>
      <c r="Q2009" s="274">
        <f t="shared" si="252"/>
        <v>160945</v>
      </c>
      <c r="R2009" s="574">
        <f t="shared" si="253"/>
        <v>945285</v>
      </c>
      <c r="S2009" s="275">
        <f t="shared" si="254"/>
        <v>996192</v>
      </c>
      <c r="T2009" s="575"/>
      <c r="U2009" s="487"/>
      <c r="V2009" s="576"/>
      <c r="W2009" s="573"/>
      <c r="X2009" s="574">
        <f t="shared" si="258"/>
        <v>0</v>
      </c>
      <c r="Y2009" s="487"/>
      <c r="Z2009" s="487"/>
      <c r="AA2009" s="276">
        <f t="shared" si="259"/>
        <v>0</v>
      </c>
      <c r="AB2009" s="573"/>
      <c r="AC2009" s="487"/>
      <c r="AD2009" s="573"/>
      <c r="AE2009" s="487"/>
      <c r="AF2009" s="577">
        <f t="shared" si="255"/>
        <v>945285</v>
      </c>
      <c r="AG2009" s="275">
        <f t="shared" si="256"/>
        <v>996192</v>
      </c>
    </row>
    <row r="2010" spans="1:33" ht="12" customHeight="1">
      <c r="A2010" s="646" t="s">
        <v>1281</v>
      </c>
      <c r="B2010" s="646" t="s">
        <v>1776</v>
      </c>
      <c r="C2010" s="743" t="s">
        <v>1477</v>
      </c>
      <c r="D2010" s="648">
        <v>198376</v>
      </c>
      <c r="E2010" s="660">
        <v>9</v>
      </c>
      <c r="F2010" s="573">
        <v>13914649</v>
      </c>
      <c r="G2010" s="487">
        <v>14683568</v>
      </c>
      <c r="H2010" s="573"/>
      <c r="I2010" s="487"/>
      <c r="J2010" s="573">
        <v>3061000</v>
      </c>
      <c r="K2010" s="487">
        <v>3933902</v>
      </c>
      <c r="L2010" s="573">
        <v>2091503</v>
      </c>
      <c r="M2010" s="573"/>
      <c r="N2010" s="456">
        <f t="shared" si="257"/>
        <v>2091503</v>
      </c>
      <c r="O2010" s="487">
        <v>2425992</v>
      </c>
      <c r="P2010" s="487"/>
      <c r="Q2010" s="274">
        <f t="shared" si="252"/>
        <v>2425992</v>
      </c>
      <c r="R2010" s="574">
        <f t="shared" si="253"/>
        <v>19067152</v>
      </c>
      <c r="S2010" s="275">
        <f t="shared" si="254"/>
        <v>21043462</v>
      </c>
      <c r="T2010" s="575"/>
      <c r="U2010" s="487"/>
      <c r="V2010" s="576"/>
      <c r="W2010" s="573"/>
      <c r="X2010" s="574">
        <f t="shared" si="258"/>
        <v>0</v>
      </c>
      <c r="Y2010" s="487"/>
      <c r="Z2010" s="487"/>
      <c r="AA2010" s="276">
        <f t="shared" si="259"/>
        <v>0</v>
      </c>
      <c r="AB2010" s="573"/>
      <c r="AC2010" s="487"/>
      <c r="AD2010" s="573"/>
      <c r="AE2010" s="487"/>
      <c r="AF2010" s="577">
        <f t="shared" si="255"/>
        <v>19067152</v>
      </c>
      <c r="AG2010" s="275">
        <f t="shared" si="256"/>
        <v>21043462</v>
      </c>
    </row>
    <row r="2011" spans="1:33" ht="12" customHeight="1">
      <c r="A2011" s="646" t="s">
        <v>1281</v>
      </c>
      <c r="B2011" s="646" t="s">
        <v>1776</v>
      </c>
      <c r="C2011" s="305" t="s">
        <v>508</v>
      </c>
      <c r="D2011" s="648">
        <v>198376</v>
      </c>
      <c r="E2011" s="660">
        <v>9</v>
      </c>
      <c r="F2011" s="573"/>
      <c r="G2011" s="487"/>
      <c r="H2011" s="573">
        <v>172456</v>
      </c>
      <c r="I2011" s="487">
        <v>247889</v>
      </c>
      <c r="J2011" s="573"/>
      <c r="K2011" s="487"/>
      <c r="L2011" s="573"/>
      <c r="M2011" s="573"/>
      <c r="N2011" s="456">
        <f t="shared" si="257"/>
        <v>0</v>
      </c>
      <c r="O2011" s="487"/>
      <c r="P2011" s="487"/>
      <c r="Q2011" s="274">
        <f t="shared" si="252"/>
        <v>0</v>
      </c>
      <c r="R2011" s="574">
        <f t="shared" si="253"/>
        <v>172456</v>
      </c>
      <c r="S2011" s="275">
        <f t="shared" si="254"/>
        <v>247889</v>
      </c>
      <c r="T2011" s="575"/>
      <c r="U2011" s="487"/>
      <c r="V2011" s="576"/>
      <c r="W2011" s="573"/>
      <c r="X2011" s="574">
        <f t="shared" si="258"/>
        <v>0</v>
      </c>
      <c r="Y2011" s="487"/>
      <c r="Z2011" s="487"/>
      <c r="AA2011" s="276">
        <f t="shared" si="259"/>
        <v>0</v>
      </c>
      <c r="AB2011" s="573"/>
      <c r="AC2011" s="487"/>
      <c r="AD2011" s="573"/>
      <c r="AE2011" s="487"/>
      <c r="AF2011" s="577">
        <f t="shared" si="255"/>
        <v>172456</v>
      </c>
      <c r="AG2011" s="275">
        <f t="shared" si="256"/>
        <v>247889</v>
      </c>
    </row>
    <row r="2012" spans="1:33" ht="12" customHeight="1">
      <c r="A2012" s="646" t="s">
        <v>1281</v>
      </c>
      <c r="B2012" s="646" t="s">
        <v>1778</v>
      </c>
      <c r="C2012" s="305" t="s">
        <v>1891</v>
      </c>
      <c r="D2012" s="648">
        <v>198376</v>
      </c>
      <c r="E2012" s="660">
        <v>9</v>
      </c>
      <c r="F2012" s="573"/>
      <c r="G2012" s="487"/>
      <c r="H2012" s="573">
        <v>194609</v>
      </c>
      <c r="I2012" s="487">
        <v>202555</v>
      </c>
      <c r="J2012" s="573"/>
      <c r="K2012" s="487"/>
      <c r="L2012" s="573"/>
      <c r="M2012" s="573"/>
      <c r="N2012" s="456">
        <f t="shared" si="257"/>
        <v>0</v>
      </c>
      <c r="O2012" s="487"/>
      <c r="P2012" s="487"/>
      <c r="Q2012" s="274">
        <f t="shared" si="252"/>
        <v>0</v>
      </c>
      <c r="R2012" s="574">
        <f t="shared" si="253"/>
        <v>194609</v>
      </c>
      <c r="S2012" s="275">
        <f t="shared" si="254"/>
        <v>202555</v>
      </c>
      <c r="T2012" s="575"/>
      <c r="U2012" s="487"/>
      <c r="V2012" s="576"/>
      <c r="W2012" s="573"/>
      <c r="X2012" s="574">
        <f t="shared" si="258"/>
        <v>0</v>
      </c>
      <c r="Y2012" s="487"/>
      <c r="Z2012" s="487"/>
      <c r="AA2012" s="276">
        <f t="shared" si="259"/>
        <v>0</v>
      </c>
      <c r="AB2012" s="573"/>
      <c r="AC2012" s="487"/>
      <c r="AD2012" s="573"/>
      <c r="AE2012" s="487"/>
      <c r="AF2012" s="577">
        <f t="shared" si="255"/>
        <v>194609</v>
      </c>
      <c r="AG2012" s="275">
        <f t="shared" si="256"/>
        <v>202555</v>
      </c>
    </row>
    <row r="2013" spans="1:33" ht="12" customHeight="1">
      <c r="A2013" s="646" t="s">
        <v>1281</v>
      </c>
      <c r="B2013" s="646" t="s">
        <v>1787</v>
      </c>
      <c r="C2013" s="305" t="s">
        <v>1770</v>
      </c>
      <c r="D2013" s="648">
        <v>198376</v>
      </c>
      <c r="E2013" s="660">
        <v>9</v>
      </c>
      <c r="F2013" s="573"/>
      <c r="G2013" s="487"/>
      <c r="H2013" s="573">
        <v>1228244</v>
      </c>
      <c r="I2013" s="487">
        <v>1509214</v>
      </c>
      <c r="J2013" s="573"/>
      <c r="K2013" s="487"/>
      <c r="L2013" s="573">
        <v>463065</v>
      </c>
      <c r="M2013" s="573"/>
      <c r="N2013" s="456">
        <f t="shared" si="257"/>
        <v>463065</v>
      </c>
      <c r="O2013" s="487">
        <v>199261</v>
      </c>
      <c r="P2013" s="487"/>
      <c r="Q2013" s="274">
        <f t="shared" si="252"/>
        <v>199261</v>
      </c>
      <c r="R2013" s="574">
        <f t="shared" si="253"/>
        <v>1691309</v>
      </c>
      <c r="S2013" s="275">
        <f t="shared" si="254"/>
        <v>1708475</v>
      </c>
      <c r="T2013" s="575"/>
      <c r="U2013" s="487"/>
      <c r="V2013" s="576"/>
      <c r="W2013" s="573"/>
      <c r="X2013" s="574">
        <f t="shared" si="258"/>
        <v>0</v>
      </c>
      <c r="Y2013" s="487"/>
      <c r="Z2013" s="487"/>
      <c r="AA2013" s="276">
        <f t="shared" si="259"/>
        <v>0</v>
      </c>
      <c r="AB2013" s="573"/>
      <c r="AC2013" s="487"/>
      <c r="AD2013" s="573"/>
      <c r="AE2013" s="487"/>
      <c r="AF2013" s="577">
        <f t="shared" si="255"/>
        <v>1691309</v>
      </c>
      <c r="AG2013" s="275">
        <f t="shared" si="256"/>
        <v>1708475</v>
      </c>
    </row>
    <row r="2014" spans="1:33" ht="12" customHeight="1">
      <c r="A2014" s="646" t="s">
        <v>1281</v>
      </c>
      <c r="B2014" s="646" t="s">
        <v>1776</v>
      </c>
      <c r="C2014" s="743" t="s">
        <v>1478</v>
      </c>
      <c r="D2014" s="648">
        <v>198491</v>
      </c>
      <c r="E2014" s="660">
        <v>9</v>
      </c>
      <c r="F2014" s="573">
        <v>10479004</v>
      </c>
      <c r="G2014" s="487">
        <v>10013011</v>
      </c>
      <c r="H2014" s="573"/>
      <c r="I2014" s="487"/>
      <c r="J2014" s="573">
        <v>1163000</v>
      </c>
      <c r="K2014" s="487">
        <v>1130000</v>
      </c>
      <c r="L2014" s="573">
        <v>1462265</v>
      </c>
      <c r="M2014" s="573"/>
      <c r="N2014" s="456">
        <f t="shared" si="257"/>
        <v>1462265</v>
      </c>
      <c r="O2014" s="487">
        <v>1643467</v>
      </c>
      <c r="P2014" s="487"/>
      <c r="Q2014" s="274">
        <f t="shared" si="252"/>
        <v>1643467</v>
      </c>
      <c r="R2014" s="574">
        <f t="shared" si="253"/>
        <v>13104269</v>
      </c>
      <c r="S2014" s="275">
        <f t="shared" si="254"/>
        <v>12786478</v>
      </c>
      <c r="T2014" s="575"/>
      <c r="U2014" s="487"/>
      <c r="V2014" s="576"/>
      <c r="W2014" s="573"/>
      <c r="X2014" s="574">
        <f t="shared" si="258"/>
        <v>0</v>
      </c>
      <c r="Y2014" s="487"/>
      <c r="Z2014" s="487"/>
      <c r="AA2014" s="276">
        <f t="shared" si="259"/>
        <v>0</v>
      </c>
      <c r="AB2014" s="573"/>
      <c r="AC2014" s="487"/>
      <c r="AD2014" s="573"/>
      <c r="AE2014" s="487"/>
      <c r="AF2014" s="577">
        <f t="shared" si="255"/>
        <v>13104269</v>
      </c>
      <c r="AG2014" s="275">
        <f t="shared" si="256"/>
        <v>12786478</v>
      </c>
    </row>
    <row r="2015" spans="1:33" ht="12" customHeight="1">
      <c r="A2015" s="646" t="s">
        <v>1281</v>
      </c>
      <c r="B2015" s="646" t="s">
        <v>1776</v>
      </c>
      <c r="C2015" s="305" t="s">
        <v>508</v>
      </c>
      <c r="D2015" s="648">
        <v>198491</v>
      </c>
      <c r="E2015" s="660">
        <v>9</v>
      </c>
      <c r="F2015" s="573"/>
      <c r="G2015" s="487"/>
      <c r="H2015" s="573">
        <v>151025</v>
      </c>
      <c r="I2015" s="487">
        <v>225455</v>
      </c>
      <c r="J2015" s="573"/>
      <c r="K2015" s="487"/>
      <c r="L2015" s="573"/>
      <c r="M2015" s="573"/>
      <c r="N2015" s="456">
        <f t="shared" si="257"/>
        <v>0</v>
      </c>
      <c r="O2015" s="487"/>
      <c r="P2015" s="487"/>
      <c r="Q2015" s="274">
        <f t="shared" si="252"/>
        <v>0</v>
      </c>
      <c r="R2015" s="574">
        <f t="shared" si="253"/>
        <v>151025</v>
      </c>
      <c r="S2015" s="275">
        <f t="shared" si="254"/>
        <v>225455</v>
      </c>
      <c r="T2015" s="575"/>
      <c r="U2015" s="487"/>
      <c r="V2015" s="576"/>
      <c r="W2015" s="573"/>
      <c r="X2015" s="574">
        <f t="shared" si="258"/>
        <v>0</v>
      </c>
      <c r="Y2015" s="487"/>
      <c r="Z2015" s="487"/>
      <c r="AA2015" s="276">
        <f t="shared" si="259"/>
        <v>0</v>
      </c>
      <c r="AB2015" s="573"/>
      <c r="AC2015" s="487"/>
      <c r="AD2015" s="573"/>
      <c r="AE2015" s="487"/>
      <c r="AF2015" s="577">
        <f t="shared" si="255"/>
        <v>151025</v>
      </c>
      <c r="AG2015" s="275">
        <f t="shared" si="256"/>
        <v>225455</v>
      </c>
    </row>
    <row r="2016" spans="1:33" ht="12" customHeight="1">
      <c r="A2016" s="646" t="s">
        <v>1281</v>
      </c>
      <c r="B2016" s="646" t="s">
        <v>1778</v>
      </c>
      <c r="C2016" s="305" t="s">
        <v>1891</v>
      </c>
      <c r="D2016" s="648">
        <v>198491</v>
      </c>
      <c r="E2016" s="660">
        <v>9</v>
      </c>
      <c r="F2016" s="573"/>
      <c r="G2016" s="487"/>
      <c r="H2016" s="573">
        <v>180392</v>
      </c>
      <c r="I2016" s="487">
        <v>169148</v>
      </c>
      <c r="J2016" s="573"/>
      <c r="K2016" s="487"/>
      <c r="L2016" s="573"/>
      <c r="M2016" s="573"/>
      <c r="N2016" s="456">
        <f t="shared" si="257"/>
        <v>0</v>
      </c>
      <c r="O2016" s="487"/>
      <c r="P2016" s="487"/>
      <c r="Q2016" s="274">
        <f t="shared" si="252"/>
        <v>0</v>
      </c>
      <c r="R2016" s="574">
        <f t="shared" si="253"/>
        <v>180392</v>
      </c>
      <c r="S2016" s="275">
        <f t="shared" si="254"/>
        <v>169148</v>
      </c>
      <c r="T2016" s="575"/>
      <c r="U2016" s="487"/>
      <c r="V2016" s="576"/>
      <c r="W2016" s="573"/>
      <c r="X2016" s="574">
        <f t="shared" si="258"/>
        <v>0</v>
      </c>
      <c r="Y2016" s="487"/>
      <c r="Z2016" s="487"/>
      <c r="AA2016" s="276">
        <f t="shared" si="259"/>
        <v>0</v>
      </c>
      <c r="AB2016" s="573"/>
      <c r="AC2016" s="487"/>
      <c r="AD2016" s="573"/>
      <c r="AE2016" s="487"/>
      <c r="AF2016" s="577">
        <f t="shared" si="255"/>
        <v>180392</v>
      </c>
      <c r="AG2016" s="275">
        <f t="shared" si="256"/>
        <v>169148</v>
      </c>
    </row>
    <row r="2017" spans="1:33" ht="12" customHeight="1">
      <c r="A2017" s="646" t="s">
        <v>1281</v>
      </c>
      <c r="B2017" s="646" t="s">
        <v>1787</v>
      </c>
      <c r="C2017" s="305" t="s">
        <v>1770</v>
      </c>
      <c r="D2017" s="648">
        <v>198491</v>
      </c>
      <c r="E2017" s="660">
        <v>9</v>
      </c>
      <c r="F2017" s="573"/>
      <c r="G2017" s="487"/>
      <c r="H2017" s="573">
        <v>644397</v>
      </c>
      <c r="I2017" s="487">
        <v>720625</v>
      </c>
      <c r="J2017" s="573"/>
      <c r="K2017" s="487"/>
      <c r="L2017" s="573">
        <v>85776</v>
      </c>
      <c r="M2017" s="573"/>
      <c r="N2017" s="456">
        <f t="shared" si="257"/>
        <v>85776</v>
      </c>
      <c r="O2017" s="487">
        <v>93697</v>
      </c>
      <c r="P2017" s="487"/>
      <c r="Q2017" s="274">
        <f t="shared" si="252"/>
        <v>93697</v>
      </c>
      <c r="R2017" s="574">
        <f t="shared" si="253"/>
        <v>730173</v>
      </c>
      <c r="S2017" s="275">
        <f t="shared" si="254"/>
        <v>814322</v>
      </c>
      <c r="T2017" s="575"/>
      <c r="U2017" s="487"/>
      <c r="V2017" s="576"/>
      <c r="W2017" s="573"/>
      <c r="X2017" s="574">
        <f t="shared" si="258"/>
        <v>0</v>
      </c>
      <c r="Y2017" s="487"/>
      <c r="Z2017" s="487"/>
      <c r="AA2017" s="276">
        <f t="shared" si="259"/>
        <v>0</v>
      </c>
      <c r="AB2017" s="573"/>
      <c r="AC2017" s="487"/>
      <c r="AD2017" s="573"/>
      <c r="AE2017" s="487"/>
      <c r="AF2017" s="577">
        <f t="shared" si="255"/>
        <v>730173</v>
      </c>
      <c r="AG2017" s="275">
        <f t="shared" si="256"/>
        <v>814322</v>
      </c>
    </row>
    <row r="2018" spans="1:33" ht="12" customHeight="1">
      <c r="A2018" s="646" t="s">
        <v>1281</v>
      </c>
      <c r="B2018" s="646" t="s">
        <v>1776</v>
      </c>
      <c r="C2018" s="743" t="s">
        <v>1479</v>
      </c>
      <c r="D2018" s="648">
        <v>198570</v>
      </c>
      <c r="E2018" s="660">
        <v>9</v>
      </c>
      <c r="F2018" s="573">
        <v>17248034</v>
      </c>
      <c r="G2018" s="487">
        <v>18030235</v>
      </c>
      <c r="H2018" s="573"/>
      <c r="I2018" s="487"/>
      <c r="J2018" s="573">
        <v>3808517</v>
      </c>
      <c r="K2018" s="487">
        <v>10543405</v>
      </c>
      <c r="L2018" s="573">
        <v>4109893</v>
      </c>
      <c r="M2018" s="573"/>
      <c r="N2018" s="456">
        <f t="shared" si="257"/>
        <v>4109893</v>
      </c>
      <c r="O2018" s="487">
        <v>4312333</v>
      </c>
      <c r="P2018" s="487"/>
      <c r="Q2018" s="274">
        <f t="shared" si="252"/>
        <v>4312333</v>
      </c>
      <c r="R2018" s="574">
        <f t="shared" si="253"/>
        <v>25166444</v>
      </c>
      <c r="S2018" s="275">
        <f t="shared" si="254"/>
        <v>32885973</v>
      </c>
      <c r="T2018" s="575"/>
      <c r="U2018" s="487"/>
      <c r="V2018" s="576"/>
      <c r="W2018" s="573"/>
      <c r="X2018" s="574">
        <f t="shared" si="258"/>
        <v>0</v>
      </c>
      <c r="Y2018" s="487"/>
      <c r="Z2018" s="487"/>
      <c r="AA2018" s="276">
        <f t="shared" si="259"/>
        <v>0</v>
      </c>
      <c r="AB2018" s="573"/>
      <c r="AC2018" s="487"/>
      <c r="AD2018" s="573"/>
      <c r="AE2018" s="487"/>
      <c r="AF2018" s="577">
        <f t="shared" si="255"/>
        <v>25166444</v>
      </c>
      <c r="AG2018" s="275">
        <f t="shared" si="256"/>
        <v>32885973</v>
      </c>
    </row>
    <row r="2019" spans="1:33" ht="12" customHeight="1">
      <c r="A2019" s="646" t="s">
        <v>1281</v>
      </c>
      <c r="B2019" s="646" t="s">
        <v>1776</v>
      </c>
      <c r="C2019" s="305" t="s">
        <v>508</v>
      </c>
      <c r="D2019" s="648">
        <v>198570</v>
      </c>
      <c r="E2019" s="660">
        <v>9</v>
      </c>
      <c r="F2019" s="573"/>
      <c r="G2019" s="487"/>
      <c r="H2019" s="573">
        <v>159696</v>
      </c>
      <c r="I2019" s="487">
        <v>236130</v>
      </c>
      <c r="J2019" s="573"/>
      <c r="K2019" s="487"/>
      <c r="L2019" s="573"/>
      <c r="M2019" s="573"/>
      <c r="N2019" s="456">
        <f t="shared" si="257"/>
        <v>0</v>
      </c>
      <c r="O2019" s="487"/>
      <c r="P2019" s="487"/>
      <c r="Q2019" s="274">
        <f t="shared" si="252"/>
        <v>0</v>
      </c>
      <c r="R2019" s="574">
        <f t="shared" si="253"/>
        <v>159696</v>
      </c>
      <c r="S2019" s="275">
        <f t="shared" si="254"/>
        <v>236130</v>
      </c>
      <c r="T2019" s="575"/>
      <c r="U2019" s="487"/>
      <c r="V2019" s="576"/>
      <c r="W2019" s="573"/>
      <c r="X2019" s="574">
        <f t="shared" si="258"/>
        <v>0</v>
      </c>
      <c r="Y2019" s="487"/>
      <c r="Z2019" s="487"/>
      <c r="AA2019" s="276">
        <f t="shared" si="259"/>
        <v>0</v>
      </c>
      <c r="AB2019" s="573"/>
      <c r="AC2019" s="487"/>
      <c r="AD2019" s="573"/>
      <c r="AE2019" s="487"/>
      <c r="AF2019" s="577">
        <f t="shared" si="255"/>
        <v>159696</v>
      </c>
      <c r="AG2019" s="275">
        <f t="shared" si="256"/>
        <v>236130</v>
      </c>
    </row>
    <row r="2020" spans="1:33" ht="12" customHeight="1">
      <c r="A2020" s="646" t="s">
        <v>1281</v>
      </c>
      <c r="B2020" s="646" t="s">
        <v>1778</v>
      </c>
      <c r="C2020" s="305" t="s">
        <v>1891</v>
      </c>
      <c r="D2020" s="648">
        <v>198570</v>
      </c>
      <c r="E2020" s="660">
        <v>9</v>
      </c>
      <c r="F2020" s="573"/>
      <c r="G2020" s="487"/>
      <c r="H2020" s="573">
        <v>217221</v>
      </c>
      <c r="I2020" s="487">
        <v>222757</v>
      </c>
      <c r="J2020" s="573"/>
      <c r="K2020" s="487"/>
      <c r="L2020" s="573"/>
      <c r="M2020" s="573"/>
      <c r="N2020" s="456">
        <f t="shared" si="257"/>
        <v>0</v>
      </c>
      <c r="O2020" s="487"/>
      <c r="P2020" s="487"/>
      <c r="Q2020" s="274">
        <f t="shared" si="252"/>
        <v>0</v>
      </c>
      <c r="R2020" s="574">
        <f t="shared" si="253"/>
        <v>217221</v>
      </c>
      <c r="S2020" s="275">
        <f t="shared" si="254"/>
        <v>222757</v>
      </c>
      <c r="T2020" s="575"/>
      <c r="U2020" s="487"/>
      <c r="V2020" s="576"/>
      <c r="W2020" s="573"/>
      <c r="X2020" s="574">
        <f t="shared" si="258"/>
        <v>0</v>
      </c>
      <c r="Y2020" s="487"/>
      <c r="Z2020" s="487"/>
      <c r="AA2020" s="276">
        <f t="shared" si="259"/>
        <v>0</v>
      </c>
      <c r="AB2020" s="573"/>
      <c r="AC2020" s="487"/>
      <c r="AD2020" s="573"/>
      <c r="AE2020" s="487"/>
      <c r="AF2020" s="577">
        <f t="shared" si="255"/>
        <v>217221</v>
      </c>
      <c r="AG2020" s="275">
        <f t="shared" si="256"/>
        <v>222757</v>
      </c>
    </row>
    <row r="2021" spans="1:33" ht="12" customHeight="1">
      <c r="A2021" s="646" t="s">
        <v>1281</v>
      </c>
      <c r="B2021" s="646" t="s">
        <v>1787</v>
      </c>
      <c r="C2021" s="305" t="s">
        <v>1770</v>
      </c>
      <c r="D2021" s="648">
        <v>198570</v>
      </c>
      <c r="E2021" s="660">
        <v>9</v>
      </c>
      <c r="F2021" s="573"/>
      <c r="G2021" s="487"/>
      <c r="H2021" s="573">
        <v>744864</v>
      </c>
      <c r="I2021" s="487">
        <v>839215</v>
      </c>
      <c r="J2021" s="573"/>
      <c r="K2021" s="487"/>
      <c r="L2021" s="573">
        <v>231608</v>
      </c>
      <c r="M2021" s="573"/>
      <c r="N2021" s="456">
        <f t="shared" si="257"/>
        <v>231608</v>
      </c>
      <c r="O2021" s="487">
        <v>138743</v>
      </c>
      <c r="P2021" s="487"/>
      <c r="Q2021" s="274">
        <f t="shared" si="252"/>
        <v>138743</v>
      </c>
      <c r="R2021" s="574">
        <f t="shared" si="253"/>
        <v>976472</v>
      </c>
      <c r="S2021" s="275">
        <f t="shared" si="254"/>
        <v>977958</v>
      </c>
      <c r="T2021" s="575"/>
      <c r="U2021" s="487"/>
      <c r="V2021" s="576"/>
      <c r="W2021" s="573"/>
      <c r="X2021" s="574">
        <f t="shared" si="258"/>
        <v>0</v>
      </c>
      <c r="Y2021" s="487"/>
      <c r="Z2021" s="487"/>
      <c r="AA2021" s="276">
        <f t="shared" si="259"/>
        <v>0</v>
      </c>
      <c r="AB2021" s="573"/>
      <c r="AC2021" s="487"/>
      <c r="AD2021" s="573"/>
      <c r="AE2021" s="487"/>
      <c r="AF2021" s="577">
        <f t="shared" si="255"/>
        <v>976472</v>
      </c>
      <c r="AG2021" s="275">
        <f t="shared" si="256"/>
        <v>977958</v>
      </c>
    </row>
    <row r="2022" spans="1:33" ht="12" customHeight="1">
      <c r="A2022" s="646" t="s">
        <v>1281</v>
      </c>
      <c r="B2022" s="646" t="s">
        <v>1776</v>
      </c>
      <c r="C2022" s="743" t="s">
        <v>1480</v>
      </c>
      <c r="D2022" s="648">
        <v>198668</v>
      </c>
      <c r="E2022" s="660">
        <v>9</v>
      </c>
      <c r="F2022" s="573">
        <v>8449697</v>
      </c>
      <c r="G2022" s="487">
        <v>8737870</v>
      </c>
      <c r="H2022" s="573"/>
      <c r="I2022" s="487"/>
      <c r="J2022" s="573">
        <v>2056228</v>
      </c>
      <c r="K2022" s="487">
        <v>2566941</v>
      </c>
      <c r="L2022" s="573">
        <v>1661844</v>
      </c>
      <c r="M2022" s="573"/>
      <c r="N2022" s="456">
        <f t="shared" si="257"/>
        <v>1661844</v>
      </c>
      <c r="O2022" s="487">
        <v>1485484</v>
      </c>
      <c r="P2022" s="487"/>
      <c r="Q2022" s="274">
        <f t="shared" si="252"/>
        <v>1485484</v>
      </c>
      <c r="R2022" s="574">
        <f t="shared" si="253"/>
        <v>12167769</v>
      </c>
      <c r="S2022" s="275">
        <f t="shared" si="254"/>
        <v>12790295</v>
      </c>
      <c r="T2022" s="575"/>
      <c r="U2022" s="487"/>
      <c r="V2022" s="576"/>
      <c r="W2022" s="573"/>
      <c r="X2022" s="574">
        <f t="shared" si="258"/>
        <v>0</v>
      </c>
      <c r="Y2022" s="487"/>
      <c r="Z2022" s="487"/>
      <c r="AA2022" s="276">
        <f t="shared" si="259"/>
        <v>0</v>
      </c>
      <c r="AB2022" s="573"/>
      <c r="AC2022" s="487"/>
      <c r="AD2022" s="573"/>
      <c r="AE2022" s="487"/>
      <c r="AF2022" s="577">
        <f t="shared" si="255"/>
        <v>12167769</v>
      </c>
      <c r="AG2022" s="275">
        <f t="shared" si="256"/>
        <v>12790295</v>
      </c>
    </row>
    <row r="2023" spans="1:33" ht="12" customHeight="1">
      <c r="A2023" s="646" t="s">
        <v>1281</v>
      </c>
      <c r="B2023" s="646" t="s">
        <v>1776</v>
      </c>
      <c r="C2023" s="305" t="s">
        <v>508</v>
      </c>
      <c r="D2023" s="648">
        <v>198668</v>
      </c>
      <c r="E2023" s="660">
        <v>9</v>
      </c>
      <c r="F2023" s="573"/>
      <c r="G2023" s="487"/>
      <c r="H2023" s="573">
        <v>48410</v>
      </c>
      <c r="I2023" s="487">
        <v>64290</v>
      </c>
      <c r="J2023" s="573"/>
      <c r="K2023" s="487"/>
      <c r="L2023" s="573"/>
      <c r="M2023" s="573"/>
      <c r="N2023" s="456">
        <f t="shared" si="257"/>
        <v>0</v>
      </c>
      <c r="O2023" s="487"/>
      <c r="P2023" s="487"/>
      <c r="Q2023" s="274">
        <f t="shared" si="252"/>
        <v>0</v>
      </c>
      <c r="R2023" s="574">
        <f t="shared" si="253"/>
        <v>48410</v>
      </c>
      <c r="S2023" s="275">
        <f t="shared" si="254"/>
        <v>64290</v>
      </c>
      <c r="T2023" s="575"/>
      <c r="U2023" s="487"/>
      <c r="V2023" s="576"/>
      <c r="W2023" s="573"/>
      <c r="X2023" s="574">
        <f t="shared" si="258"/>
        <v>0</v>
      </c>
      <c r="Y2023" s="487"/>
      <c r="Z2023" s="487"/>
      <c r="AA2023" s="276">
        <f t="shared" si="259"/>
        <v>0</v>
      </c>
      <c r="AB2023" s="573"/>
      <c r="AC2023" s="487"/>
      <c r="AD2023" s="573"/>
      <c r="AE2023" s="487"/>
      <c r="AF2023" s="577">
        <f t="shared" si="255"/>
        <v>48410</v>
      </c>
      <c r="AG2023" s="275">
        <f t="shared" si="256"/>
        <v>64290</v>
      </c>
    </row>
    <row r="2024" spans="1:33" ht="12" customHeight="1">
      <c r="A2024" s="646" t="s">
        <v>1281</v>
      </c>
      <c r="B2024" s="646" t="s">
        <v>1778</v>
      </c>
      <c r="C2024" s="305" t="s">
        <v>1891</v>
      </c>
      <c r="D2024" s="648">
        <v>198668</v>
      </c>
      <c r="E2024" s="660">
        <v>9</v>
      </c>
      <c r="F2024" s="573"/>
      <c r="G2024" s="487"/>
      <c r="H2024" s="573">
        <v>189939</v>
      </c>
      <c r="I2024" s="487">
        <v>161533</v>
      </c>
      <c r="J2024" s="573"/>
      <c r="K2024" s="487"/>
      <c r="L2024" s="573"/>
      <c r="M2024" s="573"/>
      <c r="N2024" s="456">
        <f t="shared" si="257"/>
        <v>0</v>
      </c>
      <c r="O2024" s="487"/>
      <c r="P2024" s="487"/>
      <c r="Q2024" s="274">
        <f t="shared" si="252"/>
        <v>0</v>
      </c>
      <c r="R2024" s="574">
        <f t="shared" si="253"/>
        <v>189939</v>
      </c>
      <c r="S2024" s="275">
        <f t="shared" si="254"/>
        <v>161533</v>
      </c>
      <c r="T2024" s="575"/>
      <c r="U2024" s="487"/>
      <c r="V2024" s="576"/>
      <c r="W2024" s="573"/>
      <c r="X2024" s="574">
        <f t="shared" si="258"/>
        <v>0</v>
      </c>
      <c r="Y2024" s="487"/>
      <c r="Z2024" s="487"/>
      <c r="AA2024" s="276">
        <f t="shared" si="259"/>
        <v>0</v>
      </c>
      <c r="AB2024" s="573"/>
      <c r="AC2024" s="487"/>
      <c r="AD2024" s="573"/>
      <c r="AE2024" s="487"/>
      <c r="AF2024" s="577">
        <f t="shared" si="255"/>
        <v>189939</v>
      </c>
      <c r="AG2024" s="275">
        <f t="shared" si="256"/>
        <v>161533</v>
      </c>
    </row>
    <row r="2025" spans="1:33" ht="12" customHeight="1">
      <c r="A2025" s="646" t="s">
        <v>1281</v>
      </c>
      <c r="B2025" s="646" t="s">
        <v>1787</v>
      </c>
      <c r="C2025" s="305" t="s">
        <v>1770</v>
      </c>
      <c r="D2025" s="648">
        <v>198668</v>
      </c>
      <c r="E2025" s="660">
        <v>9</v>
      </c>
      <c r="F2025" s="573"/>
      <c r="G2025" s="487"/>
      <c r="H2025" s="573">
        <v>634784</v>
      </c>
      <c r="I2025" s="487">
        <v>585767</v>
      </c>
      <c r="J2025" s="573"/>
      <c r="K2025" s="487"/>
      <c r="L2025" s="573">
        <v>104545</v>
      </c>
      <c r="M2025" s="573"/>
      <c r="N2025" s="456">
        <f t="shared" si="257"/>
        <v>104545</v>
      </c>
      <c r="O2025" s="487">
        <v>58371</v>
      </c>
      <c r="P2025" s="487"/>
      <c r="Q2025" s="274">
        <f t="shared" si="252"/>
        <v>58371</v>
      </c>
      <c r="R2025" s="574">
        <f t="shared" si="253"/>
        <v>739329</v>
      </c>
      <c r="S2025" s="275">
        <f t="shared" si="254"/>
        <v>644138</v>
      </c>
      <c r="T2025" s="575"/>
      <c r="U2025" s="487"/>
      <c r="V2025" s="576"/>
      <c r="W2025" s="573"/>
      <c r="X2025" s="574">
        <f t="shared" si="258"/>
        <v>0</v>
      </c>
      <c r="Y2025" s="487"/>
      <c r="Z2025" s="487"/>
      <c r="AA2025" s="276">
        <f t="shared" si="259"/>
        <v>0</v>
      </c>
      <c r="AB2025" s="573"/>
      <c r="AC2025" s="487"/>
      <c r="AD2025" s="573"/>
      <c r="AE2025" s="487"/>
      <c r="AF2025" s="577">
        <f t="shared" si="255"/>
        <v>739329</v>
      </c>
      <c r="AG2025" s="275">
        <f t="shared" si="256"/>
        <v>644138</v>
      </c>
    </row>
    <row r="2026" spans="1:33" ht="12" customHeight="1">
      <c r="A2026" s="646" t="s">
        <v>1281</v>
      </c>
      <c r="B2026" s="646" t="s">
        <v>1776</v>
      </c>
      <c r="C2026" s="743" t="s">
        <v>1481</v>
      </c>
      <c r="D2026" s="648">
        <v>198710</v>
      </c>
      <c r="E2026" s="660">
        <v>9</v>
      </c>
      <c r="F2026" s="573">
        <v>8471124</v>
      </c>
      <c r="G2026" s="487">
        <v>8656833</v>
      </c>
      <c r="H2026" s="573"/>
      <c r="I2026" s="487"/>
      <c r="J2026" s="573">
        <v>1957646</v>
      </c>
      <c r="K2026" s="487">
        <v>2042671</v>
      </c>
      <c r="L2026" s="573">
        <v>1883431</v>
      </c>
      <c r="M2026" s="573"/>
      <c r="N2026" s="456">
        <f t="shared" si="257"/>
        <v>1883431</v>
      </c>
      <c r="O2026" s="487">
        <v>1678685</v>
      </c>
      <c r="P2026" s="487"/>
      <c r="Q2026" s="274">
        <f t="shared" si="252"/>
        <v>1678685</v>
      </c>
      <c r="R2026" s="574">
        <f t="shared" si="253"/>
        <v>12312201</v>
      </c>
      <c r="S2026" s="275">
        <f t="shared" si="254"/>
        <v>12378189</v>
      </c>
      <c r="T2026" s="575"/>
      <c r="U2026" s="487"/>
      <c r="V2026" s="576"/>
      <c r="W2026" s="573"/>
      <c r="X2026" s="574">
        <f t="shared" si="258"/>
        <v>0</v>
      </c>
      <c r="Y2026" s="487"/>
      <c r="Z2026" s="487"/>
      <c r="AA2026" s="276">
        <f t="shared" si="259"/>
        <v>0</v>
      </c>
      <c r="AB2026" s="573"/>
      <c r="AC2026" s="487"/>
      <c r="AD2026" s="573"/>
      <c r="AE2026" s="487"/>
      <c r="AF2026" s="577">
        <f t="shared" si="255"/>
        <v>12312201</v>
      </c>
      <c r="AG2026" s="275">
        <f t="shared" si="256"/>
        <v>12378189</v>
      </c>
    </row>
    <row r="2027" spans="1:33" ht="12" customHeight="1">
      <c r="A2027" s="646" t="s">
        <v>1281</v>
      </c>
      <c r="B2027" s="646" t="s">
        <v>1776</v>
      </c>
      <c r="C2027" s="305" t="s">
        <v>508</v>
      </c>
      <c r="D2027" s="648">
        <v>198710</v>
      </c>
      <c r="E2027" s="660">
        <v>9</v>
      </c>
      <c r="F2027" s="573"/>
      <c r="G2027" s="487"/>
      <c r="H2027" s="573">
        <v>48885</v>
      </c>
      <c r="I2027" s="487">
        <v>69141</v>
      </c>
      <c r="J2027" s="573"/>
      <c r="K2027" s="487"/>
      <c r="L2027" s="573"/>
      <c r="M2027" s="573"/>
      <c r="N2027" s="456">
        <f t="shared" si="257"/>
        <v>0</v>
      </c>
      <c r="O2027" s="487"/>
      <c r="P2027" s="487"/>
      <c r="Q2027" s="274">
        <f t="shared" si="252"/>
        <v>0</v>
      </c>
      <c r="R2027" s="574">
        <f t="shared" si="253"/>
        <v>48885</v>
      </c>
      <c r="S2027" s="275">
        <f t="shared" si="254"/>
        <v>69141</v>
      </c>
      <c r="T2027" s="575"/>
      <c r="U2027" s="487"/>
      <c r="V2027" s="576"/>
      <c r="W2027" s="573"/>
      <c r="X2027" s="574">
        <f t="shared" si="258"/>
        <v>0</v>
      </c>
      <c r="Y2027" s="487"/>
      <c r="Z2027" s="487"/>
      <c r="AA2027" s="276">
        <f t="shared" si="259"/>
        <v>0</v>
      </c>
      <c r="AB2027" s="573"/>
      <c r="AC2027" s="487"/>
      <c r="AD2027" s="573"/>
      <c r="AE2027" s="487"/>
      <c r="AF2027" s="577">
        <f t="shared" si="255"/>
        <v>48885</v>
      </c>
      <c r="AG2027" s="275">
        <f t="shared" si="256"/>
        <v>69141</v>
      </c>
    </row>
    <row r="2028" spans="1:33" ht="12" customHeight="1">
      <c r="A2028" s="646" t="s">
        <v>1281</v>
      </c>
      <c r="B2028" s="646" t="s">
        <v>1778</v>
      </c>
      <c r="C2028" s="305" t="s">
        <v>1891</v>
      </c>
      <c r="D2028" s="648">
        <v>198710</v>
      </c>
      <c r="E2028" s="660">
        <v>9</v>
      </c>
      <c r="F2028" s="573"/>
      <c r="G2028" s="487"/>
      <c r="H2028" s="573">
        <v>182585</v>
      </c>
      <c r="I2028" s="487">
        <v>172565</v>
      </c>
      <c r="J2028" s="573"/>
      <c r="K2028" s="487"/>
      <c r="L2028" s="573"/>
      <c r="M2028" s="573"/>
      <c r="N2028" s="456">
        <f t="shared" si="257"/>
        <v>0</v>
      </c>
      <c r="O2028" s="487"/>
      <c r="P2028" s="487"/>
      <c r="Q2028" s="274">
        <f t="shared" si="252"/>
        <v>0</v>
      </c>
      <c r="R2028" s="574">
        <f t="shared" si="253"/>
        <v>182585</v>
      </c>
      <c r="S2028" s="275">
        <f t="shared" si="254"/>
        <v>172565</v>
      </c>
      <c r="T2028" s="575"/>
      <c r="U2028" s="487"/>
      <c r="V2028" s="576"/>
      <c r="W2028" s="573"/>
      <c r="X2028" s="574">
        <f t="shared" si="258"/>
        <v>0</v>
      </c>
      <c r="Y2028" s="487"/>
      <c r="Z2028" s="487"/>
      <c r="AA2028" s="276">
        <f t="shared" si="259"/>
        <v>0</v>
      </c>
      <c r="AB2028" s="573"/>
      <c r="AC2028" s="487"/>
      <c r="AD2028" s="573"/>
      <c r="AE2028" s="487"/>
      <c r="AF2028" s="577">
        <f t="shared" si="255"/>
        <v>182585</v>
      </c>
      <c r="AG2028" s="275">
        <f t="shared" si="256"/>
        <v>172565</v>
      </c>
    </row>
    <row r="2029" spans="1:33" ht="12" customHeight="1">
      <c r="A2029" s="646" t="s">
        <v>1281</v>
      </c>
      <c r="B2029" s="646" t="s">
        <v>1787</v>
      </c>
      <c r="C2029" s="305" t="s">
        <v>1770</v>
      </c>
      <c r="D2029" s="648">
        <v>198710</v>
      </c>
      <c r="E2029" s="660">
        <v>9</v>
      </c>
      <c r="F2029" s="573"/>
      <c r="G2029" s="487"/>
      <c r="H2029" s="573">
        <v>500604</v>
      </c>
      <c r="I2029" s="487">
        <v>568894</v>
      </c>
      <c r="J2029" s="573"/>
      <c r="K2029" s="487"/>
      <c r="L2029" s="573">
        <v>67270</v>
      </c>
      <c r="M2029" s="573"/>
      <c r="N2029" s="456">
        <f t="shared" si="257"/>
        <v>67270</v>
      </c>
      <c r="O2029" s="487">
        <v>69197</v>
      </c>
      <c r="P2029" s="487"/>
      <c r="Q2029" s="274">
        <f t="shared" si="252"/>
        <v>69197</v>
      </c>
      <c r="R2029" s="574">
        <f t="shared" si="253"/>
        <v>567874</v>
      </c>
      <c r="S2029" s="275">
        <f t="shared" si="254"/>
        <v>638091</v>
      </c>
      <c r="T2029" s="575"/>
      <c r="U2029" s="487"/>
      <c r="V2029" s="576"/>
      <c r="W2029" s="573"/>
      <c r="X2029" s="574">
        <f t="shared" si="258"/>
        <v>0</v>
      </c>
      <c r="Y2029" s="487"/>
      <c r="Z2029" s="487"/>
      <c r="AA2029" s="276">
        <f t="shared" si="259"/>
        <v>0</v>
      </c>
      <c r="AB2029" s="573"/>
      <c r="AC2029" s="487"/>
      <c r="AD2029" s="573"/>
      <c r="AE2029" s="487"/>
      <c r="AF2029" s="577">
        <f t="shared" si="255"/>
        <v>567874</v>
      </c>
      <c r="AG2029" s="275">
        <f t="shared" si="256"/>
        <v>638091</v>
      </c>
    </row>
    <row r="2030" spans="1:33" ht="12" customHeight="1">
      <c r="A2030" s="646" t="s">
        <v>1281</v>
      </c>
      <c r="B2030" s="646" t="s">
        <v>1776</v>
      </c>
      <c r="C2030" s="743" t="s">
        <v>1482</v>
      </c>
      <c r="D2030" s="648">
        <v>198774</v>
      </c>
      <c r="E2030" s="660">
        <v>9</v>
      </c>
      <c r="F2030" s="573">
        <v>15377232</v>
      </c>
      <c r="G2030" s="487">
        <v>16897113</v>
      </c>
      <c r="H2030" s="573"/>
      <c r="I2030" s="487"/>
      <c r="J2030" s="573">
        <v>3480657</v>
      </c>
      <c r="K2030" s="487">
        <v>3830657</v>
      </c>
      <c r="L2030" s="573">
        <v>2425414</v>
      </c>
      <c r="M2030" s="573"/>
      <c r="N2030" s="456">
        <f t="shared" si="257"/>
        <v>2425414</v>
      </c>
      <c r="O2030" s="487">
        <v>2610532</v>
      </c>
      <c r="P2030" s="487"/>
      <c r="Q2030" s="274">
        <f t="shared" si="252"/>
        <v>2610532</v>
      </c>
      <c r="R2030" s="574">
        <f t="shared" si="253"/>
        <v>21283303</v>
      </c>
      <c r="S2030" s="275">
        <f t="shared" si="254"/>
        <v>23338302</v>
      </c>
      <c r="T2030" s="575"/>
      <c r="U2030" s="487"/>
      <c r="V2030" s="576"/>
      <c r="W2030" s="573"/>
      <c r="X2030" s="574">
        <f t="shared" si="258"/>
        <v>0</v>
      </c>
      <c r="Y2030" s="487"/>
      <c r="Z2030" s="487"/>
      <c r="AA2030" s="276">
        <f t="shared" si="259"/>
        <v>0</v>
      </c>
      <c r="AB2030" s="573"/>
      <c r="AC2030" s="487"/>
      <c r="AD2030" s="573"/>
      <c r="AE2030" s="487"/>
      <c r="AF2030" s="577">
        <f t="shared" si="255"/>
        <v>21283303</v>
      </c>
      <c r="AG2030" s="275">
        <f t="shared" si="256"/>
        <v>23338302</v>
      </c>
    </row>
    <row r="2031" spans="1:33" ht="12" customHeight="1">
      <c r="A2031" s="646" t="s">
        <v>1281</v>
      </c>
      <c r="B2031" s="646" t="s">
        <v>1776</v>
      </c>
      <c r="C2031" s="305" t="s">
        <v>508</v>
      </c>
      <c r="D2031" s="648">
        <v>198774</v>
      </c>
      <c r="E2031" s="660">
        <v>9</v>
      </c>
      <c r="F2031" s="573"/>
      <c r="G2031" s="487"/>
      <c r="H2031" s="573">
        <v>127242</v>
      </c>
      <c r="I2031" s="487">
        <v>208293</v>
      </c>
      <c r="J2031" s="573"/>
      <c r="K2031" s="487"/>
      <c r="L2031" s="573"/>
      <c r="M2031" s="573"/>
      <c r="N2031" s="456">
        <f t="shared" si="257"/>
        <v>0</v>
      </c>
      <c r="O2031" s="487"/>
      <c r="P2031" s="487"/>
      <c r="Q2031" s="274">
        <f t="shared" si="252"/>
        <v>0</v>
      </c>
      <c r="R2031" s="574">
        <f t="shared" si="253"/>
        <v>127242</v>
      </c>
      <c r="S2031" s="275">
        <f t="shared" si="254"/>
        <v>208293</v>
      </c>
      <c r="T2031" s="575"/>
      <c r="U2031" s="487"/>
      <c r="V2031" s="576"/>
      <c r="W2031" s="573"/>
      <c r="X2031" s="574">
        <f t="shared" si="258"/>
        <v>0</v>
      </c>
      <c r="Y2031" s="487"/>
      <c r="Z2031" s="487"/>
      <c r="AA2031" s="276">
        <f t="shared" si="259"/>
        <v>0</v>
      </c>
      <c r="AB2031" s="573"/>
      <c r="AC2031" s="487"/>
      <c r="AD2031" s="573"/>
      <c r="AE2031" s="487"/>
      <c r="AF2031" s="577">
        <f t="shared" si="255"/>
        <v>127242</v>
      </c>
      <c r="AG2031" s="275">
        <f t="shared" si="256"/>
        <v>208293</v>
      </c>
    </row>
    <row r="2032" spans="1:33" ht="12" customHeight="1">
      <c r="A2032" s="646" t="s">
        <v>1281</v>
      </c>
      <c r="B2032" s="646" t="s">
        <v>1778</v>
      </c>
      <c r="C2032" s="305" t="s">
        <v>1891</v>
      </c>
      <c r="D2032" s="648">
        <v>198774</v>
      </c>
      <c r="E2032" s="660">
        <v>9</v>
      </c>
      <c r="F2032" s="573"/>
      <c r="G2032" s="487"/>
      <c r="H2032" s="573">
        <v>202225</v>
      </c>
      <c r="I2032" s="487">
        <v>200533</v>
      </c>
      <c r="J2032" s="573"/>
      <c r="K2032" s="487"/>
      <c r="L2032" s="573"/>
      <c r="M2032" s="573"/>
      <c r="N2032" s="456">
        <f t="shared" si="257"/>
        <v>0</v>
      </c>
      <c r="O2032" s="487"/>
      <c r="P2032" s="487"/>
      <c r="Q2032" s="274">
        <f t="shared" si="252"/>
        <v>0</v>
      </c>
      <c r="R2032" s="574">
        <f t="shared" si="253"/>
        <v>202225</v>
      </c>
      <c r="S2032" s="275">
        <f t="shared" si="254"/>
        <v>200533</v>
      </c>
      <c r="T2032" s="575"/>
      <c r="U2032" s="487"/>
      <c r="V2032" s="576"/>
      <c r="W2032" s="573"/>
      <c r="X2032" s="574">
        <f t="shared" si="258"/>
        <v>0</v>
      </c>
      <c r="Y2032" s="487"/>
      <c r="Z2032" s="487"/>
      <c r="AA2032" s="276">
        <f t="shared" si="259"/>
        <v>0</v>
      </c>
      <c r="AB2032" s="573"/>
      <c r="AC2032" s="487"/>
      <c r="AD2032" s="573"/>
      <c r="AE2032" s="487"/>
      <c r="AF2032" s="577">
        <f t="shared" si="255"/>
        <v>202225</v>
      </c>
      <c r="AG2032" s="275">
        <f t="shared" si="256"/>
        <v>200533</v>
      </c>
    </row>
    <row r="2033" spans="1:33" ht="12" customHeight="1">
      <c r="A2033" s="646" t="s">
        <v>1281</v>
      </c>
      <c r="B2033" s="646" t="s">
        <v>1787</v>
      </c>
      <c r="C2033" s="305" t="s">
        <v>1770</v>
      </c>
      <c r="D2033" s="648">
        <v>198774</v>
      </c>
      <c r="E2033" s="660">
        <v>9</v>
      </c>
      <c r="F2033" s="573"/>
      <c r="G2033" s="487"/>
      <c r="H2033" s="573">
        <v>733599</v>
      </c>
      <c r="I2033" s="487">
        <v>883425</v>
      </c>
      <c r="J2033" s="573"/>
      <c r="K2033" s="487"/>
      <c r="L2033" s="573">
        <v>213186</v>
      </c>
      <c r="M2033" s="573"/>
      <c r="N2033" s="456">
        <f t="shared" si="257"/>
        <v>213186</v>
      </c>
      <c r="O2033" s="487">
        <v>179816</v>
      </c>
      <c r="P2033" s="487"/>
      <c r="Q2033" s="274">
        <f t="shared" si="252"/>
        <v>179816</v>
      </c>
      <c r="R2033" s="574">
        <f t="shared" si="253"/>
        <v>946785</v>
      </c>
      <c r="S2033" s="275">
        <f t="shared" si="254"/>
        <v>1063241</v>
      </c>
      <c r="T2033" s="575"/>
      <c r="U2033" s="487"/>
      <c r="V2033" s="576"/>
      <c r="W2033" s="573"/>
      <c r="X2033" s="574">
        <f t="shared" si="258"/>
        <v>0</v>
      </c>
      <c r="Y2033" s="487"/>
      <c r="Z2033" s="487"/>
      <c r="AA2033" s="276">
        <f t="shared" si="259"/>
        <v>0</v>
      </c>
      <c r="AB2033" s="573"/>
      <c r="AC2033" s="487"/>
      <c r="AD2033" s="573"/>
      <c r="AE2033" s="487"/>
      <c r="AF2033" s="577">
        <f t="shared" si="255"/>
        <v>946785</v>
      </c>
      <c r="AG2033" s="275">
        <f t="shared" si="256"/>
        <v>1063241</v>
      </c>
    </row>
    <row r="2034" spans="1:33" ht="12" customHeight="1">
      <c r="A2034" s="646" t="s">
        <v>1281</v>
      </c>
      <c r="B2034" s="646" t="s">
        <v>1776</v>
      </c>
      <c r="C2034" s="743" t="s">
        <v>533</v>
      </c>
      <c r="D2034" s="648">
        <v>198817</v>
      </c>
      <c r="E2034" s="660">
        <v>9</v>
      </c>
      <c r="F2034" s="573">
        <v>12313749</v>
      </c>
      <c r="G2034" s="487">
        <v>12585174</v>
      </c>
      <c r="H2034" s="573"/>
      <c r="I2034" s="487"/>
      <c r="J2034" s="573">
        <v>1938026</v>
      </c>
      <c r="K2034" s="487">
        <v>2504338</v>
      </c>
      <c r="L2034" s="573">
        <v>1926043</v>
      </c>
      <c r="M2034" s="573"/>
      <c r="N2034" s="456">
        <f t="shared" si="257"/>
        <v>1926043</v>
      </c>
      <c r="O2034" s="487">
        <v>2243265</v>
      </c>
      <c r="P2034" s="487"/>
      <c r="Q2034" s="274">
        <f t="shared" si="252"/>
        <v>2243265</v>
      </c>
      <c r="R2034" s="574">
        <f t="shared" si="253"/>
        <v>16177818</v>
      </c>
      <c r="S2034" s="275">
        <f t="shared" si="254"/>
        <v>17332777</v>
      </c>
      <c r="T2034" s="575"/>
      <c r="U2034" s="487"/>
      <c r="V2034" s="576"/>
      <c r="W2034" s="573"/>
      <c r="X2034" s="574">
        <f t="shared" si="258"/>
        <v>0</v>
      </c>
      <c r="Y2034" s="487"/>
      <c r="Z2034" s="487"/>
      <c r="AA2034" s="276">
        <f t="shared" si="259"/>
        <v>0</v>
      </c>
      <c r="AB2034" s="573"/>
      <c r="AC2034" s="487"/>
      <c r="AD2034" s="573"/>
      <c r="AE2034" s="487"/>
      <c r="AF2034" s="577">
        <f t="shared" si="255"/>
        <v>16177818</v>
      </c>
      <c r="AG2034" s="275">
        <f t="shared" si="256"/>
        <v>17332777</v>
      </c>
    </row>
    <row r="2035" spans="1:33" ht="12" customHeight="1">
      <c r="A2035" s="646" t="s">
        <v>1281</v>
      </c>
      <c r="B2035" s="646" t="s">
        <v>1776</v>
      </c>
      <c r="C2035" s="305" t="s">
        <v>508</v>
      </c>
      <c r="D2035" s="648">
        <v>198817</v>
      </c>
      <c r="E2035" s="660">
        <v>9</v>
      </c>
      <c r="F2035" s="573"/>
      <c r="G2035" s="487"/>
      <c r="H2035" s="573">
        <v>93242</v>
      </c>
      <c r="I2035" s="487">
        <v>138280</v>
      </c>
      <c r="J2035" s="573"/>
      <c r="K2035" s="487"/>
      <c r="L2035" s="573"/>
      <c r="M2035" s="573"/>
      <c r="N2035" s="456">
        <f t="shared" si="257"/>
        <v>0</v>
      </c>
      <c r="O2035" s="487"/>
      <c r="P2035" s="487"/>
      <c r="Q2035" s="274">
        <f t="shared" si="252"/>
        <v>0</v>
      </c>
      <c r="R2035" s="574">
        <f t="shared" si="253"/>
        <v>93242</v>
      </c>
      <c r="S2035" s="275">
        <f t="shared" si="254"/>
        <v>138280</v>
      </c>
      <c r="T2035" s="575"/>
      <c r="U2035" s="487"/>
      <c r="V2035" s="576"/>
      <c r="W2035" s="573"/>
      <c r="X2035" s="574">
        <f t="shared" si="258"/>
        <v>0</v>
      </c>
      <c r="Y2035" s="487"/>
      <c r="Z2035" s="487"/>
      <c r="AA2035" s="276">
        <f t="shared" si="259"/>
        <v>0</v>
      </c>
      <c r="AB2035" s="573"/>
      <c r="AC2035" s="487"/>
      <c r="AD2035" s="573"/>
      <c r="AE2035" s="487"/>
      <c r="AF2035" s="577">
        <f t="shared" si="255"/>
        <v>93242</v>
      </c>
      <c r="AG2035" s="275">
        <f t="shared" si="256"/>
        <v>138280</v>
      </c>
    </row>
    <row r="2036" spans="1:33" ht="12" customHeight="1">
      <c r="A2036" s="646" t="s">
        <v>1281</v>
      </c>
      <c r="B2036" s="646" t="s">
        <v>1778</v>
      </c>
      <c r="C2036" s="305" t="s">
        <v>1891</v>
      </c>
      <c r="D2036" s="648">
        <v>198817</v>
      </c>
      <c r="E2036" s="660">
        <v>9</v>
      </c>
      <c r="F2036" s="573"/>
      <c r="G2036" s="487"/>
      <c r="H2036" s="573">
        <v>188786</v>
      </c>
      <c r="I2036" s="487">
        <v>191945</v>
      </c>
      <c r="J2036" s="573"/>
      <c r="K2036" s="487"/>
      <c r="L2036" s="573"/>
      <c r="M2036" s="573"/>
      <c r="N2036" s="456">
        <f t="shared" si="257"/>
        <v>0</v>
      </c>
      <c r="O2036" s="487"/>
      <c r="P2036" s="487"/>
      <c r="Q2036" s="274">
        <f t="shared" si="252"/>
        <v>0</v>
      </c>
      <c r="R2036" s="574">
        <f t="shared" si="253"/>
        <v>188786</v>
      </c>
      <c r="S2036" s="275">
        <f t="shared" si="254"/>
        <v>191945</v>
      </c>
      <c r="T2036" s="575"/>
      <c r="U2036" s="487"/>
      <c r="V2036" s="576"/>
      <c r="W2036" s="573"/>
      <c r="X2036" s="574">
        <f t="shared" si="258"/>
        <v>0</v>
      </c>
      <c r="Y2036" s="487"/>
      <c r="Z2036" s="487"/>
      <c r="AA2036" s="276">
        <f t="shared" si="259"/>
        <v>0</v>
      </c>
      <c r="AB2036" s="573"/>
      <c r="AC2036" s="487"/>
      <c r="AD2036" s="573"/>
      <c r="AE2036" s="487"/>
      <c r="AF2036" s="577">
        <f t="shared" si="255"/>
        <v>188786</v>
      </c>
      <c r="AG2036" s="275">
        <f t="shared" si="256"/>
        <v>191945</v>
      </c>
    </row>
    <row r="2037" spans="1:33" ht="12" customHeight="1">
      <c r="A2037" s="646" t="s">
        <v>1281</v>
      </c>
      <c r="B2037" s="646" t="s">
        <v>1787</v>
      </c>
      <c r="C2037" s="305" t="s">
        <v>1770</v>
      </c>
      <c r="D2037" s="648">
        <v>198817</v>
      </c>
      <c r="E2037" s="660">
        <v>9</v>
      </c>
      <c r="F2037" s="573"/>
      <c r="G2037" s="487"/>
      <c r="H2037" s="573">
        <v>1463548</v>
      </c>
      <c r="I2037" s="487">
        <v>1485891</v>
      </c>
      <c r="J2037" s="573"/>
      <c r="K2037" s="487"/>
      <c r="L2037" s="573">
        <v>257124</v>
      </c>
      <c r="M2037" s="573"/>
      <c r="N2037" s="456">
        <f t="shared" si="257"/>
        <v>257124</v>
      </c>
      <c r="O2037" s="487">
        <v>150157</v>
      </c>
      <c r="P2037" s="487"/>
      <c r="Q2037" s="274">
        <f t="shared" si="252"/>
        <v>150157</v>
      </c>
      <c r="R2037" s="574">
        <f t="shared" si="253"/>
        <v>1720672</v>
      </c>
      <c r="S2037" s="275">
        <f t="shared" si="254"/>
        <v>1636048</v>
      </c>
      <c r="T2037" s="575"/>
      <c r="U2037" s="487"/>
      <c r="V2037" s="576"/>
      <c r="W2037" s="573"/>
      <c r="X2037" s="574">
        <f t="shared" si="258"/>
        <v>0</v>
      </c>
      <c r="Y2037" s="487"/>
      <c r="Z2037" s="487"/>
      <c r="AA2037" s="276">
        <f t="shared" si="259"/>
        <v>0</v>
      </c>
      <c r="AB2037" s="573"/>
      <c r="AC2037" s="487"/>
      <c r="AD2037" s="573"/>
      <c r="AE2037" s="487"/>
      <c r="AF2037" s="577">
        <f t="shared" si="255"/>
        <v>1720672</v>
      </c>
      <c r="AG2037" s="275">
        <f t="shared" si="256"/>
        <v>1636048</v>
      </c>
    </row>
    <row r="2038" spans="1:33" ht="12" customHeight="1">
      <c r="A2038" s="646" t="s">
        <v>1281</v>
      </c>
      <c r="B2038" s="646" t="s">
        <v>1776</v>
      </c>
      <c r="C2038" s="743" t="s">
        <v>558</v>
      </c>
      <c r="D2038" s="648">
        <v>198914</v>
      </c>
      <c r="E2038" s="1029">
        <v>9</v>
      </c>
      <c r="F2038" s="573">
        <v>8337041</v>
      </c>
      <c r="G2038" s="487">
        <v>8509313</v>
      </c>
      <c r="H2038" s="573"/>
      <c r="I2038" s="487"/>
      <c r="J2038" s="573">
        <v>712732</v>
      </c>
      <c r="K2038" s="487">
        <v>859260</v>
      </c>
      <c r="L2038" s="573">
        <v>678684</v>
      </c>
      <c r="M2038" s="573"/>
      <c r="N2038" s="456">
        <f t="shared" si="257"/>
        <v>678684</v>
      </c>
      <c r="O2038" s="487">
        <v>741005</v>
      </c>
      <c r="P2038" s="487"/>
      <c r="Q2038" s="274">
        <f t="shared" si="252"/>
        <v>741005</v>
      </c>
      <c r="R2038" s="574">
        <f t="shared" si="253"/>
        <v>9728457</v>
      </c>
      <c r="S2038" s="275">
        <f t="shared" si="254"/>
        <v>10109578</v>
      </c>
      <c r="T2038" s="575"/>
      <c r="U2038" s="487"/>
      <c r="V2038" s="576"/>
      <c r="W2038" s="573"/>
      <c r="X2038" s="574">
        <f t="shared" si="258"/>
        <v>0</v>
      </c>
      <c r="Y2038" s="487"/>
      <c r="Z2038" s="487"/>
      <c r="AA2038" s="276">
        <f t="shared" si="259"/>
        <v>0</v>
      </c>
      <c r="AB2038" s="573"/>
      <c r="AC2038" s="487"/>
      <c r="AD2038" s="573"/>
      <c r="AE2038" s="487"/>
      <c r="AF2038" s="577">
        <f t="shared" si="255"/>
        <v>9728457</v>
      </c>
      <c r="AG2038" s="275">
        <f t="shared" si="256"/>
        <v>10109578</v>
      </c>
    </row>
    <row r="2039" spans="1:33" ht="12" customHeight="1">
      <c r="A2039" s="646" t="s">
        <v>1281</v>
      </c>
      <c r="B2039" s="646" t="s">
        <v>1776</v>
      </c>
      <c r="C2039" s="305" t="s">
        <v>508</v>
      </c>
      <c r="D2039" s="648">
        <v>198914</v>
      </c>
      <c r="E2039" s="1029">
        <v>9</v>
      </c>
      <c r="F2039" s="573"/>
      <c r="G2039" s="487"/>
      <c r="H2039" s="573">
        <v>54264</v>
      </c>
      <c r="I2039" s="487">
        <v>83574</v>
      </c>
      <c r="J2039" s="573"/>
      <c r="K2039" s="487"/>
      <c r="L2039" s="573"/>
      <c r="M2039" s="573"/>
      <c r="N2039" s="456">
        <f t="shared" si="257"/>
        <v>0</v>
      </c>
      <c r="O2039" s="487"/>
      <c r="P2039" s="487"/>
      <c r="Q2039" s="274">
        <f t="shared" si="252"/>
        <v>0</v>
      </c>
      <c r="R2039" s="574">
        <f t="shared" si="253"/>
        <v>54264</v>
      </c>
      <c r="S2039" s="275">
        <f t="shared" si="254"/>
        <v>83574</v>
      </c>
      <c r="T2039" s="575"/>
      <c r="U2039" s="487"/>
      <c r="V2039" s="576"/>
      <c r="W2039" s="573"/>
      <c r="X2039" s="574">
        <f t="shared" si="258"/>
        <v>0</v>
      </c>
      <c r="Y2039" s="487"/>
      <c r="Z2039" s="487"/>
      <c r="AA2039" s="276">
        <f t="shared" si="259"/>
        <v>0</v>
      </c>
      <c r="AB2039" s="573"/>
      <c r="AC2039" s="487"/>
      <c r="AD2039" s="573"/>
      <c r="AE2039" s="487"/>
      <c r="AF2039" s="577">
        <f t="shared" si="255"/>
        <v>54264</v>
      </c>
      <c r="AG2039" s="275">
        <f t="shared" si="256"/>
        <v>83574</v>
      </c>
    </row>
    <row r="2040" spans="1:33" ht="12" customHeight="1">
      <c r="A2040" s="646" t="s">
        <v>1281</v>
      </c>
      <c r="B2040" s="646" t="s">
        <v>1778</v>
      </c>
      <c r="C2040" s="305" t="s">
        <v>1891</v>
      </c>
      <c r="D2040" s="648">
        <v>198914</v>
      </c>
      <c r="E2040" s="1029">
        <v>9</v>
      </c>
      <c r="F2040" s="573"/>
      <c r="G2040" s="487"/>
      <c r="H2040" s="573">
        <v>108560</v>
      </c>
      <c r="I2040" s="487">
        <v>131195</v>
      </c>
      <c r="J2040" s="573"/>
      <c r="K2040" s="487"/>
      <c r="L2040" s="573"/>
      <c r="M2040" s="573"/>
      <c r="N2040" s="456">
        <f t="shared" si="257"/>
        <v>0</v>
      </c>
      <c r="O2040" s="487"/>
      <c r="P2040" s="487"/>
      <c r="Q2040" s="274">
        <f t="shared" si="252"/>
        <v>0</v>
      </c>
      <c r="R2040" s="574">
        <f t="shared" si="253"/>
        <v>108560</v>
      </c>
      <c r="S2040" s="275">
        <f t="shared" si="254"/>
        <v>131195</v>
      </c>
      <c r="T2040" s="575"/>
      <c r="U2040" s="487"/>
      <c r="V2040" s="576"/>
      <c r="W2040" s="573"/>
      <c r="X2040" s="574">
        <f t="shared" si="258"/>
        <v>0</v>
      </c>
      <c r="Y2040" s="487"/>
      <c r="Z2040" s="487"/>
      <c r="AA2040" s="276">
        <f t="shared" si="259"/>
        <v>0</v>
      </c>
      <c r="AB2040" s="573"/>
      <c r="AC2040" s="487"/>
      <c r="AD2040" s="573"/>
      <c r="AE2040" s="487"/>
      <c r="AF2040" s="577">
        <f t="shared" si="255"/>
        <v>108560</v>
      </c>
      <c r="AG2040" s="275">
        <f t="shared" si="256"/>
        <v>131195</v>
      </c>
    </row>
    <row r="2041" spans="1:33" ht="12" customHeight="1">
      <c r="A2041" s="646" t="s">
        <v>1281</v>
      </c>
      <c r="B2041" s="646" t="s">
        <v>1787</v>
      </c>
      <c r="C2041" s="305" t="s">
        <v>1770</v>
      </c>
      <c r="D2041" s="648">
        <v>198914</v>
      </c>
      <c r="E2041" s="1029">
        <v>9</v>
      </c>
      <c r="F2041" s="573"/>
      <c r="G2041" s="487"/>
      <c r="H2041" s="573">
        <v>981433</v>
      </c>
      <c r="I2041" s="487">
        <v>885275</v>
      </c>
      <c r="J2041" s="573"/>
      <c r="K2041" s="487"/>
      <c r="L2041" s="573">
        <v>96091</v>
      </c>
      <c r="M2041" s="573"/>
      <c r="N2041" s="456">
        <f t="shared" si="257"/>
        <v>96091</v>
      </c>
      <c r="O2041" s="487">
        <v>52591</v>
      </c>
      <c r="P2041" s="487"/>
      <c r="Q2041" s="274">
        <f t="shared" si="252"/>
        <v>52591</v>
      </c>
      <c r="R2041" s="574">
        <f t="shared" si="253"/>
        <v>1077524</v>
      </c>
      <c r="S2041" s="275">
        <f t="shared" si="254"/>
        <v>937866</v>
      </c>
      <c r="T2041" s="575"/>
      <c r="U2041" s="487"/>
      <c r="V2041" s="576"/>
      <c r="W2041" s="573"/>
      <c r="X2041" s="574">
        <f t="shared" si="258"/>
        <v>0</v>
      </c>
      <c r="Y2041" s="487"/>
      <c r="Z2041" s="487"/>
      <c r="AA2041" s="276">
        <f t="shared" si="259"/>
        <v>0</v>
      </c>
      <c r="AB2041" s="573"/>
      <c r="AC2041" s="487"/>
      <c r="AD2041" s="573"/>
      <c r="AE2041" s="487"/>
      <c r="AF2041" s="577">
        <f t="shared" si="255"/>
        <v>1077524</v>
      </c>
      <c r="AG2041" s="275">
        <f t="shared" si="256"/>
        <v>937866</v>
      </c>
    </row>
    <row r="2042" spans="1:33" ht="12" customHeight="1">
      <c r="A2042" s="646" t="s">
        <v>1281</v>
      </c>
      <c r="B2042" s="646" t="s">
        <v>1776</v>
      </c>
      <c r="C2042" s="743" t="s">
        <v>534</v>
      </c>
      <c r="D2042" s="648">
        <v>198987</v>
      </c>
      <c r="E2042" s="660">
        <v>9</v>
      </c>
      <c r="F2042" s="573">
        <v>8900012</v>
      </c>
      <c r="G2042" s="487">
        <v>9455761</v>
      </c>
      <c r="H2042" s="573"/>
      <c r="I2042" s="487"/>
      <c r="J2042" s="573">
        <v>2392160</v>
      </c>
      <c r="K2042" s="487">
        <v>3438155</v>
      </c>
      <c r="L2042" s="573">
        <v>1822361</v>
      </c>
      <c r="M2042" s="573"/>
      <c r="N2042" s="456">
        <f t="shared" si="257"/>
        <v>1822361</v>
      </c>
      <c r="O2042" s="487">
        <v>2000876</v>
      </c>
      <c r="P2042" s="487"/>
      <c r="Q2042" s="274">
        <f t="shared" si="252"/>
        <v>2000876</v>
      </c>
      <c r="R2042" s="574">
        <f t="shared" si="253"/>
        <v>13114533</v>
      </c>
      <c r="S2042" s="275">
        <f t="shared" si="254"/>
        <v>14894792</v>
      </c>
      <c r="T2042" s="575"/>
      <c r="U2042" s="487"/>
      <c r="V2042" s="576"/>
      <c r="W2042" s="573"/>
      <c r="X2042" s="574">
        <f t="shared" si="258"/>
        <v>0</v>
      </c>
      <c r="Y2042" s="487"/>
      <c r="Z2042" s="487"/>
      <c r="AA2042" s="276">
        <f t="shared" si="259"/>
        <v>0</v>
      </c>
      <c r="AB2042" s="573"/>
      <c r="AC2042" s="487"/>
      <c r="AD2042" s="573"/>
      <c r="AE2042" s="487"/>
      <c r="AF2042" s="577">
        <f t="shared" si="255"/>
        <v>13114533</v>
      </c>
      <c r="AG2042" s="275">
        <f t="shared" si="256"/>
        <v>14894792</v>
      </c>
    </row>
    <row r="2043" spans="1:33" ht="12" customHeight="1">
      <c r="A2043" s="646" t="s">
        <v>1281</v>
      </c>
      <c r="B2043" s="646" t="s">
        <v>1776</v>
      </c>
      <c r="C2043" s="305" t="s">
        <v>508</v>
      </c>
      <c r="D2043" s="648">
        <v>198987</v>
      </c>
      <c r="E2043" s="660">
        <v>9</v>
      </c>
      <c r="F2043" s="573"/>
      <c r="G2043" s="487"/>
      <c r="H2043" s="573">
        <v>78015</v>
      </c>
      <c r="I2043" s="487">
        <v>125383</v>
      </c>
      <c r="J2043" s="573"/>
      <c r="K2043" s="487"/>
      <c r="L2043" s="573"/>
      <c r="M2043" s="573"/>
      <c r="N2043" s="456">
        <f t="shared" si="257"/>
        <v>0</v>
      </c>
      <c r="O2043" s="487"/>
      <c r="P2043" s="487"/>
      <c r="Q2043" s="274">
        <f t="shared" si="252"/>
        <v>0</v>
      </c>
      <c r="R2043" s="574">
        <f t="shared" si="253"/>
        <v>78015</v>
      </c>
      <c r="S2043" s="275">
        <f t="shared" si="254"/>
        <v>125383</v>
      </c>
      <c r="T2043" s="575"/>
      <c r="U2043" s="487"/>
      <c r="V2043" s="576"/>
      <c r="W2043" s="573"/>
      <c r="X2043" s="574">
        <f t="shared" si="258"/>
        <v>0</v>
      </c>
      <c r="Y2043" s="487"/>
      <c r="Z2043" s="487"/>
      <c r="AA2043" s="276">
        <f t="shared" si="259"/>
        <v>0</v>
      </c>
      <c r="AB2043" s="573"/>
      <c r="AC2043" s="487"/>
      <c r="AD2043" s="573"/>
      <c r="AE2043" s="487"/>
      <c r="AF2043" s="577">
        <f t="shared" si="255"/>
        <v>78015</v>
      </c>
      <c r="AG2043" s="275">
        <f t="shared" si="256"/>
        <v>125383</v>
      </c>
    </row>
    <row r="2044" spans="1:33" ht="12" customHeight="1">
      <c r="A2044" s="646" t="s">
        <v>1281</v>
      </c>
      <c r="B2044" s="646" t="s">
        <v>1778</v>
      </c>
      <c r="C2044" s="305" t="s">
        <v>1891</v>
      </c>
      <c r="D2044" s="648">
        <v>198987</v>
      </c>
      <c r="E2044" s="660">
        <v>9</v>
      </c>
      <c r="F2044" s="573"/>
      <c r="G2044" s="487"/>
      <c r="H2044" s="573">
        <v>189154</v>
      </c>
      <c r="I2044" s="487">
        <v>201002</v>
      </c>
      <c r="J2044" s="573"/>
      <c r="K2044" s="487"/>
      <c r="L2044" s="573"/>
      <c r="M2044" s="573"/>
      <c r="N2044" s="456">
        <f t="shared" si="257"/>
        <v>0</v>
      </c>
      <c r="O2044" s="487"/>
      <c r="P2044" s="487"/>
      <c r="Q2044" s="274">
        <f t="shared" si="252"/>
        <v>0</v>
      </c>
      <c r="R2044" s="574">
        <f t="shared" si="253"/>
        <v>189154</v>
      </c>
      <c r="S2044" s="275">
        <f t="shared" si="254"/>
        <v>201002</v>
      </c>
      <c r="T2044" s="575"/>
      <c r="U2044" s="487"/>
      <c r="V2044" s="576"/>
      <c r="W2044" s="573"/>
      <c r="X2044" s="574">
        <f t="shared" si="258"/>
        <v>0</v>
      </c>
      <c r="Y2044" s="487"/>
      <c r="Z2044" s="487"/>
      <c r="AA2044" s="276">
        <f t="shared" si="259"/>
        <v>0</v>
      </c>
      <c r="AB2044" s="573"/>
      <c r="AC2044" s="487"/>
      <c r="AD2044" s="573"/>
      <c r="AE2044" s="487"/>
      <c r="AF2044" s="577">
        <f t="shared" si="255"/>
        <v>189154</v>
      </c>
      <c r="AG2044" s="275">
        <f t="shared" si="256"/>
        <v>201002</v>
      </c>
    </row>
    <row r="2045" spans="1:33" ht="12" customHeight="1">
      <c r="A2045" s="646" t="s">
        <v>1281</v>
      </c>
      <c r="B2045" s="646" t="s">
        <v>1787</v>
      </c>
      <c r="C2045" s="305" t="s">
        <v>1770</v>
      </c>
      <c r="D2045" s="648">
        <v>198987</v>
      </c>
      <c r="E2045" s="660">
        <v>9</v>
      </c>
      <c r="F2045" s="573"/>
      <c r="G2045" s="487"/>
      <c r="H2045" s="573">
        <v>604314</v>
      </c>
      <c r="I2045" s="487">
        <v>699931</v>
      </c>
      <c r="J2045" s="573"/>
      <c r="K2045" s="487"/>
      <c r="L2045" s="573">
        <v>214238</v>
      </c>
      <c r="M2045" s="573"/>
      <c r="N2045" s="456">
        <f t="shared" si="257"/>
        <v>214238</v>
      </c>
      <c r="O2045" s="487">
        <v>114046</v>
      </c>
      <c r="P2045" s="487"/>
      <c r="Q2045" s="274">
        <f t="shared" si="252"/>
        <v>114046</v>
      </c>
      <c r="R2045" s="574">
        <f t="shared" si="253"/>
        <v>818552</v>
      </c>
      <c r="S2045" s="275">
        <f t="shared" si="254"/>
        <v>813977</v>
      </c>
      <c r="T2045" s="575"/>
      <c r="U2045" s="487"/>
      <c r="V2045" s="576"/>
      <c r="W2045" s="573"/>
      <c r="X2045" s="574">
        <f t="shared" si="258"/>
        <v>0</v>
      </c>
      <c r="Y2045" s="487"/>
      <c r="Z2045" s="487"/>
      <c r="AA2045" s="276">
        <f t="shared" si="259"/>
        <v>0</v>
      </c>
      <c r="AB2045" s="573"/>
      <c r="AC2045" s="487"/>
      <c r="AD2045" s="573"/>
      <c r="AE2045" s="487"/>
      <c r="AF2045" s="577">
        <f t="shared" si="255"/>
        <v>818552</v>
      </c>
      <c r="AG2045" s="275">
        <f t="shared" si="256"/>
        <v>813977</v>
      </c>
    </row>
    <row r="2046" spans="1:33" ht="12" customHeight="1">
      <c r="A2046" s="646" t="s">
        <v>1281</v>
      </c>
      <c r="B2046" s="646" t="s">
        <v>1776</v>
      </c>
      <c r="C2046" s="743" t="s">
        <v>535</v>
      </c>
      <c r="D2046" s="648">
        <v>199087</v>
      </c>
      <c r="E2046" s="660">
        <v>9</v>
      </c>
      <c r="F2046" s="573">
        <v>9982608</v>
      </c>
      <c r="G2046" s="487">
        <v>10231029</v>
      </c>
      <c r="H2046" s="573"/>
      <c r="I2046" s="487"/>
      <c r="J2046" s="573">
        <v>1610750</v>
      </c>
      <c r="K2046" s="487">
        <v>1795180</v>
      </c>
      <c r="L2046" s="573">
        <v>1745763</v>
      </c>
      <c r="M2046" s="573"/>
      <c r="N2046" s="456">
        <f t="shared" si="257"/>
        <v>1745763</v>
      </c>
      <c r="O2046" s="487">
        <v>2011682</v>
      </c>
      <c r="P2046" s="487"/>
      <c r="Q2046" s="274">
        <f t="shared" si="252"/>
        <v>2011682</v>
      </c>
      <c r="R2046" s="574">
        <f t="shared" si="253"/>
        <v>13339121</v>
      </c>
      <c r="S2046" s="275">
        <f t="shared" si="254"/>
        <v>14037891</v>
      </c>
      <c r="T2046" s="575"/>
      <c r="U2046" s="487"/>
      <c r="V2046" s="576"/>
      <c r="W2046" s="573"/>
      <c r="X2046" s="574">
        <f t="shared" si="258"/>
        <v>0</v>
      </c>
      <c r="Y2046" s="487"/>
      <c r="Z2046" s="487"/>
      <c r="AA2046" s="276">
        <f t="shared" si="259"/>
        <v>0</v>
      </c>
      <c r="AB2046" s="573"/>
      <c r="AC2046" s="487"/>
      <c r="AD2046" s="573"/>
      <c r="AE2046" s="487"/>
      <c r="AF2046" s="577">
        <f t="shared" si="255"/>
        <v>13339121</v>
      </c>
      <c r="AG2046" s="275">
        <f t="shared" si="256"/>
        <v>14037891</v>
      </c>
    </row>
    <row r="2047" spans="1:33" ht="12" customHeight="1">
      <c r="A2047" s="646" t="s">
        <v>1281</v>
      </c>
      <c r="B2047" s="646" t="s">
        <v>1776</v>
      </c>
      <c r="C2047" s="305" t="s">
        <v>508</v>
      </c>
      <c r="D2047" s="648">
        <v>199087</v>
      </c>
      <c r="E2047" s="660">
        <v>9</v>
      </c>
      <c r="F2047" s="573"/>
      <c r="G2047" s="487"/>
      <c r="H2047" s="573">
        <v>70729</v>
      </c>
      <c r="I2047" s="487">
        <v>117963</v>
      </c>
      <c r="J2047" s="573"/>
      <c r="K2047" s="487"/>
      <c r="L2047" s="573"/>
      <c r="M2047" s="573"/>
      <c r="N2047" s="456">
        <f t="shared" si="257"/>
        <v>0</v>
      </c>
      <c r="O2047" s="487"/>
      <c r="P2047" s="487"/>
      <c r="Q2047" s="274">
        <f t="shared" si="252"/>
        <v>0</v>
      </c>
      <c r="R2047" s="574">
        <f t="shared" si="253"/>
        <v>70729</v>
      </c>
      <c r="S2047" s="275">
        <f t="shared" si="254"/>
        <v>117963</v>
      </c>
      <c r="T2047" s="575"/>
      <c r="U2047" s="487"/>
      <c r="V2047" s="576"/>
      <c r="W2047" s="573"/>
      <c r="X2047" s="574">
        <f t="shared" si="258"/>
        <v>0</v>
      </c>
      <c r="Y2047" s="487"/>
      <c r="Z2047" s="487"/>
      <c r="AA2047" s="276">
        <f t="shared" si="259"/>
        <v>0</v>
      </c>
      <c r="AB2047" s="573"/>
      <c r="AC2047" s="487"/>
      <c r="AD2047" s="573"/>
      <c r="AE2047" s="487"/>
      <c r="AF2047" s="577">
        <f t="shared" si="255"/>
        <v>70729</v>
      </c>
      <c r="AG2047" s="275">
        <f t="shared" si="256"/>
        <v>117963</v>
      </c>
    </row>
    <row r="2048" spans="1:33" ht="12" customHeight="1">
      <c r="A2048" s="646" t="s">
        <v>1281</v>
      </c>
      <c r="B2048" s="646" t="s">
        <v>1778</v>
      </c>
      <c r="C2048" s="305" t="s">
        <v>1891</v>
      </c>
      <c r="D2048" s="648">
        <v>199087</v>
      </c>
      <c r="E2048" s="660">
        <v>9</v>
      </c>
      <c r="F2048" s="573"/>
      <c r="G2048" s="487"/>
      <c r="H2048" s="573">
        <v>184707</v>
      </c>
      <c r="I2048" s="487">
        <v>193015</v>
      </c>
      <c r="J2048" s="573"/>
      <c r="K2048" s="487"/>
      <c r="L2048" s="573"/>
      <c r="M2048" s="573"/>
      <c r="N2048" s="456">
        <f t="shared" si="257"/>
        <v>0</v>
      </c>
      <c r="O2048" s="487"/>
      <c r="P2048" s="487"/>
      <c r="Q2048" s="274">
        <f t="shared" si="252"/>
        <v>0</v>
      </c>
      <c r="R2048" s="574">
        <f t="shared" si="253"/>
        <v>184707</v>
      </c>
      <c r="S2048" s="275">
        <f t="shared" si="254"/>
        <v>193015</v>
      </c>
      <c r="T2048" s="575"/>
      <c r="U2048" s="487"/>
      <c r="V2048" s="576"/>
      <c r="W2048" s="573"/>
      <c r="X2048" s="574">
        <f t="shared" si="258"/>
        <v>0</v>
      </c>
      <c r="Y2048" s="487"/>
      <c r="Z2048" s="487"/>
      <c r="AA2048" s="276">
        <f t="shared" si="259"/>
        <v>0</v>
      </c>
      <c r="AB2048" s="573"/>
      <c r="AC2048" s="487"/>
      <c r="AD2048" s="573"/>
      <c r="AE2048" s="487"/>
      <c r="AF2048" s="577">
        <f t="shared" si="255"/>
        <v>184707</v>
      </c>
      <c r="AG2048" s="275">
        <f t="shared" si="256"/>
        <v>193015</v>
      </c>
    </row>
    <row r="2049" spans="1:33" ht="12" customHeight="1">
      <c r="A2049" s="646" t="s">
        <v>1281</v>
      </c>
      <c r="B2049" s="646" t="s">
        <v>1787</v>
      </c>
      <c r="C2049" s="305" t="s">
        <v>1770</v>
      </c>
      <c r="D2049" s="648">
        <v>199087</v>
      </c>
      <c r="E2049" s="660">
        <v>9</v>
      </c>
      <c r="F2049" s="573"/>
      <c r="G2049" s="487"/>
      <c r="H2049" s="573">
        <v>795458</v>
      </c>
      <c r="I2049" s="487">
        <v>953811</v>
      </c>
      <c r="J2049" s="573"/>
      <c r="K2049" s="487"/>
      <c r="L2049" s="573">
        <v>233150</v>
      </c>
      <c r="M2049" s="573"/>
      <c r="N2049" s="456">
        <f t="shared" si="257"/>
        <v>233150</v>
      </c>
      <c r="O2049" s="487">
        <v>125270</v>
      </c>
      <c r="P2049" s="487"/>
      <c r="Q2049" s="274">
        <f t="shared" si="252"/>
        <v>125270</v>
      </c>
      <c r="R2049" s="574">
        <f t="shared" si="253"/>
        <v>1028608</v>
      </c>
      <c r="S2049" s="275">
        <f t="shared" si="254"/>
        <v>1079081</v>
      </c>
      <c r="T2049" s="575"/>
      <c r="U2049" s="487"/>
      <c r="V2049" s="576"/>
      <c r="W2049" s="573"/>
      <c r="X2049" s="574">
        <f t="shared" si="258"/>
        <v>0</v>
      </c>
      <c r="Y2049" s="487"/>
      <c r="Z2049" s="487"/>
      <c r="AA2049" s="276">
        <f t="shared" si="259"/>
        <v>0</v>
      </c>
      <c r="AB2049" s="573"/>
      <c r="AC2049" s="487"/>
      <c r="AD2049" s="573"/>
      <c r="AE2049" s="487"/>
      <c r="AF2049" s="577">
        <f t="shared" si="255"/>
        <v>1028608</v>
      </c>
      <c r="AG2049" s="275">
        <f t="shared" si="256"/>
        <v>1079081</v>
      </c>
    </row>
    <row r="2050" spans="1:33" ht="12" customHeight="1">
      <c r="A2050" s="646" t="s">
        <v>1281</v>
      </c>
      <c r="B2050" s="646" t="s">
        <v>1776</v>
      </c>
      <c r="C2050" s="743" t="s">
        <v>536</v>
      </c>
      <c r="D2050" s="648">
        <v>199324</v>
      </c>
      <c r="E2050" s="660">
        <v>9</v>
      </c>
      <c r="F2050" s="573">
        <v>11566198</v>
      </c>
      <c r="G2050" s="487">
        <v>11833718</v>
      </c>
      <c r="H2050" s="573"/>
      <c r="I2050" s="487"/>
      <c r="J2050" s="573">
        <v>1224311</v>
      </c>
      <c r="K2050" s="487">
        <v>1303350</v>
      </c>
      <c r="L2050" s="573">
        <v>1159169</v>
      </c>
      <c r="M2050" s="573"/>
      <c r="N2050" s="456">
        <f t="shared" si="257"/>
        <v>1159169</v>
      </c>
      <c r="O2050" s="487">
        <v>1518288</v>
      </c>
      <c r="P2050" s="487"/>
      <c r="Q2050" s="274">
        <f t="shared" si="252"/>
        <v>1518288</v>
      </c>
      <c r="R2050" s="574">
        <f t="shared" si="253"/>
        <v>13949678</v>
      </c>
      <c r="S2050" s="275">
        <f t="shared" si="254"/>
        <v>14655356</v>
      </c>
      <c r="T2050" s="575"/>
      <c r="U2050" s="487"/>
      <c r="V2050" s="576"/>
      <c r="W2050" s="573"/>
      <c r="X2050" s="574">
        <f t="shared" si="258"/>
        <v>0</v>
      </c>
      <c r="Y2050" s="487"/>
      <c r="Z2050" s="487"/>
      <c r="AA2050" s="276">
        <f t="shared" si="259"/>
        <v>0</v>
      </c>
      <c r="AB2050" s="573"/>
      <c r="AC2050" s="487"/>
      <c r="AD2050" s="573"/>
      <c r="AE2050" s="487"/>
      <c r="AF2050" s="577">
        <f t="shared" si="255"/>
        <v>13949678</v>
      </c>
      <c r="AG2050" s="275">
        <f t="shared" si="256"/>
        <v>14655356</v>
      </c>
    </row>
    <row r="2051" spans="1:33" ht="12" customHeight="1">
      <c r="A2051" s="646" t="s">
        <v>1281</v>
      </c>
      <c r="B2051" s="646" t="s">
        <v>1776</v>
      </c>
      <c r="C2051" s="305" t="s">
        <v>508</v>
      </c>
      <c r="D2051" s="648">
        <v>199324</v>
      </c>
      <c r="E2051" s="660">
        <v>9</v>
      </c>
      <c r="F2051" s="573"/>
      <c r="G2051" s="487"/>
      <c r="H2051" s="573">
        <v>30637</v>
      </c>
      <c r="I2051" s="487">
        <v>67131</v>
      </c>
      <c r="J2051" s="573"/>
      <c r="K2051" s="487"/>
      <c r="L2051" s="573"/>
      <c r="M2051" s="573"/>
      <c r="N2051" s="456">
        <f t="shared" si="257"/>
        <v>0</v>
      </c>
      <c r="O2051" s="487"/>
      <c r="P2051" s="487"/>
      <c r="Q2051" s="274">
        <f t="shared" si="252"/>
        <v>0</v>
      </c>
      <c r="R2051" s="574">
        <f t="shared" si="253"/>
        <v>30637</v>
      </c>
      <c r="S2051" s="275">
        <f t="shared" si="254"/>
        <v>67131</v>
      </c>
      <c r="T2051" s="575"/>
      <c r="U2051" s="487"/>
      <c r="V2051" s="576"/>
      <c r="W2051" s="573"/>
      <c r="X2051" s="574">
        <f t="shared" si="258"/>
        <v>0</v>
      </c>
      <c r="Y2051" s="487"/>
      <c r="Z2051" s="487"/>
      <c r="AA2051" s="276">
        <f t="shared" si="259"/>
        <v>0</v>
      </c>
      <c r="AB2051" s="573"/>
      <c r="AC2051" s="487"/>
      <c r="AD2051" s="573"/>
      <c r="AE2051" s="487"/>
      <c r="AF2051" s="577">
        <f t="shared" si="255"/>
        <v>30637</v>
      </c>
      <c r="AG2051" s="275">
        <f t="shared" si="256"/>
        <v>67131</v>
      </c>
    </row>
    <row r="2052" spans="1:33" ht="12" customHeight="1">
      <c r="A2052" s="646" t="s">
        <v>1281</v>
      </c>
      <c r="B2052" s="646" t="s">
        <v>1778</v>
      </c>
      <c r="C2052" s="305" t="s">
        <v>1891</v>
      </c>
      <c r="D2052" s="648">
        <v>199324</v>
      </c>
      <c r="E2052" s="660">
        <v>9</v>
      </c>
      <c r="F2052" s="573"/>
      <c r="G2052" s="487"/>
      <c r="H2052" s="573">
        <v>168711</v>
      </c>
      <c r="I2052" s="487">
        <v>161444</v>
      </c>
      <c r="J2052" s="573"/>
      <c r="K2052" s="487"/>
      <c r="L2052" s="573"/>
      <c r="M2052" s="573"/>
      <c r="N2052" s="456">
        <f t="shared" si="257"/>
        <v>0</v>
      </c>
      <c r="O2052" s="487"/>
      <c r="P2052" s="487"/>
      <c r="Q2052" s="274">
        <f t="shared" si="252"/>
        <v>0</v>
      </c>
      <c r="R2052" s="574">
        <f t="shared" si="253"/>
        <v>168711</v>
      </c>
      <c r="S2052" s="275">
        <f t="shared" si="254"/>
        <v>161444</v>
      </c>
      <c r="T2052" s="575"/>
      <c r="U2052" s="487"/>
      <c r="V2052" s="576"/>
      <c r="W2052" s="573"/>
      <c r="X2052" s="574">
        <f t="shared" si="258"/>
        <v>0</v>
      </c>
      <c r="Y2052" s="487"/>
      <c r="Z2052" s="487"/>
      <c r="AA2052" s="276">
        <f t="shared" si="259"/>
        <v>0</v>
      </c>
      <c r="AB2052" s="573"/>
      <c r="AC2052" s="487"/>
      <c r="AD2052" s="573"/>
      <c r="AE2052" s="487"/>
      <c r="AF2052" s="577">
        <f t="shared" si="255"/>
        <v>168711</v>
      </c>
      <c r="AG2052" s="275">
        <f t="shared" si="256"/>
        <v>161444</v>
      </c>
    </row>
    <row r="2053" spans="1:33" ht="12" customHeight="1">
      <c r="A2053" s="646" t="s">
        <v>1281</v>
      </c>
      <c r="B2053" s="646" t="s">
        <v>1787</v>
      </c>
      <c r="C2053" s="305" t="s">
        <v>1770</v>
      </c>
      <c r="D2053" s="648">
        <v>199324</v>
      </c>
      <c r="E2053" s="660">
        <v>9</v>
      </c>
      <c r="F2053" s="573"/>
      <c r="G2053" s="487"/>
      <c r="H2053" s="573">
        <v>659510</v>
      </c>
      <c r="I2053" s="487">
        <v>711251</v>
      </c>
      <c r="J2053" s="573"/>
      <c r="K2053" s="487"/>
      <c r="L2053" s="573">
        <v>99592</v>
      </c>
      <c r="M2053" s="573"/>
      <c r="N2053" s="456">
        <f t="shared" si="257"/>
        <v>99592</v>
      </c>
      <c r="O2053" s="487">
        <v>59136</v>
      </c>
      <c r="P2053" s="487"/>
      <c r="Q2053" s="274">
        <f t="shared" si="252"/>
        <v>59136</v>
      </c>
      <c r="R2053" s="574">
        <f t="shared" si="253"/>
        <v>759102</v>
      </c>
      <c r="S2053" s="275">
        <f t="shared" si="254"/>
        <v>770387</v>
      </c>
      <c r="T2053" s="575"/>
      <c r="U2053" s="487"/>
      <c r="V2053" s="576"/>
      <c r="W2053" s="573"/>
      <c r="X2053" s="574">
        <f t="shared" si="258"/>
        <v>0</v>
      </c>
      <c r="Y2053" s="487"/>
      <c r="Z2053" s="487"/>
      <c r="AA2053" s="276">
        <f t="shared" si="259"/>
        <v>0</v>
      </c>
      <c r="AB2053" s="573"/>
      <c r="AC2053" s="487"/>
      <c r="AD2053" s="573"/>
      <c r="AE2053" s="487"/>
      <c r="AF2053" s="577">
        <f t="shared" si="255"/>
        <v>759102</v>
      </c>
      <c r="AG2053" s="275">
        <f t="shared" si="256"/>
        <v>770387</v>
      </c>
    </row>
    <row r="2054" spans="1:33" ht="12" customHeight="1">
      <c r="A2054" s="646" t="s">
        <v>1281</v>
      </c>
      <c r="B2054" s="646" t="s">
        <v>1776</v>
      </c>
      <c r="C2054" s="743" t="s">
        <v>537</v>
      </c>
      <c r="D2054" s="648">
        <v>199421</v>
      </c>
      <c r="E2054" s="660">
        <v>9</v>
      </c>
      <c r="F2054" s="573">
        <v>9349412</v>
      </c>
      <c r="G2054" s="487">
        <v>9473208</v>
      </c>
      <c r="H2054" s="573"/>
      <c r="I2054" s="487"/>
      <c r="J2054" s="573">
        <v>2184807</v>
      </c>
      <c r="K2054" s="487">
        <v>2400000</v>
      </c>
      <c r="L2054" s="573">
        <v>1788923</v>
      </c>
      <c r="M2054" s="573"/>
      <c r="N2054" s="456">
        <f t="shared" si="257"/>
        <v>1788923</v>
      </c>
      <c r="O2054" s="487">
        <v>1941079</v>
      </c>
      <c r="P2054" s="487"/>
      <c r="Q2054" s="274">
        <f t="shared" si="252"/>
        <v>1941079</v>
      </c>
      <c r="R2054" s="574">
        <f t="shared" si="253"/>
        <v>13323142</v>
      </c>
      <c r="S2054" s="275">
        <f t="shared" si="254"/>
        <v>13814287</v>
      </c>
      <c r="T2054" s="575"/>
      <c r="U2054" s="487"/>
      <c r="V2054" s="576"/>
      <c r="W2054" s="573"/>
      <c r="X2054" s="574">
        <f t="shared" si="258"/>
        <v>0</v>
      </c>
      <c r="Y2054" s="487"/>
      <c r="Z2054" s="487"/>
      <c r="AA2054" s="276">
        <f t="shared" si="259"/>
        <v>0</v>
      </c>
      <c r="AB2054" s="573"/>
      <c r="AC2054" s="487"/>
      <c r="AD2054" s="573"/>
      <c r="AE2054" s="487"/>
      <c r="AF2054" s="577">
        <f t="shared" si="255"/>
        <v>13323142</v>
      </c>
      <c r="AG2054" s="275">
        <f t="shared" si="256"/>
        <v>13814287</v>
      </c>
    </row>
    <row r="2055" spans="1:33" ht="12" customHeight="1">
      <c r="A2055" s="646" t="s">
        <v>1281</v>
      </c>
      <c r="B2055" s="646" t="s">
        <v>1776</v>
      </c>
      <c r="C2055" s="305" t="s">
        <v>508</v>
      </c>
      <c r="D2055" s="648">
        <v>199421</v>
      </c>
      <c r="E2055" s="660">
        <v>9</v>
      </c>
      <c r="F2055" s="573"/>
      <c r="G2055" s="487"/>
      <c r="H2055" s="573">
        <v>49993</v>
      </c>
      <c r="I2055" s="487">
        <v>60932</v>
      </c>
      <c r="J2055" s="573"/>
      <c r="K2055" s="487"/>
      <c r="L2055" s="573"/>
      <c r="M2055" s="573"/>
      <c r="N2055" s="456">
        <f t="shared" si="257"/>
        <v>0</v>
      </c>
      <c r="O2055" s="487"/>
      <c r="P2055" s="487"/>
      <c r="Q2055" s="274">
        <f t="shared" si="252"/>
        <v>0</v>
      </c>
      <c r="R2055" s="574">
        <f t="shared" si="253"/>
        <v>49993</v>
      </c>
      <c r="S2055" s="275">
        <f t="shared" si="254"/>
        <v>60932</v>
      </c>
      <c r="T2055" s="575"/>
      <c r="U2055" s="487"/>
      <c r="V2055" s="576"/>
      <c r="W2055" s="573"/>
      <c r="X2055" s="574">
        <f t="shared" si="258"/>
        <v>0</v>
      </c>
      <c r="Y2055" s="487"/>
      <c r="Z2055" s="487"/>
      <c r="AA2055" s="276">
        <f t="shared" si="259"/>
        <v>0</v>
      </c>
      <c r="AB2055" s="573"/>
      <c r="AC2055" s="487"/>
      <c r="AD2055" s="573"/>
      <c r="AE2055" s="487"/>
      <c r="AF2055" s="577">
        <f t="shared" si="255"/>
        <v>49993</v>
      </c>
      <c r="AG2055" s="275">
        <f t="shared" si="256"/>
        <v>60932</v>
      </c>
    </row>
    <row r="2056" spans="1:33" ht="12" customHeight="1">
      <c r="A2056" s="646" t="s">
        <v>1281</v>
      </c>
      <c r="B2056" s="646" t="s">
        <v>1778</v>
      </c>
      <c r="C2056" s="305" t="s">
        <v>1891</v>
      </c>
      <c r="D2056" s="648">
        <v>199421</v>
      </c>
      <c r="E2056" s="660">
        <v>9</v>
      </c>
      <c r="F2056" s="573"/>
      <c r="G2056" s="487"/>
      <c r="H2056" s="573">
        <v>196581</v>
      </c>
      <c r="I2056" s="487">
        <v>201727</v>
      </c>
      <c r="J2056" s="573"/>
      <c r="K2056" s="487"/>
      <c r="L2056" s="573"/>
      <c r="M2056" s="573"/>
      <c r="N2056" s="456">
        <f t="shared" si="257"/>
        <v>0</v>
      </c>
      <c r="O2056" s="487"/>
      <c r="P2056" s="487"/>
      <c r="Q2056" s="274">
        <f t="shared" si="252"/>
        <v>0</v>
      </c>
      <c r="R2056" s="574">
        <f t="shared" si="253"/>
        <v>196581</v>
      </c>
      <c r="S2056" s="275">
        <f t="shared" si="254"/>
        <v>201727</v>
      </c>
      <c r="T2056" s="575"/>
      <c r="U2056" s="487"/>
      <c r="V2056" s="576"/>
      <c r="W2056" s="573"/>
      <c r="X2056" s="574">
        <f t="shared" si="258"/>
        <v>0</v>
      </c>
      <c r="Y2056" s="487"/>
      <c r="Z2056" s="487"/>
      <c r="AA2056" s="276">
        <f t="shared" si="259"/>
        <v>0</v>
      </c>
      <c r="AB2056" s="573"/>
      <c r="AC2056" s="487"/>
      <c r="AD2056" s="573"/>
      <c r="AE2056" s="487"/>
      <c r="AF2056" s="577">
        <f t="shared" si="255"/>
        <v>196581</v>
      </c>
      <c r="AG2056" s="275">
        <f t="shared" si="256"/>
        <v>201727</v>
      </c>
    </row>
    <row r="2057" spans="1:33" ht="12" customHeight="1">
      <c r="A2057" s="646" t="s">
        <v>1281</v>
      </c>
      <c r="B2057" s="646" t="s">
        <v>1787</v>
      </c>
      <c r="C2057" s="305" t="s">
        <v>1770</v>
      </c>
      <c r="D2057" s="648">
        <v>199421</v>
      </c>
      <c r="E2057" s="660">
        <v>9</v>
      </c>
      <c r="F2057" s="573"/>
      <c r="G2057" s="487"/>
      <c r="H2057" s="573">
        <v>808359</v>
      </c>
      <c r="I2057" s="487">
        <v>937659</v>
      </c>
      <c r="J2057" s="573"/>
      <c r="K2057" s="487"/>
      <c r="L2057" s="573">
        <v>359941</v>
      </c>
      <c r="M2057" s="573"/>
      <c r="N2057" s="456">
        <f t="shared" si="257"/>
        <v>359941</v>
      </c>
      <c r="O2057" s="487">
        <v>186116</v>
      </c>
      <c r="P2057" s="487"/>
      <c r="Q2057" s="274">
        <f t="shared" si="252"/>
        <v>186116</v>
      </c>
      <c r="R2057" s="574">
        <f t="shared" si="253"/>
        <v>1168300</v>
      </c>
      <c r="S2057" s="275">
        <f t="shared" si="254"/>
        <v>1123775</v>
      </c>
      <c r="T2057" s="575"/>
      <c r="U2057" s="487"/>
      <c r="V2057" s="576"/>
      <c r="W2057" s="573"/>
      <c r="X2057" s="574">
        <f t="shared" si="258"/>
        <v>0</v>
      </c>
      <c r="Y2057" s="487"/>
      <c r="Z2057" s="487"/>
      <c r="AA2057" s="276">
        <f t="shared" si="259"/>
        <v>0</v>
      </c>
      <c r="AB2057" s="573"/>
      <c r="AC2057" s="487"/>
      <c r="AD2057" s="573"/>
      <c r="AE2057" s="487"/>
      <c r="AF2057" s="577">
        <f t="shared" si="255"/>
        <v>1168300</v>
      </c>
      <c r="AG2057" s="275">
        <f t="shared" si="256"/>
        <v>1123775</v>
      </c>
    </row>
    <row r="2058" spans="1:33" ht="12" customHeight="1">
      <c r="A2058" s="646" t="s">
        <v>1281</v>
      </c>
      <c r="B2058" s="646" t="s">
        <v>1776</v>
      </c>
      <c r="C2058" s="743" t="s">
        <v>538</v>
      </c>
      <c r="D2058" s="648">
        <v>199449</v>
      </c>
      <c r="E2058" s="660">
        <v>9</v>
      </c>
      <c r="F2058" s="573">
        <v>8210740</v>
      </c>
      <c r="G2058" s="487">
        <v>8900200</v>
      </c>
      <c r="H2058" s="573"/>
      <c r="I2058" s="487"/>
      <c r="J2058" s="573">
        <v>1161291</v>
      </c>
      <c r="K2058" s="487">
        <v>1200656</v>
      </c>
      <c r="L2058" s="573">
        <v>1470746</v>
      </c>
      <c r="M2058" s="573"/>
      <c r="N2058" s="456">
        <f t="shared" si="257"/>
        <v>1470746</v>
      </c>
      <c r="O2058" s="487">
        <v>1437876</v>
      </c>
      <c r="P2058" s="487"/>
      <c r="Q2058" s="274">
        <f t="shared" ref="Q2058:Q2121" si="260">SUM(O2058:P2058)</f>
        <v>1437876</v>
      </c>
      <c r="R2058" s="574">
        <f t="shared" ref="R2058:R2121" si="261">SUM(F2058,H2058,J2058,L2058)</f>
        <v>10842777</v>
      </c>
      <c r="S2058" s="275">
        <f t="shared" ref="S2058:S2121" si="262">SUM(G2058,I2058,K2058,O2058)</f>
        <v>11538732</v>
      </c>
      <c r="T2058" s="575"/>
      <c r="U2058" s="487"/>
      <c r="V2058" s="576"/>
      <c r="W2058" s="573"/>
      <c r="X2058" s="574">
        <f t="shared" si="258"/>
        <v>0</v>
      </c>
      <c r="Y2058" s="487"/>
      <c r="Z2058" s="487"/>
      <c r="AA2058" s="276">
        <f t="shared" si="259"/>
        <v>0</v>
      </c>
      <c r="AB2058" s="573"/>
      <c r="AC2058" s="487"/>
      <c r="AD2058" s="573"/>
      <c r="AE2058" s="487"/>
      <c r="AF2058" s="577">
        <f t="shared" ref="AF2058:AF2121" si="263">SUM(R2058,T2058,V2058,AB2058,AD2058)</f>
        <v>10842777</v>
      </c>
      <c r="AG2058" s="275">
        <f t="shared" ref="AG2058:AG2121" si="264">SUM(S2058,U2058,Y2058,AC2058,AE2058)</f>
        <v>11538732</v>
      </c>
    </row>
    <row r="2059" spans="1:33" ht="12" customHeight="1">
      <c r="A2059" s="646" t="s">
        <v>1281</v>
      </c>
      <c r="B2059" s="646" t="s">
        <v>1776</v>
      </c>
      <c r="C2059" s="305" t="s">
        <v>508</v>
      </c>
      <c r="D2059" s="648">
        <v>199449</v>
      </c>
      <c r="E2059" s="660">
        <v>9</v>
      </c>
      <c r="F2059" s="573"/>
      <c r="G2059" s="487"/>
      <c r="H2059" s="573">
        <v>125794</v>
      </c>
      <c r="I2059" s="487">
        <v>187928</v>
      </c>
      <c r="J2059" s="573"/>
      <c r="K2059" s="487"/>
      <c r="L2059" s="573"/>
      <c r="M2059" s="573"/>
      <c r="N2059" s="456">
        <f t="shared" si="257"/>
        <v>0</v>
      </c>
      <c r="O2059" s="487"/>
      <c r="P2059" s="487"/>
      <c r="Q2059" s="274">
        <f t="shared" si="260"/>
        <v>0</v>
      </c>
      <c r="R2059" s="574">
        <f t="shared" si="261"/>
        <v>125794</v>
      </c>
      <c r="S2059" s="275">
        <f t="shared" si="262"/>
        <v>187928</v>
      </c>
      <c r="T2059" s="575"/>
      <c r="U2059" s="487"/>
      <c r="V2059" s="576"/>
      <c r="W2059" s="573"/>
      <c r="X2059" s="574">
        <f t="shared" si="258"/>
        <v>0</v>
      </c>
      <c r="Y2059" s="487"/>
      <c r="Z2059" s="487"/>
      <c r="AA2059" s="276">
        <f t="shared" si="259"/>
        <v>0</v>
      </c>
      <c r="AB2059" s="573"/>
      <c r="AC2059" s="487"/>
      <c r="AD2059" s="573"/>
      <c r="AE2059" s="487"/>
      <c r="AF2059" s="577">
        <f t="shared" si="263"/>
        <v>125794</v>
      </c>
      <c r="AG2059" s="275">
        <f t="shared" si="264"/>
        <v>187928</v>
      </c>
    </row>
    <row r="2060" spans="1:33" ht="12" customHeight="1">
      <c r="A2060" s="646" t="s">
        <v>1281</v>
      </c>
      <c r="B2060" s="646" t="s">
        <v>1778</v>
      </c>
      <c r="C2060" s="305" t="s">
        <v>1891</v>
      </c>
      <c r="D2060" s="648">
        <v>199449</v>
      </c>
      <c r="E2060" s="660">
        <v>9</v>
      </c>
      <c r="F2060" s="573"/>
      <c r="G2060" s="487"/>
      <c r="H2060" s="573">
        <v>175639</v>
      </c>
      <c r="I2060" s="487">
        <v>174229</v>
      </c>
      <c r="J2060" s="573"/>
      <c r="K2060" s="487"/>
      <c r="L2060" s="573"/>
      <c r="M2060" s="573"/>
      <c r="N2060" s="456">
        <f t="shared" si="257"/>
        <v>0</v>
      </c>
      <c r="O2060" s="487"/>
      <c r="P2060" s="487"/>
      <c r="Q2060" s="274">
        <f t="shared" si="260"/>
        <v>0</v>
      </c>
      <c r="R2060" s="574">
        <f t="shared" si="261"/>
        <v>175639</v>
      </c>
      <c r="S2060" s="275">
        <f t="shared" si="262"/>
        <v>174229</v>
      </c>
      <c r="T2060" s="575"/>
      <c r="U2060" s="487"/>
      <c r="V2060" s="576"/>
      <c r="W2060" s="573"/>
      <c r="X2060" s="574">
        <f t="shared" si="258"/>
        <v>0</v>
      </c>
      <c r="Y2060" s="487"/>
      <c r="Z2060" s="487"/>
      <c r="AA2060" s="276">
        <f t="shared" si="259"/>
        <v>0</v>
      </c>
      <c r="AB2060" s="573"/>
      <c r="AC2060" s="487"/>
      <c r="AD2060" s="573"/>
      <c r="AE2060" s="487"/>
      <c r="AF2060" s="577">
        <f t="shared" si="263"/>
        <v>175639</v>
      </c>
      <c r="AG2060" s="275">
        <f t="shared" si="264"/>
        <v>174229</v>
      </c>
    </row>
    <row r="2061" spans="1:33" ht="12" customHeight="1">
      <c r="A2061" s="646" t="s">
        <v>1281</v>
      </c>
      <c r="B2061" s="646" t="s">
        <v>1787</v>
      </c>
      <c r="C2061" s="305" t="s">
        <v>1770</v>
      </c>
      <c r="D2061" s="648">
        <v>199449</v>
      </c>
      <c r="E2061" s="660">
        <v>9</v>
      </c>
      <c r="F2061" s="573"/>
      <c r="G2061" s="487"/>
      <c r="H2061" s="573">
        <v>619143</v>
      </c>
      <c r="I2061" s="487">
        <v>668061</v>
      </c>
      <c r="J2061" s="573"/>
      <c r="K2061" s="487"/>
      <c r="L2061" s="573">
        <v>92762</v>
      </c>
      <c r="M2061" s="573"/>
      <c r="N2061" s="456">
        <f t="shared" si="257"/>
        <v>92762</v>
      </c>
      <c r="O2061" s="487">
        <v>67696</v>
      </c>
      <c r="P2061" s="487"/>
      <c r="Q2061" s="274">
        <f t="shared" si="260"/>
        <v>67696</v>
      </c>
      <c r="R2061" s="574">
        <f t="shared" si="261"/>
        <v>711905</v>
      </c>
      <c r="S2061" s="275">
        <f t="shared" si="262"/>
        <v>735757</v>
      </c>
      <c r="T2061" s="575"/>
      <c r="U2061" s="487"/>
      <c r="V2061" s="576"/>
      <c r="W2061" s="573"/>
      <c r="X2061" s="574">
        <f t="shared" si="258"/>
        <v>0</v>
      </c>
      <c r="Y2061" s="487"/>
      <c r="Z2061" s="487"/>
      <c r="AA2061" s="276">
        <f t="shared" si="259"/>
        <v>0</v>
      </c>
      <c r="AB2061" s="573"/>
      <c r="AC2061" s="487"/>
      <c r="AD2061" s="573"/>
      <c r="AE2061" s="487"/>
      <c r="AF2061" s="577">
        <f t="shared" si="263"/>
        <v>711905</v>
      </c>
      <c r="AG2061" s="275">
        <f t="shared" si="264"/>
        <v>735757</v>
      </c>
    </row>
    <row r="2062" spans="1:33" ht="12" customHeight="1">
      <c r="A2062" s="646" t="s">
        <v>1281</v>
      </c>
      <c r="B2062" s="646" t="s">
        <v>1776</v>
      </c>
      <c r="C2062" s="743" t="s">
        <v>539</v>
      </c>
      <c r="D2062" s="648">
        <v>199476</v>
      </c>
      <c r="E2062" s="660">
        <v>9</v>
      </c>
      <c r="F2062" s="573">
        <v>14318436</v>
      </c>
      <c r="G2062" s="487">
        <v>14360796</v>
      </c>
      <c r="H2062" s="573"/>
      <c r="I2062" s="487"/>
      <c r="J2062" s="573">
        <v>2040000</v>
      </c>
      <c r="K2062" s="487">
        <v>2551094</v>
      </c>
      <c r="L2062" s="573">
        <v>1863588</v>
      </c>
      <c r="M2062" s="573"/>
      <c r="N2062" s="456">
        <f t="shared" si="257"/>
        <v>1863588</v>
      </c>
      <c r="O2062" s="487">
        <v>1995029</v>
      </c>
      <c r="P2062" s="487"/>
      <c r="Q2062" s="274">
        <f t="shared" si="260"/>
        <v>1995029</v>
      </c>
      <c r="R2062" s="574">
        <f t="shared" si="261"/>
        <v>18222024</v>
      </c>
      <c r="S2062" s="275">
        <f t="shared" si="262"/>
        <v>18906919</v>
      </c>
      <c r="T2062" s="575"/>
      <c r="U2062" s="487"/>
      <c r="V2062" s="576"/>
      <c r="W2062" s="573"/>
      <c r="X2062" s="574">
        <f t="shared" si="258"/>
        <v>0</v>
      </c>
      <c r="Y2062" s="487"/>
      <c r="Z2062" s="487"/>
      <c r="AA2062" s="276">
        <f t="shared" si="259"/>
        <v>0</v>
      </c>
      <c r="AB2062" s="573"/>
      <c r="AC2062" s="487"/>
      <c r="AD2062" s="573"/>
      <c r="AE2062" s="487"/>
      <c r="AF2062" s="577">
        <f t="shared" si="263"/>
        <v>18222024</v>
      </c>
      <c r="AG2062" s="275">
        <f t="shared" si="264"/>
        <v>18906919</v>
      </c>
    </row>
    <row r="2063" spans="1:33" ht="12" customHeight="1">
      <c r="A2063" s="646" t="s">
        <v>1281</v>
      </c>
      <c r="B2063" s="646" t="s">
        <v>1776</v>
      </c>
      <c r="C2063" s="305" t="s">
        <v>508</v>
      </c>
      <c r="D2063" s="648">
        <v>199476</v>
      </c>
      <c r="E2063" s="660">
        <v>9</v>
      </c>
      <c r="F2063" s="573"/>
      <c r="G2063" s="487"/>
      <c r="H2063" s="573">
        <v>53259</v>
      </c>
      <c r="I2063" s="487">
        <v>90024</v>
      </c>
      <c r="J2063" s="573"/>
      <c r="K2063" s="487"/>
      <c r="L2063" s="573"/>
      <c r="M2063" s="573"/>
      <c r="N2063" s="456">
        <f t="shared" si="257"/>
        <v>0</v>
      </c>
      <c r="O2063" s="487"/>
      <c r="P2063" s="487"/>
      <c r="Q2063" s="274">
        <f t="shared" si="260"/>
        <v>0</v>
      </c>
      <c r="R2063" s="574">
        <f t="shared" si="261"/>
        <v>53259</v>
      </c>
      <c r="S2063" s="275">
        <f t="shared" si="262"/>
        <v>90024</v>
      </c>
      <c r="T2063" s="575"/>
      <c r="U2063" s="487"/>
      <c r="V2063" s="576"/>
      <c r="W2063" s="573"/>
      <c r="X2063" s="574">
        <f t="shared" si="258"/>
        <v>0</v>
      </c>
      <c r="Y2063" s="487"/>
      <c r="Z2063" s="487"/>
      <c r="AA2063" s="276">
        <f t="shared" si="259"/>
        <v>0</v>
      </c>
      <c r="AB2063" s="573"/>
      <c r="AC2063" s="487"/>
      <c r="AD2063" s="573"/>
      <c r="AE2063" s="487"/>
      <c r="AF2063" s="577">
        <f t="shared" si="263"/>
        <v>53259</v>
      </c>
      <c r="AG2063" s="275">
        <f t="shared" si="264"/>
        <v>90024</v>
      </c>
    </row>
    <row r="2064" spans="1:33" ht="12" customHeight="1">
      <c r="A2064" s="646" t="s">
        <v>1281</v>
      </c>
      <c r="B2064" s="646" t="s">
        <v>1778</v>
      </c>
      <c r="C2064" s="305" t="s">
        <v>1891</v>
      </c>
      <c r="D2064" s="648">
        <v>199476</v>
      </c>
      <c r="E2064" s="660">
        <v>9</v>
      </c>
      <c r="F2064" s="573"/>
      <c r="G2064" s="487"/>
      <c r="H2064" s="573">
        <v>187439</v>
      </c>
      <c r="I2064" s="487">
        <v>202526</v>
      </c>
      <c r="J2064" s="573"/>
      <c r="K2064" s="487"/>
      <c r="L2064" s="573"/>
      <c r="M2064" s="573"/>
      <c r="N2064" s="456">
        <f t="shared" si="257"/>
        <v>0</v>
      </c>
      <c r="O2064" s="487"/>
      <c r="P2064" s="487"/>
      <c r="Q2064" s="274">
        <f t="shared" si="260"/>
        <v>0</v>
      </c>
      <c r="R2064" s="574">
        <f t="shared" si="261"/>
        <v>187439</v>
      </c>
      <c r="S2064" s="275">
        <f t="shared" si="262"/>
        <v>202526</v>
      </c>
      <c r="T2064" s="575"/>
      <c r="U2064" s="487"/>
      <c r="V2064" s="576"/>
      <c r="W2064" s="573"/>
      <c r="X2064" s="574">
        <f t="shared" si="258"/>
        <v>0</v>
      </c>
      <c r="Y2064" s="487"/>
      <c r="Z2064" s="487"/>
      <c r="AA2064" s="276">
        <f t="shared" si="259"/>
        <v>0</v>
      </c>
      <c r="AB2064" s="573"/>
      <c r="AC2064" s="487"/>
      <c r="AD2064" s="573"/>
      <c r="AE2064" s="487"/>
      <c r="AF2064" s="577">
        <f t="shared" si="263"/>
        <v>187439</v>
      </c>
      <c r="AG2064" s="275">
        <f t="shared" si="264"/>
        <v>202526</v>
      </c>
    </row>
    <row r="2065" spans="1:33" ht="12" customHeight="1">
      <c r="A2065" s="646" t="s">
        <v>1281</v>
      </c>
      <c r="B2065" s="646" t="s">
        <v>1787</v>
      </c>
      <c r="C2065" s="305" t="s">
        <v>1770</v>
      </c>
      <c r="D2065" s="648">
        <v>199476</v>
      </c>
      <c r="E2065" s="660">
        <v>9</v>
      </c>
      <c r="F2065" s="573"/>
      <c r="G2065" s="487"/>
      <c r="H2065" s="573">
        <v>1475710</v>
      </c>
      <c r="I2065" s="487">
        <v>1773464</v>
      </c>
      <c r="J2065" s="573"/>
      <c r="K2065" s="487"/>
      <c r="L2065" s="573">
        <v>220094</v>
      </c>
      <c r="M2065" s="573"/>
      <c r="N2065" s="456">
        <f t="shared" si="257"/>
        <v>220094</v>
      </c>
      <c r="O2065" s="487">
        <v>103050</v>
      </c>
      <c r="P2065" s="487"/>
      <c r="Q2065" s="274">
        <f t="shared" si="260"/>
        <v>103050</v>
      </c>
      <c r="R2065" s="574">
        <f t="shared" si="261"/>
        <v>1695804</v>
      </c>
      <c r="S2065" s="275">
        <f t="shared" si="262"/>
        <v>1876514</v>
      </c>
      <c r="T2065" s="575"/>
      <c r="U2065" s="487"/>
      <c r="V2065" s="576"/>
      <c r="W2065" s="573"/>
      <c r="X2065" s="574">
        <f t="shared" si="258"/>
        <v>0</v>
      </c>
      <c r="Y2065" s="487"/>
      <c r="Z2065" s="487"/>
      <c r="AA2065" s="276">
        <f t="shared" si="259"/>
        <v>0</v>
      </c>
      <c r="AB2065" s="573"/>
      <c r="AC2065" s="487"/>
      <c r="AD2065" s="573"/>
      <c r="AE2065" s="487"/>
      <c r="AF2065" s="577">
        <f t="shared" si="263"/>
        <v>1695804</v>
      </c>
      <c r="AG2065" s="275">
        <f t="shared" si="264"/>
        <v>1876514</v>
      </c>
    </row>
    <row r="2066" spans="1:33" ht="12" customHeight="1">
      <c r="A2066" s="646" t="s">
        <v>1281</v>
      </c>
      <c r="B2066" s="646" t="s">
        <v>1776</v>
      </c>
      <c r="C2066" s="743" t="s">
        <v>540</v>
      </c>
      <c r="D2066" s="648">
        <v>199485</v>
      </c>
      <c r="E2066" s="660">
        <v>9</v>
      </c>
      <c r="F2066" s="573">
        <v>7727493</v>
      </c>
      <c r="G2066" s="487">
        <v>7926082</v>
      </c>
      <c r="H2066" s="573"/>
      <c r="I2066" s="487"/>
      <c r="J2066" s="573">
        <v>2240718</v>
      </c>
      <c r="K2066" s="487">
        <v>2127430</v>
      </c>
      <c r="L2066" s="573">
        <v>1994026</v>
      </c>
      <c r="M2066" s="573"/>
      <c r="N2066" s="456">
        <f t="shared" si="257"/>
        <v>1994026</v>
      </c>
      <c r="O2066" s="487">
        <v>1797234</v>
      </c>
      <c r="P2066" s="487"/>
      <c r="Q2066" s="274">
        <f t="shared" si="260"/>
        <v>1797234</v>
      </c>
      <c r="R2066" s="574">
        <f t="shared" si="261"/>
        <v>11962237</v>
      </c>
      <c r="S2066" s="275">
        <f t="shared" si="262"/>
        <v>11850746</v>
      </c>
      <c r="T2066" s="575"/>
      <c r="U2066" s="487"/>
      <c r="V2066" s="576"/>
      <c r="W2066" s="573"/>
      <c r="X2066" s="574">
        <f t="shared" si="258"/>
        <v>0</v>
      </c>
      <c r="Y2066" s="487"/>
      <c r="Z2066" s="487"/>
      <c r="AA2066" s="276">
        <f t="shared" si="259"/>
        <v>0</v>
      </c>
      <c r="AB2066" s="573"/>
      <c r="AC2066" s="487"/>
      <c r="AD2066" s="573"/>
      <c r="AE2066" s="487"/>
      <c r="AF2066" s="577">
        <f t="shared" si="263"/>
        <v>11962237</v>
      </c>
      <c r="AG2066" s="275">
        <f t="shared" si="264"/>
        <v>11850746</v>
      </c>
    </row>
    <row r="2067" spans="1:33" ht="12" customHeight="1">
      <c r="A2067" s="646" t="s">
        <v>1281</v>
      </c>
      <c r="B2067" s="646" t="s">
        <v>1776</v>
      </c>
      <c r="C2067" s="305" t="s">
        <v>508</v>
      </c>
      <c r="D2067" s="648">
        <v>199485</v>
      </c>
      <c r="E2067" s="660">
        <v>9</v>
      </c>
      <c r="F2067" s="573"/>
      <c r="G2067" s="487"/>
      <c r="H2067" s="573">
        <v>93263</v>
      </c>
      <c r="I2067" s="487">
        <v>125269</v>
      </c>
      <c r="J2067" s="573"/>
      <c r="K2067" s="487"/>
      <c r="L2067" s="573"/>
      <c r="M2067" s="573"/>
      <c r="N2067" s="456">
        <f t="shared" ref="N2067:N2130" si="265">SUM(L2067:M2067)</f>
        <v>0</v>
      </c>
      <c r="O2067" s="487"/>
      <c r="P2067" s="487"/>
      <c r="Q2067" s="274">
        <f t="shared" si="260"/>
        <v>0</v>
      </c>
      <c r="R2067" s="574">
        <f t="shared" si="261"/>
        <v>93263</v>
      </c>
      <c r="S2067" s="275">
        <f t="shared" si="262"/>
        <v>125269</v>
      </c>
      <c r="T2067" s="575"/>
      <c r="U2067" s="487"/>
      <c r="V2067" s="576"/>
      <c r="W2067" s="573"/>
      <c r="X2067" s="574">
        <f t="shared" ref="X2067:X2130" si="266">SUM(V2067:W2067)</f>
        <v>0</v>
      </c>
      <c r="Y2067" s="487"/>
      <c r="Z2067" s="487"/>
      <c r="AA2067" s="276">
        <f t="shared" ref="AA2067:AA2130" si="267">SUM(Y2067:Z2067)</f>
        <v>0</v>
      </c>
      <c r="AB2067" s="573"/>
      <c r="AC2067" s="487"/>
      <c r="AD2067" s="573"/>
      <c r="AE2067" s="487"/>
      <c r="AF2067" s="577">
        <f t="shared" si="263"/>
        <v>93263</v>
      </c>
      <c r="AG2067" s="275">
        <f t="shared" si="264"/>
        <v>125269</v>
      </c>
    </row>
    <row r="2068" spans="1:33" ht="12" customHeight="1">
      <c r="A2068" s="646" t="s">
        <v>1281</v>
      </c>
      <c r="B2068" s="646" t="s">
        <v>1778</v>
      </c>
      <c r="C2068" s="305" t="s">
        <v>1891</v>
      </c>
      <c r="D2068" s="648">
        <v>199485</v>
      </c>
      <c r="E2068" s="660">
        <v>9</v>
      </c>
      <c r="F2068" s="573"/>
      <c r="G2068" s="487"/>
      <c r="H2068" s="573">
        <v>192583</v>
      </c>
      <c r="I2068" s="487">
        <v>205068</v>
      </c>
      <c r="J2068" s="573"/>
      <c r="K2068" s="487"/>
      <c r="L2068" s="573"/>
      <c r="M2068" s="573"/>
      <c r="N2068" s="456">
        <f t="shared" si="265"/>
        <v>0</v>
      </c>
      <c r="O2068" s="487"/>
      <c r="P2068" s="487"/>
      <c r="Q2068" s="274">
        <f t="shared" si="260"/>
        <v>0</v>
      </c>
      <c r="R2068" s="574">
        <f t="shared" si="261"/>
        <v>192583</v>
      </c>
      <c r="S2068" s="275">
        <f t="shared" si="262"/>
        <v>205068</v>
      </c>
      <c r="T2068" s="575"/>
      <c r="U2068" s="487"/>
      <c r="V2068" s="576"/>
      <c r="W2068" s="573"/>
      <c r="X2068" s="574">
        <f t="shared" si="266"/>
        <v>0</v>
      </c>
      <c r="Y2068" s="487"/>
      <c r="Z2068" s="487"/>
      <c r="AA2068" s="276">
        <f t="shared" si="267"/>
        <v>0</v>
      </c>
      <c r="AB2068" s="573"/>
      <c r="AC2068" s="487"/>
      <c r="AD2068" s="573"/>
      <c r="AE2068" s="487"/>
      <c r="AF2068" s="577">
        <f t="shared" si="263"/>
        <v>192583</v>
      </c>
      <c r="AG2068" s="275">
        <f t="shared" si="264"/>
        <v>205068</v>
      </c>
    </row>
    <row r="2069" spans="1:33" ht="12" customHeight="1">
      <c r="A2069" s="646" t="s">
        <v>1281</v>
      </c>
      <c r="B2069" s="646" t="s">
        <v>1787</v>
      </c>
      <c r="C2069" s="305" t="s">
        <v>1770</v>
      </c>
      <c r="D2069" s="648">
        <v>199485</v>
      </c>
      <c r="E2069" s="660">
        <v>9</v>
      </c>
      <c r="F2069" s="573"/>
      <c r="G2069" s="487"/>
      <c r="H2069" s="573">
        <v>693063</v>
      </c>
      <c r="I2069" s="487">
        <v>802273</v>
      </c>
      <c r="J2069" s="573"/>
      <c r="K2069" s="487"/>
      <c r="L2069" s="573">
        <v>256610</v>
      </c>
      <c r="M2069" s="573"/>
      <c r="N2069" s="456">
        <f t="shared" si="265"/>
        <v>256610</v>
      </c>
      <c r="O2069" s="487">
        <v>129947</v>
      </c>
      <c r="P2069" s="487"/>
      <c r="Q2069" s="274">
        <f t="shared" si="260"/>
        <v>129947</v>
      </c>
      <c r="R2069" s="574">
        <f t="shared" si="261"/>
        <v>949673</v>
      </c>
      <c r="S2069" s="275">
        <f t="shared" si="262"/>
        <v>932220</v>
      </c>
      <c r="T2069" s="575"/>
      <c r="U2069" s="487"/>
      <c r="V2069" s="576"/>
      <c r="W2069" s="573"/>
      <c r="X2069" s="574">
        <f t="shared" si="266"/>
        <v>0</v>
      </c>
      <c r="Y2069" s="487"/>
      <c r="Z2069" s="487"/>
      <c r="AA2069" s="276">
        <f t="shared" si="267"/>
        <v>0</v>
      </c>
      <c r="AB2069" s="573"/>
      <c r="AC2069" s="487"/>
      <c r="AD2069" s="573"/>
      <c r="AE2069" s="487"/>
      <c r="AF2069" s="577">
        <f t="shared" si="263"/>
        <v>949673</v>
      </c>
      <c r="AG2069" s="275">
        <f t="shared" si="264"/>
        <v>932220</v>
      </c>
    </row>
    <row r="2070" spans="1:33" ht="12" customHeight="1">
      <c r="A2070" s="646" t="s">
        <v>1281</v>
      </c>
      <c r="B2070" s="646" t="s">
        <v>1776</v>
      </c>
      <c r="C2070" s="743" t="s">
        <v>541</v>
      </c>
      <c r="D2070" s="648">
        <v>199634</v>
      </c>
      <c r="E2070" s="660">
        <v>9</v>
      </c>
      <c r="F2070" s="573">
        <v>13660012</v>
      </c>
      <c r="G2070" s="487">
        <v>14538878</v>
      </c>
      <c r="H2070" s="573"/>
      <c r="I2070" s="487"/>
      <c r="J2070" s="573">
        <v>4294882</v>
      </c>
      <c r="K2070" s="487">
        <v>4976485</v>
      </c>
      <c r="L2070" s="573">
        <v>3289743</v>
      </c>
      <c r="M2070" s="573"/>
      <c r="N2070" s="456">
        <f t="shared" si="265"/>
        <v>3289743</v>
      </c>
      <c r="O2070" s="487">
        <v>2998462</v>
      </c>
      <c r="P2070" s="487"/>
      <c r="Q2070" s="274">
        <f t="shared" si="260"/>
        <v>2998462</v>
      </c>
      <c r="R2070" s="574">
        <f t="shared" si="261"/>
        <v>21244637</v>
      </c>
      <c r="S2070" s="275">
        <f t="shared" si="262"/>
        <v>22513825</v>
      </c>
      <c r="T2070" s="575"/>
      <c r="U2070" s="487"/>
      <c r="V2070" s="576"/>
      <c r="W2070" s="573"/>
      <c r="X2070" s="574">
        <f t="shared" si="266"/>
        <v>0</v>
      </c>
      <c r="Y2070" s="487"/>
      <c r="Z2070" s="487"/>
      <c r="AA2070" s="276">
        <f t="shared" si="267"/>
        <v>0</v>
      </c>
      <c r="AB2070" s="573"/>
      <c r="AC2070" s="487"/>
      <c r="AD2070" s="573"/>
      <c r="AE2070" s="487"/>
      <c r="AF2070" s="577">
        <f t="shared" si="263"/>
        <v>21244637</v>
      </c>
      <c r="AG2070" s="275">
        <f t="shared" si="264"/>
        <v>22513825</v>
      </c>
    </row>
    <row r="2071" spans="1:33" ht="12" customHeight="1">
      <c r="A2071" s="646" t="s">
        <v>1281</v>
      </c>
      <c r="B2071" s="646" t="s">
        <v>1776</v>
      </c>
      <c r="C2071" s="305" t="s">
        <v>508</v>
      </c>
      <c r="D2071" s="648">
        <v>199634</v>
      </c>
      <c r="E2071" s="660">
        <v>9</v>
      </c>
      <c r="F2071" s="573"/>
      <c r="G2071" s="487"/>
      <c r="H2071" s="573">
        <v>109667</v>
      </c>
      <c r="I2071" s="487">
        <v>417569</v>
      </c>
      <c r="J2071" s="573"/>
      <c r="K2071" s="487"/>
      <c r="L2071" s="573"/>
      <c r="M2071" s="573"/>
      <c r="N2071" s="456">
        <f t="shared" si="265"/>
        <v>0</v>
      </c>
      <c r="O2071" s="487"/>
      <c r="P2071" s="487"/>
      <c r="Q2071" s="274">
        <f t="shared" si="260"/>
        <v>0</v>
      </c>
      <c r="R2071" s="574">
        <f t="shared" si="261"/>
        <v>109667</v>
      </c>
      <c r="S2071" s="275">
        <f t="shared" si="262"/>
        <v>417569</v>
      </c>
      <c r="T2071" s="575"/>
      <c r="U2071" s="487"/>
      <c r="V2071" s="576"/>
      <c r="W2071" s="573"/>
      <c r="X2071" s="574">
        <f t="shared" si="266"/>
        <v>0</v>
      </c>
      <c r="Y2071" s="487"/>
      <c r="Z2071" s="487"/>
      <c r="AA2071" s="276">
        <f t="shared" si="267"/>
        <v>0</v>
      </c>
      <c r="AB2071" s="573"/>
      <c r="AC2071" s="487"/>
      <c r="AD2071" s="573"/>
      <c r="AE2071" s="487"/>
      <c r="AF2071" s="577">
        <f t="shared" si="263"/>
        <v>109667</v>
      </c>
      <c r="AG2071" s="275">
        <f t="shared" si="264"/>
        <v>417569</v>
      </c>
    </row>
    <row r="2072" spans="1:33" ht="12" customHeight="1">
      <c r="A2072" s="646" t="s">
        <v>1281</v>
      </c>
      <c r="B2072" s="646" t="s">
        <v>1778</v>
      </c>
      <c r="C2072" s="305" t="s">
        <v>1891</v>
      </c>
      <c r="D2072" s="648">
        <v>199634</v>
      </c>
      <c r="E2072" s="660">
        <v>9</v>
      </c>
      <c r="F2072" s="573"/>
      <c r="G2072" s="487"/>
      <c r="H2072" s="573">
        <v>165488</v>
      </c>
      <c r="I2072" s="487">
        <v>170861</v>
      </c>
      <c r="J2072" s="573"/>
      <c r="K2072" s="487"/>
      <c r="L2072" s="573"/>
      <c r="M2072" s="573"/>
      <c r="N2072" s="456">
        <f t="shared" si="265"/>
        <v>0</v>
      </c>
      <c r="O2072" s="487"/>
      <c r="P2072" s="487"/>
      <c r="Q2072" s="274">
        <f t="shared" si="260"/>
        <v>0</v>
      </c>
      <c r="R2072" s="574">
        <f t="shared" si="261"/>
        <v>165488</v>
      </c>
      <c r="S2072" s="275">
        <f t="shared" si="262"/>
        <v>170861</v>
      </c>
      <c r="T2072" s="575"/>
      <c r="U2072" s="487"/>
      <c r="V2072" s="576"/>
      <c r="W2072" s="573"/>
      <c r="X2072" s="574">
        <f t="shared" si="266"/>
        <v>0</v>
      </c>
      <c r="Y2072" s="487"/>
      <c r="Z2072" s="487"/>
      <c r="AA2072" s="276">
        <f t="shared" si="267"/>
        <v>0</v>
      </c>
      <c r="AB2072" s="573"/>
      <c r="AC2072" s="487"/>
      <c r="AD2072" s="573"/>
      <c r="AE2072" s="487"/>
      <c r="AF2072" s="577">
        <f t="shared" si="263"/>
        <v>165488</v>
      </c>
      <c r="AG2072" s="275">
        <f t="shared" si="264"/>
        <v>170861</v>
      </c>
    </row>
    <row r="2073" spans="1:33" ht="12" customHeight="1">
      <c r="A2073" s="646" t="s">
        <v>1281</v>
      </c>
      <c r="B2073" s="646" t="s">
        <v>1787</v>
      </c>
      <c r="C2073" s="305" t="s">
        <v>1770</v>
      </c>
      <c r="D2073" s="648">
        <v>199634</v>
      </c>
      <c r="E2073" s="660">
        <v>9</v>
      </c>
      <c r="F2073" s="573"/>
      <c r="G2073" s="487"/>
      <c r="H2073" s="573">
        <v>578132</v>
      </c>
      <c r="I2073" s="487">
        <v>785306</v>
      </c>
      <c r="J2073" s="573"/>
      <c r="K2073" s="487"/>
      <c r="L2073" s="573">
        <v>226696</v>
      </c>
      <c r="M2073" s="573"/>
      <c r="N2073" s="456">
        <f t="shared" si="265"/>
        <v>226696</v>
      </c>
      <c r="O2073" s="487">
        <v>86248</v>
      </c>
      <c r="P2073" s="487"/>
      <c r="Q2073" s="274">
        <f t="shared" si="260"/>
        <v>86248</v>
      </c>
      <c r="R2073" s="574">
        <f t="shared" si="261"/>
        <v>804828</v>
      </c>
      <c r="S2073" s="275">
        <f t="shared" si="262"/>
        <v>871554</v>
      </c>
      <c r="T2073" s="575"/>
      <c r="U2073" s="487"/>
      <c r="V2073" s="576"/>
      <c r="W2073" s="573"/>
      <c r="X2073" s="574">
        <f t="shared" si="266"/>
        <v>0</v>
      </c>
      <c r="Y2073" s="487"/>
      <c r="Z2073" s="487"/>
      <c r="AA2073" s="276">
        <f t="shared" si="267"/>
        <v>0</v>
      </c>
      <c r="AB2073" s="573"/>
      <c r="AC2073" s="487"/>
      <c r="AD2073" s="573"/>
      <c r="AE2073" s="487"/>
      <c r="AF2073" s="577">
        <f t="shared" si="263"/>
        <v>804828</v>
      </c>
      <c r="AG2073" s="275">
        <f t="shared" si="264"/>
        <v>871554</v>
      </c>
    </row>
    <row r="2074" spans="1:33" ht="12" customHeight="1">
      <c r="A2074" s="646" t="s">
        <v>1281</v>
      </c>
      <c r="B2074" s="646" t="s">
        <v>1776</v>
      </c>
      <c r="C2074" s="743" t="s">
        <v>542</v>
      </c>
      <c r="D2074" s="648">
        <v>197850</v>
      </c>
      <c r="E2074" s="660">
        <v>9</v>
      </c>
      <c r="F2074" s="573">
        <v>9408282</v>
      </c>
      <c r="G2074" s="487">
        <v>9348525</v>
      </c>
      <c r="H2074" s="573"/>
      <c r="I2074" s="487"/>
      <c r="J2074" s="573">
        <v>1555258</v>
      </c>
      <c r="K2074" s="487">
        <v>1822900</v>
      </c>
      <c r="L2074" s="573">
        <v>1218389</v>
      </c>
      <c r="M2074" s="573"/>
      <c r="N2074" s="456">
        <f t="shared" si="265"/>
        <v>1218389</v>
      </c>
      <c r="O2074" s="487">
        <v>1514470</v>
      </c>
      <c r="P2074" s="487"/>
      <c r="Q2074" s="274">
        <f t="shared" si="260"/>
        <v>1514470</v>
      </c>
      <c r="R2074" s="574">
        <f t="shared" si="261"/>
        <v>12181929</v>
      </c>
      <c r="S2074" s="275">
        <f t="shared" si="262"/>
        <v>12685895</v>
      </c>
      <c r="T2074" s="575"/>
      <c r="U2074" s="487"/>
      <c r="V2074" s="576"/>
      <c r="W2074" s="573"/>
      <c r="X2074" s="574">
        <f t="shared" si="266"/>
        <v>0</v>
      </c>
      <c r="Y2074" s="487"/>
      <c r="Z2074" s="487"/>
      <c r="AA2074" s="276">
        <f t="shared" si="267"/>
        <v>0</v>
      </c>
      <c r="AB2074" s="573"/>
      <c r="AC2074" s="487"/>
      <c r="AD2074" s="573"/>
      <c r="AE2074" s="487"/>
      <c r="AF2074" s="577">
        <f t="shared" si="263"/>
        <v>12181929</v>
      </c>
      <c r="AG2074" s="275">
        <f t="shared" si="264"/>
        <v>12685895</v>
      </c>
    </row>
    <row r="2075" spans="1:33" ht="12" customHeight="1">
      <c r="A2075" s="646" t="s">
        <v>1281</v>
      </c>
      <c r="B2075" s="646" t="s">
        <v>1776</v>
      </c>
      <c r="C2075" s="305" t="s">
        <v>508</v>
      </c>
      <c r="D2075" s="648">
        <v>197850</v>
      </c>
      <c r="E2075" s="660">
        <v>9</v>
      </c>
      <c r="F2075" s="573"/>
      <c r="G2075" s="487"/>
      <c r="H2075" s="573">
        <v>86262</v>
      </c>
      <c r="I2075" s="487">
        <v>126961</v>
      </c>
      <c r="J2075" s="573"/>
      <c r="K2075" s="487"/>
      <c r="L2075" s="573"/>
      <c r="M2075" s="573"/>
      <c r="N2075" s="456">
        <f t="shared" si="265"/>
        <v>0</v>
      </c>
      <c r="O2075" s="487"/>
      <c r="P2075" s="487"/>
      <c r="Q2075" s="274">
        <f t="shared" si="260"/>
        <v>0</v>
      </c>
      <c r="R2075" s="574">
        <f t="shared" si="261"/>
        <v>86262</v>
      </c>
      <c r="S2075" s="275">
        <f t="shared" si="262"/>
        <v>126961</v>
      </c>
      <c r="T2075" s="575"/>
      <c r="U2075" s="487"/>
      <c r="V2075" s="576"/>
      <c r="W2075" s="573"/>
      <c r="X2075" s="574">
        <f t="shared" si="266"/>
        <v>0</v>
      </c>
      <c r="Y2075" s="487"/>
      <c r="Z2075" s="487"/>
      <c r="AA2075" s="276">
        <f t="shared" si="267"/>
        <v>0</v>
      </c>
      <c r="AB2075" s="573"/>
      <c r="AC2075" s="487"/>
      <c r="AD2075" s="573"/>
      <c r="AE2075" s="487"/>
      <c r="AF2075" s="577">
        <f t="shared" si="263"/>
        <v>86262</v>
      </c>
      <c r="AG2075" s="275">
        <f t="shared" si="264"/>
        <v>126961</v>
      </c>
    </row>
    <row r="2076" spans="1:33" ht="12" customHeight="1">
      <c r="A2076" s="646" t="s">
        <v>1281</v>
      </c>
      <c r="B2076" s="646" t="s">
        <v>1778</v>
      </c>
      <c r="C2076" s="305" t="s">
        <v>1891</v>
      </c>
      <c r="D2076" s="648">
        <v>197850</v>
      </c>
      <c r="E2076" s="660">
        <v>9</v>
      </c>
      <c r="F2076" s="573"/>
      <c r="G2076" s="487"/>
      <c r="H2076" s="573">
        <v>188323</v>
      </c>
      <c r="I2076" s="487">
        <v>193518</v>
      </c>
      <c r="J2076" s="573"/>
      <c r="K2076" s="487"/>
      <c r="L2076" s="573"/>
      <c r="M2076" s="573"/>
      <c r="N2076" s="456">
        <f t="shared" si="265"/>
        <v>0</v>
      </c>
      <c r="O2076" s="487"/>
      <c r="P2076" s="487"/>
      <c r="Q2076" s="274">
        <f t="shared" si="260"/>
        <v>0</v>
      </c>
      <c r="R2076" s="574">
        <f t="shared" si="261"/>
        <v>188323</v>
      </c>
      <c r="S2076" s="275">
        <f t="shared" si="262"/>
        <v>193518</v>
      </c>
      <c r="T2076" s="575"/>
      <c r="U2076" s="487"/>
      <c r="V2076" s="576"/>
      <c r="W2076" s="573"/>
      <c r="X2076" s="574">
        <f t="shared" si="266"/>
        <v>0</v>
      </c>
      <c r="Y2076" s="487"/>
      <c r="Z2076" s="487"/>
      <c r="AA2076" s="276">
        <f t="shared" si="267"/>
        <v>0</v>
      </c>
      <c r="AB2076" s="573"/>
      <c r="AC2076" s="487"/>
      <c r="AD2076" s="573"/>
      <c r="AE2076" s="487"/>
      <c r="AF2076" s="577">
        <f t="shared" si="263"/>
        <v>188323</v>
      </c>
      <c r="AG2076" s="275">
        <f t="shared" si="264"/>
        <v>193518</v>
      </c>
    </row>
    <row r="2077" spans="1:33" ht="12" customHeight="1">
      <c r="A2077" s="646" t="s">
        <v>1281</v>
      </c>
      <c r="B2077" s="646" t="s">
        <v>1787</v>
      </c>
      <c r="C2077" s="305" t="s">
        <v>1770</v>
      </c>
      <c r="D2077" s="648">
        <v>197850</v>
      </c>
      <c r="E2077" s="660">
        <v>9</v>
      </c>
      <c r="F2077" s="573"/>
      <c r="G2077" s="487"/>
      <c r="H2077" s="573">
        <v>874052</v>
      </c>
      <c r="I2077" s="487">
        <v>1040857</v>
      </c>
      <c r="J2077" s="573"/>
      <c r="K2077" s="487"/>
      <c r="L2077" s="573">
        <v>127919</v>
      </c>
      <c r="M2077" s="573"/>
      <c r="N2077" s="456">
        <f t="shared" si="265"/>
        <v>127919</v>
      </c>
      <c r="O2077" s="487">
        <v>56266</v>
      </c>
      <c r="P2077" s="487"/>
      <c r="Q2077" s="274">
        <f t="shared" si="260"/>
        <v>56266</v>
      </c>
      <c r="R2077" s="574">
        <f t="shared" si="261"/>
        <v>1001971</v>
      </c>
      <c r="S2077" s="275">
        <f t="shared" si="262"/>
        <v>1097123</v>
      </c>
      <c r="T2077" s="575"/>
      <c r="U2077" s="487"/>
      <c r="V2077" s="576"/>
      <c r="W2077" s="573"/>
      <c r="X2077" s="574">
        <f t="shared" si="266"/>
        <v>0</v>
      </c>
      <c r="Y2077" s="487"/>
      <c r="Z2077" s="487"/>
      <c r="AA2077" s="276">
        <f t="shared" si="267"/>
        <v>0</v>
      </c>
      <c r="AB2077" s="573"/>
      <c r="AC2077" s="487"/>
      <c r="AD2077" s="573"/>
      <c r="AE2077" s="487"/>
      <c r="AF2077" s="577">
        <f t="shared" si="263"/>
        <v>1001971</v>
      </c>
      <c r="AG2077" s="275">
        <f t="shared" si="264"/>
        <v>1097123</v>
      </c>
    </row>
    <row r="2078" spans="1:33" ht="12" customHeight="1">
      <c r="A2078" s="646" t="s">
        <v>1281</v>
      </c>
      <c r="B2078" s="646" t="s">
        <v>1776</v>
      </c>
      <c r="C2078" s="743" t="s">
        <v>543</v>
      </c>
      <c r="D2078" s="648">
        <v>199722</v>
      </c>
      <c r="E2078" s="660">
        <v>9</v>
      </c>
      <c r="F2078" s="573">
        <v>8905890</v>
      </c>
      <c r="G2078" s="487">
        <v>9577393</v>
      </c>
      <c r="H2078" s="573"/>
      <c r="I2078" s="487"/>
      <c r="J2078" s="573">
        <v>1082937</v>
      </c>
      <c r="K2078" s="487">
        <v>1218426</v>
      </c>
      <c r="L2078" s="573">
        <v>2139169</v>
      </c>
      <c r="M2078" s="573"/>
      <c r="N2078" s="456">
        <f t="shared" si="265"/>
        <v>2139169</v>
      </c>
      <c r="O2078" s="487">
        <v>1603740</v>
      </c>
      <c r="P2078" s="487"/>
      <c r="Q2078" s="274">
        <f t="shared" si="260"/>
        <v>1603740</v>
      </c>
      <c r="R2078" s="574">
        <f t="shared" si="261"/>
        <v>12127996</v>
      </c>
      <c r="S2078" s="275">
        <f t="shared" si="262"/>
        <v>12399559</v>
      </c>
      <c r="T2078" s="575"/>
      <c r="U2078" s="487"/>
      <c r="V2078" s="576"/>
      <c r="W2078" s="573"/>
      <c r="X2078" s="574">
        <f t="shared" si="266"/>
        <v>0</v>
      </c>
      <c r="Y2078" s="487"/>
      <c r="Z2078" s="487"/>
      <c r="AA2078" s="276">
        <f t="shared" si="267"/>
        <v>0</v>
      </c>
      <c r="AB2078" s="573"/>
      <c r="AC2078" s="487"/>
      <c r="AD2078" s="573"/>
      <c r="AE2078" s="487"/>
      <c r="AF2078" s="577">
        <f t="shared" si="263"/>
        <v>12127996</v>
      </c>
      <c r="AG2078" s="275">
        <f t="shared" si="264"/>
        <v>12399559</v>
      </c>
    </row>
    <row r="2079" spans="1:33" ht="12" customHeight="1">
      <c r="A2079" s="646" t="s">
        <v>1281</v>
      </c>
      <c r="B2079" s="646" t="s">
        <v>1776</v>
      </c>
      <c r="C2079" s="305" t="s">
        <v>508</v>
      </c>
      <c r="D2079" s="648">
        <v>199722</v>
      </c>
      <c r="E2079" s="660">
        <v>9</v>
      </c>
      <c r="F2079" s="573"/>
      <c r="G2079" s="487"/>
      <c r="H2079" s="573">
        <v>91850</v>
      </c>
      <c r="I2079" s="487">
        <v>144699</v>
      </c>
      <c r="J2079" s="573"/>
      <c r="K2079" s="487"/>
      <c r="L2079" s="573"/>
      <c r="M2079" s="573"/>
      <c r="N2079" s="456">
        <f t="shared" si="265"/>
        <v>0</v>
      </c>
      <c r="O2079" s="487"/>
      <c r="P2079" s="487"/>
      <c r="Q2079" s="274">
        <f t="shared" si="260"/>
        <v>0</v>
      </c>
      <c r="R2079" s="574">
        <f t="shared" si="261"/>
        <v>91850</v>
      </c>
      <c r="S2079" s="275">
        <f t="shared" si="262"/>
        <v>144699</v>
      </c>
      <c r="T2079" s="575"/>
      <c r="U2079" s="487"/>
      <c r="V2079" s="576"/>
      <c r="W2079" s="573"/>
      <c r="X2079" s="574">
        <f t="shared" si="266"/>
        <v>0</v>
      </c>
      <c r="Y2079" s="487"/>
      <c r="Z2079" s="487"/>
      <c r="AA2079" s="276">
        <f t="shared" si="267"/>
        <v>0</v>
      </c>
      <c r="AB2079" s="573"/>
      <c r="AC2079" s="487"/>
      <c r="AD2079" s="573"/>
      <c r="AE2079" s="487"/>
      <c r="AF2079" s="577">
        <f t="shared" si="263"/>
        <v>91850</v>
      </c>
      <c r="AG2079" s="275">
        <f t="shared" si="264"/>
        <v>144699</v>
      </c>
    </row>
    <row r="2080" spans="1:33" ht="12" customHeight="1">
      <c r="A2080" s="646" t="s">
        <v>1281</v>
      </c>
      <c r="B2080" s="646" t="s">
        <v>1778</v>
      </c>
      <c r="C2080" s="305" t="s">
        <v>1891</v>
      </c>
      <c r="D2080" s="648">
        <v>199722</v>
      </c>
      <c r="E2080" s="660">
        <v>9</v>
      </c>
      <c r="F2080" s="573"/>
      <c r="G2080" s="487"/>
      <c r="H2080" s="573">
        <v>114901</v>
      </c>
      <c r="I2080" s="487">
        <v>154012</v>
      </c>
      <c r="J2080" s="573"/>
      <c r="K2080" s="487"/>
      <c r="L2080" s="573"/>
      <c r="M2080" s="573"/>
      <c r="N2080" s="456">
        <f t="shared" si="265"/>
        <v>0</v>
      </c>
      <c r="O2080" s="487"/>
      <c r="P2080" s="487"/>
      <c r="Q2080" s="274">
        <f t="shared" si="260"/>
        <v>0</v>
      </c>
      <c r="R2080" s="574">
        <f t="shared" si="261"/>
        <v>114901</v>
      </c>
      <c r="S2080" s="275">
        <f t="shared" si="262"/>
        <v>154012</v>
      </c>
      <c r="T2080" s="575"/>
      <c r="U2080" s="487"/>
      <c r="V2080" s="576"/>
      <c r="W2080" s="573"/>
      <c r="X2080" s="574">
        <f t="shared" si="266"/>
        <v>0</v>
      </c>
      <c r="Y2080" s="487"/>
      <c r="Z2080" s="487"/>
      <c r="AA2080" s="276">
        <f t="shared" si="267"/>
        <v>0</v>
      </c>
      <c r="AB2080" s="573"/>
      <c r="AC2080" s="487"/>
      <c r="AD2080" s="573"/>
      <c r="AE2080" s="487"/>
      <c r="AF2080" s="577">
        <f t="shared" si="263"/>
        <v>114901</v>
      </c>
      <c r="AG2080" s="275">
        <f t="shared" si="264"/>
        <v>154012</v>
      </c>
    </row>
    <row r="2081" spans="1:33" ht="12" customHeight="1">
      <c r="A2081" s="646" t="s">
        <v>1281</v>
      </c>
      <c r="B2081" s="646" t="s">
        <v>1787</v>
      </c>
      <c r="C2081" s="305" t="s">
        <v>1770</v>
      </c>
      <c r="D2081" s="648">
        <v>199722</v>
      </c>
      <c r="E2081" s="660">
        <v>9</v>
      </c>
      <c r="F2081" s="573"/>
      <c r="G2081" s="487"/>
      <c r="H2081" s="573">
        <v>880847</v>
      </c>
      <c r="I2081" s="487">
        <v>980057</v>
      </c>
      <c r="J2081" s="573"/>
      <c r="K2081" s="487"/>
      <c r="L2081" s="573">
        <v>143659</v>
      </c>
      <c r="M2081" s="573"/>
      <c r="N2081" s="456">
        <f t="shared" si="265"/>
        <v>143659</v>
      </c>
      <c r="O2081" s="487">
        <v>132026</v>
      </c>
      <c r="P2081" s="487"/>
      <c r="Q2081" s="274">
        <f t="shared" si="260"/>
        <v>132026</v>
      </c>
      <c r="R2081" s="574">
        <f t="shared" si="261"/>
        <v>1024506</v>
      </c>
      <c r="S2081" s="275">
        <f t="shared" si="262"/>
        <v>1112083</v>
      </c>
      <c r="T2081" s="575"/>
      <c r="U2081" s="487"/>
      <c r="V2081" s="576"/>
      <c r="W2081" s="573"/>
      <c r="X2081" s="574">
        <f t="shared" si="266"/>
        <v>0</v>
      </c>
      <c r="Y2081" s="487"/>
      <c r="Z2081" s="487"/>
      <c r="AA2081" s="276">
        <f t="shared" si="267"/>
        <v>0</v>
      </c>
      <c r="AB2081" s="573"/>
      <c r="AC2081" s="487"/>
      <c r="AD2081" s="573"/>
      <c r="AE2081" s="487"/>
      <c r="AF2081" s="577">
        <f t="shared" si="263"/>
        <v>1024506</v>
      </c>
      <c r="AG2081" s="275">
        <f t="shared" si="264"/>
        <v>1112083</v>
      </c>
    </row>
    <row r="2082" spans="1:33" ht="12" customHeight="1">
      <c r="A2082" s="646" t="s">
        <v>1281</v>
      </c>
      <c r="B2082" s="646" t="s">
        <v>1776</v>
      </c>
      <c r="C2082" s="743" t="s">
        <v>544</v>
      </c>
      <c r="D2082" s="648">
        <v>199731</v>
      </c>
      <c r="E2082" s="660">
        <v>9</v>
      </c>
      <c r="F2082" s="573">
        <v>8515257</v>
      </c>
      <c r="G2082" s="487">
        <v>9002097</v>
      </c>
      <c r="H2082" s="573"/>
      <c r="I2082" s="487"/>
      <c r="J2082" s="573">
        <v>1816250</v>
      </c>
      <c r="K2082" s="487">
        <v>2321220</v>
      </c>
      <c r="L2082" s="573">
        <v>1786959</v>
      </c>
      <c r="M2082" s="573"/>
      <c r="N2082" s="456">
        <f t="shared" si="265"/>
        <v>1786959</v>
      </c>
      <c r="O2082" s="487">
        <v>1762781</v>
      </c>
      <c r="P2082" s="487"/>
      <c r="Q2082" s="274">
        <f t="shared" si="260"/>
        <v>1762781</v>
      </c>
      <c r="R2082" s="574">
        <f t="shared" si="261"/>
        <v>12118466</v>
      </c>
      <c r="S2082" s="275">
        <f t="shared" si="262"/>
        <v>13086098</v>
      </c>
      <c r="T2082" s="575"/>
      <c r="U2082" s="487"/>
      <c r="V2082" s="576"/>
      <c r="W2082" s="573"/>
      <c r="X2082" s="574">
        <f t="shared" si="266"/>
        <v>0</v>
      </c>
      <c r="Y2082" s="487"/>
      <c r="Z2082" s="487"/>
      <c r="AA2082" s="276">
        <f t="shared" si="267"/>
        <v>0</v>
      </c>
      <c r="AB2082" s="573"/>
      <c r="AC2082" s="487"/>
      <c r="AD2082" s="573"/>
      <c r="AE2082" s="487"/>
      <c r="AF2082" s="577">
        <f t="shared" si="263"/>
        <v>12118466</v>
      </c>
      <c r="AG2082" s="275">
        <f t="shared" si="264"/>
        <v>13086098</v>
      </c>
    </row>
    <row r="2083" spans="1:33" ht="12" customHeight="1">
      <c r="A2083" s="646" t="s">
        <v>1281</v>
      </c>
      <c r="B2083" s="646" t="s">
        <v>1776</v>
      </c>
      <c r="C2083" s="305" t="s">
        <v>508</v>
      </c>
      <c r="D2083" s="648">
        <v>199731</v>
      </c>
      <c r="E2083" s="660">
        <v>9</v>
      </c>
      <c r="F2083" s="573"/>
      <c r="G2083" s="487"/>
      <c r="H2083" s="573">
        <v>110771</v>
      </c>
      <c r="I2083" s="487">
        <v>184469</v>
      </c>
      <c r="J2083" s="573"/>
      <c r="K2083" s="487"/>
      <c r="L2083" s="573"/>
      <c r="M2083" s="573"/>
      <c r="N2083" s="456">
        <f t="shared" si="265"/>
        <v>0</v>
      </c>
      <c r="O2083" s="487"/>
      <c r="P2083" s="487"/>
      <c r="Q2083" s="274">
        <f t="shared" si="260"/>
        <v>0</v>
      </c>
      <c r="R2083" s="574">
        <f t="shared" si="261"/>
        <v>110771</v>
      </c>
      <c r="S2083" s="275">
        <f t="shared" si="262"/>
        <v>184469</v>
      </c>
      <c r="T2083" s="575"/>
      <c r="U2083" s="487"/>
      <c r="V2083" s="576"/>
      <c r="W2083" s="573"/>
      <c r="X2083" s="574">
        <f t="shared" si="266"/>
        <v>0</v>
      </c>
      <c r="Y2083" s="487"/>
      <c r="Z2083" s="487"/>
      <c r="AA2083" s="276">
        <f t="shared" si="267"/>
        <v>0</v>
      </c>
      <c r="AB2083" s="573"/>
      <c r="AC2083" s="487"/>
      <c r="AD2083" s="573"/>
      <c r="AE2083" s="487"/>
      <c r="AF2083" s="577">
        <f t="shared" si="263"/>
        <v>110771</v>
      </c>
      <c r="AG2083" s="275">
        <f t="shared" si="264"/>
        <v>184469</v>
      </c>
    </row>
    <row r="2084" spans="1:33" ht="12" customHeight="1">
      <c r="A2084" s="646" t="s">
        <v>1281</v>
      </c>
      <c r="B2084" s="646" t="s">
        <v>1778</v>
      </c>
      <c r="C2084" s="305" t="s">
        <v>1891</v>
      </c>
      <c r="D2084" s="648">
        <v>199731</v>
      </c>
      <c r="E2084" s="660">
        <v>9</v>
      </c>
      <c r="F2084" s="573"/>
      <c r="G2084" s="487"/>
      <c r="H2084" s="573">
        <v>94489</v>
      </c>
      <c r="I2084" s="487">
        <v>142536</v>
      </c>
      <c r="J2084" s="573"/>
      <c r="K2084" s="487"/>
      <c r="L2084" s="573"/>
      <c r="M2084" s="573"/>
      <c r="N2084" s="456">
        <f t="shared" si="265"/>
        <v>0</v>
      </c>
      <c r="O2084" s="487"/>
      <c r="P2084" s="487"/>
      <c r="Q2084" s="274">
        <f t="shared" si="260"/>
        <v>0</v>
      </c>
      <c r="R2084" s="574">
        <f t="shared" si="261"/>
        <v>94489</v>
      </c>
      <c r="S2084" s="275">
        <f t="shared" si="262"/>
        <v>142536</v>
      </c>
      <c r="T2084" s="575"/>
      <c r="U2084" s="487"/>
      <c r="V2084" s="576"/>
      <c r="W2084" s="573"/>
      <c r="X2084" s="574">
        <f t="shared" si="266"/>
        <v>0</v>
      </c>
      <c r="Y2084" s="487"/>
      <c r="Z2084" s="487"/>
      <c r="AA2084" s="276">
        <f t="shared" si="267"/>
        <v>0</v>
      </c>
      <c r="AB2084" s="573"/>
      <c r="AC2084" s="487"/>
      <c r="AD2084" s="573"/>
      <c r="AE2084" s="487"/>
      <c r="AF2084" s="577">
        <f t="shared" si="263"/>
        <v>94489</v>
      </c>
      <c r="AG2084" s="275">
        <f t="shared" si="264"/>
        <v>142536</v>
      </c>
    </row>
    <row r="2085" spans="1:33" ht="12" customHeight="1">
      <c r="A2085" s="646" t="s">
        <v>1281</v>
      </c>
      <c r="B2085" s="646" t="s">
        <v>1787</v>
      </c>
      <c r="C2085" s="305" t="s">
        <v>1770</v>
      </c>
      <c r="D2085" s="648">
        <v>199731</v>
      </c>
      <c r="E2085" s="660">
        <v>9</v>
      </c>
      <c r="F2085" s="573"/>
      <c r="G2085" s="487"/>
      <c r="H2085" s="573">
        <v>1251341</v>
      </c>
      <c r="I2085" s="487">
        <v>1322915</v>
      </c>
      <c r="J2085" s="573"/>
      <c r="K2085" s="487"/>
      <c r="L2085" s="573">
        <v>224722</v>
      </c>
      <c r="M2085" s="573"/>
      <c r="N2085" s="456">
        <f t="shared" si="265"/>
        <v>224722</v>
      </c>
      <c r="O2085" s="487">
        <v>82931</v>
      </c>
      <c r="P2085" s="487"/>
      <c r="Q2085" s="274">
        <f t="shared" si="260"/>
        <v>82931</v>
      </c>
      <c r="R2085" s="574">
        <f t="shared" si="261"/>
        <v>1476063</v>
      </c>
      <c r="S2085" s="275">
        <f t="shared" si="262"/>
        <v>1405846</v>
      </c>
      <c r="T2085" s="575"/>
      <c r="U2085" s="487"/>
      <c r="V2085" s="576"/>
      <c r="W2085" s="573"/>
      <c r="X2085" s="574">
        <f t="shared" si="266"/>
        <v>0</v>
      </c>
      <c r="Y2085" s="487"/>
      <c r="Z2085" s="487"/>
      <c r="AA2085" s="276">
        <f t="shared" si="267"/>
        <v>0</v>
      </c>
      <c r="AB2085" s="573"/>
      <c r="AC2085" s="487"/>
      <c r="AD2085" s="573"/>
      <c r="AE2085" s="487"/>
      <c r="AF2085" s="577">
        <f t="shared" si="263"/>
        <v>1476063</v>
      </c>
      <c r="AG2085" s="275">
        <f t="shared" si="264"/>
        <v>1405846</v>
      </c>
    </row>
    <row r="2086" spans="1:33" ht="12" customHeight="1">
      <c r="A2086" s="646" t="s">
        <v>1281</v>
      </c>
      <c r="B2086" s="646" t="s">
        <v>1776</v>
      </c>
      <c r="C2086" s="743" t="s">
        <v>545</v>
      </c>
      <c r="D2086" s="648">
        <v>199740</v>
      </c>
      <c r="E2086" s="660">
        <v>9</v>
      </c>
      <c r="F2086" s="573">
        <v>9639527</v>
      </c>
      <c r="G2086" s="487">
        <v>9981225</v>
      </c>
      <c r="H2086" s="573"/>
      <c r="I2086" s="487"/>
      <c r="J2086" s="573">
        <v>1247857</v>
      </c>
      <c r="K2086" s="487">
        <v>1507857</v>
      </c>
      <c r="L2086" s="573">
        <v>1323874</v>
      </c>
      <c r="M2086" s="573"/>
      <c r="N2086" s="456">
        <f t="shared" si="265"/>
        <v>1323874</v>
      </c>
      <c r="O2086" s="487">
        <v>1859253</v>
      </c>
      <c r="P2086" s="487"/>
      <c r="Q2086" s="274">
        <f t="shared" si="260"/>
        <v>1859253</v>
      </c>
      <c r="R2086" s="574">
        <f t="shared" si="261"/>
        <v>12211258</v>
      </c>
      <c r="S2086" s="275">
        <f t="shared" si="262"/>
        <v>13348335</v>
      </c>
      <c r="T2086" s="575"/>
      <c r="U2086" s="487"/>
      <c r="V2086" s="576"/>
      <c r="W2086" s="573"/>
      <c r="X2086" s="574">
        <f t="shared" si="266"/>
        <v>0</v>
      </c>
      <c r="Y2086" s="487"/>
      <c r="Z2086" s="487"/>
      <c r="AA2086" s="276">
        <f t="shared" si="267"/>
        <v>0</v>
      </c>
      <c r="AB2086" s="573"/>
      <c r="AC2086" s="487"/>
      <c r="AD2086" s="573"/>
      <c r="AE2086" s="487"/>
      <c r="AF2086" s="577">
        <f t="shared" si="263"/>
        <v>12211258</v>
      </c>
      <c r="AG2086" s="275">
        <f t="shared" si="264"/>
        <v>13348335</v>
      </c>
    </row>
    <row r="2087" spans="1:33" ht="12" customHeight="1">
      <c r="A2087" s="646" t="s">
        <v>1281</v>
      </c>
      <c r="B2087" s="646" t="s">
        <v>1776</v>
      </c>
      <c r="C2087" s="305" t="s">
        <v>508</v>
      </c>
      <c r="D2087" s="648">
        <v>199740</v>
      </c>
      <c r="E2087" s="660">
        <v>9</v>
      </c>
      <c r="F2087" s="573"/>
      <c r="G2087" s="487"/>
      <c r="H2087" s="573">
        <v>143787</v>
      </c>
      <c r="I2087" s="487">
        <v>220653</v>
      </c>
      <c r="J2087" s="573"/>
      <c r="K2087" s="487"/>
      <c r="L2087" s="573"/>
      <c r="M2087" s="573"/>
      <c r="N2087" s="456">
        <f t="shared" si="265"/>
        <v>0</v>
      </c>
      <c r="O2087" s="487"/>
      <c r="P2087" s="487"/>
      <c r="Q2087" s="274">
        <f t="shared" si="260"/>
        <v>0</v>
      </c>
      <c r="R2087" s="574">
        <f t="shared" si="261"/>
        <v>143787</v>
      </c>
      <c r="S2087" s="275">
        <f t="shared" si="262"/>
        <v>220653</v>
      </c>
      <c r="T2087" s="575"/>
      <c r="U2087" s="487"/>
      <c r="V2087" s="576"/>
      <c r="W2087" s="573"/>
      <c r="X2087" s="574">
        <f t="shared" si="266"/>
        <v>0</v>
      </c>
      <c r="Y2087" s="487"/>
      <c r="Z2087" s="487"/>
      <c r="AA2087" s="276">
        <f t="shared" si="267"/>
        <v>0</v>
      </c>
      <c r="AB2087" s="573"/>
      <c r="AC2087" s="487"/>
      <c r="AD2087" s="573"/>
      <c r="AE2087" s="487"/>
      <c r="AF2087" s="577">
        <f t="shared" si="263"/>
        <v>143787</v>
      </c>
      <c r="AG2087" s="275">
        <f t="shared" si="264"/>
        <v>220653</v>
      </c>
    </row>
    <row r="2088" spans="1:33" ht="12" customHeight="1">
      <c r="A2088" s="646" t="s">
        <v>1281</v>
      </c>
      <c r="B2088" s="646" t="s">
        <v>1778</v>
      </c>
      <c r="C2088" s="305" t="s">
        <v>1891</v>
      </c>
      <c r="D2088" s="648">
        <v>199740</v>
      </c>
      <c r="E2088" s="660">
        <v>9</v>
      </c>
      <c r="F2088" s="573"/>
      <c r="G2088" s="487"/>
      <c r="H2088" s="573">
        <v>186636</v>
      </c>
      <c r="I2088" s="487">
        <v>155820</v>
      </c>
      <c r="J2088" s="573"/>
      <c r="K2088" s="487"/>
      <c r="L2088" s="573"/>
      <c r="M2088" s="573"/>
      <c r="N2088" s="456">
        <f t="shared" si="265"/>
        <v>0</v>
      </c>
      <c r="O2088" s="487"/>
      <c r="P2088" s="487"/>
      <c r="Q2088" s="274">
        <f t="shared" si="260"/>
        <v>0</v>
      </c>
      <c r="R2088" s="574">
        <f t="shared" si="261"/>
        <v>186636</v>
      </c>
      <c r="S2088" s="275">
        <f t="shared" si="262"/>
        <v>155820</v>
      </c>
      <c r="T2088" s="575"/>
      <c r="U2088" s="487"/>
      <c r="V2088" s="576"/>
      <c r="W2088" s="573"/>
      <c r="X2088" s="574">
        <f t="shared" si="266"/>
        <v>0</v>
      </c>
      <c r="Y2088" s="487"/>
      <c r="Z2088" s="487"/>
      <c r="AA2088" s="276">
        <f t="shared" si="267"/>
        <v>0</v>
      </c>
      <c r="AB2088" s="573"/>
      <c r="AC2088" s="487"/>
      <c r="AD2088" s="573"/>
      <c r="AE2088" s="487"/>
      <c r="AF2088" s="577">
        <f t="shared" si="263"/>
        <v>186636</v>
      </c>
      <c r="AG2088" s="275">
        <f t="shared" si="264"/>
        <v>155820</v>
      </c>
    </row>
    <row r="2089" spans="1:33" ht="12" customHeight="1">
      <c r="A2089" s="646" t="s">
        <v>1281</v>
      </c>
      <c r="B2089" s="646" t="s">
        <v>1787</v>
      </c>
      <c r="C2089" s="305" t="s">
        <v>1770</v>
      </c>
      <c r="D2089" s="648">
        <v>199740</v>
      </c>
      <c r="E2089" s="660">
        <v>9</v>
      </c>
      <c r="F2089" s="573"/>
      <c r="G2089" s="487"/>
      <c r="H2089" s="573">
        <v>952770</v>
      </c>
      <c r="I2089" s="487">
        <v>940792</v>
      </c>
      <c r="J2089" s="573"/>
      <c r="K2089" s="487"/>
      <c r="L2089" s="573">
        <v>163070</v>
      </c>
      <c r="M2089" s="573"/>
      <c r="N2089" s="456">
        <f t="shared" si="265"/>
        <v>163070</v>
      </c>
      <c r="O2089" s="487">
        <v>130950</v>
      </c>
      <c r="P2089" s="487"/>
      <c r="Q2089" s="274">
        <f t="shared" si="260"/>
        <v>130950</v>
      </c>
      <c r="R2089" s="574">
        <f t="shared" si="261"/>
        <v>1115840</v>
      </c>
      <c r="S2089" s="275">
        <f t="shared" si="262"/>
        <v>1071742</v>
      </c>
      <c r="T2089" s="575"/>
      <c r="U2089" s="487"/>
      <c r="V2089" s="576"/>
      <c r="W2089" s="573"/>
      <c r="X2089" s="574">
        <f t="shared" si="266"/>
        <v>0</v>
      </c>
      <c r="Y2089" s="487"/>
      <c r="Z2089" s="487"/>
      <c r="AA2089" s="276">
        <f t="shared" si="267"/>
        <v>0</v>
      </c>
      <c r="AB2089" s="573"/>
      <c r="AC2089" s="487"/>
      <c r="AD2089" s="573"/>
      <c r="AE2089" s="487"/>
      <c r="AF2089" s="577">
        <f t="shared" si="263"/>
        <v>1115840</v>
      </c>
      <c r="AG2089" s="275">
        <f t="shared" si="264"/>
        <v>1071742</v>
      </c>
    </row>
    <row r="2090" spans="1:33" ht="12" customHeight="1">
      <c r="A2090" s="646" t="s">
        <v>1281</v>
      </c>
      <c r="B2090" s="646" t="s">
        <v>1776</v>
      </c>
      <c r="C2090" s="743" t="s">
        <v>546</v>
      </c>
      <c r="D2090" s="648">
        <v>199768</v>
      </c>
      <c r="E2090" s="660">
        <v>9</v>
      </c>
      <c r="F2090" s="573">
        <v>10531668</v>
      </c>
      <c r="G2090" s="487">
        <v>12299785</v>
      </c>
      <c r="H2090" s="573"/>
      <c r="I2090" s="487"/>
      <c r="J2090" s="573">
        <v>2217912</v>
      </c>
      <c r="K2090" s="487">
        <v>2434648</v>
      </c>
      <c r="L2090" s="573">
        <v>2967586</v>
      </c>
      <c r="M2090" s="573"/>
      <c r="N2090" s="456">
        <f t="shared" si="265"/>
        <v>2967586</v>
      </c>
      <c r="O2090" s="487">
        <v>2573790</v>
      </c>
      <c r="P2090" s="487"/>
      <c r="Q2090" s="274">
        <f t="shared" si="260"/>
        <v>2573790</v>
      </c>
      <c r="R2090" s="574">
        <f t="shared" si="261"/>
        <v>15717166</v>
      </c>
      <c r="S2090" s="275">
        <f t="shared" si="262"/>
        <v>17308223</v>
      </c>
      <c r="T2090" s="575"/>
      <c r="U2090" s="487"/>
      <c r="V2090" s="576"/>
      <c r="W2090" s="573"/>
      <c r="X2090" s="574">
        <f t="shared" si="266"/>
        <v>0</v>
      </c>
      <c r="Y2090" s="487"/>
      <c r="Z2090" s="487"/>
      <c r="AA2090" s="276">
        <f t="shared" si="267"/>
        <v>0</v>
      </c>
      <c r="AB2090" s="573"/>
      <c r="AC2090" s="487"/>
      <c r="AD2090" s="573"/>
      <c r="AE2090" s="487"/>
      <c r="AF2090" s="577">
        <f t="shared" si="263"/>
        <v>15717166</v>
      </c>
      <c r="AG2090" s="275">
        <f t="shared" si="264"/>
        <v>17308223</v>
      </c>
    </row>
    <row r="2091" spans="1:33" ht="12" customHeight="1">
      <c r="A2091" s="646" t="s">
        <v>1281</v>
      </c>
      <c r="B2091" s="646" t="s">
        <v>1776</v>
      </c>
      <c r="C2091" s="305" t="s">
        <v>508</v>
      </c>
      <c r="D2091" s="648">
        <v>199768</v>
      </c>
      <c r="E2091" s="660">
        <v>9</v>
      </c>
      <c r="F2091" s="573"/>
      <c r="G2091" s="487"/>
      <c r="H2091" s="573">
        <v>112864</v>
      </c>
      <c r="I2091" s="487">
        <v>172095</v>
      </c>
      <c r="J2091" s="573"/>
      <c r="K2091" s="487"/>
      <c r="L2091" s="573"/>
      <c r="M2091" s="573"/>
      <c r="N2091" s="456">
        <f t="shared" si="265"/>
        <v>0</v>
      </c>
      <c r="O2091" s="487"/>
      <c r="P2091" s="487"/>
      <c r="Q2091" s="274">
        <f t="shared" si="260"/>
        <v>0</v>
      </c>
      <c r="R2091" s="574">
        <f t="shared" si="261"/>
        <v>112864</v>
      </c>
      <c r="S2091" s="275">
        <f t="shared" si="262"/>
        <v>172095</v>
      </c>
      <c r="T2091" s="575"/>
      <c r="U2091" s="487"/>
      <c r="V2091" s="576"/>
      <c r="W2091" s="573"/>
      <c r="X2091" s="574">
        <f t="shared" si="266"/>
        <v>0</v>
      </c>
      <c r="Y2091" s="487"/>
      <c r="Z2091" s="487"/>
      <c r="AA2091" s="276">
        <f t="shared" si="267"/>
        <v>0</v>
      </c>
      <c r="AB2091" s="573"/>
      <c r="AC2091" s="487"/>
      <c r="AD2091" s="573"/>
      <c r="AE2091" s="487"/>
      <c r="AF2091" s="577">
        <f t="shared" si="263"/>
        <v>112864</v>
      </c>
      <c r="AG2091" s="275">
        <f t="shared" si="264"/>
        <v>172095</v>
      </c>
    </row>
    <row r="2092" spans="1:33" ht="12" customHeight="1">
      <c r="A2092" s="646" t="s">
        <v>1281</v>
      </c>
      <c r="B2092" s="646" t="s">
        <v>1778</v>
      </c>
      <c r="C2092" s="305" t="s">
        <v>1891</v>
      </c>
      <c r="D2092" s="648">
        <v>199768</v>
      </c>
      <c r="E2092" s="660">
        <v>9</v>
      </c>
      <c r="F2092" s="573"/>
      <c r="G2092" s="487"/>
      <c r="H2092" s="573">
        <v>194900</v>
      </c>
      <c r="I2092" s="487">
        <v>198553</v>
      </c>
      <c r="J2092" s="573"/>
      <c r="K2092" s="487"/>
      <c r="L2092" s="573"/>
      <c r="M2092" s="573"/>
      <c r="N2092" s="456">
        <f t="shared" si="265"/>
        <v>0</v>
      </c>
      <c r="O2092" s="487"/>
      <c r="P2092" s="487"/>
      <c r="Q2092" s="274">
        <f t="shared" si="260"/>
        <v>0</v>
      </c>
      <c r="R2092" s="574">
        <f t="shared" si="261"/>
        <v>194900</v>
      </c>
      <c r="S2092" s="275">
        <f t="shared" si="262"/>
        <v>198553</v>
      </c>
      <c r="T2092" s="575"/>
      <c r="U2092" s="487"/>
      <c r="V2092" s="576"/>
      <c r="W2092" s="573"/>
      <c r="X2092" s="574">
        <f t="shared" si="266"/>
        <v>0</v>
      </c>
      <c r="Y2092" s="487"/>
      <c r="Z2092" s="487"/>
      <c r="AA2092" s="276">
        <f t="shared" si="267"/>
        <v>0</v>
      </c>
      <c r="AB2092" s="573"/>
      <c r="AC2092" s="487"/>
      <c r="AD2092" s="573"/>
      <c r="AE2092" s="487"/>
      <c r="AF2092" s="577">
        <f t="shared" si="263"/>
        <v>194900</v>
      </c>
      <c r="AG2092" s="275">
        <f t="shared" si="264"/>
        <v>198553</v>
      </c>
    </row>
    <row r="2093" spans="1:33" ht="12" customHeight="1">
      <c r="A2093" s="646" t="s">
        <v>1281</v>
      </c>
      <c r="B2093" s="646" t="s">
        <v>1787</v>
      </c>
      <c r="C2093" s="305" t="s">
        <v>1770</v>
      </c>
      <c r="D2093" s="648">
        <v>199768</v>
      </c>
      <c r="E2093" s="660">
        <v>9</v>
      </c>
      <c r="F2093" s="573"/>
      <c r="G2093" s="487"/>
      <c r="H2093" s="573">
        <v>1072304</v>
      </c>
      <c r="I2093" s="487">
        <v>1253725</v>
      </c>
      <c r="J2093" s="573"/>
      <c r="K2093" s="487"/>
      <c r="L2093" s="573">
        <v>271648</v>
      </c>
      <c r="M2093" s="573"/>
      <c r="N2093" s="456">
        <f t="shared" si="265"/>
        <v>271648</v>
      </c>
      <c r="O2093" s="487">
        <v>144939</v>
      </c>
      <c r="P2093" s="487"/>
      <c r="Q2093" s="274">
        <f t="shared" si="260"/>
        <v>144939</v>
      </c>
      <c r="R2093" s="574">
        <f t="shared" si="261"/>
        <v>1343952</v>
      </c>
      <c r="S2093" s="275">
        <f t="shared" si="262"/>
        <v>1398664</v>
      </c>
      <c r="T2093" s="575"/>
      <c r="U2093" s="487"/>
      <c r="V2093" s="576"/>
      <c r="W2093" s="573"/>
      <c r="X2093" s="574">
        <f t="shared" si="266"/>
        <v>0</v>
      </c>
      <c r="Y2093" s="487"/>
      <c r="Z2093" s="487"/>
      <c r="AA2093" s="276">
        <f t="shared" si="267"/>
        <v>0</v>
      </c>
      <c r="AB2093" s="573"/>
      <c r="AC2093" s="487"/>
      <c r="AD2093" s="573"/>
      <c r="AE2093" s="487"/>
      <c r="AF2093" s="577">
        <f t="shared" si="263"/>
        <v>1343952</v>
      </c>
      <c r="AG2093" s="275">
        <f t="shared" si="264"/>
        <v>1398664</v>
      </c>
    </row>
    <row r="2094" spans="1:33" ht="12" customHeight="1">
      <c r="A2094" s="646" t="s">
        <v>1281</v>
      </c>
      <c r="B2094" s="646" t="s">
        <v>1776</v>
      </c>
      <c r="C2094" s="743" t="s">
        <v>547</v>
      </c>
      <c r="D2094" s="648">
        <v>199838</v>
      </c>
      <c r="E2094" s="660">
        <v>9</v>
      </c>
      <c r="F2094" s="573">
        <v>17212576</v>
      </c>
      <c r="G2094" s="487">
        <v>17289957</v>
      </c>
      <c r="H2094" s="573"/>
      <c r="I2094" s="487"/>
      <c r="J2094" s="573">
        <v>2265757</v>
      </c>
      <c r="K2094" s="487">
        <v>2062960</v>
      </c>
      <c r="L2094" s="573">
        <v>2761064</v>
      </c>
      <c r="M2094" s="573"/>
      <c r="N2094" s="456">
        <f t="shared" si="265"/>
        <v>2761064</v>
      </c>
      <c r="O2094" s="487">
        <v>2747359</v>
      </c>
      <c r="P2094" s="487"/>
      <c r="Q2094" s="274">
        <f t="shared" si="260"/>
        <v>2747359</v>
      </c>
      <c r="R2094" s="574">
        <f t="shared" si="261"/>
        <v>22239397</v>
      </c>
      <c r="S2094" s="275">
        <f t="shared" si="262"/>
        <v>22100276</v>
      </c>
      <c r="T2094" s="575"/>
      <c r="U2094" s="487"/>
      <c r="V2094" s="576"/>
      <c r="W2094" s="573"/>
      <c r="X2094" s="574">
        <f t="shared" si="266"/>
        <v>0</v>
      </c>
      <c r="Y2094" s="487"/>
      <c r="Z2094" s="487"/>
      <c r="AA2094" s="276">
        <f t="shared" si="267"/>
        <v>0</v>
      </c>
      <c r="AB2094" s="573"/>
      <c r="AC2094" s="487"/>
      <c r="AD2094" s="573"/>
      <c r="AE2094" s="487"/>
      <c r="AF2094" s="577">
        <f t="shared" si="263"/>
        <v>22239397</v>
      </c>
      <c r="AG2094" s="275">
        <f t="shared" si="264"/>
        <v>22100276</v>
      </c>
    </row>
    <row r="2095" spans="1:33" ht="12" customHeight="1">
      <c r="A2095" s="646" t="s">
        <v>1281</v>
      </c>
      <c r="B2095" s="646" t="s">
        <v>1776</v>
      </c>
      <c r="C2095" s="305" t="s">
        <v>508</v>
      </c>
      <c r="D2095" s="648">
        <v>199838</v>
      </c>
      <c r="E2095" s="660">
        <v>9</v>
      </c>
      <c r="F2095" s="573"/>
      <c r="G2095" s="487"/>
      <c r="H2095" s="573">
        <v>135216</v>
      </c>
      <c r="I2095" s="487">
        <v>198662</v>
      </c>
      <c r="J2095" s="573"/>
      <c r="K2095" s="487"/>
      <c r="L2095" s="573"/>
      <c r="M2095" s="573"/>
      <c r="N2095" s="456">
        <f t="shared" si="265"/>
        <v>0</v>
      </c>
      <c r="O2095" s="487"/>
      <c r="P2095" s="487"/>
      <c r="Q2095" s="274">
        <f t="shared" si="260"/>
        <v>0</v>
      </c>
      <c r="R2095" s="574">
        <f t="shared" si="261"/>
        <v>135216</v>
      </c>
      <c r="S2095" s="275">
        <f t="shared" si="262"/>
        <v>198662</v>
      </c>
      <c r="T2095" s="575"/>
      <c r="U2095" s="487"/>
      <c r="V2095" s="576"/>
      <c r="W2095" s="573"/>
      <c r="X2095" s="574">
        <f t="shared" si="266"/>
        <v>0</v>
      </c>
      <c r="Y2095" s="487"/>
      <c r="Z2095" s="487"/>
      <c r="AA2095" s="276">
        <f t="shared" si="267"/>
        <v>0</v>
      </c>
      <c r="AB2095" s="573"/>
      <c r="AC2095" s="487"/>
      <c r="AD2095" s="573"/>
      <c r="AE2095" s="487"/>
      <c r="AF2095" s="577">
        <f t="shared" si="263"/>
        <v>135216</v>
      </c>
      <c r="AG2095" s="275">
        <f t="shared" si="264"/>
        <v>198662</v>
      </c>
    </row>
    <row r="2096" spans="1:33" ht="12" customHeight="1">
      <c r="A2096" s="646" t="s">
        <v>1281</v>
      </c>
      <c r="B2096" s="646" t="s">
        <v>1778</v>
      </c>
      <c r="C2096" s="305" t="s">
        <v>1891</v>
      </c>
      <c r="D2096" s="648">
        <v>199838</v>
      </c>
      <c r="E2096" s="660">
        <v>9</v>
      </c>
      <c r="F2096" s="573"/>
      <c r="G2096" s="487"/>
      <c r="H2096" s="573">
        <v>191694</v>
      </c>
      <c r="I2096" s="487">
        <v>200357</v>
      </c>
      <c r="J2096" s="573"/>
      <c r="K2096" s="487"/>
      <c r="L2096" s="573"/>
      <c r="M2096" s="573"/>
      <c r="N2096" s="456">
        <f t="shared" si="265"/>
        <v>0</v>
      </c>
      <c r="O2096" s="487"/>
      <c r="P2096" s="487"/>
      <c r="Q2096" s="274">
        <f t="shared" si="260"/>
        <v>0</v>
      </c>
      <c r="R2096" s="574">
        <f t="shared" si="261"/>
        <v>191694</v>
      </c>
      <c r="S2096" s="275">
        <f t="shared" si="262"/>
        <v>200357</v>
      </c>
      <c r="T2096" s="575"/>
      <c r="U2096" s="487"/>
      <c r="V2096" s="576"/>
      <c r="W2096" s="573"/>
      <c r="X2096" s="574">
        <f t="shared" si="266"/>
        <v>0</v>
      </c>
      <c r="Y2096" s="487"/>
      <c r="Z2096" s="487"/>
      <c r="AA2096" s="276">
        <f t="shared" si="267"/>
        <v>0</v>
      </c>
      <c r="AB2096" s="573"/>
      <c r="AC2096" s="487"/>
      <c r="AD2096" s="573"/>
      <c r="AE2096" s="487"/>
      <c r="AF2096" s="577">
        <f t="shared" si="263"/>
        <v>191694</v>
      </c>
      <c r="AG2096" s="275">
        <f t="shared" si="264"/>
        <v>200357</v>
      </c>
    </row>
    <row r="2097" spans="1:33" ht="12" customHeight="1">
      <c r="A2097" s="646" t="s">
        <v>1281</v>
      </c>
      <c r="B2097" s="646" t="s">
        <v>1787</v>
      </c>
      <c r="C2097" s="305" t="s">
        <v>1770</v>
      </c>
      <c r="D2097" s="648">
        <v>199838</v>
      </c>
      <c r="E2097" s="660">
        <v>9</v>
      </c>
      <c r="F2097" s="573"/>
      <c r="G2097" s="487"/>
      <c r="H2097" s="573">
        <v>1591289</v>
      </c>
      <c r="I2097" s="487">
        <v>1633657</v>
      </c>
      <c r="J2097" s="573"/>
      <c r="K2097" s="487"/>
      <c r="L2097" s="573">
        <v>232712</v>
      </c>
      <c r="M2097" s="573"/>
      <c r="N2097" s="456">
        <f t="shared" si="265"/>
        <v>232712</v>
      </c>
      <c r="O2097" s="487">
        <v>205866</v>
      </c>
      <c r="P2097" s="487"/>
      <c r="Q2097" s="274">
        <f t="shared" si="260"/>
        <v>205866</v>
      </c>
      <c r="R2097" s="574">
        <f t="shared" si="261"/>
        <v>1824001</v>
      </c>
      <c r="S2097" s="275">
        <f t="shared" si="262"/>
        <v>1839523</v>
      </c>
      <c r="T2097" s="575"/>
      <c r="U2097" s="487"/>
      <c r="V2097" s="576"/>
      <c r="W2097" s="573"/>
      <c r="X2097" s="574">
        <f t="shared" si="266"/>
        <v>0</v>
      </c>
      <c r="Y2097" s="487"/>
      <c r="Z2097" s="487"/>
      <c r="AA2097" s="276">
        <f t="shared" si="267"/>
        <v>0</v>
      </c>
      <c r="AB2097" s="573"/>
      <c r="AC2097" s="487"/>
      <c r="AD2097" s="573"/>
      <c r="AE2097" s="487"/>
      <c r="AF2097" s="577">
        <f t="shared" si="263"/>
        <v>1824001</v>
      </c>
      <c r="AG2097" s="275">
        <f t="shared" si="264"/>
        <v>1839523</v>
      </c>
    </row>
    <row r="2098" spans="1:33" ht="12" customHeight="1">
      <c r="A2098" s="646" t="s">
        <v>1281</v>
      </c>
      <c r="B2098" s="646" t="s">
        <v>1776</v>
      </c>
      <c r="C2098" s="743" t="s">
        <v>548</v>
      </c>
      <c r="D2098" s="648">
        <v>199892</v>
      </c>
      <c r="E2098" s="660">
        <v>9</v>
      </c>
      <c r="F2098" s="573">
        <v>12632010</v>
      </c>
      <c r="G2098" s="487">
        <v>12939923</v>
      </c>
      <c r="H2098" s="573"/>
      <c r="I2098" s="487"/>
      <c r="J2098" s="573">
        <v>2819366</v>
      </c>
      <c r="K2098" s="487">
        <v>3552122</v>
      </c>
      <c r="L2098" s="573">
        <v>2919422</v>
      </c>
      <c r="M2098" s="573"/>
      <c r="N2098" s="456">
        <f t="shared" si="265"/>
        <v>2919422</v>
      </c>
      <c r="O2098" s="487">
        <v>2992816</v>
      </c>
      <c r="P2098" s="487"/>
      <c r="Q2098" s="274">
        <f t="shared" si="260"/>
        <v>2992816</v>
      </c>
      <c r="R2098" s="574">
        <f t="shared" si="261"/>
        <v>18370798</v>
      </c>
      <c r="S2098" s="275">
        <f t="shared" si="262"/>
        <v>19484861</v>
      </c>
      <c r="T2098" s="575"/>
      <c r="U2098" s="487"/>
      <c r="V2098" s="576"/>
      <c r="W2098" s="573"/>
      <c r="X2098" s="574">
        <f t="shared" si="266"/>
        <v>0</v>
      </c>
      <c r="Y2098" s="487"/>
      <c r="Z2098" s="487"/>
      <c r="AA2098" s="276">
        <f t="shared" si="267"/>
        <v>0</v>
      </c>
      <c r="AB2098" s="573"/>
      <c r="AC2098" s="487"/>
      <c r="AD2098" s="573"/>
      <c r="AE2098" s="487"/>
      <c r="AF2098" s="577">
        <f t="shared" si="263"/>
        <v>18370798</v>
      </c>
      <c r="AG2098" s="275">
        <f t="shared" si="264"/>
        <v>19484861</v>
      </c>
    </row>
    <row r="2099" spans="1:33" ht="12" customHeight="1">
      <c r="A2099" s="646" t="s">
        <v>1281</v>
      </c>
      <c r="B2099" s="646" t="s">
        <v>1776</v>
      </c>
      <c r="C2099" s="305" t="s">
        <v>508</v>
      </c>
      <c r="D2099" s="648">
        <v>199892</v>
      </c>
      <c r="E2099" s="660">
        <v>9</v>
      </c>
      <c r="F2099" s="573"/>
      <c r="G2099" s="487"/>
      <c r="H2099" s="573">
        <v>112325</v>
      </c>
      <c r="I2099" s="487">
        <v>173475</v>
      </c>
      <c r="J2099" s="573"/>
      <c r="K2099" s="487"/>
      <c r="L2099" s="573"/>
      <c r="M2099" s="573"/>
      <c r="N2099" s="456">
        <f t="shared" si="265"/>
        <v>0</v>
      </c>
      <c r="O2099" s="487"/>
      <c r="P2099" s="487"/>
      <c r="Q2099" s="274">
        <f t="shared" si="260"/>
        <v>0</v>
      </c>
      <c r="R2099" s="574">
        <f t="shared" si="261"/>
        <v>112325</v>
      </c>
      <c r="S2099" s="275">
        <f t="shared" si="262"/>
        <v>173475</v>
      </c>
      <c r="T2099" s="575"/>
      <c r="U2099" s="487"/>
      <c r="V2099" s="576"/>
      <c r="W2099" s="573"/>
      <c r="X2099" s="574">
        <f t="shared" si="266"/>
        <v>0</v>
      </c>
      <c r="Y2099" s="487"/>
      <c r="Z2099" s="487"/>
      <c r="AA2099" s="276">
        <f t="shared" si="267"/>
        <v>0</v>
      </c>
      <c r="AB2099" s="573"/>
      <c r="AC2099" s="487"/>
      <c r="AD2099" s="573"/>
      <c r="AE2099" s="487"/>
      <c r="AF2099" s="577">
        <f t="shared" si="263"/>
        <v>112325</v>
      </c>
      <c r="AG2099" s="275">
        <f t="shared" si="264"/>
        <v>173475</v>
      </c>
    </row>
    <row r="2100" spans="1:33" ht="12" customHeight="1">
      <c r="A2100" s="646" t="s">
        <v>1281</v>
      </c>
      <c r="B2100" s="646" t="s">
        <v>1778</v>
      </c>
      <c r="C2100" s="305" t="s">
        <v>1891</v>
      </c>
      <c r="D2100" s="648">
        <v>199892</v>
      </c>
      <c r="E2100" s="660">
        <v>9</v>
      </c>
      <c r="F2100" s="573"/>
      <c r="G2100" s="487"/>
      <c r="H2100" s="573">
        <v>119416</v>
      </c>
      <c r="I2100" s="487">
        <v>196651</v>
      </c>
      <c r="J2100" s="573"/>
      <c r="K2100" s="487"/>
      <c r="L2100" s="573"/>
      <c r="M2100" s="573"/>
      <c r="N2100" s="456">
        <f t="shared" si="265"/>
        <v>0</v>
      </c>
      <c r="O2100" s="487"/>
      <c r="P2100" s="487"/>
      <c r="Q2100" s="274">
        <f t="shared" si="260"/>
        <v>0</v>
      </c>
      <c r="R2100" s="574">
        <f t="shared" si="261"/>
        <v>119416</v>
      </c>
      <c r="S2100" s="275">
        <f t="shared" si="262"/>
        <v>196651</v>
      </c>
      <c r="T2100" s="575"/>
      <c r="U2100" s="487"/>
      <c r="V2100" s="576"/>
      <c r="W2100" s="573"/>
      <c r="X2100" s="574">
        <f t="shared" si="266"/>
        <v>0</v>
      </c>
      <c r="Y2100" s="487"/>
      <c r="Z2100" s="487"/>
      <c r="AA2100" s="276">
        <f t="shared" si="267"/>
        <v>0</v>
      </c>
      <c r="AB2100" s="573"/>
      <c r="AC2100" s="487"/>
      <c r="AD2100" s="573"/>
      <c r="AE2100" s="487"/>
      <c r="AF2100" s="577">
        <f t="shared" si="263"/>
        <v>119416</v>
      </c>
      <c r="AG2100" s="275">
        <f t="shared" si="264"/>
        <v>196651</v>
      </c>
    </row>
    <row r="2101" spans="1:33" ht="12" customHeight="1">
      <c r="A2101" s="646" t="s">
        <v>1281</v>
      </c>
      <c r="B2101" s="646" t="s">
        <v>1787</v>
      </c>
      <c r="C2101" s="305" t="s">
        <v>1770</v>
      </c>
      <c r="D2101" s="648">
        <v>199892</v>
      </c>
      <c r="E2101" s="660">
        <v>9</v>
      </c>
      <c r="F2101" s="573"/>
      <c r="G2101" s="487"/>
      <c r="H2101" s="573">
        <v>1297530</v>
      </c>
      <c r="I2101" s="487">
        <v>1407714</v>
      </c>
      <c r="J2101" s="573"/>
      <c r="K2101" s="487"/>
      <c r="L2101" s="573">
        <v>262010</v>
      </c>
      <c r="M2101" s="573"/>
      <c r="N2101" s="456">
        <f t="shared" si="265"/>
        <v>262010</v>
      </c>
      <c r="O2101" s="487">
        <v>141333</v>
      </c>
      <c r="P2101" s="487"/>
      <c r="Q2101" s="274">
        <f t="shared" si="260"/>
        <v>141333</v>
      </c>
      <c r="R2101" s="574">
        <f t="shared" si="261"/>
        <v>1559540</v>
      </c>
      <c r="S2101" s="275">
        <f t="shared" si="262"/>
        <v>1549047</v>
      </c>
      <c r="T2101" s="575"/>
      <c r="U2101" s="487"/>
      <c r="V2101" s="576"/>
      <c r="W2101" s="573"/>
      <c r="X2101" s="574">
        <f t="shared" si="266"/>
        <v>0</v>
      </c>
      <c r="Y2101" s="487"/>
      <c r="Z2101" s="487"/>
      <c r="AA2101" s="276">
        <f t="shared" si="267"/>
        <v>0</v>
      </c>
      <c r="AB2101" s="573"/>
      <c r="AC2101" s="487"/>
      <c r="AD2101" s="573"/>
      <c r="AE2101" s="487"/>
      <c r="AF2101" s="577">
        <f t="shared" si="263"/>
        <v>1559540</v>
      </c>
      <c r="AG2101" s="275">
        <f t="shared" si="264"/>
        <v>1549047</v>
      </c>
    </row>
    <row r="2102" spans="1:33" ht="12" customHeight="1">
      <c r="A2102" s="646" t="s">
        <v>1281</v>
      </c>
      <c r="B2102" s="646" t="s">
        <v>1776</v>
      </c>
      <c r="C2102" s="743" t="s">
        <v>549</v>
      </c>
      <c r="D2102" s="648">
        <v>199908</v>
      </c>
      <c r="E2102" s="660">
        <v>9</v>
      </c>
      <c r="F2102" s="573">
        <v>11698779</v>
      </c>
      <c r="G2102" s="487">
        <v>12217307</v>
      </c>
      <c r="H2102" s="573"/>
      <c r="I2102" s="487"/>
      <c r="J2102" s="573">
        <v>1764384</v>
      </c>
      <c r="K2102" s="487">
        <v>1932000</v>
      </c>
      <c r="L2102" s="573">
        <v>1969082</v>
      </c>
      <c r="M2102" s="573"/>
      <c r="N2102" s="456">
        <f t="shared" si="265"/>
        <v>1969082</v>
      </c>
      <c r="O2102" s="487">
        <v>2270506</v>
      </c>
      <c r="P2102" s="487"/>
      <c r="Q2102" s="274">
        <f t="shared" si="260"/>
        <v>2270506</v>
      </c>
      <c r="R2102" s="574">
        <f t="shared" si="261"/>
        <v>15432245</v>
      </c>
      <c r="S2102" s="275">
        <f t="shared" si="262"/>
        <v>16419813</v>
      </c>
      <c r="T2102" s="575"/>
      <c r="U2102" s="487"/>
      <c r="V2102" s="576"/>
      <c r="W2102" s="573"/>
      <c r="X2102" s="574">
        <f t="shared" si="266"/>
        <v>0</v>
      </c>
      <c r="Y2102" s="487"/>
      <c r="Z2102" s="487"/>
      <c r="AA2102" s="276">
        <f t="shared" si="267"/>
        <v>0</v>
      </c>
      <c r="AB2102" s="573"/>
      <c r="AC2102" s="487"/>
      <c r="AD2102" s="573"/>
      <c r="AE2102" s="487"/>
      <c r="AF2102" s="577">
        <f t="shared" si="263"/>
        <v>15432245</v>
      </c>
      <c r="AG2102" s="275">
        <f t="shared" si="264"/>
        <v>16419813</v>
      </c>
    </row>
    <row r="2103" spans="1:33" ht="12" customHeight="1">
      <c r="A2103" s="646" t="s">
        <v>1281</v>
      </c>
      <c r="B2103" s="646" t="s">
        <v>1776</v>
      </c>
      <c r="C2103" s="305" t="s">
        <v>508</v>
      </c>
      <c r="D2103" s="648">
        <v>199908</v>
      </c>
      <c r="E2103" s="660">
        <v>9</v>
      </c>
      <c r="F2103" s="573"/>
      <c r="G2103" s="487"/>
      <c r="H2103" s="573">
        <v>114384</v>
      </c>
      <c r="I2103" s="487">
        <v>167048</v>
      </c>
      <c r="J2103" s="573"/>
      <c r="K2103" s="487"/>
      <c r="L2103" s="573"/>
      <c r="M2103" s="573"/>
      <c r="N2103" s="456">
        <f t="shared" si="265"/>
        <v>0</v>
      </c>
      <c r="O2103" s="487"/>
      <c r="P2103" s="487"/>
      <c r="Q2103" s="274">
        <f t="shared" si="260"/>
        <v>0</v>
      </c>
      <c r="R2103" s="574">
        <f t="shared" si="261"/>
        <v>114384</v>
      </c>
      <c r="S2103" s="275">
        <f t="shared" si="262"/>
        <v>167048</v>
      </c>
      <c r="T2103" s="575"/>
      <c r="U2103" s="487"/>
      <c r="V2103" s="576"/>
      <c r="W2103" s="573"/>
      <c r="X2103" s="574">
        <f t="shared" si="266"/>
        <v>0</v>
      </c>
      <c r="Y2103" s="487"/>
      <c r="Z2103" s="487"/>
      <c r="AA2103" s="276">
        <f t="shared" si="267"/>
        <v>0</v>
      </c>
      <c r="AB2103" s="573"/>
      <c r="AC2103" s="487"/>
      <c r="AD2103" s="573"/>
      <c r="AE2103" s="487"/>
      <c r="AF2103" s="577">
        <f t="shared" si="263"/>
        <v>114384</v>
      </c>
      <c r="AG2103" s="275">
        <f t="shared" si="264"/>
        <v>167048</v>
      </c>
    </row>
    <row r="2104" spans="1:33" ht="12" customHeight="1">
      <c r="A2104" s="646" t="s">
        <v>1281</v>
      </c>
      <c r="B2104" s="646" t="s">
        <v>1778</v>
      </c>
      <c r="C2104" s="305" t="s">
        <v>1891</v>
      </c>
      <c r="D2104" s="648">
        <v>199908</v>
      </c>
      <c r="E2104" s="660">
        <v>9</v>
      </c>
      <c r="F2104" s="573"/>
      <c r="G2104" s="487"/>
      <c r="H2104" s="573">
        <v>198265</v>
      </c>
      <c r="I2104" s="487">
        <v>203516</v>
      </c>
      <c r="J2104" s="573"/>
      <c r="K2104" s="487"/>
      <c r="L2104" s="573"/>
      <c r="M2104" s="573"/>
      <c r="N2104" s="456">
        <f t="shared" si="265"/>
        <v>0</v>
      </c>
      <c r="O2104" s="487"/>
      <c r="P2104" s="487"/>
      <c r="Q2104" s="274">
        <f t="shared" si="260"/>
        <v>0</v>
      </c>
      <c r="R2104" s="574">
        <f t="shared" si="261"/>
        <v>198265</v>
      </c>
      <c r="S2104" s="275">
        <f t="shared" si="262"/>
        <v>203516</v>
      </c>
      <c r="T2104" s="575"/>
      <c r="U2104" s="487"/>
      <c r="V2104" s="576"/>
      <c r="W2104" s="573"/>
      <c r="X2104" s="574">
        <f t="shared" si="266"/>
        <v>0</v>
      </c>
      <c r="Y2104" s="487"/>
      <c r="Z2104" s="487"/>
      <c r="AA2104" s="276">
        <f t="shared" si="267"/>
        <v>0</v>
      </c>
      <c r="AB2104" s="573"/>
      <c r="AC2104" s="487"/>
      <c r="AD2104" s="573"/>
      <c r="AE2104" s="487"/>
      <c r="AF2104" s="577">
        <f t="shared" si="263"/>
        <v>198265</v>
      </c>
      <c r="AG2104" s="275">
        <f t="shared" si="264"/>
        <v>203516</v>
      </c>
    </row>
    <row r="2105" spans="1:33" ht="12" customHeight="1">
      <c r="A2105" s="646" t="s">
        <v>1281</v>
      </c>
      <c r="B2105" s="646" t="s">
        <v>1787</v>
      </c>
      <c r="C2105" s="305" t="s">
        <v>1770</v>
      </c>
      <c r="D2105" s="648">
        <v>199908</v>
      </c>
      <c r="E2105" s="660">
        <v>9</v>
      </c>
      <c r="F2105" s="573"/>
      <c r="G2105" s="487"/>
      <c r="H2105" s="573">
        <v>808459</v>
      </c>
      <c r="I2105" s="487">
        <v>983173</v>
      </c>
      <c r="J2105" s="573"/>
      <c r="K2105" s="487"/>
      <c r="L2105" s="573">
        <v>158228</v>
      </c>
      <c r="M2105" s="573"/>
      <c r="N2105" s="456">
        <f t="shared" si="265"/>
        <v>158228</v>
      </c>
      <c r="O2105" s="487">
        <v>82819</v>
      </c>
      <c r="P2105" s="487"/>
      <c r="Q2105" s="274">
        <f t="shared" si="260"/>
        <v>82819</v>
      </c>
      <c r="R2105" s="574">
        <f t="shared" si="261"/>
        <v>966687</v>
      </c>
      <c r="S2105" s="275">
        <f t="shared" si="262"/>
        <v>1065992</v>
      </c>
      <c r="T2105" s="575"/>
      <c r="U2105" s="487"/>
      <c r="V2105" s="576"/>
      <c r="W2105" s="573"/>
      <c r="X2105" s="574">
        <f t="shared" si="266"/>
        <v>0</v>
      </c>
      <c r="Y2105" s="487"/>
      <c r="Z2105" s="487"/>
      <c r="AA2105" s="276">
        <f t="shared" si="267"/>
        <v>0</v>
      </c>
      <c r="AB2105" s="573"/>
      <c r="AC2105" s="487"/>
      <c r="AD2105" s="573"/>
      <c r="AE2105" s="487"/>
      <c r="AF2105" s="577">
        <f t="shared" si="263"/>
        <v>966687</v>
      </c>
      <c r="AG2105" s="275">
        <f t="shared" si="264"/>
        <v>1065992</v>
      </c>
    </row>
    <row r="2106" spans="1:33" ht="12" customHeight="1">
      <c r="A2106" s="646" t="s">
        <v>1281</v>
      </c>
      <c r="B2106" s="646" t="s">
        <v>1776</v>
      </c>
      <c r="C2106" s="743" t="s">
        <v>550</v>
      </c>
      <c r="D2106" s="648">
        <v>199926</v>
      </c>
      <c r="E2106" s="660">
        <v>9</v>
      </c>
      <c r="F2106" s="573">
        <v>10854218</v>
      </c>
      <c r="G2106" s="487">
        <v>10912848</v>
      </c>
      <c r="H2106" s="573"/>
      <c r="I2106" s="487"/>
      <c r="J2106" s="573">
        <v>3174085</v>
      </c>
      <c r="K2106" s="487">
        <v>3736181</v>
      </c>
      <c r="L2106" s="573">
        <v>1972052</v>
      </c>
      <c r="M2106" s="573"/>
      <c r="N2106" s="456">
        <f t="shared" si="265"/>
        <v>1972052</v>
      </c>
      <c r="O2106" s="487">
        <v>2096885</v>
      </c>
      <c r="P2106" s="487"/>
      <c r="Q2106" s="274">
        <f t="shared" si="260"/>
        <v>2096885</v>
      </c>
      <c r="R2106" s="574">
        <f t="shared" si="261"/>
        <v>16000355</v>
      </c>
      <c r="S2106" s="275">
        <f t="shared" si="262"/>
        <v>16745914</v>
      </c>
      <c r="T2106" s="575"/>
      <c r="U2106" s="487"/>
      <c r="V2106" s="576"/>
      <c r="W2106" s="573"/>
      <c r="X2106" s="574">
        <f t="shared" si="266"/>
        <v>0</v>
      </c>
      <c r="Y2106" s="487"/>
      <c r="Z2106" s="487"/>
      <c r="AA2106" s="276">
        <f t="shared" si="267"/>
        <v>0</v>
      </c>
      <c r="AB2106" s="573"/>
      <c r="AC2106" s="487"/>
      <c r="AD2106" s="573"/>
      <c r="AE2106" s="487"/>
      <c r="AF2106" s="577">
        <f t="shared" si="263"/>
        <v>16000355</v>
      </c>
      <c r="AG2106" s="275">
        <f t="shared" si="264"/>
        <v>16745914</v>
      </c>
    </row>
    <row r="2107" spans="1:33" ht="12" customHeight="1">
      <c r="A2107" s="646" t="s">
        <v>1281</v>
      </c>
      <c r="B2107" s="646" t="s">
        <v>1776</v>
      </c>
      <c r="C2107" s="305" t="s">
        <v>508</v>
      </c>
      <c r="D2107" s="648">
        <v>199926</v>
      </c>
      <c r="E2107" s="660">
        <v>9</v>
      </c>
      <c r="F2107" s="573"/>
      <c r="G2107" s="487"/>
      <c r="H2107" s="573">
        <v>102308</v>
      </c>
      <c r="I2107" s="487">
        <v>144061</v>
      </c>
      <c r="J2107" s="573"/>
      <c r="K2107" s="487"/>
      <c r="L2107" s="573"/>
      <c r="M2107" s="573"/>
      <c r="N2107" s="456">
        <f t="shared" si="265"/>
        <v>0</v>
      </c>
      <c r="O2107" s="487"/>
      <c r="P2107" s="487"/>
      <c r="Q2107" s="274">
        <f t="shared" si="260"/>
        <v>0</v>
      </c>
      <c r="R2107" s="574">
        <f t="shared" si="261"/>
        <v>102308</v>
      </c>
      <c r="S2107" s="275">
        <f t="shared" si="262"/>
        <v>144061</v>
      </c>
      <c r="T2107" s="575"/>
      <c r="U2107" s="487"/>
      <c r="V2107" s="576"/>
      <c r="W2107" s="573"/>
      <c r="X2107" s="574">
        <f t="shared" si="266"/>
        <v>0</v>
      </c>
      <c r="Y2107" s="487"/>
      <c r="Z2107" s="487"/>
      <c r="AA2107" s="276">
        <f t="shared" si="267"/>
        <v>0</v>
      </c>
      <c r="AB2107" s="573"/>
      <c r="AC2107" s="487"/>
      <c r="AD2107" s="573"/>
      <c r="AE2107" s="487"/>
      <c r="AF2107" s="577">
        <f t="shared" si="263"/>
        <v>102308</v>
      </c>
      <c r="AG2107" s="275">
        <f t="shared" si="264"/>
        <v>144061</v>
      </c>
    </row>
    <row r="2108" spans="1:33" ht="12" customHeight="1">
      <c r="A2108" s="646" t="s">
        <v>1281</v>
      </c>
      <c r="B2108" s="646" t="s">
        <v>1778</v>
      </c>
      <c r="C2108" s="305" t="s">
        <v>1891</v>
      </c>
      <c r="D2108" s="648">
        <v>199926</v>
      </c>
      <c r="E2108" s="660">
        <v>9</v>
      </c>
      <c r="F2108" s="573"/>
      <c r="G2108" s="487"/>
      <c r="H2108" s="573">
        <v>198704</v>
      </c>
      <c r="I2108" s="487">
        <v>209326</v>
      </c>
      <c r="J2108" s="573"/>
      <c r="K2108" s="487"/>
      <c r="L2108" s="573"/>
      <c r="M2108" s="573"/>
      <c r="N2108" s="456">
        <f t="shared" si="265"/>
        <v>0</v>
      </c>
      <c r="O2108" s="487"/>
      <c r="P2108" s="487"/>
      <c r="Q2108" s="274">
        <f t="shared" si="260"/>
        <v>0</v>
      </c>
      <c r="R2108" s="574">
        <f t="shared" si="261"/>
        <v>198704</v>
      </c>
      <c r="S2108" s="275">
        <f t="shared" si="262"/>
        <v>209326</v>
      </c>
      <c r="T2108" s="575"/>
      <c r="U2108" s="487"/>
      <c r="V2108" s="576"/>
      <c r="W2108" s="573"/>
      <c r="X2108" s="574">
        <f t="shared" si="266"/>
        <v>0</v>
      </c>
      <c r="Y2108" s="487"/>
      <c r="Z2108" s="487"/>
      <c r="AA2108" s="276">
        <f t="shared" si="267"/>
        <v>0</v>
      </c>
      <c r="AB2108" s="573"/>
      <c r="AC2108" s="487"/>
      <c r="AD2108" s="573"/>
      <c r="AE2108" s="487"/>
      <c r="AF2108" s="577">
        <f t="shared" si="263"/>
        <v>198704</v>
      </c>
      <c r="AG2108" s="275">
        <f t="shared" si="264"/>
        <v>209326</v>
      </c>
    </row>
    <row r="2109" spans="1:33" ht="12" customHeight="1">
      <c r="A2109" s="646" t="s">
        <v>1281</v>
      </c>
      <c r="B2109" s="646" t="s">
        <v>1787</v>
      </c>
      <c r="C2109" s="305" t="s">
        <v>1770</v>
      </c>
      <c r="D2109" s="648">
        <v>199926</v>
      </c>
      <c r="E2109" s="660">
        <v>9</v>
      </c>
      <c r="F2109" s="573"/>
      <c r="G2109" s="487"/>
      <c r="H2109" s="573">
        <v>1191458</v>
      </c>
      <c r="I2109" s="487">
        <v>1299896</v>
      </c>
      <c r="J2109" s="573"/>
      <c r="K2109" s="487"/>
      <c r="L2109" s="573">
        <v>297271</v>
      </c>
      <c r="M2109" s="573"/>
      <c r="N2109" s="456">
        <f t="shared" si="265"/>
        <v>297271</v>
      </c>
      <c r="O2109" s="487">
        <v>209937</v>
      </c>
      <c r="P2109" s="487"/>
      <c r="Q2109" s="274">
        <f t="shared" si="260"/>
        <v>209937</v>
      </c>
      <c r="R2109" s="574">
        <f t="shared" si="261"/>
        <v>1488729</v>
      </c>
      <c r="S2109" s="275">
        <f t="shared" si="262"/>
        <v>1509833</v>
      </c>
      <c r="T2109" s="575"/>
      <c r="U2109" s="487"/>
      <c r="V2109" s="576"/>
      <c r="W2109" s="573"/>
      <c r="X2109" s="574">
        <f t="shared" si="266"/>
        <v>0</v>
      </c>
      <c r="Y2109" s="487"/>
      <c r="Z2109" s="487"/>
      <c r="AA2109" s="276">
        <f t="shared" si="267"/>
        <v>0</v>
      </c>
      <c r="AB2109" s="573"/>
      <c r="AC2109" s="487"/>
      <c r="AD2109" s="573"/>
      <c r="AE2109" s="487"/>
      <c r="AF2109" s="577">
        <f t="shared" si="263"/>
        <v>1488729</v>
      </c>
      <c r="AG2109" s="275">
        <f t="shared" si="264"/>
        <v>1509833</v>
      </c>
    </row>
    <row r="2110" spans="1:33" ht="12" customHeight="1">
      <c r="A2110" s="646" t="s">
        <v>1281</v>
      </c>
      <c r="B2110" s="646" t="s">
        <v>1776</v>
      </c>
      <c r="C2110" s="743" t="s">
        <v>551</v>
      </c>
      <c r="D2110" s="648">
        <v>199953</v>
      </c>
      <c r="E2110" s="660">
        <v>9</v>
      </c>
      <c r="F2110" s="573">
        <v>8726624</v>
      </c>
      <c r="G2110" s="487">
        <v>8622481</v>
      </c>
      <c r="H2110" s="573"/>
      <c r="I2110" s="487"/>
      <c r="J2110" s="573">
        <v>1717108</v>
      </c>
      <c r="K2110" s="487">
        <v>2291162</v>
      </c>
      <c r="L2110" s="573">
        <v>1670551</v>
      </c>
      <c r="M2110" s="573"/>
      <c r="N2110" s="456">
        <f t="shared" si="265"/>
        <v>1670551</v>
      </c>
      <c r="O2110" s="487">
        <v>1695472</v>
      </c>
      <c r="P2110" s="487"/>
      <c r="Q2110" s="274">
        <f t="shared" si="260"/>
        <v>1695472</v>
      </c>
      <c r="R2110" s="574">
        <f t="shared" si="261"/>
        <v>12114283</v>
      </c>
      <c r="S2110" s="275">
        <f t="shared" si="262"/>
        <v>12609115</v>
      </c>
      <c r="T2110" s="575"/>
      <c r="U2110" s="487"/>
      <c r="V2110" s="576"/>
      <c r="W2110" s="573"/>
      <c r="X2110" s="574">
        <f t="shared" si="266"/>
        <v>0</v>
      </c>
      <c r="Y2110" s="487"/>
      <c r="Z2110" s="487"/>
      <c r="AA2110" s="276">
        <f t="shared" si="267"/>
        <v>0</v>
      </c>
      <c r="AB2110" s="573"/>
      <c r="AC2110" s="487"/>
      <c r="AD2110" s="573"/>
      <c r="AE2110" s="487"/>
      <c r="AF2110" s="577">
        <f t="shared" si="263"/>
        <v>12114283</v>
      </c>
      <c r="AG2110" s="275">
        <f t="shared" si="264"/>
        <v>12609115</v>
      </c>
    </row>
    <row r="2111" spans="1:33" ht="12" customHeight="1">
      <c r="A2111" s="646" t="s">
        <v>1281</v>
      </c>
      <c r="B2111" s="646" t="s">
        <v>1776</v>
      </c>
      <c r="C2111" s="305" t="s">
        <v>508</v>
      </c>
      <c r="D2111" s="648">
        <v>199953</v>
      </c>
      <c r="E2111" s="660">
        <v>9</v>
      </c>
      <c r="F2111" s="573"/>
      <c r="G2111" s="487"/>
      <c r="H2111" s="573">
        <v>71282</v>
      </c>
      <c r="I2111" s="487">
        <v>100015</v>
      </c>
      <c r="J2111" s="573"/>
      <c r="K2111" s="487"/>
      <c r="L2111" s="573"/>
      <c r="M2111" s="573"/>
      <c r="N2111" s="456">
        <f t="shared" si="265"/>
        <v>0</v>
      </c>
      <c r="O2111" s="487"/>
      <c r="P2111" s="487"/>
      <c r="Q2111" s="274">
        <f t="shared" si="260"/>
        <v>0</v>
      </c>
      <c r="R2111" s="574">
        <f t="shared" si="261"/>
        <v>71282</v>
      </c>
      <c r="S2111" s="275">
        <f t="shared" si="262"/>
        <v>100015</v>
      </c>
      <c r="T2111" s="575"/>
      <c r="U2111" s="487"/>
      <c r="V2111" s="576"/>
      <c r="W2111" s="573"/>
      <c r="X2111" s="574">
        <f t="shared" si="266"/>
        <v>0</v>
      </c>
      <c r="Y2111" s="487"/>
      <c r="Z2111" s="487"/>
      <c r="AA2111" s="276">
        <f t="shared" si="267"/>
        <v>0</v>
      </c>
      <c r="AB2111" s="573"/>
      <c r="AC2111" s="487"/>
      <c r="AD2111" s="573"/>
      <c r="AE2111" s="487"/>
      <c r="AF2111" s="577">
        <f t="shared" si="263"/>
        <v>71282</v>
      </c>
      <c r="AG2111" s="275">
        <f t="shared" si="264"/>
        <v>100015</v>
      </c>
    </row>
    <row r="2112" spans="1:33" ht="12" customHeight="1">
      <c r="A2112" s="646" t="s">
        <v>1281</v>
      </c>
      <c r="B2112" s="646" t="s">
        <v>1778</v>
      </c>
      <c r="C2112" s="305" t="s">
        <v>1891</v>
      </c>
      <c r="D2112" s="648">
        <v>199953</v>
      </c>
      <c r="E2112" s="660">
        <v>9</v>
      </c>
      <c r="F2112" s="573"/>
      <c r="G2112" s="487"/>
      <c r="H2112" s="573">
        <v>194142</v>
      </c>
      <c r="I2112" s="487">
        <v>203777</v>
      </c>
      <c r="J2112" s="573"/>
      <c r="K2112" s="487"/>
      <c r="L2112" s="573"/>
      <c r="M2112" s="573"/>
      <c r="N2112" s="456">
        <f t="shared" si="265"/>
        <v>0</v>
      </c>
      <c r="O2112" s="487"/>
      <c r="P2112" s="487"/>
      <c r="Q2112" s="274">
        <f t="shared" si="260"/>
        <v>0</v>
      </c>
      <c r="R2112" s="574">
        <f t="shared" si="261"/>
        <v>194142</v>
      </c>
      <c r="S2112" s="275">
        <f t="shared" si="262"/>
        <v>203777</v>
      </c>
      <c r="T2112" s="575"/>
      <c r="U2112" s="487"/>
      <c r="V2112" s="576"/>
      <c r="W2112" s="573"/>
      <c r="X2112" s="574">
        <f t="shared" si="266"/>
        <v>0</v>
      </c>
      <c r="Y2112" s="487"/>
      <c r="Z2112" s="487"/>
      <c r="AA2112" s="276">
        <f t="shared" si="267"/>
        <v>0</v>
      </c>
      <c r="AB2112" s="573"/>
      <c r="AC2112" s="487"/>
      <c r="AD2112" s="573"/>
      <c r="AE2112" s="487"/>
      <c r="AF2112" s="577">
        <f t="shared" si="263"/>
        <v>194142</v>
      </c>
      <c r="AG2112" s="275">
        <f t="shared" si="264"/>
        <v>203777</v>
      </c>
    </row>
    <row r="2113" spans="1:33" ht="12" customHeight="1">
      <c r="A2113" s="646" t="s">
        <v>1281</v>
      </c>
      <c r="B2113" s="646" t="s">
        <v>1787</v>
      </c>
      <c r="C2113" s="305" t="s">
        <v>1770</v>
      </c>
      <c r="D2113" s="648">
        <v>199953</v>
      </c>
      <c r="E2113" s="660">
        <v>9</v>
      </c>
      <c r="F2113" s="573"/>
      <c r="G2113" s="487"/>
      <c r="H2113" s="573">
        <v>1036313</v>
      </c>
      <c r="I2113" s="487">
        <v>1105173</v>
      </c>
      <c r="J2113" s="573"/>
      <c r="K2113" s="487"/>
      <c r="L2113" s="573">
        <v>248402</v>
      </c>
      <c r="M2113" s="573"/>
      <c r="N2113" s="456">
        <f t="shared" si="265"/>
        <v>248402</v>
      </c>
      <c r="O2113" s="487">
        <v>170688</v>
      </c>
      <c r="P2113" s="487"/>
      <c r="Q2113" s="274">
        <f t="shared" si="260"/>
        <v>170688</v>
      </c>
      <c r="R2113" s="574">
        <f t="shared" si="261"/>
        <v>1284715</v>
      </c>
      <c r="S2113" s="275">
        <f t="shared" si="262"/>
        <v>1275861</v>
      </c>
      <c r="T2113" s="575"/>
      <c r="U2113" s="487"/>
      <c r="V2113" s="576"/>
      <c r="W2113" s="573"/>
      <c r="X2113" s="574">
        <f t="shared" si="266"/>
        <v>0</v>
      </c>
      <c r="Y2113" s="487"/>
      <c r="Z2113" s="487"/>
      <c r="AA2113" s="276">
        <f t="shared" si="267"/>
        <v>0</v>
      </c>
      <c r="AB2113" s="573"/>
      <c r="AC2113" s="487"/>
      <c r="AD2113" s="573"/>
      <c r="AE2113" s="487"/>
      <c r="AF2113" s="577">
        <f t="shared" si="263"/>
        <v>1284715</v>
      </c>
      <c r="AG2113" s="275">
        <f t="shared" si="264"/>
        <v>1275861</v>
      </c>
    </row>
    <row r="2114" spans="1:33" ht="12" customHeight="1">
      <c r="A2114" s="646" t="s">
        <v>1281</v>
      </c>
      <c r="B2114" s="646" t="s">
        <v>1776</v>
      </c>
      <c r="C2114" s="743" t="s">
        <v>1470</v>
      </c>
      <c r="D2114" s="648">
        <v>197966</v>
      </c>
      <c r="E2114" s="1029">
        <v>10</v>
      </c>
      <c r="F2114" s="573">
        <v>7507508</v>
      </c>
      <c r="G2114" s="487">
        <v>7918999</v>
      </c>
      <c r="H2114" s="573"/>
      <c r="I2114" s="487"/>
      <c r="J2114" s="573">
        <v>1780958</v>
      </c>
      <c r="K2114" s="487">
        <v>2311550</v>
      </c>
      <c r="L2114" s="573">
        <v>1159810</v>
      </c>
      <c r="M2114" s="573"/>
      <c r="N2114" s="456">
        <f t="shared" si="265"/>
        <v>1159810</v>
      </c>
      <c r="O2114" s="487">
        <v>1199400</v>
      </c>
      <c r="P2114" s="487"/>
      <c r="Q2114" s="274">
        <f t="shared" si="260"/>
        <v>1199400</v>
      </c>
      <c r="R2114" s="574">
        <f t="shared" si="261"/>
        <v>10448276</v>
      </c>
      <c r="S2114" s="275">
        <f t="shared" si="262"/>
        <v>11429949</v>
      </c>
      <c r="T2114" s="575"/>
      <c r="U2114" s="487"/>
      <c r="V2114" s="576"/>
      <c r="W2114" s="573"/>
      <c r="X2114" s="574">
        <f t="shared" si="266"/>
        <v>0</v>
      </c>
      <c r="Y2114" s="487"/>
      <c r="Z2114" s="487"/>
      <c r="AA2114" s="276">
        <f t="shared" si="267"/>
        <v>0</v>
      </c>
      <c r="AB2114" s="573"/>
      <c r="AC2114" s="487"/>
      <c r="AD2114" s="573"/>
      <c r="AE2114" s="487"/>
      <c r="AF2114" s="577">
        <f t="shared" si="263"/>
        <v>10448276</v>
      </c>
      <c r="AG2114" s="275">
        <f t="shared" si="264"/>
        <v>11429949</v>
      </c>
    </row>
    <row r="2115" spans="1:33" ht="12" customHeight="1">
      <c r="A2115" s="646" t="s">
        <v>1281</v>
      </c>
      <c r="B2115" s="646" t="s">
        <v>1776</v>
      </c>
      <c r="C2115" s="305" t="s">
        <v>508</v>
      </c>
      <c r="D2115" s="648">
        <v>197966</v>
      </c>
      <c r="E2115" s="1029">
        <v>10</v>
      </c>
      <c r="F2115" s="573"/>
      <c r="G2115" s="487"/>
      <c r="H2115" s="573">
        <v>61289</v>
      </c>
      <c r="I2115" s="487">
        <v>102265</v>
      </c>
      <c r="J2115" s="573"/>
      <c r="K2115" s="487"/>
      <c r="L2115" s="573"/>
      <c r="M2115" s="573"/>
      <c r="N2115" s="456">
        <f t="shared" si="265"/>
        <v>0</v>
      </c>
      <c r="O2115" s="487"/>
      <c r="P2115" s="487"/>
      <c r="Q2115" s="274">
        <f t="shared" si="260"/>
        <v>0</v>
      </c>
      <c r="R2115" s="574">
        <f t="shared" si="261"/>
        <v>61289</v>
      </c>
      <c r="S2115" s="275">
        <f t="shared" si="262"/>
        <v>102265</v>
      </c>
      <c r="T2115" s="575"/>
      <c r="U2115" s="487"/>
      <c r="V2115" s="576"/>
      <c r="W2115" s="573"/>
      <c r="X2115" s="574">
        <f t="shared" si="266"/>
        <v>0</v>
      </c>
      <c r="Y2115" s="487"/>
      <c r="Z2115" s="487"/>
      <c r="AA2115" s="276">
        <f t="shared" si="267"/>
        <v>0</v>
      </c>
      <c r="AB2115" s="573"/>
      <c r="AC2115" s="487"/>
      <c r="AD2115" s="573"/>
      <c r="AE2115" s="487"/>
      <c r="AF2115" s="577">
        <f t="shared" si="263"/>
        <v>61289</v>
      </c>
      <c r="AG2115" s="275">
        <f t="shared" si="264"/>
        <v>102265</v>
      </c>
    </row>
    <row r="2116" spans="1:33" ht="12" customHeight="1">
      <c r="A2116" s="646" t="s">
        <v>1281</v>
      </c>
      <c r="B2116" s="646" t="s">
        <v>1778</v>
      </c>
      <c r="C2116" s="305" t="s">
        <v>1891</v>
      </c>
      <c r="D2116" s="648">
        <v>197966</v>
      </c>
      <c r="E2116" s="1029">
        <v>10</v>
      </c>
      <c r="F2116" s="573"/>
      <c r="G2116" s="487"/>
      <c r="H2116" s="573">
        <v>117005</v>
      </c>
      <c r="I2116" s="487">
        <v>172064</v>
      </c>
      <c r="J2116" s="573"/>
      <c r="K2116" s="487"/>
      <c r="L2116" s="573"/>
      <c r="M2116" s="573"/>
      <c r="N2116" s="456">
        <f t="shared" si="265"/>
        <v>0</v>
      </c>
      <c r="O2116" s="487"/>
      <c r="P2116" s="487"/>
      <c r="Q2116" s="274">
        <f t="shared" si="260"/>
        <v>0</v>
      </c>
      <c r="R2116" s="574">
        <f t="shared" si="261"/>
        <v>117005</v>
      </c>
      <c r="S2116" s="275">
        <f t="shared" si="262"/>
        <v>172064</v>
      </c>
      <c r="T2116" s="575"/>
      <c r="U2116" s="487"/>
      <c r="V2116" s="576"/>
      <c r="W2116" s="573"/>
      <c r="X2116" s="574">
        <f t="shared" si="266"/>
        <v>0</v>
      </c>
      <c r="Y2116" s="487"/>
      <c r="Z2116" s="487"/>
      <c r="AA2116" s="276">
        <f t="shared" si="267"/>
        <v>0</v>
      </c>
      <c r="AB2116" s="573"/>
      <c r="AC2116" s="487"/>
      <c r="AD2116" s="573"/>
      <c r="AE2116" s="487"/>
      <c r="AF2116" s="577">
        <f t="shared" si="263"/>
        <v>117005</v>
      </c>
      <c r="AG2116" s="275">
        <f t="shared" si="264"/>
        <v>172064</v>
      </c>
    </row>
    <row r="2117" spans="1:33" ht="12" customHeight="1">
      <c r="A2117" s="646" t="s">
        <v>1281</v>
      </c>
      <c r="B2117" s="646" t="s">
        <v>1787</v>
      </c>
      <c r="C2117" s="305" t="s">
        <v>1770</v>
      </c>
      <c r="D2117" s="648">
        <v>197966</v>
      </c>
      <c r="E2117" s="1029">
        <v>10</v>
      </c>
      <c r="F2117" s="573"/>
      <c r="G2117" s="487"/>
      <c r="H2117" s="573">
        <v>384289</v>
      </c>
      <c r="I2117" s="487">
        <v>496941</v>
      </c>
      <c r="J2117" s="573"/>
      <c r="K2117" s="487"/>
      <c r="L2117" s="573">
        <v>143337</v>
      </c>
      <c r="M2117" s="573"/>
      <c r="N2117" s="456">
        <f t="shared" si="265"/>
        <v>143337</v>
      </c>
      <c r="O2117" s="487">
        <v>60393</v>
      </c>
      <c r="P2117" s="487"/>
      <c r="Q2117" s="274">
        <f t="shared" si="260"/>
        <v>60393</v>
      </c>
      <c r="R2117" s="574">
        <f t="shared" si="261"/>
        <v>527626</v>
      </c>
      <c r="S2117" s="275">
        <f t="shared" si="262"/>
        <v>557334</v>
      </c>
      <c r="T2117" s="575"/>
      <c r="U2117" s="487"/>
      <c r="V2117" s="576"/>
      <c r="W2117" s="573"/>
      <c r="X2117" s="574">
        <f t="shared" si="266"/>
        <v>0</v>
      </c>
      <c r="Y2117" s="487"/>
      <c r="Z2117" s="487"/>
      <c r="AA2117" s="276">
        <f t="shared" si="267"/>
        <v>0</v>
      </c>
      <c r="AB2117" s="573"/>
      <c r="AC2117" s="487"/>
      <c r="AD2117" s="573"/>
      <c r="AE2117" s="487"/>
      <c r="AF2117" s="577">
        <f t="shared" si="263"/>
        <v>527626</v>
      </c>
      <c r="AG2117" s="275">
        <f t="shared" si="264"/>
        <v>557334</v>
      </c>
    </row>
    <row r="2118" spans="1:33" ht="12" customHeight="1">
      <c r="A2118" s="646" t="s">
        <v>1281</v>
      </c>
      <c r="B2118" s="646" t="s">
        <v>1776</v>
      </c>
      <c r="C2118" s="743" t="s">
        <v>552</v>
      </c>
      <c r="D2118" s="648">
        <v>198011</v>
      </c>
      <c r="E2118" s="660">
        <v>10</v>
      </c>
      <c r="F2118" s="573">
        <v>6455451</v>
      </c>
      <c r="G2118" s="487">
        <v>6298436</v>
      </c>
      <c r="H2118" s="573"/>
      <c r="I2118" s="487"/>
      <c r="J2118" s="573">
        <v>637564</v>
      </c>
      <c r="K2118" s="487">
        <v>1003912</v>
      </c>
      <c r="L2118" s="573">
        <v>959873</v>
      </c>
      <c r="M2118" s="573"/>
      <c r="N2118" s="456">
        <f t="shared" si="265"/>
        <v>959873</v>
      </c>
      <c r="O2118" s="487">
        <v>1169584</v>
      </c>
      <c r="P2118" s="487"/>
      <c r="Q2118" s="274">
        <f t="shared" si="260"/>
        <v>1169584</v>
      </c>
      <c r="R2118" s="574">
        <f t="shared" si="261"/>
        <v>8052888</v>
      </c>
      <c r="S2118" s="275">
        <f t="shared" si="262"/>
        <v>8471932</v>
      </c>
      <c r="T2118" s="575"/>
      <c r="U2118" s="487"/>
      <c r="V2118" s="576"/>
      <c r="W2118" s="573"/>
      <c r="X2118" s="574">
        <f t="shared" si="266"/>
        <v>0</v>
      </c>
      <c r="Y2118" s="487"/>
      <c r="Z2118" s="487"/>
      <c r="AA2118" s="276">
        <f t="shared" si="267"/>
        <v>0</v>
      </c>
      <c r="AB2118" s="573"/>
      <c r="AC2118" s="487"/>
      <c r="AD2118" s="573"/>
      <c r="AE2118" s="487"/>
      <c r="AF2118" s="577">
        <f t="shared" si="263"/>
        <v>8052888</v>
      </c>
      <c r="AG2118" s="275">
        <f t="shared" si="264"/>
        <v>8471932</v>
      </c>
    </row>
    <row r="2119" spans="1:33" ht="12" customHeight="1">
      <c r="A2119" s="646" t="s">
        <v>1281</v>
      </c>
      <c r="B2119" s="646" t="s">
        <v>1776</v>
      </c>
      <c r="C2119" s="305" t="s">
        <v>508</v>
      </c>
      <c r="D2119" s="648">
        <v>198011</v>
      </c>
      <c r="E2119" s="660">
        <v>10</v>
      </c>
      <c r="F2119" s="573"/>
      <c r="G2119" s="487"/>
      <c r="H2119" s="573">
        <v>33221</v>
      </c>
      <c r="I2119" s="487">
        <v>37941</v>
      </c>
      <c r="J2119" s="573"/>
      <c r="K2119" s="487"/>
      <c r="L2119" s="573"/>
      <c r="M2119" s="573"/>
      <c r="N2119" s="456">
        <f t="shared" si="265"/>
        <v>0</v>
      </c>
      <c r="O2119" s="487"/>
      <c r="P2119" s="487"/>
      <c r="Q2119" s="274">
        <f t="shared" si="260"/>
        <v>0</v>
      </c>
      <c r="R2119" s="574">
        <f t="shared" si="261"/>
        <v>33221</v>
      </c>
      <c r="S2119" s="275">
        <f t="shared" si="262"/>
        <v>37941</v>
      </c>
      <c r="T2119" s="575"/>
      <c r="U2119" s="487"/>
      <c r="V2119" s="576"/>
      <c r="W2119" s="573"/>
      <c r="X2119" s="574">
        <f t="shared" si="266"/>
        <v>0</v>
      </c>
      <c r="Y2119" s="487"/>
      <c r="Z2119" s="487"/>
      <c r="AA2119" s="276">
        <f t="shared" si="267"/>
        <v>0</v>
      </c>
      <c r="AB2119" s="573"/>
      <c r="AC2119" s="487"/>
      <c r="AD2119" s="573"/>
      <c r="AE2119" s="487"/>
      <c r="AF2119" s="577">
        <f t="shared" si="263"/>
        <v>33221</v>
      </c>
      <c r="AG2119" s="275">
        <f t="shared" si="264"/>
        <v>37941</v>
      </c>
    </row>
    <row r="2120" spans="1:33" ht="12" customHeight="1">
      <c r="A2120" s="646" t="s">
        <v>1281</v>
      </c>
      <c r="B2120" s="646" t="s">
        <v>1778</v>
      </c>
      <c r="C2120" s="305" t="s">
        <v>1891</v>
      </c>
      <c r="D2120" s="648">
        <v>198011</v>
      </c>
      <c r="E2120" s="660">
        <v>10</v>
      </c>
      <c r="F2120" s="573"/>
      <c r="G2120" s="487"/>
      <c r="H2120" s="573">
        <v>186208</v>
      </c>
      <c r="I2120" s="487">
        <v>181747</v>
      </c>
      <c r="J2120" s="573"/>
      <c r="K2120" s="487"/>
      <c r="L2120" s="573"/>
      <c r="M2120" s="573"/>
      <c r="N2120" s="456">
        <f t="shared" si="265"/>
        <v>0</v>
      </c>
      <c r="O2120" s="487"/>
      <c r="P2120" s="487"/>
      <c r="Q2120" s="274">
        <f t="shared" si="260"/>
        <v>0</v>
      </c>
      <c r="R2120" s="574">
        <f t="shared" si="261"/>
        <v>186208</v>
      </c>
      <c r="S2120" s="275">
        <f t="shared" si="262"/>
        <v>181747</v>
      </c>
      <c r="T2120" s="575"/>
      <c r="U2120" s="487"/>
      <c r="V2120" s="576"/>
      <c r="W2120" s="573"/>
      <c r="X2120" s="574">
        <f t="shared" si="266"/>
        <v>0</v>
      </c>
      <c r="Y2120" s="487"/>
      <c r="Z2120" s="487"/>
      <c r="AA2120" s="276">
        <f t="shared" si="267"/>
        <v>0</v>
      </c>
      <c r="AB2120" s="573"/>
      <c r="AC2120" s="487"/>
      <c r="AD2120" s="573"/>
      <c r="AE2120" s="487"/>
      <c r="AF2120" s="577">
        <f t="shared" si="263"/>
        <v>186208</v>
      </c>
      <c r="AG2120" s="275">
        <f t="shared" si="264"/>
        <v>181747</v>
      </c>
    </row>
    <row r="2121" spans="1:33" ht="12" customHeight="1">
      <c r="A2121" s="646" t="s">
        <v>1281</v>
      </c>
      <c r="B2121" s="646" t="s">
        <v>1787</v>
      </c>
      <c r="C2121" s="305" t="s">
        <v>1770</v>
      </c>
      <c r="D2121" s="648">
        <v>198011</v>
      </c>
      <c r="E2121" s="660">
        <v>10</v>
      </c>
      <c r="F2121" s="573"/>
      <c r="G2121" s="487"/>
      <c r="H2121" s="573">
        <v>464140</v>
      </c>
      <c r="I2121" s="487">
        <v>473248</v>
      </c>
      <c r="J2121" s="573"/>
      <c r="K2121" s="487"/>
      <c r="L2121" s="573">
        <v>103000</v>
      </c>
      <c r="M2121" s="573"/>
      <c r="N2121" s="456">
        <f t="shared" si="265"/>
        <v>103000</v>
      </c>
      <c r="O2121" s="487">
        <v>43020</v>
      </c>
      <c r="P2121" s="487"/>
      <c r="Q2121" s="274">
        <f t="shared" si="260"/>
        <v>43020</v>
      </c>
      <c r="R2121" s="574">
        <f t="shared" si="261"/>
        <v>567140</v>
      </c>
      <c r="S2121" s="275">
        <f t="shared" si="262"/>
        <v>516268</v>
      </c>
      <c r="T2121" s="575"/>
      <c r="U2121" s="487"/>
      <c r="V2121" s="576"/>
      <c r="W2121" s="573"/>
      <c r="X2121" s="574">
        <f t="shared" si="266"/>
        <v>0</v>
      </c>
      <c r="Y2121" s="487"/>
      <c r="Z2121" s="487"/>
      <c r="AA2121" s="276">
        <f t="shared" si="267"/>
        <v>0</v>
      </c>
      <c r="AB2121" s="573"/>
      <c r="AC2121" s="487"/>
      <c r="AD2121" s="573"/>
      <c r="AE2121" s="487"/>
      <c r="AF2121" s="577">
        <f t="shared" si="263"/>
        <v>567140</v>
      </c>
      <c r="AG2121" s="275">
        <f t="shared" si="264"/>
        <v>516268</v>
      </c>
    </row>
    <row r="2122" spans="1:33" ht="12" customHeight="1">
      <c r="A2122" s="646" t="s">
        <v>1281</v>
      </c>
      <c r="B2122" s="646" t="s">
        <v>1776</v>
      </c>
      <c r="C2122" s="743" t="s">
        <v>553</v>
      </c>
      <c r="D2122" s="648">
        <v>198084</v>
      </c>
      <c r="E2122" s="660">
        <v>10</v>
      </c>
      <c r="F2122" s="573">
        <v>6288650</v>
      </c>
      <c r="G2122" s="487">
        <v>6723660</v>
      </c>
      <c r="H2122" s="573"/>
      <c r="I2122" s="487"/>
      <c r="J2122" s="573">
        <v>2616163</v>
      </c>
      <c r="K2122" s="487">
        <v>3409358</v>
      </c>
      <c r="L2122" s="573">
        <v>909135</v>
      </c>
      <c r="M2122" s="573"/>
      <c r="N2122" s="456">
        <f t="shared" si="265"/>
        <v>909135</v>
      </c>
      <c r="O2122" s="487">
        <v>981023</v>
      </c>
      <c r="P2122" s="487"/>
      <c r="Q2122" s="274">
        <f t="shared" ref="Q2122:Q2185" si="268">SUM(O2122:P2122)</f>
        <v>981023</v>
      </c>
      <c r="R2122" s="574">
        <f t="shared" ref="R2122:R2185" si="269">SUM(F2122,H2122,J2122,L2122)</f>
        <v>9813948</v>
      </c>
      <c r="S2122" s="275">
        <f t="shared" ref="S2122:S2185" si="270">SUM(G2122,I2122,K2122,O2122)</f>
        <v>11114041</v>
      </c>
      <c r="T2122" s="575"/>
      <c r="U2122" s="487"/>
      <c r="V2122" s="576"/>
      <c r="W2122" s="573"/>
      <c r="X2122" s="574">
        <f t="shared" si="266"/>
        <v>0</v>
      </c>
      <c r="Y2122" s="487"/>
      <c r="Z2122" s="487"/>
      <c r="AA2122" s="276">
        <f t="shared" si="267"/>
        <v>0</v>
      </c>
      <c r="AB2122" s="573"/>
      <c r="AC2122" s="487"/>
      <c r="AD2122" s="573"/>
      <c r="AE2122" s="487"/>
      <c r="AF2122" s="577">
        <f t="shared" ref="AF2122:AF2185" si="271">SUM(R2122,T2122,V2122,AB2122,AD2122)</f>
        <v>9813948</v>
      </c>
      <c r="AG2122" s="275">
        <f t="shared" ref="AG2122:AG2185" si="272">SUM(S2122,U2122,Y2122,AC2122,AE2122)</f>
        <v>11114041</v>
      </c>
    </row>
    <row r="2123" spans="1:33" ht="12" customHeight="1">
      <c r="A2123" s="646" t="s">
        <v>1281</v>
      </c>
      <c r="B2123" s="646" t="s">
        <v>1776</v>
      </c>
      <c r="C2123" s="305" t="s">
        <v>508</v>
      </c>
      <c r="D2123" s="648">
        <v>198084</v>
      </c>
      <c r="E2123" s="660">
        <v>10</v>
      </c>
      <c r="F2123" s="573"/>
      <c r="G2123" s="487"/>
      <c r="H2123" s="573">
        <v>71423</v>
      </c>
      <c r="I2123" s="487">
        <v>88706</v>
      </c>
      <c r="J2123" s="573"/>
      <c r="K2123" s="487"/>
      <c r="L2123" s="573"/>
      <c r="M2123" s="573"/>
      <c r="N2123" s="456">
        <f t="shared" si="265"/>
        <v>0</v>
      </c>
      <c r="O2123" s="487"/>
      <c r="P2123" s="487"/>
      <c r="Q2123" s="274">
        <f t="shared" si="268"/>
        <v>0</v>
      </c>
      <c r="R2123" s="574">
        <f t="shared" si="269"/>
        <v>71423</v>
      </c>
      <c r="S2123" s="275">
        <f t="shared" si="270"/>
        <v>88706</v>
      </c>
      <c r="T2123" s="575"/>
      <c r="U2123" s="487"/>
      <c r="V2123" s="576"/>
      <c r="W2123" s="573"/>
      <c r="X2123" s="574">
        <f t="shared" si="266"/>
        <v>0</v>
      </c>
      <c r="Y2123" s="487"/>
      <c r="Z2123" s="487"/>
      <c r="AA2123" s="276">
        <f t="shared" si="267"/>
        <v>0</v>
      </c>
      <c r="AB2123" s="573"/>
      <c r="AC2123" s="487"/>
      <c r="AD2123" s="573"/>
      <c r="AE2123" s="487"/>
      <c r="AF2123" s="577">
        <f t="shared" si="271"/>
        <v>71423</v>
      </c>
      <c r="AG2123" s="275">
        <f t="shared" si="272"/>
        <v>88706</v>
      </c>
    </row>
    <row r="2124" spans="1:33" ht="12" customHeight="1">
      <c r="A2124" s="646" t="s">
        <v>1281</v>
      </c>
      <c r="B2124" s="646" t="s">
        <v>1778</v>
      </c>
      <c r="C2124" s="305" t="s">
        <v>1891</v>
      </c>
      <c r="D2124" s="648">
        <v>198084</v>
      </c>
      <c r="E2124" s="660">
        <v>10</v>
      </c>
      <c r="F2124" s="573"/>
      <c r="G2124" s="487"/>
      <c r="H2124" s="573">
        <v>101969</v>
      </c>
      <c r="I2124" s="487">
        <v>140429</v>
      </c>
      <c r="J2124" s="573"/>
      <c r="K2124" s="487"/>
      <c r="L2124" s="573"/>
      <c r="M2124" s="573"/>
      <c r="N2124" s="456">
        <f t="shared" si="265"/>
        <v>0</v>
      </c>
      <c r="O2124" s="487"/>
      <c r="P2124" s="487"/>
      <c r="Q2124" s="274">
        <f t="shared" si="268"/>
        <v>0</v>
      </c>
      <c r="R2124" s="574">
        <f t="shared" si="269"/>
        <v>101969</v>
      </c>
      <c r="S2124" s="275">
        <f t="shared" si="270"/>
        <v>140429</v>
      </c>
      <c r="T2124" s="575"/>
      <c r="U2124" s="487"/>
      <c r="V2124" s="576"/>
      <c r="W2124" s="573"/>
      <c r="X2124" s="574">
        <f t="shared" si="266"/>
        <v>0</v>
      </c>
      <c r="Y2124" s="487"/>
      <c r="Z2124" s="487"/>
      <c r="AA2124" s="276">
        <f t="shared" si="267"/>
        <v>0</v>
      </c>
      <c r="AB2124" s="573"/>
      <c r="AC2124" s="487"/>
      <c r="AD2124" s="573"/>
      <c r="AE2124" s="487"/>
      <c r="AF2124" s="577">
        <f t="shared" si="271"/>
        <v>101969</v>
      </c>
      <c r="AG2124" s="275">
        <f t="shared" si="272"/>
        <v>140429</v>
      </c>
    </row>
    <row r="2125" spans="1:33" ht="12" customHeight="1">
      <c r="A2125" s="646" t="s">
        <v>1281</v>
      </c>
      <c r="B2125" s="646" t="s">
        <v>1787</v>
      </c>
      <c r="C2125" s="305" t="s">
        <v>1770</v>
      </c>
      <c r="D2125" s="648">
        <v>198084</v>
      </c>
      <c r="E2125" s="660">
        <v>10</v>
      </c>
      <c r="F2125" s="573"/>
      <c r="G2125" s="487"/>
      <c r="H2125" s="573">
        <v>648078</v>
      </c>
      <c r="I2125" s="487">
        <v>604830</v>
      </c>
      <c r="J2125" s="573"/>
      <c r="K2125" s="487"/>
      <c r="L2125" s="573">
        <v>102916</v>
      </c>
      <c r="M2125" s="573"/>
      <c r="N2125" s="456">
        <f t="shared" si="265"/>
        <v>102916</v>
      </c>
      <c r="O2125" s="487">
        <v>98357</v>
      </c>
      <c r="P2125" s="487"/>
      <c r="Q2125" s="274">
        <f t="shared" si="268"/>
        <v>98357</v>
      </c>
      <c r="R2125" s="574">
        <f t="shared" si="269"/>
        <v>750994</v>
      </c>
      <c r="S2125" s="275">
        <f t="shared" si="270"/>
        <v>703187</v>
      </c>
      <c r="T2125" s="575"/>
      <c r="U2125" s="487"/>
      <c r="V2125" s="576"/>
      <c r="W2125" s="573"/>
      <c r="X2125" s="574">
        <f t="shared" si="266"/>
        <v>0</v>
      </c>
      <c r="Y2125" s="487"/>
      <c r="Z2125" s="487"/>
      <c r="AA2125" s="276">
        <f t="shared" si="267"/>
        <v>0</v>
      </c>
      <c r="AB2125" s="573"/>
      <c r="AC2125" s="487"/>
      <c r="AD2125" s="573"/>
      <c r="AE2125" s="487"/>
      <c r="AF2125" s="577">
        <f t="shared" si="271"/>
        <v>750994</v>
      </c>
      <c r="AG2125" s="275">
        <f t="shared" si="272"/>
        <v>703187</v>
      </c>
    </row>
    <row r="2126" spans="1:33" ht="12" customHeight="1">
      <c r="A2126" s="646" t="s">
        <v>1281</v>
      </c>
      <c r="B2126" s="646" t="s">
        <v>1776</v>
      </c>
      <c r="C2126" s="743" t="s">
        <v>554</v>
      </c>
      <c r="D2126" s="648">
        <v>198206</v>
      </c>
      <c r="E2126" s="660">
        <v>10</v>
      </c>
      <c r="F2126" s="573">
        <v>6875525</v>
      </c>
      <c r="G2126" s="487">
        <v>7192308</v>
      </c>
      <c r="H2126" s="573"/>
      <c r="I2126" s="487"/>
      <c r="J2126" s="573">
        <v>1992785</v>
      </c>
      <c r="K2126" s="487">
        <v>2311000</v>
      </c>
      <c r="L2126" s="573">
        <v>1415224</v>
      </c>
      <c r="M2126" s="573"/>
      <c r="N2126" s="456">
        <f t="shared" si="265"/>
        <v>1415224</v>
      </c>
      <c r="O2126" s="487">
        <v>1264087</v>
      </c>
      <c r="P2126" s="487"/>
      <c r="Q2126" s="274">
        <f t="shared" si="268"/>
        <v>1264087</v>
      </c>
      <c r="R2126" s="574">
        <f t="shared" si="269"/>
        <v>10283534</v>
      </c>
      <c r="S2126" s="275">
        <f t="shared" si="270"/>
        <v>10767395</v>
      </c>
      <c r="T2126" s="575"/>
      <c r="U2126" s="487"/>
      <c r="V2126" s="576"/>
      <c r="W2126" s="573"/>
      <c r="X2126" s="574">
        <f t="shared" si="266"/>
        <v>0</v>
      </c>
      <c r="Y2126" s="487"/>
      <c r="Z2126" s="487"/>
      <c r="AA2126" s="276">
        <f t="shared" si="267"/>
        <v>0</v>
      </c>
      <c r="AB2126" s="573"/>
      <c r="AC2126" s="487"/>
      <c r="AD2126" s="573"/>
      <c r="AE2126" s="487"/>
      <c r="AF2126" s="577">
        <f t="shared" si="271"/>
        <v>10283534</v>
      </c>
      <c r="AG2126" s="275">
        <f t="shared" si="272"/>
        <v>10767395</v>
      </c>
    </row>
    <row r="2127" spans="1:33" ht="12" customHeight="1">
      <c r="A2127" s="646" t="s">
        <v>1281</v>
      </c>
      <c r="B2127" s="646" t="s">
        <v>1776</v>
      </c>
      <c r="C2127" s="305" t="s">
        <v>508</v>
      </c>
      <c r="D2127" s="648">
        <v>198206</v>
      </c>
      <c r="E2127" s="660">
        <v>10</v>
      </c>
      <c r="F2127" s="573"/>
      <c r="G2127" s="487"/>
      <c r="H2127" s="573">
        <v>80554</v>
      </c>
      <c r="I2127" s="487">
        <v>127572</v>
      </c>
      <c r="J2127" s="573"/>
      <c r="K2127" s="487"/>
      <c r="L2127" s="573"/>
      <c r="M2127" s="573"/>
      <c r="N2127" s="456">
        <f t="shared" si="265"/>
        <v>0</v>
      </c>
      <c r="O2127" s="487"/>
      <c r="P2127" s="487"/>
      <c r="Q2127" s="274">
        <f t="shared" si="268"/>
        <v>0</v>
      </c>
      <c r="R2127" s="574">
        <f t="shared" si="269"/>
        <v>80554</v>
      </c>
      <c r="S2127" s="275">
        <f t="shared" si="270"/>
        <v>127572</v>
      </c>
      <c r="T2127" s="575"/>
      <c r="U2127" s="487"/>
      <c r="V2127" s="576"/>
      <c r="W2127" s="573"/>
      <c r="X2127" s="574">
        <f t="shared" si="266"/>
        <v>0</v>
      </c>
      <c r="Y2127" s="487"/>
      <c r="Z2127" s="487"/>
      <c r="AA2127" s="276">
        <f t="shared" si="267"/>
        <v>0</v>
      </c>
      <c r="AB2127" s="573"/>
      <c r="AC2127" s="487"/>
      <c r="AD2127" s="573"/>
      <c r="AE2127" s="487"/>
      <c r="AF2127" s="577">
        <f t="shared" si="271"/>
        <v>80554</v>
      </c>
      <c r="AG2127" s="275">
        <f t="shared" si="272"/>
        <v>127572</v>
      </c>
    </row>
    <row r="2128" spans="1:33" ht="12" customHeight="1">
      <c r="A2128" s="646" t="s">
        <v>1281</v>
      </c>
      <c r="B2128" s="646" t="s">
        <v>1778</v>
      </c>
      <c r="C2128" s="305" t="s">
        <v>1891</v>
      </c>
      <c r="D2128" s="648">
        <v>198206</v>
      </c>
      <c r="E2128" s="660">
        <v>10</v>
      </c>
      <c r="F2128" s="573"/>
      <c r="G2128" s="487"/>
      <c r="H2128" s="573">
        <v>108437</v>
      </c>
      <c r="I2128" s="487">
        <v>150111</v>
      </c>
      <c r="J2128" s="573"/>
      <c r="K2128" s="487"/>
      <c r="L2128" s="573"/>
      <c r="M2128" s="573"/>
      <c r="N2128" s="456">
        <f t="shared" si="265"/>
        <v>0</v>
      </c>
      <c r="O2128" s="487"/>
      <c r="P2128" s="487"/>
      <c r="Q2128" s="274">
        <f t="shared" si="268"/>
        <v>0</v>
      </c>
      <c r="R2128" s="574">
        <f t="shared" si="269"/>
        <v>108437</v>
      </c>
      <c r="S2128" s="275">
        <f t="shared" si="270"/>
        <v>150111</v>
      </c>
      <c r="T2128" s="575"/>
      <c r="U2128" s="487"/>
      <c r="V2128" s="576"/>
      <c r="W2128" s="573"/>
      <c r="X2128" s="574">
        <f t="shared" si="266"/>
        <v>0</v>
      </c>
      <c r="Y2128" s="487"/>
      <c r="Z2128" s="487"/>
      <c r="AA2128" s="276">
        <f t="shared" si="267"/>
        <v>0</v>
      </c>
      <c r="AB2128" s="573"/>
      <c r="AC2128" s="487"/>
      <c r="AD2128" s="573"/>
      <c r="AE2128" s="487"/>
      <c r="AF2128" s="577">
        <f t="shared" si="271"/>
        <v>108437</v>
      </c>
      <c r="AG2128" s="275">
        <f t="shared" si="272"/>
        <v>150111</v>
      </c>
    </row>
    <row r="2129" spans="1:33" ht="12" customHeight="1">
      <c r="A2129" s="646" t="s">
        <v>1281</v>
      </c>
      <c r="B2129" s="646" t="s">
        <v>1787</v>
      </c>
      <c r="C2129" s="305" t="s">
        <v>1770</v>
      </c>
      <c r="D2129" s="648">
        <v>198206</v>
      </c>
      <c r="E2129" s="660">
        <v>10</v>
      </c>
      <c r="F2129" s="573"/>
      <c r="G2129" s="487"/>
      <c r="H2129" s="573">
        <v>634988</v>
      </c>
      <c r="I2129" s="487">
        <v>710936</v>
      </c>
      <c r="J2129" s="573"/>
      <c r="K2129" s="487"/>
      <c r="L2129" s="573">
        <v>150522</v>
      </c>
      <c r="M2129" s="573"/>
      <c r="N2129" s="456">
        <f t="shared" si="265"/>
        <v>150522</v>
      </c>
      <c r="O2129" s="487">
        <v>116132</v>
      </c>
      <c r="P2129" s="487"/>
      <c r="Q2129" s="274">
        <f t="shared" si="268"/>
        <v>116132</v>
      </c>
      <c r="R2129" s="574">
        <f t="shared" si="269"/>
        <v>785510</v>
      </c>
      <c r="S2129" s="275">
        <f t="shared" si="270"/>
        <v>827068</v>
      </c>
      <c r="T2129" s="575"/>
      <c r="U2129" s="487"/>
      <c r="V2129" s="576"/>
      <c r="W2129" s="573"/>
      <c r="X2129" s="574">
        <f t="shared" si="266"/>
        <v>0</v>
      </c>
      <c r="Y2129" s="487"/>
      <c r="Z2129" s="487"/>
      <c r="AA2129" s="276">
        <f t="shared" si="267"/>
        <v>0</v>
      </c>
      <c r="AB2129" s="573"/>
      <c r="AC2129" s="487"/>
      <c r="AD2129" s="573"/>
      <c r="AE2129" s="487"/>
      <c r="AF2129" s="577">
        <f t="shared" si="271"/>
        <v>785510</v>
      </c>
      <c r="AG2129" s="275">
        <f t="shared" si="272"/>
        <v>827068</v>
      </c>
    </row>
    <row r="2130" spans="1:33" ht="12" customHeight="1">
      <c r="A2130" s="646" t="s">
        <v>1281</v>
      </c>
      <c r="B2130" s="646" t="s">
        <v>1776</v>
      </c>
      <c r="C2130" s="743" t="s">
        <v>555</v>
      </c>
      <c r="D2130" s="648">
        <v>198640</v>
      </c>
      <c r="E2130" s="660">
        <v>10</v>
      </c>
      <c r="F2130" s="573">
        <v>7009904</v>
      </c>
      <c r="G2130" s="487">
        <v>6911856</v>
      </c>
      <c r="H2130" s="573"/>
      <c r="I2130" s="487"/>
      <c r="J2130" s="573">
        <v>1065917</v>
      </c>
      <c r="K2130" s="487">
        <v>1143387</v>
      </c>
      <c r="L2130" s="573">
        <v>1204371</v>
      </c>
      <c r="M2130" s="573"/>
      <c r="N2130" s="456">
        <f t="shared" si="265"/>
        <v>1204371</v>
      </c>
      <c r="O2130" s="487">
        <v>1052205</v>
      </c>
      <c r="P2130" s="487"/>
      <c r="Q2130" s="274">
        <f t="shared" si="268"/>
        <v>1052205</v>
      </c>
      <c r="R2130" s="574">
        <f t="shared" si="269"/>
        <v>9280192</v>
      </c>
      <c r="S2130" s="275">
        <f t="shared" si="270"/>
        <v>9107448</v>
      </c>
      <c r="T2130" s="575"/>
      <c r="U2130" s="487"/>
      <c r="V2130" s="576"/>
      <c r="W2130" s="573"/>
      <c r="X2130" s="574">
        <f t="shared" si="266"/>
        <v>0</v>
      </c>
      <c r="Y2130" s="487"/>
      <c r="Z2130" s="487"/>
      <c r="AA2130" s="276">
        <f t="shared" si="267"/>
        <v>0</v>
      </c>
      <c r="AB2130" s="573"/>
      <c r="AC2130" s="487"/>
      <c r="AD2130" s="573"/>
      <c r="AE2130" s="487"/>
      <c r="AF2130" s="577">
        <f t="shared" si="271"/>
        <v>9280192</v>
      </c>
      <c r="AG2130" s="275">
        <f t="shared" si="272"/>
        <v>9107448</v>
      </c>
    </row>
    <row r="2131" spans="1:33" ht="12" customHeight="1">
      <c r="A2131" s="646" t="s">
        <v>1281</v>
      </c>
      <c r="B2131" s="646" t="s">
        <v>1776</v>
      </c>
      <c r="C2131" s="305" t="s">
        <v>508</v>
      </c>
      <c r="D2131" s="648">
        <v>198640</v>
      </c>
      <c r="E2131" s="660">
        <v>10</v>
      </c>
      <c r="F2131" s="573"/>
      <c r="G2131" s="487"/>
      <c r="H2131" s="573">
        <v>80488</v>
      </c>
      <c r="I2131" s="487">
        <v>114727</v>
      </c>
      <c r="J2131" s="573"/>
      <c r="K2131" s="487"/>
      <c r="L2131" s="573"/>
      <c r="M2131" s="573"/>
      <c r="N2131" s="456">
        <f t="shared" ref="N2131:N2194" si="273">SUM(L2131:M2131)</f>
        <v>0</v>
      </c>
      <c r="O2131" s="487"/>
      <c r="P2131" s="487"/>
      <c r="Q2131" s="274">
        <f t="shared" si="268"/>
        <v>0</v>
      </c>
      <c r="R2131" s="574">
        <f t="shared" si="269"/>
        <v>80488</v>
      </c>
      <c r="S2131" s="275">
        <f t="shared" si="270"/>
        <v>114727</v>
      </c>
      <c r="T2131" s="575"/>
      <c r="U2131" s="487"/>
      <c r="V2131" s="576"/>
      <c r="W2131" s="573"/>
      <c r="X2131" s="574">
        <f t="shared" ref="X2131:X2194" si="274">SUM(V2131:W2131)</f>
        <v>0</v>
      </c>
      <c r="Y2131" s="487"/>
      <c r="Z2131" s="487"/>
      <c r="AA2131" s="276">
        <f t="shared" ref="AA2131:AA2194" si="275">SUM(Y2131:Z2131)</f>
        <v>0</v>
      </c>
      <c r="AB2131" s="573"/>
      <c r="AC2131" s="487"/>
      <c r="AD2131" s="573"/>
      <c r="AE2131" s="487"/>
      <c r="AF2131" s="577">
        <f t="shared" si="271"/>
        <v>80488</v>
      </c>
      <c r="AG2131" s="275">
        <f t="shared" si="272"/>
        <v>114727</v>
      </c>
    </row>
    <row r="2132" spans="1:33" ht="12" customHeight="1">
      <c r="A2132" s="646" t="s">
        <v>1281</v>
      </c>
      <c r="B2132" s="646" t="s">
        <v>1778</v>
      </c>
      <c r="C2132" s="305" t="s">
        <v>1891</v>
      </c>
      <c r="D2132" s="648">
        <v>198640</v>
      </c>
      <c r="E2132" s="660">
        <v>10</v>
      </c>
      <c r="F2132" s="573"/>
      <c r="G2132" s="487"/>
      <c r="H2132" s="573">
        <v>177214</v>
      </c>
      <c r="I2132" s="487">
        <v>168986</v>
      </c>
      <c r="J2132" s="573"/>
      <c r="K2132" s="487"/>
      <c r="L2132" s="573"/>
      <c r="M2132" s="573"/>
      <c r="N2132" s="456">
        <f t="shared" si="273"/>
        <v>0</v>
      </c>
      <c r="O2132" s="487"/>
      <c r="P2132" s="487"/>
      <c r="Q2132" s="274">
        <f t="shared" si="268"/>
        <v>0</v>
      </c>
      <c r="R2132" s="574">
        <f t="shared" si="269"/>
        <v>177214</v>
      </c>
      <c r="S2132" s="275">
        <f t="shared" si="270"/>
        <v>168986</v>
      </c>
      <c r="T2132" s="575"/>
      <c r="U2132" s="487"/>
      <c r="V2132" s="576"/>
      <c r="W2132" s="573"/>
      <c r="X2132" s="574">
        <f t="shared" si="274"/>
        <v>0</v>
      </c>
      <c r="Y2132" s="487"/>
      <c r="Z2132" s="487"/>
      <c r="AA2132" s="276">
        <f t="shared" si="275"/>
        <v>0</v>
      </c>
      <c r="AB2132" s="573"/>
      <c r="AC2132" s="487"/>
      <c r="AD2132" s="573"/>
      <c r="AE2132" s="487"/>
      <c r="AF2132" s="577">
        <f t="shared" si="271"/>
        <v>177214</v>
      </c>
      <c r="AG2132" s="275">
        <f t="shared" si="272"/>
        <v>168986</v>
      </c>
    </row>
    <row r="2133" spans="1:33" ht="12" customHeight="1">
      <c r="A2133" s="646" t="s">
        <v>1281</v>
      </c>
      <c r="B2133" s="646" t="s">
        <v>1787</v>
      </c>
      <c r="C2133" s="305" t="s">
        <v>1770</v>
      </c>
      <c r="D2133" s="648">
        <v>198640</v>
      </c>
      <c r="E2133" s="660">
        <v>10</v>
      </c>
      <c r="F2133" s="573"/>
      <c r="G2133" s="487"/>
      <c r="H2133" s="573">
        <v>440853</v>
      </c>
      <c r="I2133" s="487">
        <v>586083</v>
      </c>
      <c r="J2133" s="573"/>
      <c r="K2133" s="487"/>
      <c r="L2133" s="573">
        <v>158523</v>
      </c>
      <c r="M2133" s="573"/>
      <c r="N2133" s="456">
        <f t="shared" si="273"/>
        <v>158523</v>
      </c>
      <c r="O2133" s="487">
        <v>72337</v>
      </c>
      <c r="P2133" s="487"/>
      <c r="Q2133" s="274">
        <f t="shared" si="268"/>
        <v>72337</v>
      </c>
      <c r="R2133" s="574">
        <f t="shared" si="269"/>
        <v>599376</v>
      </c>
      <c r="S2133" s="275">
        <f t="shared" si="270"/>
        <v>658420</v>
      </c>
      <c r="T2133" s="575"/>
      <c r="U2133" s="487"/>
      <c r="V2133" s="576"/>
      <c r="W2133" s="573"/>
      <c r="X2133" s="574">
        <f t="shared" si="274"/>
        <v>0</v>
      </c>
      <c r="Y2133" s="487"/>
      <c r="Z2133" s="487"/>
      <c r="AA2133" s="276">
        <f t="shared" si="275"/>
        <v>0</v>
      </c>
      <c r="AB2133" s="573"/>
      <c r="AC2133" s="487"/>
      <c r="AD2133" s="573"/>
      <c r="AE2133" s="487"/>
      <c r="AF2133" s="577">
        <f t="shared" si="271"/>
        <v>599376</v>
      </c>
      <c r="AG2133" s="275">
        <f t="shared" si="272"/>
        <v>658420</v>
      </c>
    </row>
    <row r="2134" spans="1:33" ht="12" customHeight="1">
      <c r="A2134" s="646" t="s">
        <v>1281</v>
      </c>
      <c r="B2134" s="646" t="s">
        <v>1776</v>
      </c>
      <c r="C2134" s="743" t="s">
        <v>556</v>
      </c>
      <c r="D2134" s="648">
        <v>198729</v>
      </c>
      <c r="E2134" s="660">
        <v>10</v>
      </c>
      <c r="F2134" s="573">
        <v>6017981</v>
      </c>
      <c r="G2134" s="487">
        <v>6134654</v>
      </c>
      <c r="H2134" s="573"/>
      <c r="I2134" s="487"/>
      <c r="J2134" s="573">
        <v>1260125</v>
      </c>
      <c r="K2134" s="487">
        <v>1613397</v>
      </c>
      <c r="L2134" s="573">
        <v>998092</v>
      </c>
      <c r="M2134" s="573"/>
      <c r="N2134" s="456">
        <f t="shared" si="273"/>
        <v>998092</v>
      </c>
      <c r="O2134" s="487">
        <v>839085</v>
      </c>
      <c r="P2134" s="487"/>
      <c r="Q2134" s="274">
        <f t="shared" si="268"/>
        <v>839085</v>
      </c>
      <c r="R2134" s="574">
        <f t="shared" si="269"/>
        <v>8276198</v>
      </c>
      <c r="S2134" s="275">
        <f t="shared" si="270"/>
        <v>8587136</v>
      </c>
      <c r="T2134" s="575"/>
      <c r="U2134" s="487"/>
      <c r="V2134" s="576"/>
      <c r="W2134" s="573"/>
      <c r="X2134" s="574">
        <f t="shared" si="274"/>
        <v>0</v>
      </c>
      <c r="Y2134" s="487"/>
      <c r="Z2134" s="487"/>
      <c r="AA2134" s="276">
        <f t="shared" si="275"/>
        <v>0</v>
      </c>
      <c r="AB2134" s="573"/>
      <c r="AC2134" s="487"/>
      <c r="AD2134" s="573"/>
      <c r="AE2134" s="487"/>
      <c r="AF2134" s="577">
        <f t="shared" si="271"/>
        <v>8276198</v>
      </c>
      <c r="AG2134" s="275">
        <f t="shared" si="272"/>
        <v>8587136</v>
      </c>
    </row>
    <row r="2135" spans="1:33" ht="12" customHeight="1">
      <c r="A2135" s="646" t="s">
        <v>1281</v>
      </c>
      <c r="B2135" s="646" t="s">
        <v>1776</v>
      </c>
      <c r="C2135" s="305" t="s">
        <v>508</v>
      </c>
      <c r="D2135" s="648">
        <v>198729</v>
      </c>
      <c r="E2135" s="660">
        <v>10</v>
      </c>
      <c r="F2135" s="573"/>
      <c r="G2135" s="487"/>
      <c r="H2135" s="573">
        <v>73145</v>
      </c>
      <c r="I2135" s="487">
        <v>84131</v>
      </c>
      <c r="J2135" s="573"/>
      <c r="K2135" s="487"/>
      <c r="L2135" s="573"/>
      <c r="M2135" s="573"/>
      <c r="N2135" s="456">
        <f t="shared" si="273"/>
        <v>0</v>
      </c>
      <c r="O2135" s="487"/>
      <c r="P2135" s="487"/>
      <c r="Q2135" s="274">
        <f t="shared" si="268"/>
        <v>0</v>
      </c>
      <c r="R2135" s="574">
        <f t="shared" si="269"/>
        <v>73145</v>
      </c>
      <c r="S2135" s="275">
        <f t="shared" si="270"/>
        <v>84131</v>
      </c>
      <c r="T2135" s="575"/>
      <c r="U2135" s="487"/>
      <c r="V2135" s="576"/>
      <c r="W2135" s="573"/>
      <c r="X2135" s="574">
        <f t="shared" si="274"/>
        <v>0</v>
      </c>
      <c r="Y2135" s="487"/>
      <c r="Z2135" s="487"/>
      <c r="AA2135" s="276">
        <f t="shared" si="275"/>
        <v>0</v>
      </c>
      <c r="AB2135" s="573"/>
      <c r="AC2135" s="487"/>
      <c r="AD2135" s="573"/>
      <c r="AE2135" s="487"/>
      <c r="AF2135" s="577">
        <f t="shared" si="271"/>
        <v>73145</v>
      </c>
      <c r="AG2135" s="275">
        <f t="shared" si="272"/>
        <v>84131</v>
      </c>
    </row>
    <row r="2136" spans="1:33" ht="12" customHeight="1">
      <c r="A2136" s="646" t="s">
        <v>1281</v>
      </c>
      <c r="B2136" s="646" t="s">
        <v>1778</v>
      </c>
      <c r="C2136" s="305" t="s">
        <v>1891</v>
      </c>
      <c r="D2136" s="648">
        <v>198729</v>
      </c>
      <c r="E2136" s="660">
        <v>10</v>
      </c>
      <c r="F2136" s="573"/>
      <c r="G2136" s="487"/>
      <c r="H2136" s="573">
        <v>110546</v>
      </c>
      <c r="I2136" s="487">
        <v>178261</v>
      </c>
      <c r="J2136" s="573"/>
      <c r="K2136" s="487"/>
      <c r="L2136" s="573"/>
      <c r="M2136" s="573"/>
      <c r="N2136" s="456">
        <f t="shared" si="273"/>
        <v>0</v>
      </c>
      <c r="O2136" s="487"/>
      <c r="P2136" s="487"/>
      <c r="Q2136" s="274">
        <f t="shared" si="268"/>
        <v>0</v>
      </c>
      <c r="R2136" s="574">
        <f t="shared" si="269"/>
        <v>110546</v>
      </c>
      <c r="S2136" s="275">
        <f t="shared" si="270"/>
        <v>178261</v>
      </c>
      <c r="T2136" s="575"/>
      <c r="U2136" s="487"/>
      <c r="V2136" s="576"/>
      <c r="W2136" s="573"/>
      <c r="X2136" s="574">
        <f t="shared" si="274"/>
        <v>0</v>
      </c>
      <c r="Y2136" s="487"/>
      <c r="Z2136" s="487"/>
      <c r="AA2136" s="276">
        <f t="shared" si="275"/>
        <v>0</v>
      </c>
      <c r="AB2136" s="573"/>
      <c r="AC2136" s="487"/>
      <c r="AD2136" s="573"/>
      <c r="AE2136" s="487"/>
      <c r="AF2136" s="577">
        <f t="shared" si="271"/>
        <v>110546</v>
      </c>
      <c r="AG2136" s="275">
        <f t="shared" si="272"/>
        <v>178261</v>
      </c>
    </row>
    <row r="2137" spans="1:33" ht="12" customHeight="1">
      <c r="A2137" s="646" t="s">
        <v>1281</v>
      </c>
      <c r="B2137" s="646" t="s">
        <v>1787</v>
      </c>
      <c r="C2137" s="305" t="s">
        <v>1770</v>
      </c>
      <c r="D2137" s="648">
        <v>198729</v>
      </c>
      <c r="E2137" s="660">
        <v>10</v>
      </c>
      <c r="F2137" s="573"/>
      <c r="G2137" s="487"/>
      <c r="H2137" s="573">
        <v>477086</v>
      </c>
      <c r="I2137" s="487">
        <v>637810</v>
      </c>
      <c r="J2137" s="573"/>
      <c r="K2137" s="487"/>
      <c r="L2137" s="573">
        <v>71139</v>
      </c>
      <c r="M2137" s="573"/>
      <c r="N2137" s="456">
        <f t="shared" si="273"/>
        <v>71139</v>
      </c>
      <c r="O2137" s="487">
        <v>39198</v>
      </c>
      <c r="P2137" s="487"/>
      <c r="Q2137" s="274">
        <f t="shared" si="268"/>
        <v>39198</v>
      </c>
      <c r="R2137" s="574">
        <f t="shared" si="269"/>
        <v>548225</v>
      </c>
      <c r="S2137" s="275">
        <f t="shared" si="270"/>
        <v>677008</v>
      </c>
      <c r="T2137" s="575"/>
      <c r="U2137" s="487"/>
      <c r="V2137" s="576"/>
      <c r="W2137" s="573"/>
      <c r="X2137" s="574">
        <f t="shared" si="274"/>
        <v>0</v>
      </c>
      <c r="Y2137" s="487"/>
      <c r="Z2137" s="487"/>
      <c r="AA2137" s="276">
        <f t="shared" si="275"/>
        <v>0</v>
      </c>
      <c r="AB2137" s="573"/>
      <c r="AC2137" s="487"/>
      <c r="AD2137" s="573"/>
      <c r="AE2137" s="487"/>
      <c r="AF2137" s="577">
        <f t="shared" si="271"/>
        <v>548225</v>
      </c>
      <c r="AG2137" s="275">
        <f t="shared" si="272"/>
        <v>677008</v>
      </c>
    </row>
    <row r="2138" spans="1:33" ht="12" customHeight="1">
      <c r="A2138" s="646" t="s">
        <v>1281</v>
      </c>
      <c r="B2138" s="646" t="s">
        <v>1776</v>
      </c>
      <c r="C2138" s="743" t="s">
        <v>557</v>
      </c>
      <c r="D2138" s="648">
        <v>198905</v>
      </c>
      <c r="E2138" s="660">
        <v>10</v>
      </c>
      <c r="F2138" s="573">
        <v>5051396</v>
      </c>
      <c r="G2138" s="487">
        <v>5023790</v>
      </c>
      <c r="H2138" s="573"/>
      <c r="I2138" s="487"/>
      <c r="J2138" s="573">
        <v>883359</v>
      </c>
      <c r="K2138" s="487">
        <v>930443</v>
      </c>
      <c r="L2138" s="573">
        <v>678876</v>
      </c>
      <c r="M2138" s="573"/>
      <c r="N2138" s="456">
        <f t="shared" si="273"/>
        <v>678876</v>
      </c>
      <c r="O2138" s="487">
        <v>491035</v>
      </c>
      <c r="P2138" s="487"/>
      <c r="Q2138" s="274">
        <f t="shared" si="268"/>
        <v>491035</v>
      </c>
      <c r="R2138" s="574">
        <f t="shared" si="269"/>
        <v>6613631</v>
      </c>
      <c r="S2138" s="275">
        <f t="shared" si="270"/>
        <v>6445268</v>
      </c>
      <c r="T2138" s="575"/>
      <c r="U2138" s="487"/>
      <c r="V2138" s="576"/>
      <c r="W2138" s="573"/>
      <c r="X2138" s="574">
        <f t="shared" si="274"/>
        <v>0</v>
      </c>
      <c r="Y2138" s="487"/>
      <c r="Z2138" s="487"/>
      <c r="AA2138" s="276">
        <f t="shared" si="275"/>
        <v>0</v>
      </c>
      <c r="AB2138" s="573"/>
      <c r="AC2138" s="487"/>
      <c r="AD2138" s="573"/>
      <c r="AE2138" s="487"/>
      <c r="AF2138" s="577">
        <f t="shared" si="271"/>
        <v>6613631</v>
      </c>
      <c r="AG2138" s="275">
        <f t="shared" si="272"/>
        <v>6445268</v>
      </c>
    </row>
    <row r="2139" spans="1:33" ht="12" customHeight="1">
      <c r="A2139" s="646" t="s">
        <v>1281</v>
      </c>
      <c r="B2139" s="646" t="s">
        <v>1776</v>
      </c>
      <c r="C2139" s="305" t="s">
        <v>508</v>
      </c>
      <c r="D2139" s="648">
        <v>198905</v>
      </c>
      <c r="E2139" s="660">
        <v>10</v>
      </c>
      <c r="F2139" s="573"/>
      <c r="G2139" s="487"/>
      <c r="H2139" s="573">
        <v>31508</v>
      </c>
      <c r="I2139" s="487">
        <v>38158</v>
      </c>
      <c r="J2139" s="573"/>
      <c r="K2139" s="487"/>
      <c r="L2139" s="573"/>
      <c r="M2139" s="573"/>
      <c r="N2139" s="456">
        <f t="shared" si="273"/>
        <v>0</v>
      </c>
      <c r="O2139" s="487"/>
      <c r="P2139" s="487"/>
      <c r="Q2139" s="274">
        <f t="shared" si="268"/>
        <v>0</v>
      </c>
      <c r="R2139" s="574">
        <f t="shared" si="269"/>
        <v>31508</v>
      </c>
      <c r="S2139" s="275">
        <f t="shared" si="270"/>
        <v>38158</v>
      </c>
      <c r="T2139" s="575"/>
      <c r="U2139" s="487"/>
      <c r="V2139" s="576"/>
      <c r="W2139" s="573"/>
      <c r="X2139" s="574">
        <f t="shared" si="274"/>
        <v>0</v>
      </c>
      <c r="Y2139" s="487"/>
      <c r="Z2139" s="487"/>
      <c r="AA2139" s="276">
        <f t="shared" si="275"/>
        <v>0</v>
      </c>
      <c r="AB2139" s="573"/>
      <c r="AC2139" s="487"/>
      <c r="AD2139" s="573"/>
      <c r="AE2139" s="487"/>
      <c r="AF2139" s="577">
        <f t="shared" si="271"/>
        <v>31508</v>
      </c>
      <c r="AG2139" s="275">
        <f t="shared" si="272"/>
        <v>38158</v>
      </c>
    </row>
    <row r="2140" spans="1:33" ht="12" customHeight="1">
      <c r="A2140" s="646" t="s">
        <v>1281</v>
      </c>
      <c r="B2140" s="646" t="s">
        <v>1778</v>
      </c>
      <c r="C2140" s="305" t="s">
        <v>1891</v>
      </c>
      <c r="D2140" s="648">
        <v>198905</v>
      </c>
      <c r="E2140" s="660">
        <v>10</v>
      </c>
      <c r="F2140" s="573"/>
      <c r="G2140" s="487"/>
      <c r="H2140" s="573">
        <v>108534</v>
      </c>
      <c r="I2140" s="487">
        <v>137643</v>
      </c>
      <c r="J2140" s="573"/>
      <c r="K2140" s="487"/>
      <c r="L2140" s="573"/>
      <c r="M2140" s="573"/>
      <c r="N2140" s="456">
        <f t="shared" si="273"/>
        <v>0</v>
      </c>
      <c r="O2140" s="487"/>
      <c r="P2140" s="487"/>
      <c r="Q2140" s="274">
        <f t="shared" si="268"/>
        <v>0</v>
      </c>
      <c r="R2140" s="574">
        <f t="shared" si="269"/>
        <v>108534</v>
      </c>
      <c r="S2140" s="275">
        <f t="shared" si="270"/>
        <v>137643</v>
      </c>
      <c r="T2140" s="575"/>
      <c r="U2140" s="487"/>
      <c r="V2140" s="576"/>
      <c r="W2140" s="573"/>
      <c r="X2140" s="574">
        <f t="shared" si="274"/>
        <v>0</v>
      </c>
      <c r="Y2140" s="487"/>
      <c r="Z2140" s="487"/>
      <c r="AA2140" s="276">
        <f t="shared" si="275"/>
        <v>0</v>
      </c>
      <c r="AB2140" s="573"/>
      <c r="AC2140" s="487"/>
      <c r="AD2140" s="573"/>
      <c r="AE2140" s="487"/>
      <c r="AF2140" s="577">
        <f t="shared" si="271"/>
        <v>108534</v>
      </c>
      <c r="AG2140" s="275">
        <f t="shared" si="272"/>
        <v>137643</v>
      </c>
    </row>
    <row r="2141" spans="1:33" ht="12" customHeight="1">
      <c r="A2141" s="646" t="s">
        <v>1281</v>
      </c>
      <c r="B2141" s="646" t="s">
        <v>1787</v>
      </c>
      <c r="C2141" s="305" t="s">
        <v>1770</v>
      </c>
      <c r="D2141" s="648">
        <v>198905</v>
      </c>
      <c r="E2141" s="660">
        <v>10</v>
      </c>
      <c r="F2141" s="573"/>
      <c r="G2141" s="487"/>
      <c r="H2141" s="573">
        <v>307459</v>
      </c>
      <c r="I2141" s="487">
        <v>351092</v>
      </c>
      <c r="J2141" s="573"/>
      <c r="K2141" s="487"/>
      <c r="L2141" s="573">
        <v>97760</v>
      </c>
      <c r="M2141" s="573"/>
      <c r="N2141" s="456">
        <f t="shared" si="273"/>
        <v>97760</v>
      </c>
      <c r="O2141" s="487">
        <v>42857</v>
      </c>
      <c r="P2141" s="487"/>
      <c r="Q2141" s="274">
        <f t="shared" si="268"/>
        <v>42857</v>
      </c>
      <c r="R2141" s="574">
        <f t="shared" si="269"/>
        <v>405219</v>
      </c>
      <c r="S2141" s="275">
        <f t="shared" si="270"/>
        <v>393949</v>
      </c>
      <c r="T2141" s="575"/>
      <c r="U2141" s="487"/>
      <c r="V2141" s="576"/>
      <c r="W2141" s="573"/>
      <c r="X2141" s="574">
        <f t="shared" si="274"/>
        <v>0</v>
      </c>
      <c r="Y2141" s="487"/>
      <c r="Z2141" s="487"/>
      <c r="AA2141" s="276">
        <f t="shared" si="275"/>
        <v>0</v>
      </c>
      <c r="AB2141" s="573"/>
      <c r="AC2141" s="487"/>
      <c r="AD2141" s="573"/>
      <c r="AE2141" s="487"/>
      <c r="AF2141" s="577">
        <f t="shared" si="271"/>
        <v>405219</v>
      </c>
      <c r="AG2141" s="275">
        <f t="shared" si="272"/>
        <v>393949</v>
      </c>
    </row>
    <row r="2142" spans="1:33" ht="12" customHeight="1">
      <c r="A2142" s="646" t="s">
        <v>1281</v>
      </c>
      <c r="B2142" s="646" t="s">
        <v>1776</v>
      </c>
      <c r="C2142" s="743" t="s">
        <v>1630</v>
      </c>
      <c r="D2142" s="648">
        <v>198923</v>
      </c>
      <c r="E2142" s="660">
        <v>10</v>
      </c>
      <c r="F2142" s="573">
        <v>6005038</v>
      </c>
      <c r="G2142" s="487">
        <v>5921833</v>
      </c>
      <c r="H2142" s="573"/>
      <c r="I2142" s="487"/>
      <c r="J2142" s="573">
        <v>765920</v>
      </c>
      <c r="K2142" s="487">
        <v>863448</v>
      </c>
      <c r="L2142" s="573">
        <v>986378</v>
      </c>
      <c r="M2142" s="573"/>
      <c r="N2142" s="456">
        <f t="shared" si="273"/>
        <v>986378</v>
      </c>
      <c r="O2142" s="487">
        <v>844734</v>
      </c>
      <c r="P2142" s="487"/>
      <c r="Q2142" s="274">
        <f t="shared" si="268"/>
        <v>844734</v>
      </c>
      <c r="R2142" s="574">
        <f t="shared" si="269"/>
        <v>7757336</v>
      </c>
      <c r="S2142" s="275">
        <f t="shared" si="270"/>
        <v>7630015</v>
      </c>
      <c r="T2142" s="575"/>
      <c r="U2142" s="487"/>
      <c r="V2142" s="576"/>
      <c r="W2142" s="573"/>
      <c r="X2142" s="574">
        <f t="shared" si="274"/>
        <v>0</v>
      </c>
      <c r="Y2142" s="487"/>
      <c r="Z2142" s="487"/>
      <c r="AA2142" s="276">
        <f t="shared" si="275"/>
        <v>0</v>
      </c>
      <c r="AB2142" s="573"/>
      <c r="AC2142" s="487"/>
      <c r="AD2142" s="573"/>
      <c r="AE2142" s="487"/>
      <c r="AF2142" s="577">
        <f t="shared" si="271"/>
        <v>7757336</v>
      </c>
      <c r="AG2142" s="275">
        <f t="shared" si="272"/>
        <v>7630015</v>
      </c>
    </row>
    <row r="2143" spans="1:33" ht="12" customHeight="1">
      <c r="A2143" s="646" t="s">
        <v>1281</v>
      </c>
      <c r="B2143" s="646" t="s">
        <v>1776</v>
      </c>
      <c r="C2143" s="305" t="s">
        <v>508</v>
      </c>
      <c r="D2143" s="648">
        <v>198923</v>
      </c>
      <c r="E2143" s="660">
        <v>10</v>
      </c>
      <c r="F2143" s="573"/>
      <c r="G2143" s="487"/>
      <c r="H2143" s="573">
        <v>63039</v>
      </c>
      <c r="I2143" s="487">
        <v>79529</v>
      </c>
      <c r="J2143" s="573"/>
      <c r="K2143" s="487"/>
      <c r="L2143" s="573"/>
      <c r="M2143" s="573"/>
      <c r="N2143" s="456">
        <f t="shared" si="273"/>
        <v>0</v>
      </c>
      <c r="O2143" s="487"/>
      <c r="P2143" s="487"/>
      <c r="Q2143" s="274">
        <f t="shared" si="268"/>
        <v>0</v>
      </c>
      <c r="R2143" s="574">
        <f t="shared" si="269"/>
        <v>63039</v>
      </c>
      <c r="S2143" s="275">
        <f t="shared" si="270"/>
        <v>79529</v>
      </c>
      <c r="T2143" s="575"/>
      <c r="U2143" s="487"/>
      <c r="V2143" s="576"/>
      <c r="W2143" s="573"/>
      <c r="X2143" s="574">
        <f t="shared" si="274"/>
        <v>0</v>
      </c>
      <c r="Y2143" s="487"/>
      <c r="Z2143" s="487"/>
      <c r="AA2143" s="276">
        <f t="shared" si="275"/>
        <v>0</v>
      </c>
      <c r="AB2143" s="573"/>
      <c r="AC2143" s="487"/>
      <c r="AD2143" s="573"/>
      <c r="AE2143" s="487"/>
      <c r="AF2143" s="577">
        <f t="shared" si="271"/>
        <v>63039</v>
      </c>
      <c r="AG2143" s="275">
        <f t="shared" si="272"/>
        <v>79529</v>
      </c>
    </row>
    <row r="2144" spans="1:33" ht="12" customHeight="1">
      <c r="A2144" s="646" t="s">
        <v>1281</v>
      </c>
      <c r="B2144" s="646" t="s">
        <v>1778</v>
      </c>
      <c r="C2144" s="305" t="s">
        <v>1891</v>
      </c>
      <c r="D2144" s="648">
        <v>198923</v>
      </c>
      <c r="E2144" s="660">
        <v>10</v>
      </c>
      <c r="F2144" s="573"/>
      <c r="G2144" s="487"/>
      <c r="H2144" s="573">
        <v>191076</v>
      </c>
      <c r="I2144" s="487">
        <v>187420</v>
      </c>
      <c r="J2144" s="573"/>
      <c r="K2144" s="487"/>
      <c r="L2144" s="573"/>
      <c r="M2144" s="573"/>
      <c r="N2144" s="456">
        <f t="shared" si="273"/>
        <v>0</v>
      </c>
      <c r="O2144" s="487"/>
      <c r="P2144" s="487"/>
      <c r="Q2144" s="274">
        <f t="shared" si="268"/>
        <v>0</v>
      </c>
      <c r="R2144" s="574">
        <f t="shared" si="269"/>
        <v>191076</v>
      </c>
      <c r="S2144" s="275">
        <f t="shared" si="270"/>
        <v>187420</v>
      </c>
      <c r="T2144" s="575"/>
      <c r="U2144" s="487"/>
      <c r="V2144" s="576"/>
      <c r="W2144" s="573"/>
      <c r="X2144" s="574">
        <f t="shared" si="274"/>
        <v>0</v>
      </c>
      <c r="Y2144" s="487"/>
      <c r="Z2144" s="487"/>
      <c r="AA2144" s="276">
        <f t="shared" si="275"/>
        <v>0</v>
      </c>
      <c r="AB2144" s="573"/>
      <c r="AC2144" s="487"/>
      <c r="AD2144" s="573"/>
      <c r="AE2144" s="487"/>
      <c r="AF2144" s="577">
        <f t="shared" si="271"/>
        <v>191076</v>
      </c>
      <c r="AG2144" s="275">
        <f t="shared" si="272"/>
        <v>187420</v>
      </c>
    </row>
    <row r="2145" spans="1:33" ht="12" customHeight="1">
      <c r="A2145" s="646" t="s">
        <v>1281</v>
      </c>
      <c r="B2145" s="646" t="s">
        <v>1787</v>
      </c>
      <c r="C2145" s="305" t="s">
        <v>1770</v>
      </c>
      <c r="D2145" s="648">
        <v>198923</v>
      </c>
      <c r="E2145" s="660">
        <v>10</v>
      </c>
      <c r="F2145" s="573"/>
      <c r="G2145" s="487"/>
      <c r="H2145" s="573">
        <v>395649</v>
      </c>
      <c r="I2145" s="487">
        <v>466575</v>
      </c>
      <c r="J2145" s="573"/>
      <c r="K2145" s="487"/>
      <c r="L2145" s="573">
        <v>46839</v>
      </c>
      <c r="M2145" s="573"/>
      <c r="N2145" s="456">
        <f t="shared" si="273"/>
        <v>46839</v>
      </c>
      <c r="O2145" s="487">
        <v>20081</v>
      </c>
      <c r="P2145" s="487"/>
      <c r="Q2145" s="274">
        <f t="shared" si="268"/>
        <v>20081</v>
      </c>
      <c r="R2145" s="574">
        <f t="shared" si="269"/>
        <v>442488</v>
      </c>
      <c r="S2145" s="275">
        <f t="shared" si="270"/>
        <v>486656</v>
      </c>
      <c r="T2145" s="575"/>
      <c r="U2145" s="487"/>
      <c r="V2145" s="576"/>
      <c r="W2145" s="573"/>
      <c r="X2145" s="574">
        <f t="shared" si="274"/>
        <v>0</v>
      </c>
      <c r="Y2145" s="487"/>
      <c r="Z2145" s="487"/>
      <c r="AA2145" s="276">
        <f t="shared" si="275"/>
        <v>0</v>
      </c>
      <c r="AB2145" s="573"/>
      <c r="AC2145" s="487"/>
      <c r="AD2145" s="573"/>
      <c r="AE2145" s="487"/>
      <c r="AF2145" s="577">
        <f t="shared" si="271"/>
        <v>442488</v>
      </c>
      <c r="AG2145" s="275">
        <f t="shared" si="272"/>
        <v>486656</v>
      </c>
    </row>
    <row r="2146" spans="1:33" ht="12" customHeight="1">
      <c r="A2146" s="646" t="s">
        <v>1281</v>
      </c>
      <c r="B2146" s="646" t="s">
        <v>1776</v>
      </c>
      <c r="C2146" s="743" t="s">
        <v>1631</v>
      </c>
      <c r="D2146" s="648">
        <v>199023</v>
      </c>
      <c r="E2146" s="660">
        <v>10</v>
      </c>
      <c r="F2146" s="573">
        <v>4981559</v>
      </c>
      <c r="G2146" s="487">
        <v>4892286</v>
      </c>
      <c r="H2146" s="573"/>
      <c r="I2146" s="487"/>
      <c r="J2146" s="573">
        <v>873170</v>
      </c>
      <c r="K2146" s="487">
        <v>973017</v>
      </c>
      <c r="L2146" s="573">
        <v>578148</v>
      </c>
      <c r="M2146" s="573"/>
      <c r="N2146" s="456">
        <f t="shared" si="273"/>
        <v>578148</v>
      </c>
      <c r="O2146" s="487">
        <v>778203</v>
      </c>
      <c r="P2146" s="487"/>
      <c r="Q2146" s="274">
        <f t="shared" si="268"/>
        <v>778203</v>
      </c>
      <c r="R2146" s="574">
        <f t="shared" si="269"/>
        <v>6432877</v>
      </c>
      <c r="S2146" s="275">
        <f t="shared" si="270"/>
        <v>6643506</v>
      </c>
      <c r="T2146" s="575"/>
      <c r="U2146" s="487"/>
      <c r="V2146" s="576"/>
      <c r="W2146" s="573"/>
      <c r="X2146" s="574">
        <f t="shared" si="274"/>
        <v>0</v>
      </c>
      <c r="Y2146" s="487"/>
      <c r="Z2146" s="487"/>
      <c r="AA2146" s="276">
        <f t="shared" si="275"/>
        <v>0</v>
      </c>
      <c r="AB2146" s="573"/>
      <c r="AC2146" s="487"/>
      <c r="AD2146" s="573"/>
      <c r="AE2146" s="487"/>
      <c r="AF2146" s="577">
        <f t="shared" si="271"/>
        <v>6432877</v>
      </c>
      <c r="AG2146" s="275">
        <f t="shared" si="272"/>
        <v>6643506</v>
      </c>
    </row>
    <row r="2147" spans="1:33" ht="12" customHeight="1">
      <c r="A2147" s="646" t="s">
        <v>1281</v>
      </c>
      <c r="B2147" s="646" t="s">
        <v>1776</v>
      </c>
      <c r="C2147" s="305" t="s">
        <v>508</v>
      </c>
      <c r="D2147" s="648">
        <v>199023</v>
      </c>
      <c r="E2147" s="660">
        <v>10</v>
      </c>
      <c r="F2147" s="573"/>
      <c r="G2147" s="487"/>
      <c r="H2147" s="573">
        <v>47437</v>
      </c>
      <c r="I2147" s="487">
        <v>75774</v>
      </c>
      <c r="J2147" s="573"/>
      <c r="K2147" s="487"/>
      <c r="L2147" s="573"/>
      <c r="M2147" s="573"/>
      <c r="N2147" s="456">
        <f t="shared" si="273"/>
        <v>0</v>
      </c>
      <c r="O2147" s="487"/>
      <c r="P2147" s="487"/>
      <c r="Q2147" s="274">
        <f t="shared" si="268"/>
        <v>0</v>
      </c>
      <c r="R2147" s="574">
        <f t="shared" si="269"/>
        <v>47437</v>
      </c>
      <c r="S2147" s="275">
        <f t="shared" si="270"/>
        <v>75774</v>
      </c>
      <c r="T2147" s="575"/>
      <c r="U2147" s="487"/>
      <c r="V2147" s="576"/>
      <c r="W2147" s="573"/>
      <c r="X2147" s="574">
        <f t="shared" si="274"/>
        <v>0</v>
      </c>
      <c r="Y2147" s="487"/>
      <c r="Z2147" s="487"/>
      <c r="AA2147" s="276">
        <f t="shared" si="275"/>
        <v>0</v>
      </c>
      <c r="AB2147" s="573"/>
      <c r="AC2147" s="487"/>
      <c r="AD2147" s="573"/>
      <c r="AE2147" s="487"/>
      <c r="AF2147" s="577">
        <f t="shared" si="271"/>
        <v>47437</v>
      </c>
      <c r="AG2147" s="275">
        <f t="shared" si="272"/>
        <v>75774</v>
      </c>
    </row>
    <row r="2148" spans="1:33" ht="12" customHeight="1">
      <c r="A2148" s="646" t="s">
        <v>1281</v>
      </c>
      <c r="B2148" s="646" t="s">
        <v>1778</v>
      </c>
      <c r="C2148" s="305" t="s">
        <v>1891</v>
      </c>
      <c r="D2148" s="648">
        <v>199023</v>
      </c>
      <c r="E2148" s="660">
        <v>10</v>
      </c>
      <c r="F2148" s="573"/>
      <c r="G2148" s="487"/>
      <c r="H2148" s="573">
        <v>101075</v>
      </c>
      <c r="I2148" s="487">
        <v>148276</v>
      </c>
      <c r="J2148" s="573"/>
      <c r="K2148" s="487"/>
      <c r="L2148" s="573"/>
      <c r="M2148" s="573"/>
      <c r="N2148" s="456">
        <f t="shared" si="273"/>
        <v>0</v>
      </c>
      <c r="O2148" s="487"/>
      <c r="P2148" s="487"/>
      <c r="Q2148" s="274">
        <f t="shared" si="268"/>
        <v>0</v>
      </c>
      <c r="R2148" s="574">
        <f t="shared" si="269"/>
        <v>101075</v>
      </c>
      <c r="S2148" s="275">
        <f t="shared" si="270"/>
        <v>148276</v>
      </c>
      <c r="T2148" s="575"/>
      <c r="U2148" s="487"/>
      <c r="V2148" s="576"/>
      <c r="W2148" s="573"/>
      <c r="X2148" s="574">
        <f t="shared" si="274"/>
        <v>0</v>
      </c>
      <c r="Y2148" s="487"/>
      <c r="Z2148" s="487"/>
      <c r="AA2148" s="276">
        <f t="shared" si="275"/>
        <v>0</v>
      </c>
      <c r="AB2148" s="573"/>
      <c r="AC2148" s="487"/>
      <c r="AD2148" s="573"/>
      <c r="AE2148" s="487"/>
      <c r="AF2148" s="577">
        <f t="shared" si="271"/>
        <v>101075</v>
      </c>
      <c r="AG2148" s="275">
        <f t="shared" si="272"/>
        <v>148276</v>
      </c>
    </row>
    <row r="2149" spans="1:33" ht="12" customHeight="1">
      <c r="A2149" s="646" t="s">
        <v>1281</v>
      </c>
      <c r="B2149" s="646" t="s">
        <v>1787</v>
      </c>
      <c r="C2149" s="305" t="s">
        <v>1770</v>
      </c>
      <c r="D2149" s="648">
        <v>199023</v>
      </c>
      <c r="E2149" s="660">
        <v>10</v>
      </c>
      <c r="F2149" s="573"/>
      <c r="G2149" s="487"/>
      <c r="H2149" s="573">
        <v>370858</v>
      </c>
      <c r="I2149" s="487">
        <v>380239</v>
      </c>
      <c r="J2149" s="573"/>
      <c r="K2149" s="487"/>
      <c r="L2149" s="573">
        <v>46282</v>
      </c>
      <c r="M2149" s="573"/>
      <c r="N2149" s="456">
        <f t="shared" si="273"/>
        <v>46282</v>
      </c>
      <c r="O2149" s="487">
        <v>45085</v>
      </c>
      <c r="P2149" s="487"/>
      <c r="Q2149" s="274">
        <f t="shared" si="268"/>
        <v>45085</v>
      </c>
      <c r="R2149" s="574">
        <f t="shared" si="269"/>
        <v>417140</v>
      </c>
      <c r="S2149" s="275">
        <f t="shared" si="270"/>
        <v>425324</v>
      </c>
      <c r="T2149" s="575"/>
      <c r="U2149" s="487"/>
      <c r="V2149" s="576"/>
      <c r="W2149" s="573"/>
      <c r="X2149" s="574">
        <f t="shared" si="274"/>
        <v>0</v>
      </c>
      <c r="Y2149" s="487"/>
      <c r="Z2149" s="487"/>
      <c r="AA2149" s="276">
        <f t="shared" si="275"/>
        <v>0</v>
      </c>
      <c r="AB2149" s="573"/>
      <c r="AC2149" s="487"/>
      <c r="AD2149" s="573"/>
      <c r="AE2149" s="487"/>
      <c r="AF2149" s="577">
        <f t="shared" si="271"/>
        <v>417140</v>
      </c>
      <c r="AG2149" s="275">
        <f t="shared" si="272"/>
        <v>425324</v>
      </c>
    </row>
    <row r="2150" spans="1:33" ht="12" customHeight="1">
      <c r="A2150" s="646" t="s">
        <v>1281</v>
      </c>
      <c r="B2150" s="646" t="s">
        <v>1776</v>
      </c>
      <c r="C2150" s="743" t="s">
        <v>1632</v>
      </c>
      <c r="D2150" s="648">
        <v>199263</v>
      </c>
      <c r="E2150" s="660">
        <v>10</v>
      </c>
      <c r="F2150" s="573">
        <v>3698159</v>
      </c>
      <c r="G2150" s="487">
        <v>3608917</v>
      </c>
      <c r="H2150" s="573"/>
      <c r="I2150" s="487"/>
      <c r="J2150" s="573">
        <v>497670</v>
      </c>
      <c r="K2150" s="487">
        <v>609832</v>
      </c>
      <c r="L2150" s="573">
        <v>191019</v>
      </c>
      <c r="M2150" s="573"/>
      <c r="N2150" s="456">
        <f t="shared" si="273"/>
        <v>191019</v>
      </c>
      <c r="O2150" s="487">
        <v>224874</v>
      </c>
      <c r="P2150" s="487"/>
      <c r="Q2150" s="274">
        <f t="shared" si="268"/>
        <v>224874</v>
      </c>
      <c r="R2150" s="574">
        <f t="shared" si="269"/>
        <v>4386848</v>
      </c>
      <c r="S2150" s="275">
        <f t="shared" si="270"/>
        <v>4443623</v>
      </c>
      <c r="T2150" s="575"/>
      <c r="U2150" s="487"/>
      <c r="V2150" s="576"/>
      <c r="W2150" s="573"/>
      <c r="X2150" s="574">
        <f t="shared" si="274"/>
        <v>0</v>
      </c>
      <c r="Y2150" s="487"/>
      <c r="Z2150" s="487"/>
      <c r="AA2150" s="276">
        <f t="shared" si="275"/>
        <v>0</v>
      </c>
      <c r="AB2150" s="573"/>
      <c r="AC2150" s="487"/>
      <c r="AD2150" s="573"/>
      <c r="AE2150" s="487"/>
      <c r="AF2150" s="577">
        <f t="shared" si="271"/>
        <v>4386848</v>
      </c>
      <c r="AG2150" s="275">
        <f t="shared" si="272"/>
        <v>4443623</v>
      </c>
    </row>
    <row r="2151" spans="1:33" ht="12" customHeight="1">
      <c r="A2151" s="646" t="s">
        <v>1281</v>
      </c>
      <c r="B2151" s="646" t="s">
        <v>1776</v>
      </c>
      <c r="C2151" s="305" t="s">
        <v>508</v>
      </c>
      <c r="D2151" s="648">
        <v>199263</v>
      </c>
      <c r="E2151" s="660">
        <v>10</v>
      </c>
      <c r="F2151" s="573"/>
      <c r="G2151" s="487"/>
      <c r="H2151" s="573">
        <v>18829</v>
      </c>
      <c r="I2151" s="487">
        <v>34415</v>
      </c>
      <c r="J2151" s="573"/>
      <c r="K2151" s="487"/>
      <c r="L2151" s="573"/>
      <c r="M2151" s="573"/>
      <c r="N2151" s="456">
        <f t="shared" si="273"/>
        <v>0</v>
      </c>
      <c r="O2151" s="487"/>
      <c r="P2151" s="487"/>
      <c r="Q2151" s="274">
        <f t="shared" si="268"/>
        <v>0</v>
      </c>
      <c r="R2151" s="574">
        <f t="shared" si="269"/>
        <v>18829</v>
      </c>
      <c r="S2151" s="275">
        <f t="shared" si="270"/>
        <v>34415</v>
      </c>
      <c r="T2151" s="575"/>
      <c r="U2151" s="487"/>
      <c r="V2151" s="576"/>
      <c r="W2151" s="573"/>
      <c r="X2151" s="574">
        <f t="shared" si="274"/>
        <v>0</v>
      </c>
      <c r="Y2151" s="487"/>
      <c r="Z2151" s="487"/>
      <c r="AA2151" s="276">
        <f t="shared" si="275"/>
        <v>0</v>
      </c>
      <c r="AB2151" s="573"/>
      <c r="AC2151" s="487"/>
      <c r="AD2151" s="573"/>
      <c r="AE2151" s="487"/>
      <c r="AF2151" s="577">
        <f t="shared" si="271"/>
        <v>18829</v>
      </c>
      <c r="AG2151" s="275">
        <f t="shared" si="272"/>
        <v>34415</v>
      </c>
    </row>
    <row r="2152" spans="1:33" ht="12" customHeight="1">
      <c r="A2152" s="646" t="s">
        <v>1281</v>
      </c>
      <c r="B2152" s="646" t="s">
        <v>1778</v>
      </c>
      <c r="C2152" s="305" t="s">
        <v>1891</v>
      </c>
      <c r="D2152" s="648">
        <v>199263</v>
      </c>
      <c r="E2152" s="660">
        <v>10</v>
      </c>
      <c r="F2152" s="573"/>
      <c r="G2152" s="487"/>
      <c r="H2152" s="573">
        <v>104268</v>
      </c>
      <c r="I2152" s="487">
        <v>100603</v>
      </c>
      <c r="J2152" s="573"/>
      <c r="K2152" s="487"/>
      <c r="L2152" s="573"/>
      <c r="M2152" s="573"/>
      <c r="N2152" s="456">
        <f t="shared" si="273"/>
        <v>0</v>
      </c>
      <c r="O2152" s="487"/>
      <c r="P2152" s="487"/>
      <c r="Q2152" s="274">
        <f t="shared" si="268"/>
        <v>0</v>
      </c>
      <c r="R2152" s="574">
        <f t="shared" si="269"/>
        <v>104268</v>
      </c>
      <c r="S2152" s="275">
        <f t="shared" si="270"/>
        <v>100603</v>
      </c>
      <c r="T2152" s="575"/>
      <c r="U2152" s="487"/>
      <c r="V2152" s="576"/>
      <c r="W2152" s="573"/>
      <c r="X2152" s="574">
        <f t="shared" si="274"/>
        <v>0</v>
      </c>
      <c r="Y2152" s="487"/>
      <c r="Z2152" s="487"/>
      <c r="AA2152" s="276">
        <f t="shared" si="275"/>
        <v>0</v>
      </c>
      <c r="AB2152" s="573"/>
      <c r="AC2152" s="487"/>
      <c r="AD2152" s="573"/>
      <c r="AE2152" s="487"/>
      <c r="AF2152" s="577">
        <f t="shared" si="271"/>
        <v>104268</v>
      </c>
      <c r="AG2152" s="275">
        <f t="shared" si="272"/>
        <v>100603</v>
      </c>
    </row>
    <row r="2153" spans="1:33" ht="12" customHeight="1">
      <c r="A2153" s="646" t="s">
        <v>1281</v>
      </c>
      <c r="B2153" s="646" t="s">
        <v>1787</v>
      </c>
      <c r="C2153" s="305" t="s">
        <v>1770</v>
      </c>
      <c r="D2153" s="648">
        <v>199263</v>
      </c>
      <c r="E2153" s="660">
        <v>10</v>
      </c>
      <c r="F2153" s="573"/>
      <c r="G2153" s="487"/>
      <c r="H2153" s="573">
        <v>242820</v>
      </c>
      <c r="I2153" s="487">
        <v>294398</v>
      </c>
      <c r="J2153" s="573"/>
      <c r="K2153" s="487"/>
      <c r="L2153" s="573">
        <v>22887</v>
      </c>
      <c r="M2153" s="573"/>
      <c r="N2153" s="456">
        <f t="shared" si="273"/>
        <v>22887</v>
      </c>
      <c r="O2153" s="487">
        <v>16486</v>
      </c>
      <c r="P2153" s="487"/>
      <c r="Q2153" s="274">
        <f t="shared" si="268"/>
        <v>16486</v>
      </c>
      <c r="R2153" s="574">
        <f t="shared" si="269"/>
        <v>265707</v>
      </c>
      <c r="S2153" s="275">
        <f t="shared" si="270"/>
        <v>310884</v>
      </c>
      <c r="T2153" s="575"/>
      <c r="U2153" s="487"/>
      <c r="V2153" s="576"/>
      <c r="W2153" s="573"/>
      <c r="X2153" s="574">
        <f t="shared" si="274"/>
        <v>0</v>
      </c>
      <c r="Y2153" s="487"/>
      <c r="Z2153" s="487"/>
      <c r="AA2153" s="276">
        <f t="shared" si="275"/>
        <v>0</v>
      </c>
      <c r="AB2153" s="573"/>
      <c r="AC2153" s="487"/>
      <c r="AD2153" s="573"/>
      <c r="AE2153" s="487"/>
      <c r="AF2153" s="577">
        <f t="shared" si="271"/>
        <v>265707</v>
      </c>
      <c r="AG2153" s="275">
        <f t="shared" si="272"/>
        <v>310884</v>
      </c>
    </row>
    <row r="2154" spans="1:33" ht="12" customHeight="1">
      <c r="A2154" s="646" t="s">
        <v>1281</v>
      </c>
      <c r="B2154" s="646" t="s">
        <v>1776</v>
      </c>
      <c r="C2154" s="743" t="s">
        <v>1633</v>
      </c>
      <c r="D2154" s="648">
        <v>199467</v>
      </c>
      <c r="E2154" s="660">
        <v>10</v>
      </c>
      <c r="F2154" s="573">
        <v>4570534</v>
      </c>
      <c r="G2154" s="487">
        <v>4906602</v>
      </c>
      <c r="H2154" s="573"/>
      <c r="I2154" s="487"/>
      <c r="J2154" s="573">
        <v>827737</v>
      </c>
      <c r="K2154" s="487">
        <v>844839</v>
      </c>
      <c r="L2154" s="573">
        <v>938882</v>
      </c>
      <c r="M2154" s="573"/>
      <c r="N2154" s="456">
        <f t="shared" si="273"/>
        <v>938882</v>
      </c>
      <c r="O2154" s="487">
        <v>607466</v>
      </c>
      <c r="P2154" s="487"/>
      <c r="Q2154" s="274">
        <f t="shared" si="268"/>
        <v>607466</v>
      </c>
      <c r="R2154" s="574">
        <f t="shared" si="269"/>
        <v>6337153</v>
      </c>
      <c r="S2154" s="275">
        <f t="shared" si="270"/>
        <v>6358907</v>
      </c>
      <c r="T2154" s="575"/>
      <c r="U2154" s="487"/>
      <c r="V2154" s="576"/>
      <c r="W2154" s="573"/>
      <c r="X2154" s="574">
        <f t="shared" si="274"/>
        <v>0</v>
      </c>
      <c r="Y2154" s="487"/>
      <c r="Z2154" s="487"/>
      <c r="AA2154" s="276">
        <f t="shared" si="275"/>
        <v>0</v>
      </c>
      <c r="AB2154" s="573"/>
      <c r="AC2154" s="487"/>
      <c r="AD2154" s="573"/>
      <c r="AE2154" s="487"/>
      <c r="AF2154" s="577">
        <f t="shared" si="271"/>
        <v>6337153</v>
      </c>
      <c r="AG2154" s="275">
        <f t="shared" si="272"/>
        <v>6358907</v>
      </c>
    </row>
    <row r="2155" spans="1:33" ht="12" customHeight="1">
      <c r="A2155" s="646" t="s">
        <v>1281</v>
      </c>
      <c r="B2155" s="646" t="s">
        <v>1776</v>
      </c>
      <c r="C2155" s="305" t="s">
        <v>508</v>
      </c>
      <c r="D2155" s="648">
        <v>199467</v>
      </c>
      <c r="E2155" s="660">
        <v>10</v>
      </c>
      <c r="F2155" s="573"/>
      <c r="G2155" s="487"/>
      <c r="H2155" s="573">
        <v>33154</v>
      </c>
      <c r="I2155" s="487">
        <v>45272</v>
      </c>
      <c r="J2155" s="573"/>
      <c r="K2155" s="487"/>
      <c r="L2155" s="573"/>
      <c r="M2155" s="573"/>
      <c r="N2155" s="456">
        <f t="shared" si="273"/>
        <v>0</v>
      </c>
      <c r="O2155" s="487"/>
      <c r="P2155" s="487"/>
      <c r="Q2155" s="274">
        <f t="shared" si="268"/>
        <v>0</v>
      </c>
      <c r="R2155" s="574">
        <f t="shared" si="269"/>
        <v>33154</v>
      </c>
      <c r="S2155" s="275">
        <f t="shared" si="270"/>
        <v>45272</v>
      </c>
      <c r="T2155" s="575"/>
      <c r="U2155" s="487"/>
      <c r="V2155" s="576"/>
      <c r="W2155" s="573"/>
      <c r="X2155" s="574">
        <f t="shared" si="274"/>
        <v>0</v>
      </c>
      <c r="Y2155" s="487"/>
      <c r="Z2155" s="487"/>
      <c r="AA2155" s="276">
        <f t="shared" si="275"/>
        <v>0</v>
      </c>
      <c r="AB2155" s="573"/>
      <c r="AC2155" s="487"/>
      <c r="AD2155" s="573"/>
      <c r="AE2155" s="487"/>
      <c r="AF2155" s="577">
        <f t="shared" si="271"/>
        <v>33154</v>
      </c>
      <c r="AG2155" s="275">
        <f t="shared" si="272"/>
        <v>45272</v>
      </c>
    </row>
    <row r="2156" spans="1:33" ht="12" customHeight="1">
      <c r="A2156" s="646" t="s">
        <v>1281</v>
      </c>
      <c r="B2156" s="646" t="s">
        <v>1778</v>
      </c>
      <c r="C2156" s="305" t="s">
        <v>1891</v>
      </c>
      <c r="D2156" s="648">
        <v>199467</v>
      </c>
      <c r="E2156" s="660">
        <v>10</v>
      </c>
      <c r="F2156" s="573"/>
      <c r="G2156" s="487"/>
      <c r="H2156" s="573">
        <v>104569</v>
      </c>
      <c r="I2156" s="487">
        <v>121904</v>
      </c>
      <c r="J2156" s="573"/>
      <c r="K2156" s="487"/>
      <c r="L2156" s="573"/>
      <c r="M2156" s="573"/>
      <c r="N2156" s="456">
        <f t="shared" si="273"/>
        <v>0</v>
      </c>
      <c r="O2156" s="487"/>
      <c r="P2156" s="487"/>
      <c r="Q2156" s="274">
        <f t="shared" si="268"/>
        <v>0</v>
      </c>
      <c r="R2156" s="574">
        <f t="shared" si="269"/>
        <v>104569</v>
      </c>
      <c r="S2156" s="275">
        <f t="shared" si="270"/>
        <v>121904</v>
      </c>
      <c r="T2156" s="575"/>
      <c r="U2156" s="487"/>
      <c r="V2156" s="576"/>
      <c r="W2156" s="573"/>
      <c r="X2156" s="574">
        <f t="shared" si="274"/>
        <v>0</v>
      </c>
      <c r="Y2156" s="487"/>
      <c r="Z2156" s="487"/>
      <c r="AA2156" s="276">
        <f t="shared" si="275"/>
        <v>0</v>
      </c>
      <c r="AB2156" s="573"/>
      <c r="AC2156" s="487"/>
      <c r="AD2156" s="573"/>
      <c r="AE2156" s="487"/>
      <c r="AF2156" s="577">
        <f t="shared" si="271"/>
        <v>104569</v>
      </c>
      <c r="AG2156" s="275">
        <f t="shared" si="272"/>
        <v>121904</v>
      </c>
    </row>
    <row r="2157" spans="1:33" ht="12" customHeight="1">
      <c r="A2157" s="646" t="s">
        <v>1281</v>
      </c>
      <c r="B2157" s="646" t="s">
        <v>1787</v>
      </c>
      <c r="C2157" s="305" t="s">
        <v>1770</v>
      </c>
      <c r="D2157" s="648">
        <v>199467</v>
      </c>
      <c r="E2157" s="660">
        <v>10</v>
      </c>
      <c r="F2157" s="573"/>
      <c r="G2157" s="487"/>
      <c r="H2157" s="573">
        <v>221373</v>
      </c>
      <c r="I2157" s="487">
        <v>220278</v>
      </c>
      <c r="J2157" s="573"/>
      <c r="K2157" s="487"/>
      <c r="L2157" s="573">
        <v>42823</v>
      </c>
      <c r="M2157" s="573"/>
      <c r="N2157" s="456">
        <f t="shared" si="273"/>
        <v>42823</v>
      </c>
      <c r="O2157" s="487">
        <v>35920</v>
      </c>
      <c r="P2157" s="487"/>
      <c r="Q2157" s="274">
        <f t="shared" si="268"/>
        <v>35920</v>
      </c>
      <c r="R2157" s="574">
        <f t="shared" si="269"/>
        <v>264196</v>
      </c>
      <c r="S2157" s="275">
        <f t="shared" si="270"/>
        <v>256198</v>
      </c>
      <c r="T2157" s="575"/>
      <c r="U2157" s="487"/>
      <c r="V2157" s="576"/>
      <c r="W2157" s="573"/>
      <c r="X2157" s="574">
        <f t="shared" si="274"/>
        <v>0</v>
      </c>
      <c r="Y2157" s="487"/>
      <c r="Z2157" s="487"/>
      <c r="AA2157" s="276">
        <f t="shared" si="275"/>
        <v>0</v>
      </c>
      <c r="AB2157" s="573"/>
      <c r="AC2157" s="487"/>
      <c r="AD2157" s="573"/>
      <c r="AE2157" s="487"/>
      <c r="AF2157" s="577">
        <f t="shared" si="271"/>
        <v>264196</v>
      </c>
      <c r="AG2157" s="275">
        <f t="shared" si="272"/>
        <v>256198</v>
      </c>
    </row>
    <row r="2158" spans="1:33" ht="12" customHeight="1">
      <c r="A2158" s="646" t="s">
        <v>1281</v>
      </c>
      <c r="B2158" s="646" t="s">
        <v>1776</v>
      </c>
      <c r="C2158" s="743" t="s">
        <v>1634</v>
      </c>
      <c r="D2158" s="648">
        <v>199625</v>
      </c>
      <c r="E2158" s="660">
        <v>10</v>
      </c>
      <c r="F2158" s="573">
        <v>7451451</v>
      </c>
      <c r="G2158" s="487">
        <v>7546606</v>
      </c>
      <c r="H2158" s="573"/>
      <c r="I2158" s="487"/>
      <c r="J2158" s="573">
        <v>1056739</v>
      </c>
      <c r="K2158" s="487">
        <v>1222308</v>
      </c>
      <c r="L2158" s="573">
        <v>1060287</v>
      </c>
      <c r="M2158" s="573"/>
      <c r="N2158" s="456">
        <f t="shared" si="273"/>
        <v>1060287</v>
      </c>
      <c r="O2158" s="487">
        <v>928771</v>
      </c>
      <c r="P2158" s="487"/>
      <c r="Q2158" s="274">
        <f t="shared" si="268"/>
        <v>928771</v>
      </c>
      <c r="R2158" s="574">
        <f t="shared" si="269"/>
        <v>9568477</v>
      </c>
      <c r="S2158" s="275">
        <f t="shared" si="270"/>
        <v>9697685</v>
      </c>
      <c r="T2158" s="575"/>
      <c r="U2158" s="487"/>
      <c r="V2158" s="576"/>
      <c r="W2158" s="573"/>
      <c r="X2158" s="574">
        <f t="shared" si="274"/>
        <v>0</v>
      </c>
      <c r="Y2158" s="487"/>
      <c r="Z2158" s="487"/>
      <c r="AA2158" s="276">
        <f t="shared" si="275"/>
        <v>0</v>
      </c>
      <c r="AB2158" s="573"/>
      <c r="AC2158" s="487"/>
      <c r="AD2158" s="573"/>
      <c r="AE2158" s="487"/>
      <c r="AF2158" s="577">
        <f t="shared" si="271"/>
        <v>9568477</v>
      </c>
      <c r="AG2158" s="275">
        <f t="shared" si="272"/>
        <v>9697685</v>
      </c>
    </row>
    <row r="2159" spans="1:33" ht="12" customHeight="1">
      <c r="A2159" s="646" t="s">
        <v>1281</v>
      </c>
      <c r="B2159" s="646" t="s">
        <v>1776</v>
      </c>
      <c r="C2159" s="305" t="s">
        <v>508</v>
      </c>
      <c r="D2159" s="648">
        <v>199625</v>
      </c>
      <c r="E2159" s="660">
        <v>10</v>
      </c>
      <c r="F2159" s="573"/>
      <c r="G2159" s="487"/>
      <c r="H2159" s="573">
        <v>67443</v>
      </c>
      <c r="I2159" s="487">
        <v>71697</v>
      </c>
      <c r="J2159" s="573"/>
      <c r="K2159" s="487"/>
      <c r="L2159" s="573"/>
      <c r="M2159" s="573"/>
      <c r="N2159" s="456">
        <f t="shared" si="273"/>
        <v>0</v>
      </c>
      <c r="O2159" s="487"/>
      <c r="P2159" s="487"/>
      <c r="Q2159" s="274">
        <f t="shared" si="268"/>
        <v>0</v>
      </c>
      <c r="R2159" s="574">
        <f t="shared" si="269"/>
        <v>67443</v>
      </c>
      <c r="S2159" s="275">
        <f t="shared" si="270"/>
        <v>71697</v>
      </c>
      <c r="T2159" s="575"/>
      <c r="U2159" s="487"/>
      <c r="V2159" s="576"/>
      <c r="W2159" s="573"/>
      <c r="X2159" s="574">
        <f t="shared" si="274"/>
        <v>0</v>
      </c>
      <c r="Y2159" s="487"/>
      <c r="Z2159" s="487"/>
      <c r="AA2159" s="276">
        <f t="shared" si="275"/>
        <v>0</v>
      </c>
      <c r="AB2159" s="573"/>
      <c r="AC2159" s="487"/>
      <c r="AD2159" s="573"/>
      <c r="AE2159" s="487"/>
      <c r="AF2159" s="577">
        <f t="shared" si="271"/>
        <v>67443</v>
      </c>
      <c r="AG2159" s="275">
        <f t="shared" si="272"/>
        <v>71697</v>
      </c>
    </row>
    <row r="2160" spans="1:33" ht="12" customHeight="1">
      <c r="A2160" s="646" t="s">
        <v>1281</v>
      </c>
      <c r="B2160" s="646" t="s">
        <v>1778</v>
      </c>
      <c r="C2160" s="305" t="s">
        <v>1891</v>
      </c>
      <c r="D2160" s="648">
        <v>199625</v>
      </c>
      <c r="E2160" s="660">
        <v>10</v>
      </c>
      <c r="F2160" s="573"/>
      <c r="G2160" s="487"/>
      <c r="H2160" s="573">
        <v>193384</v>
      </c>
      <c r="I2160" s="487">
        <v>162181</v>
      </c>
      <c r="J2160" s="573"/>
      <c r="K2160" s="487"/>
      <c r="L2160" s="573"/>
      <c r="M2160" s="573"/>
      <c r="N2160" s="456">
        <f t="shared" si="273"/>
        <v>0</v>
      </c>
      <c r="O2160" s="487"/>
      <c r="P2160" s="487"/>
      <c r="Q2160" s="274">
        <f t="shared" si="268"/>
        <v>0</v>
      </c>
      <c r="R2160" s="574">
        <f t="shared" si="269"/>
        <v>193384</v>
      </c>
      <c r="S2160" s="275">
        <f t="shared" si="270"/>
        <v>162181</v>
      </c>
      <c r="T2160" s="575"/>
      <c r="U2160" s="487"/>
      <c r="V2160" s="576"/>
      <c r="W2160" s="573"/>
      <c r="X2160" s="574">
        <f t="shared" si="274"/>
        <v>0</v>
      </c>
      <c r="Y2160" s="487"/>
      <c r="Z2160" s="487"/>
      <c r="AA2160" s="276">
        <f t="shared" si="275"/>
        <v>0</v>
      </c>
      <c r="AB2160" s="573"/>
      <c r="AC2160" s="487"/>
      <c r="AD2160" s="573"/>
      <c r="AE2160" s="487"/>
      <c r="AF2160" s="577">
        <f t="shared" si="271"/>
        <v>193384</v>
      </c>
      <c r="AG2160" s="275">
        <f t="shared" si="272"/>
        <v>162181</v>
      </c>
    </row>
    <row r="2161" spans="1:33" ht="12" customHeight="1">
      <c r="A2161" s="646" t="s">
        <v>1281</v>
      </c>
      <c r="B2161" s="646" t="s">
        <v>1787</v>
      </c>
      <c r="C2161" s="305" t="s">
        <v>1770</v>
      </c>
      <c r="D2161" s="648">
        <v>199625</v>
      </c>
      <c r="E2161" s="660">
        <v>10</v>
      </c>
      <c r="F2161" s="573"/>
      <c r="G2161" s="487"/>
      <c r="H2161" s="573">
        <v>724052</v>
      </c>
      <c r="I2161" s="487">
        <v>775251</v>
      </c>
      <c r="J2161" s="573"/>
      <c r="K2161" s="487"/>
      <c r="L2161" s="573">
        <v>112389</v>
      </c>
      <c r="M2161" s="573"/>
      <c r="N2161" s="456">
        <f t="shared" si="273"/>
        <v>112389</v>
      </c>
      <c r="O2161" s="487">
        <v>64275</v>
      </c>
      <c r="P2161" s="487"/>
      <c r="Q2161" s="274">
        <f t="shared" si="268"/>
        <v>64275</v>
      </c>
      <c r="R2161" s="574">
        <f t="shared" si="269"/>
        <v>836441</v>
      </c>
      <c r="S2161" s="275">
        <f t="shared" si="270"/>
        <v>839526</v>
      </c>
      <c r="T2161" s="575"/>
      <c r="U2161" s="487"/>
      <c r="V2161" s="576"/>
      <c r="W2161" s="573"/>
      <c r="X2161" s="574">
        <f t="shared" si="274"/>
        <v>0</v>
      </c>
      <c r="Y2161" s="487"/>
      <c r="Z2161" s="487"/>
      <c r="AA2161" s="276">
        <f t="shared" si="275"/>
        <v>0</v>
      </c>
      <c r="AB2161" s="573"/>
      <c r="AC2161" s="487"/>
      <c r="AD2161" s="573"/>
      <c r="AE2161" s="487"/>
      <c r="AF2161" s="577">
        <f t="shared" si="271"/>
        <v>836441</v>
      </c>
      <c r="AG2161" s="275">
        <f t="shared" si="272"/>
        <v>839526</v>
      </c>
    </row>
    <row r="2162" spans="1:33" ht="12" customHeight="1">
      <c r="A2162" s="646" t="s">
        <v>1281</v>
      </c>
      <c r="B2162" s="646" t="s">
        <v>1776</v>
      </c>
      <c r="C2162" s="743" t="s">
        <v>1635</v>
      </c>
      <c r="D2162" s="648">
        <v>199795</v>
      </c>
      <c r="E2162" s="660">
        <v>10</v>
      </c>
      <c r="F2162" s="573">
        <v>4597049</v>
      </c>
      <c r="G2162" s="487">
        <v>4882386</v>
      </c>
      <c r="H2162" s="573"/>
      <c r="I2162" s="487"/>
      <c r="J2162" s="573">
        <v>915321</v>
      </c>
      <c r="K2162" s="487">
        <v>1021084</v>
      </c>
      <c r="L2162" s="573">
        <v>1025230</v>
      </c>
      <c r="M2162" s="573"/>
      <c r="N2162" s="456">
        <f t="shared" si="273"/>
        <v>1025230</v>
      </c>
      <c r="O2162" s="487">
        <v>826937</v>
      </c>
      <c r="P2162" s="487"/>
      <c r="Q2162" s="274">
        <f t="shared" si="268"/>
        <v>826937</v>
      </c>
      <c r="R2162" s="574">
        <f t="shared" si="269"/>
        <v>6537600</v>
      </c>
      <c r="S2162" s="275">
        <f t="shared" si="270"/>
        <v>6730407</v>
      </c>
      <c r="T2162" s="575"/>
      <c r="U2162" s="487"/>
      <c r="V2162" s="576"/>
      <c r="W2162" s="573"/>
      <c r="X2162" s="574">
        <f t="shared" si="274"/>
        <v>0</v>
      </c>
      <c r="Y2162" s="487"/>
      <c r="Z2162" s="487"/>
      <c r="AA2162" s="276">
        <f t="shared" si="275"/>
        <v>0</v>
      </c>
      <c r="AB2162" s="573"/>
      <c r="AC2162" s="487"/>
      <c r="AD2162" s="573"/>
      <c r="AE2162" s="487"/>
      <c r="AF2162" s="577">
        <f t="shared" si="271"/>
        <v>6537600</v>
      </c>
      <c r="AG2162" s="275">
        <f t="shared" si="272"/>
        <v>6730407</v>
      </c>
    </row>
    <row r="2163" spans="1:33" ht="12" customHeight="1">
      <c r="A2163" s="646" t="s">
        <v>1281</v>
      </c>
      <c r="B2163" s="646" t="s">
        <v>1776</v>
      </c>
      <c r="C2163" s="305" t="s">
        <v>508</v>
      </c>
      <c r="D2163" s="648">
        <v>199795</v>
      </c>
      <c r="E2163" s="660">
        <v>10</v>
      </c>
      <c r="F2163" s="573"/>
      <c r="G2163" s="487"/>
      <c r="H2163" s="573">
        <f>29433+1</f>
        <v>29434</v>
      </c>
      <c r="I2163" s="487">
        <v>48214</v>
      </c>
      <c r="J2163" s="573"/>
      <c r="K2163" s="487"/>
      <c r="L2163" s="573"/>
      <c r="M2163" s="573"/>
      <c r="N2163" s="456">
        <f t="shared" si="273"/>
        <v>0</v>
      </c>
      <c r="O2163" s="487"/>
      <c r="P2163" s="487"/>
      <c r="Q2163" s="274">
        <f t="shared" si="268"/>
        <v>0</v>
      </c>
      <c r="R2163" s="574">
        <f t="shared" si="269"/>
        <v>29434</v>
      </c>
      <c r="S2163" s="275">
        <f t="shared" si="270"/>
        <v>48214</v>
      </c>
      <c r="T2163" s="575"/>
      <c r="U2163" s="487"/>
      <c r="V2163" s="576"/>
      <c r="W2163" s="573"/>
      <c r="X2163" s="574">
        <f t="shared" si="274"/>
        <v>0</v>
      </c>
      <c r="Y2163" s="487"/>
      <c r="Z2163" s="487"/>
      <c r="AA2163" s="276">
        <f t="shared" si="275"/>
        <v>0</v>
      </c>
      <c r="AB2163" s="573"/>
      <c r="AC2163" s="487"/>
      <c r="AD2163" s="573"/>
      <c r="AE2163" s="487"/>
      <c r="AF2163" s="577">
        <f t="shared" si="271"/>
        <v>29434</v>
      </c>
      <c r="AG2163" s="275">
        <f t="shared" si="272"/>
        <v>48214</v>
      </c>
    </row>
    <row r="2164" spans="1:33" ht="12" customHeight="1">
      <c r="A2164" s="646" t="s">
        <v>1281</v>
      </c>
      <c r="B2164" s="646" t="s">
        <v>1778</v>
      </c>
      <c r="C2164" s="305" t="s">
        <v>1891</v>
      </c>
      <c r="D2164" s="648">
        <v>199795</v>
      </c>
      <c r="E2164" s="660">
        <v>10</v>
      </c>
      <c r="F2164" s="573"/>
      <c r="G2164" s="487"/>
      <c r="H2164" s="573">
        <v>114043</v>
      </c>
      <c r="I2164" s="487">
        <v>133578</v>
      </c>
      <c r="J2164" s="573"/>
      <c r="K2164" s="487"/>
      <c r="L2164" s="573"/>
      <c r="M2164" s="573"/>
      <c r="N2164" s="456">
        <f t="shared" si="273"/>
        <v>0</v>
      </c>
      <c r="O2164" s="487"/>
      <c r="P2164" s="487"/>
      <c r="Q2164" s="274">
        <f t="shared" si="268"/>
        <v>0</v>
      </c>
      <c r="R2164" s="574">
        <f t="shared" si="269"/>
        <v>114043</v>
      </c>
      <c r="S2164" s="275">
        <f t="shared" si="270"/>
        <v>133578</v>
      </c>
      <c r="T2164" s="575"/>
      <c r="U2164" s="487"/>
      <c r="V2164" s="576"/>
      <c r="W2164" s="573"/>
      <c r="X2164" s="574">
        <f t="shared" si="274"/>
        <v>0</v>
      </c>
      <c r="Y2164" s="487"/>
      <c r="Z2164" s="487"/>
      <c r="AA2164" s="276">
        <f t="shared" si="275"/>
        <v>0</v>
      </c>
      <c r="AB2164" s="573"/>
      <c r="AC2164" s="487"/>
      <c r="AD2164" s="573"/>
      <c r="AE2164" s="487"/>
      <c r="AF2164" s="577">
        <f t="shared" si="271"/>
        <v>114043</v>
      </c>
      <c r="AG2164" s="275">
        <f t="shared" si="272"/>
        <v>133578</v>
      </c>
    </row>
    <row r="2165" spans="1:33" ht="12" customHeight="1" thickBot="1">
      <c r="A2165" s="646" t="s">
        <v>1281</v>
      </c>
      <c r="B2165" s="646" t="s">
        <v>1787</v>
      </c>
      <c r="C2165" s="305" t="s">
        <v>1770</v>
      </c>
      <c r="D2165" s="648">
        <v>199795</v>
      </c>
      <c r="E2165" s="660">
        <v>10</v>
      </c>
      <c r="F2165" s="573"/>
      <c r="G2165" s="487"/>
      <c r="H2165" s="573">
        <v>614875</v>
      </c>
      <c r="I2165" s="487">
        <v>674238</v>
      </c>
      <c r="J2165" s="573"/>
      <c r="K2165" s="487"/>
      <c r="L2165" s="573">
        <v>65522</v>
      </c>
      <c r="M2165" s="573"/>
      <c r="N2165" s="456">
        <f t="shared" si="273"/>
        <v>65522</v>
      </c>
      <c r="O2165" s="487">
        <v>74442</v>
      </c>
      <c r="P2165" s="487"/>
      <c r="Q2165" s="274">
        <f t="shared" si="268"/>
        <v>74442</v>
      </c>
      <c r="R2165" s="574">
        <f t="shared" si="269"/>
        <v>680397</v>
      </c>
      <c r="S2165" s="275">
        <f t="shared" si="270"/>
        <v>748680</v>
      </c>
      <c r="T2165" s="575"/>
      <c r="U2165" s="487"/>
      <c r="V2165" s="576"/>
      <c r="W2165" s="573"/>
      <c r="X2165" s="574">
        <f t="shared" si="274"/>
        <v>0</v>
      </c>
      <c r="Y2165" s="487"/>
      <c r="Z2165" s="487"/>
      <c r="AA2165" s="276">
        <f t="shared" si="275"/>
        <v>0</v>
      </c>
      <c r="AB2165" s="573"/>
      <c r="AC2165" s="487"/>
      <c r="AD2165" s="573"/>
      <c r="AE2165" s="487"/>
      <c r="AF2165" s="577">
        <f t="shared" si="271"/>
        <v>680397</v>
      </c>
      <c r="AG2165" s="275">
        <f t="shared" si="272"/>
        <v>748680</v>
      </c>
    </row>
    <row r="2166" spans="1:33" ht="12" customHeight="1">
      <c r="A2166" s="646" t="s">
        <v>1281</v>
      </c>
      <c r="B2166" s="646" t="s">
        <v>1792</v>
      </c>
      <c r="C2166" s="309" t="s">
        <v>249</v>
      </c>
      <c r="D2166" s="654"/>
      <c r="E2166" s="655"/>
      <c r="F2166" s="573"/>
      <c r="G2166" s="487"/>
      <c r="H2166" s="587"/>
      <c r="I2166" s="499"/>
      <c r="J2166" s="573"/>
      <c r="K2166" s="487"/>
      <c r="L2166" s="573"/>
      <c r="M2166" s="573"/>
      <c r="N2166" s="456">
        <f t="shared" si="273"/>
        <v>0</v>
      </c>
      <c r="O2166" s="487"/>
      <c r="P2166" s="487"/>
      <c r="Q2166" s="274">
        <f t="shared" si="268"/>
        <v>0</v>
      </c>
      <c r="R2166" s="574">
        <f t="shared" si="269"/>
        <v>0</v>
      </c>
      <c r="S2166" s="275">
        <f t="shared" si="270"/>
        <v>0</v>
      </c>
      <c r="T2166" s="575"/>
      <c r="U2166" s="487"/>
      <c r="V2166" s="576"/>
      <c r="W2166" s="573"/>
      <c r="X2166" s="574">
        <f t="shared" si="274"/>
        <v>0</v>
      </c>
      <c r="Y2166" s="487"/>
      <c r="Z2166" s="487"/>
      <c r="AA2166" s="276">
        <f t="shared" si="275"/>
        <v>0</v>
      </c>
      <c r="AB2166" s="573"/>
      <c r="AC2166" s="487"/>
      <c r="AD2166" s="573"/>
      <c r="AE2166" s="487"/>
      <c r="AF2166" s="577">
        <f t="shared" si="271"/>
        <v>0</v>
      </c>
      <c r="AG2166" s="275">
        <f t="shared" si="272"/>
        <v>0</v>
      </c>
    </row>
    <row r="2167" spans="1:33" ht="12" customHeight="1">
      <c r="A2167" s="646" t="s">
        <v>1281</v>
      </c>
      <c r="B2167" s="646" t="s">
        <v>1792</v>
      </c>
      <c r="C2167" s="651" t="s">
        <v>1636</v>
      </c>
      <c r="D2167" s="654"/>
      <c r="E2167" s="660"/>
      <c r="F2167" s="573"/>
      <c r="G2167" s="487"/>
      <c r="H2167" s="576">
        <v>1657805</v>
      </c>
      <c r="I2167" s="487">
        <v>1268478</v>
      </c>
      <c r="J2167" s="573"/>
      <c r="K2167" s="487"/>
      <c r="L2167" s="573"/>
      <c r="M2167" s="573"/>
      <c r="N2167" s="456">
        <f t="shared" si="273"/>
        <v>0</v>
      </c>
      <c r="O2167" s="487"/>
      <c r="P2167" s="487"/>
      <c r="Q2167" s="274">
        <f t="shared" si="268"/>
        <v>0</v>
      </c>
      <c r="R2167" s="574">
        <f t="shared" si="269"/>
        <v>1657805</v>
      </c>
      <c r="S2167" s="275">
        <f t="shared" si="270"/>
        <v>1268478</v>
      </c>
      <c r="T2167" s="575"/>
      <c r="U2167" s="487"/>
      <c r="V2167" s="576"/>
      <c r="W2167" s="573"/>
      <c r="X2167" s="574">
        <f t="shared" si="274"/>
        <v>0</v>
      </c>
      <c r="Y2167" s="487"/>
      <c r="Z2167" s="487"/>
      <c r="AA2167" s="276">
        <f t="shared" si="275"/>
        <v>0</v>
      </c>
      <c r="AB2167" s="573"/>
      <c r="AC2167" s="487"/>
      <c r="AD2167" s="573"/>
      <c r="AE2167" s="487"/>
      <c r="AF2167" s="577">
        <f t="shared" si="271"/>
        <v>1657805</v>
      </c>
      <c r="AG2167" s="275">
        <f t="shared" si="272"/>
        <v>1268478</v>
      </c>
    </row>
    <row r="2168" spans="1:33" ht="12" customHeight="1">
      <c r="A2168" s="646" t="s">
        <v>1281</v>
      </c>
      <c r="B2168" s="646" t="s">
        <v>1792</v>
      </c>
      <c r="C2168" s="651" t="s">
        <v>1637</v>
      </c>
      <c r="D2168" s="654"/>
      <c r="E2168" s="660"/>
      <c r="F2168" s="573"/>
      <c r="G2168" s="487"/>
      <c r="H2168" s="576">
        <f>6529608+4453662</f>
        <v>10983270</v>
      </c>
      <c r="I2168" s="487">
        <v>8284710</v>
      </c>
      <c r="J2168" s="573"/>
      <c r="K2168" s="487"/>
      <c r="L2168" s="573"/>
      <c r="M2168" s="573"/>
      <c r="N2168" s="456">
        <f t="shared" si="273"/>
        <v>0</v>
      </c>
      <c r="O2168" s="487"/>
      <c r="P2168" s="487"/>
      <c r="Q2168" s="274">
        <f t="shared" si="268"/>
        <v>0</v>
      </c>
      <c r="R2168" s="574">
        <f t="shared" si="269"/>
        <v>10983270</v>
      </c>
      <c r="S2168" s="275">
        <f t="shared" si="270"/>
        <v>8284710</v>
      </c>
      <c r="T2168" s="575"/>
      <c r="U2168" s="487"/>
      <c r="V2168" s="576"/>
      <c r="W2168" s="573"/>
      <c r="X2168" s="574">
        <f t="shared" si="274"/>
        <v>0</v>
      </c>
      <c r="Y2168" s="487"/>
      <c r="Z2168" s="487"/>
      <c r="AA2168" s="276">
        <f t="shared" si="275"/>
        <v>0</v>
      </c>
      <c r="AB2168" s="573"/>
      <c r="AC2168" s="487"/>
      <c r="AD2168" s="573"/>
      <c r="AE2168" s="487"/>
      <c r="AF2168" s="577">
        <f t="shared" si="271"/>
        <v>10983270</v>
      </c>
      <c r="AG2168" s="275">
        <f t="shared" si="272"/>
        <v>8284710</v>
      </c>
    </row>
    <row r="2169" spans="1:33" ht="12" customHeight="1" thickBot="1">
      <c r="A2169" s="646" t="s">
        <v>1281</v>
      </c>
      <c r="B2169" s="646" t="s">
        <v>1792</v>
      </c>
      <c r="C2169" s="651" t="s">
        <v>1638</v>
      </c>
      <c r="D2169" s="654"/>
      <c r="E2169" s="660"/>
      <c r="F2169" s="573"/>
      <c r="G2169" s="487"/>
      <c r="H2169" s="591">
        <v>80000</v>
      </c>
      <c r="I2169" s="471">
        <v>80000</v>
      </c>
      <c r="J2169" s="573"/>
      <c r="K2169" s="487"/>
      <c r="L2169" s="573"/>
      <c r="M2169" s="573"/>
      <c r="N2169" s="456">
        <f t="shared" si="273"/>
        <v>0</v>
      </c>
      <c r="O2169" s="487"/>
      <c r="P2169" s="487"/>
      <c r="Q2169" s="274">
        <f t="shared" si="268"/>
        <v>0</v>
      </c>
      <c r="R2169" s="574">
        <f t="shared" si="269"/>
        <v>80000</v>
      </c>
      <c r="S2169" s="275">
        <f t="shared" si="270"/>
        <v>80000</v>
      </c>
      <c r="T2169" s="575"/>
      <c r="U2169" s="487"/>
      <c r="V2169" s="576"/>
      <c r="W2169" s="573"/>
      <c r="X2169" s="574">
        <f t="shared" si="274"/>
        <v>0</v>
      </c>
      <c r="Y2169" s="487"/>
      <c r="Z2169" s="487"/>
      <c r="AA2169" s="276">
        <f t="shared" si="275"/>
        <v>0</v>
      </c>
      <c r="AB2169" s="573"/>
      <c r="AC2169" s="487"/>
      <c r="AD2169" s="573"/>
      <c r="AE2169" s="487"/>
      <c r="AF2169" s="577">
        <f t="shared" si="271"/>
        <v>80000</v>
      </c>
      <c r="AG2169" s="275">
        <f t="shared" si="272"/>
        <v>80000</v>
      </c>
    </row>
    <row r="2170" spans="1:33" ht="12" customHeight="1">
      <c r="A2170" s="646" t="s">
        <v>1281</v>
      </c>
      <c r="B2170" s="646" t="s">
        <v>1794</v>
      </c>
      <c r="C2170" s="307" t="s">
        <v>849</v>
      </c>
      <c r="D2170" s="648"/>
      <c r="E2170" s="649"/>
      <c r="F2170" s="573"/>
      <c r="G2170" s="487"/>
      <c r="H2170" s="573"/>
      <c r="I2170" s="487"/>
      <c r="J2170" s="573"/>
      <c r="K2170" s="487"/>
      <c r="L2170" s="573"/>
      <c r="M2170" s="573"/>
      <c r="N2170" s="456">
        <f t="shared" si="273"/>
        <v>0</v>
      </c>
      <c r="O2170" s="487"/>
      <c r="P2170" s="487"/>
      <c r="Q2170" s="274">
        <f t="shared" si="268"/>
        <v>0</v>
      </c>
      <c r="R2170" s="574">
        <f t="shared" si="269"/>
        <v>0</v>
      </c>
      <c r="S2170" s="275">
        <f t="shared" si="270"/>
        <v>0</v>
      </c>
      <c r="T2170" s="575"/>
      <c r="U2170" s="487"/>
      <c r="V2170" s="576"/>
      <c r="W2170" s="573"/>
      <c r="X2170" s="574">
        <f t="shared" si="274"/>
        <v>0</v>
      </c>
      <c r="Y2170" s="487"/>
      <c r="Z2170" s="487"/>
      <c r="AA2170" s="276">
        <f t="shared" si="275"/>
        <v>0</v>
      </c>
      <c r="AB2170" s="573"/>
      <c r="AC2170" s="487"/>
      <c r="AD2170" s="573"/>
      <c r="AE2170" s="487"/>
      <c r="AF2170" s="577">
        <f t="shared" si="271"/>
        <v>0</v>
      </c>
      <c r="AG2170" s="275">
        <f t="shared" si="272"/>
        <v>0</v>
      </c>
    </row>
    <row r="2171" spans="1:33" ht="12" customHeight="1">
      <c r="A2171" s="646" t="s">
        <v>1281</v>
      </c>
      <c r="B2171" s="646" t="s">
        <v>1796</v>
      </c>
      <c r="C2171" s="306" t="s">
        <v>956</v>
      </c>
      <c r="D2171" s="648"/>
      <c r="E2171" s="649"/>
      <c r="F2171" s="573"/>
      <c r="G2171" s="487"/>
      <c r="H2171" s="573"/>
      <c r="I2171" s="487"/>
      <c r="J2171" s="573"/>
      <c r="K2171" s="487"/>
      <c r="L2171" s="573"/>
      <c r="M2171" s="573"/>
      <c r="N2171" s="456">
        <f t="shared" si="273"/>
        <v>0</v>
      </c>
      <c r="O2171" s="487"/>
      <c r="P2171" s="487"/>
      <c r="Q2171" s="274">
        <f t="shared" si="268"/>
        <v>0</v>
      </c>
      <c r="R2171" s="574">
        <f t="shared" si="269"/>
        <v>0</v>
      </c>
      <c r="S2171" s="275">
        <f t="shared" si="270"/>
        <v>0</v>
      </c>
      <c r="T2171" s="575"/>
      <c r="U2171" s="487"/>
      <c r="V2171" s="576"/>
      <c r="W2171" s="573"/>
      <c r="X2171" s="574">
        <f t="shared" si="274"/>
        <v>0</v>
      </c>
      <c r="Y2171" s="487"/>
      <c r="Z2171" s="487"/>
      <c r="AA2171" s="276">
        <f t="shared" si="275"/>
        <v>0</v>
      </c>
      <c r="AB2171" s="573"/>
      <c r="AC2171" s="487"/>
      <c r="AD2171" s="573"/>
      <c r="AE2171" s="487"/>
      <c r="AF2171" s="577">
        <f t="shared" si="271"/>
        <v>0</v>
      </c>
      <c r="AG2171" s="275">
        <f t="shared" si="272"/>
        <v>0</v>
      </c>
    </row>
    <row r="2172" spans="1:33" ht="12" customHeight="1">
      <c r="A2172" s="646" t="s">
        <v>1281</v>
      </c>
      <c r="B2172" s="646" t="s">
        <v>1796</v>
      </c>
      <c r="C2172" s="652" t="s">
        <v>1639</v>
      </c>
      <c r="D2172" s="648"/>
      <c r="E2172" s="649"/>
      <c r="F2172" s="573"/>
      <c r="G2172" s="487"/>
      <c r="H2172" s="573"/>
      <c r="I2172" s="487"/>
      <c r="J2172" s="573"/>
      <c r="K2172" s="487"/>
      <c r="L2172" s="573"/>
      <c r="M2172" s="573"/>
      <c r="N2172" s="456">
        <f t="shared" si="273"/>
        <v>0</v>
      </c>
      <c r="O2172" s="487"/>
      <c r="P2172" s="487"/>
      <c r="Q2172" s="274">
        <f t="shared" si="268"/>
        <v>0</v>
      </c>
      <c r="R2172" s="574">
        <f t="shared" si="269"/>
        <v>0</v>
      </c>
      <c r="S2172" s="275">
        <f t="shared" si="270"/>
        <v>0</v>
      </c>
      <c r="T2172" s="575">
        <v>36751864</v>
      </c>
      <c r="U2172" s="487">
        <v>28174586</v>
      </c>
      <c r="V2172" s="576"/>
      <c r="W2172" s="573"/>
      <c r="X2172" s="574">
        <f t="shared" si="274"/>
        <v>0</v>
      </c>
      <c r="Y2172" s="487"/>
      <c r="Z2172" s="487"/>
      <c r="AA2172" s="276">
        <f t="shared" si="275"/>
        <v>0</v>
      </c>
      <c r="AB2172" s="573"/>
      <c r="AC2172" s="487"/>
      <c r="AD2172" s="573"/>
      <c r="AE2172" s="487"/>
      <c r="AF2172" s="577">
        <f t="shared" si="271"/>
        <v>36751864</v>
      </c>
      <c r="AG2172" s="275">
        <f t="shared" si="272"/>
        <v>28174586</v>
      </c>
    </row>
    <row r="2173" spans="1:33" ht="12" customHeight="1">
      <c r="A2173" s="594" t="s">
        <v>1282</v>
      </c>
      <c r="B2173" s="569" t="s">
        <v>1776</v>
      </c>
      <c r="C2173" s="570" t="s">
        <v>1640</v>
      </c>
      <c r="D2173" s="571" t="s">
        <v>1641</v>
      </c>
      <c r="E2173" s="572">
        <v>1</v>
      </c>
      <c r="F2173" s="573">
        <f>132756603-1803211</f>
        <v>130953392</v>
      </c>
      <c r="G2173" s="487">
        <f>129734428-1803211</f>
        <v>127931217</v>
      </c>
      <c r="H2173" s="573"/>
      <c r="I2173" s="487"/>
      <c r="J2173" s="573"/>
      <c r="K2173" s="487"/>
      <c r="L2173" s="573">
        <v>137423104</v>
      </c>
      <c r="M2173" s="573"/>
      <c r="N2173" s="456">
        <f t="shared" si="273"/>
        <v>137423104</v>
      </c>
      <c r="O2173" s="487">
        <v>152871688</v>
      </c>
      <c r="P2173" s="487"/>
      <c r="Q2173" s="274">
        <f t="shared" si="268"/>
        <v>152871688</v>
      </c>
      <c r="R2173" s="574">
        <f t="shared" si="269"/>
        <v>268376496</v>
      </c>
      <c r="S2173" s="275">
        <f t="shared" si="270"/>
        <v>280802905</v>
      </c>
      <c r="T2173" s="575"/>
      <c r="U2173" s="487"/>
      <c r="V2173" s="576"/>
      <c r="W2173" s="573"/>
      <c r="X2173" s="574">
        <f t="shared" si="274"/>
        <v>0</v>
      </c>
      <c r="Y2173" s="487"/>
      <c r="Z2173" s="487"/>
      <c r="AA2173" s="276">
        <f t="shared" si="275"/>
        <v>0</v>
      </c>
      <c r="AB2173" s="573"/>
      <c r="AC2173" s="487"/>
      <c r="AD2173" s="573"/>
      <c r="AE2173" s="487"/>
      <c r="AF2173" s="577">
        <f t="shared" si="271"/>
        <v>268376496</v>
      </c>
      <c r="AG2173" s="275">
        <f t="shared" si="272"/>
        <v>280802905</v>
      </c>
    </row>
    <row r="2174" spans="1:33" ht="12" customHeight="1">
      <c r="A2174" s="594" t="s">
        <v>1282</v>
      </c>
      <c r="B2174" s="569" t="s">
        <v>1793</v>
      </c>
      <c r="C2174" s="579" t="s">
        <v>462</v>
      </c>
      <c r="D2174" s="571" t="s">
        <v>1641</v>
      </c>
      <c r="E2174" s="572">
        <v>1</v>
      </c>
      <c r="F2174" s="573"/>
      <c r="G2174" s="487"/>
      <c r="H2174" s="573"/>
      <c r="I2174" s="487"/>
      <c r="J2174" s="573"/>
      <c r="K2174" s="487"/>
      <c r="L2174" s="573"/>
      <c r="M2174" s="573"/>
      <c r="N2174" s="456">
        <f t="shared" si="273"/>
        <v>0</v>
      </c>
      <c r="O2174" s="487"/>
      <c r="P2174" s="487"/>
      <c r="Q2174" s="274">
        <f t="shared" si="268"/>
        <v>0</v>
      </c>
      <c r="R2174" s="574">
        <f t="shared" si="269"/>
        <v>0</v>
      </c>
      <c r="S2174" s="275">
        <f t="shared" si="270"/>
        <v>0</v>
      </c>
      <c r="T2174" s="575"/>
      <c r="U2174" s="487"/>
      <c r="V2174" s="576"/>
      <c r="W2174" s="573"/>
      <c r="X2174" s="574">
        <f t="shared" si="274"/>
        <v>0</v>
      </c>
      <c r="Y2174" s="487"/>
      <c r="Z2174" s="487"/>
      <c r="AA2174" s="276">
        <f t="shared" si="275"/>
        <v>0</v>
      </c>
      <c r="AB2174" s="573">
        <v>11559909</v>
      </c>
      <c r="AC2174" s="487">
        <v>11649928</v>
      </c>
      <c r="AD2174" s="573">
        <v>5384633</v>
      </c>
      <c r="AE2174" s="487">
        <v>5870020</v>
      </c>
      <c r="AF2174" s="577">
        <f t="shared" si="271"/>
        <v>16944542</v>
      </c>
      <c r="AG2174" s="275">
        <f t="shared" si="272"/>
        <v>17519948</v>
      </c>
    </row>
    <row r="2175" spans="1:33" ht="12" customHeight="1">
      <c r="A2175" s="594" t="s">
        <v>1282</v>
      </c>
      <c r="B2175" s="569" t="s">
        <v>1793</v>
      </c>
      <c r="C2175" s="238" t="s">
        <v>1642</v>
      </c>
      <c r="D2175" s="571" t="s">
        <v>1643</v>
      </c>
      <c r="E2175" s="572">
        <v>1</v>
      </c>
      <c r="F2175" s="573"/>
      <c r="G2175" s="487"/>
      <c r="H2175" s="573"/>
      <c r="I2175" s="487"/>
      <c r="J2175" s="573"/>
      <c r="K2175" s="487"/>
      <c r="L2175" s="573"/>
      <c r="M2175" s="573"/>
      <c r="N2175" s="456">
        <f t="shared" si="273"/>
        <v>0</v>
      </c>
      <c r="O2175" s="487"/>
      <c r="P2175" s="487"/>
      <c r="Q2175" s="274">
        <f t="shared" si="268"/>
        <v>0</v>
      </c>
      <c r="R2175" s="574">
        <f t="shared" si="269"/>
        <v>0</v>
      </c>
      <c r="S2175" s="275">
        <f t="shared" si="270"/>
        <v>0</v>
      </c>
      <c r="T2175" s="575"/>
      <c r="U2175" s="487"/>
      <c r="V2175" s="576"/>
      <c r="W2175" s="573"/>
      <c r="X2175" s="574">
        <f t="shared" si="274"/>
        <v>0</v>
      </c>
      <c r="Y2175" s="487"/>
      <c r="Z2175" s="487"/>
      <c r="AA2175" s="276">
        <f t="shared" si="275"/>
        <v>0</v>
      </c>
      <c r="AB2175" s="573">
        <v>14827128</v>
      </c>
      <c r="AC2175" s="487">
        <v>14991461</v>
      </c>
      <c r="AD2175" s="573">
        <v>6962590</v>
      </c>
      <c r="AE2175" s="487">
        <v>7676184</v>
      </c>
      <c r="AF2175" s="577">
        <f t="shared" si="271"/>
        <v>21789718</v>
      </c>
      <c r="AG2175" s="275">
        <f t="shared" si="272"/>
        <v>22667645</v>
      </c>
    </row>
    <row r="2176" spans="1:33" ht="12" customHeight="1">
      <c r="A2176" s="594" t="s">
        <v>1282</v>
      </c>
      <c r="B2176" s="569" t="s">
        <v>1780</v>
      </c>
      <c r="C2176" s="238" t="s">
        <v>1769</v>
      </c>
      <c r="D2176" s="571" t="s">
        <v>1641</v>
      </c>
      <c r="E2176" s="572">
        <v>1</v>
      </c>
      <c r="F2176" s="573"/>
      <c r="G2176" s="487"/>
      <c r="H2176" s="573">
        <v>29792416</v>
      </c>
      <c r="I2176" s="487">
        <v>30017859</v>
      </c>
      <c r="J2176" s="573"/>
      <c r="K2176" s="487"/>
      <c r="L2176" s="573"/>
      <c r="M2176" s="573"/>
      <c r="N2176" s="456">
        <f t="shared" si="273"/>
        <v>0</v>
      </c>
      <c r="O2176" s="487"/>
      <c r="P2176" s="487"/>
      <c r="Q2176" s="274">
        <f t="shared" si="268"/>
        <v>0</v>
      </c>
      <c r="R2176" s="574">
        <f t="shared" si="269"/>
        <v>29792416</v>
      </c>
      <c r="S2176" s="275">
        <f t="shared" si="270"/>
        <v>30017859</v>
      </c>
      <c r="T2176" s="575"/>
      <c r="U2176" s="487"/>
      <c r="V2176" s="576"/>
      <c r="W2176" s="573"/>
      <c r="X2176" s="574">
        <f t="shared" si="274"/>
        <v>0</v>
      </c>
      <c r="Y2176" s="487"/>
      <c r="Z2176" s="487"/>
      <c r="AA2176" s="276">
        <f t="shared" si="275"/>
        <v>0</v>
      </c>
      <c r="AB2176" s="573"/>
      <c r="AC2176" s="487"/>
      <c r="AD2176" s="573"/>
      <c r="AE2176" s="487"/>
      <c r="AF2176" s="577">
        <f t="shared" si="271"/>
        <v>29792416</v>
      </c>
      <c r="AG2176" s="275">
        <f t="shared" si="272"/>
        <v>30017859</v>
      </c>
    </row>
    <row r="2177" spans="1:33" ht="12" customHeight="1">
      <c r="A2177" s="594" t="s">
        <v>1282</v>
      </c>
      <c r="B2177" s="569" t="s">
        <v>1781</v>
      </c>
      <c r="C2177" s="238" t="s">
        <v>1768</v>
      </c>
      <c r="D2177" s="571" t="s">
        <v>1641</v>
      </c>
      <c r="E2177" s="572">
        <v>1</v>
      </c>
      <c r="F2177" s="573"/>
      <c r="G2177" s="487"/>
      <c r="H2177" s="573">
        <v>29635879</v>
      </c>
      <c r="I2177" s="487">
        <v>29818928</v>
      </c>
      <c r="J2177" s="573"/>
      <c r="K2177" s="487"/>
      <c r="L2177" s="573"/>
      <c r="M2177" s="573"/>
      <c r="N2177" s="456">
        <f t="shared" si="273"/>
        <v>0</v>
      </c>
      <c r="O2177" s="487"/>
      <c r="P2177" s="487"/>
      <c r="Q2177" s="274">
        <f t="shared" si="268"/>
        <v>0</v>
      </c>
      <c r="R2177" s="574">
        <f t="shared" si="269"/>
        <v>29635879</v>
      </c>
      <c r="S2177" s="275">
        <f t="shared" si="270"/>
        <v>29818928</v>
      </c>
      <c r="T2177" s="575"/>
      <c r="U2177" s="487"/>
      <c r="V2177" s="576"/>
      <c r="W2177" s="573"/>
      <c r="X2177" s="574">
        <f t="shared" si="274"/>
        <v>0</v>
      </c>
      <c r="Y2177" s="487"/>
      <c r="Z2177" s="487"/>
      <c r="AA2177" s="276">
        <f t="shared" si="275"/>
        <v>0</v>
      </c>
      <c r="AB2177" s="573"/>
      <c r="AC2177" s="487"/>
      <c r="AD2177" s="573"/>
      <c r="AE2177" s="487"/>
      <c r="AF2177" s="577">
        <f t="shared" si="271"/>
        <v>29635879</v>
      </c>
      <c r="AG2177" s="275">
        <f t="shared" si="272"/>
        <v>29818928</v>
      </c>
    </row>
    <row r="2178" spans="1:33" ht="12" customHeight="1">
      <c r="A2178" s="594" t="s">
        <v>1282</v>
      </c>
      <c r="B2178" s="569" t="s">
        <v>1776</v>
      </c>
      <c r="C2178" s="238" t="s">
        <v>1644</v>
      </c>
      <c r="D2178" s="571" t="s">
        <v>1641</v>
      </c>
      <c r="E2178" s="572">
        <v>1</v>
      </c>
      <c r="F2178" s="573">
        <v>12866775</v>
      </c>
      <c r="G2178" s="487">
        <v>12219153</v>
      </c>
      <c r="H2178" s="573"/>
      <c r="I2178" s="487"/>
      <c r="J2178" s="573"/>
      <c r="K2178" s="487"/>
      <c r="L2178" s="573">
        <v>7435950</v>
      </c>
      <c r="M2178" s="573"/>
      <c r="N2178" s="456">
        <f t="shared" si="273"/>
        <v>7435950</v>
      </c>
      <c r="O2178" s="487">
        <v>8996098</v>
      </c>
      <c r="P2178" s="487"/>
      <c r="Q2178" s="274">
        <f t="shared" si="268"/>
        <v>8996098</v>
      </c>
      <c r="R2178" s="574">
        <f t="shared" si="269"/>
        <v>20302725</v>
      </c>
      <c r="S2178" s="275">
        <f t="shared" si="270"/>
        <v>21215251</v>
      </c>
      <c r="T2178" s="575"/>
      <c r="U2178" s="487"/>
      <c r="V2178" s="576"/>
      <c r="W2178" s="573"/>
      <c r="X2178" s="574">
        <f t="shared" si="274"/>
        <v>0</v>
      </c>
      <c r="Y2178" s="487"/>
      <c r="Z2178" s="487"/>
      <c r="AA2178" s="276">
        <f t="shared" si="275"/>
        <v>0</v>
      </c>
      <c r="AB2178" s="573"/>
      <c r="AC2178" s="487"/>
      <c r="AD2178" s="573"/>
      <c r="AE2178" s="487"/>
      <c r="AF2178" s="577">
        <f t="shared" si="271"/>
        <v>20302725</v>
      </c>
      <c r="AG2178" s="275">
        <f t="shared" si="272"/>
        <v>21215251</v>
      </c>
    </row>
    <row r="2179" spans="1:33" ht="12" customHeight="1">
      <c r="A2179" s="594" t="s">
        <v>1282</v>
      </c>
      <c r="B2179" s="569" t="s">
        <v>1776</v>
      </c>
      <c r="C2179" s="568" t="s">
        <v>1645</v>
      </c>
      <c r="D2179" s="571" t="s">
        <v>1646</v>
      </c>
      <c r="E2179" s="572">
        <v>1</v>
      </c>
      <c r="F2179" s="573">
        <f>147901215+9024804</f>
        <v>156926019</v>
      </c>
      <c r="G2179" s="487">
        <f>144369280+9024272</f>
        <v>153393552</v>
      </c>
      <c r="H2179" s="573"/>
      <c r="I2179" s="487"/>
      <c r="J2179" s="573"/>
      <c r="K2179" s="487"/>
      <c r="L2179" s="573">
        <f>165448175+2308900</f>
        <v>167757075</v>
      </c>
      <c r="M2179" s="573"/>
      <c r="N2179" s="456">
        <f t="shared" si="273"/>
        <v>167757075</v>
      </c>
      <c r="O2179" s="487">
        <v>187811768</v>
      </c>
      <c r="P2179" s="487"/>
      <c r="Q2179" s="274">
        <f t="shared" si="268"/>
        <v>187811768</v>
      </c>
      <c r="R2179" s="574">
        <f t="shared" si="269"/>
        <v>324683094</v>
      </c>
      <c r="S2179" s="275">
        <f t="shared" si="270"/>
        <v>341205320</v>
      </c>
      <c r="T2179" s="575"/>
      <c r="U2179" s="487"/>
      <c r="V2179" s="576"/>
      <c r="W2179" s="573"/>
      <c r="X2179" s="574">
        <f t="shared" si="274"/>
        <v>0</v>
      </c>
      <c r="Y2179" s="487"/>
      <c r="Z2179" s="487"/>
      <c r="AA2179" s="276">
        <f t="shared" si="275"/>
        <v>0</v>
      </c>
      <c r="AB2179" s="573"/>
      <c r="AC2179" s="487"/>
      <c r="AD2179" s="573"/>
      <c r="AE2179" s="487"/>
      <c r="AF2179" s="577">
        <f t="shared" si="271"/>
        <v>324683094</v>
      </c>
      <c r="AG2179" s="275">
        <f t="shared" si="272"/>
        <v>341205320</v>
      </c>
    </row>
    <row r="2180" spans="1:33" ht="12" customHeight="1">
      <c r="A2180" s="594" t="s">
        <v>1282</v>
      </c>
      <c r="B2180" s="569" t="s">
        <v>1793</v>
      </c>
      <c r="C2180" s="580" t="s">
        <v>1647</v>
      </c>
      <c r="D2180" s="571">
        <v>207500</v>
      </c>
      <c r="E2180" s="572">
        <v>1</v>
      </c>
      <c r="F2180" s="573"/>
      <c r="G2180" s="487"/>
      <c r="H2180" s="573"/>
      <c r="I2180" s="487"/>
      <c r="J2180" s="573"/>
      <c r="K2180" s="487"/>
      <c r="L2180" s="573"/>
      <c r="M2180" s="573"/>
      <c r="N2180" s="456">
        <f t="shared" si="273"/>
        <v>0</v>
      </c>
      <c r="O2180" s="487"/>
      <c r="P2180" s="487"/>
      <c r="Q2180" s="274">
        <f t="shared" si="268"/>
        <v>0</v>
      </c>
      <c r="R2180" s="574">
        <f t="shared" si="269"/>
        <v>0</v>
      </c>
      <c r="S2180" s="275">
        <f t="shared" si="270"/>
        <v>0</v>
      </c>
      <c r="T2180" s="575"/>
      <c r="U2180" s="487"/>
      <c r="V2180" s="576"/>
      <c r="W2180" s="573"/>
      <c r="X2180" s="574">
        <f t="shared" si="274"/>
        <v>0</v>
      </c>
      <c r="Y2180" s="487"/>
      <c r="Z2180" s="487"/>
      <c r="AA2180" s="276">
        <f t="shared" si="275"/>
        <v>0</v>
      </c>
      <c r="AB2180" s="573">
        <v>97023804</v>
      </c>
      <c r="AC2180" s="487">
        <v>98298187</v>
      </c>
      <c r="AD2180" s="573">
        <v>43074487</v>
      </c>
      <c r="AE2180" s="487">
        <v>46800562</v>
      </c>
      <c r="AF2180" s="577">
        <f t="shared" si="271"/>
        <v>140098291</v>
      </c>
      <c r="AG2180" s="275">
        <f t="shared" si="272"/>
        <v>145098749</v>
      </c>
    </row>
    <row r="2181" spans="1:33" ht="12" customHeight="1">
      <c r="A2181" s="594" t="s">
        <v>1282</v>
      </c>
      <c r="B2181" s="569" t="s">
        <v>1776</v>
      </c>
      <c r="C2181" s="579" t="s">
        <v>254</v>
      </c>
      <c r="D2181" s="571" t="s">
        <v>1646</v>
      </c>
      <c r="E2181" s="572">
        <v>1</v>
      </c>
      <c r="F2181" s="573">
        <v>6308205</v>
      </c>
      <c r="G2181" s="487">
        <v>6362641</v>
      </c>
      <c r="H2181" s="573"/>
      <c r="I2181" s="487"/>
      <c r="J2181" s="573"/>
      <c r="K2181" s="487"/>
      <c r="L2181" s="573">
        <v>6729500</v>
      </c>
      <c r="M2181" s="573"/>
      <c r="N2181" s="456">
        <f t="shared" si="273"/>
        <v>6729500</v>
      </c>
      <c r="O2181" s="487">
        <v>8022300</v>
      </c>
      <c r="P2181" s="487"/>
      <c r="Q2181" s="274">
        <f t="shared" si="268"/>
        <v>8022300</v>
      </c>
      <c r="R2181" s="574">
        <f t="shared" si="269"/>
        <v>13037705</v>
      </c>
      <c r="S2181" s="275">
        <f t="shared" si="270"/>
        <v>14384941</v>
      </c>
      <c r="T2181" s="575"/>
      <c r="U2181" s="487"/>
      <c r="V2181" s="576"/>
      <c r="W2181" s="573"/>
      <c r="X2181" s="574">
        <f t="shared" si="274"/>
        <v>0</v>
      </c>
      <c r="Y2181" s="487"/>
      <c r="Z2181" s="487"/>
      <c r="AA2181" s="276">
        <f t="shared" si="275"/>
        <v>0</v>
      </c>
      <c r="AB2181" s="573"/>
      <c r="AC2181" s="487"/>
      <c r="AD2181" s="573"/>
      <c r="AE2181" s="487"/>
      <c r="AF2181" s="577">
        <f t="shared" si="271"/>
        <v>13037705</v>
      </c>
      <c r="AG2181" s="275">
        <f t="shared" si="272"/>
        <v>14384941</v>
      </c>
    </row>
    <row r="2182" spans="1:33" ht="12" customHeight="1">
      <c r="A2182" s="594" t="s">
        <v>1282</v>
      </c>
      <c r="B2182" s="569" t="s">
        <v>1776</v>
      </c>
      <c r="C2182" s="570" t="s">
        <v>1648</v>
      </c>
      <c r="D2182" s="571" t="s">
        <v>1649</v>
      </c>
      <c r="E2182" s="572">
        <v>3</v>
      </c>
      <c r="F2182" s="573">
        <v>59956990</v>
      </c>
      <c r="G2182" s="487">
        <v>56426203</v>
      </c>
      <c r="H2182" s="573"/>
      <c r="I2182" s="487"/>
      <c r="J2182" s="573"/>
      <c r="K2182" s="487"/>
      <c r="L2182" s="573">
        <v>52422372</v>
      </c>
      <c r="M2182" s="573"/>
      <c r="N2182" s="456">
        <f t="shared" si="273"/>
        <v>52422372</v>
      </c>
      <c r="O2182" s="487">
        <v>57562749</v>
      </c>
      <c r="P2182" s="487"/>
      <c r="Q2182" s="274">
        <f t="shared" si="268"/>
        <v>57562749</v>
      </c>
      <c r="R2182" s="574">
        <f t="shared" si="269"/>
        <v>112379362</v>
      </c>
      <c r="S2182" s="275">
        <f t="shared" si="270"/>
        <v>113988952</v>
      </c>
      <c r="T2182" s="575"/>
      <c r="U2182" s="487"/>
      <c r="V2182" s="576"/>
      <c r="W2182" s="573"/>
      <c r="X2182" s="574">
        <f t="shared" si="274"/>
        <v>0</v>
      </c>
      <c r="Y2182" s="487"/>
      <c r="Z2182" s="487"/>
      <c r="AA2182" s="276">
        <f t="shared" si="275"/>
        <v>0</v>
      </c>
      <c r="AB2182" s="573"/>
      <c r="AC2182" s="487"/>
      <c r="AD2182" s="573"/>
      <c r="AE2182" s="487"/>
      <c r="AF2182" s="577">
        <f t="shared" si="271"/>
        <v>112379362</v>
      </c>
      <c r="AG2182" s="275">
        <f t="shared" si="272"/>
        <v>113988952</v>
      </c>
    </row>
    <row r="2183" spans="1:33" ht="12" customHeight="1">
      <c r="A2183" s="594" t="s">
        <v>1282</v>
      </c>
      <c r="B2183" s="569" t="s">
        <v>1776</v>
      </c>
      <c r="C2183" s="570" t="s">
        <v>1650</v>
      </c>
      <c r="D2183" s="571" t="s">
        <v>1651</v>
      </c>
      <c r="E2183" s="572">
        <v>3</v>
      </c>
      <c r="F2183" s="573">
        <v>39451403</v>
      </c>
      <c r="G2183" s="487">
        <v>39271027</v>
      </c>
      <c r="H2183" s="573"/>
      <c r="I2183" s="487"/>
      <c r="J2183" s="573"/>
      <c r="K2183" s="487"/>
      <c r="L2183" s="573">
        <v>27753250</v>
      </c>
      <c r="M2183" s="573"/>
      <c r="N2183" s="456">
        <f t="shared" si="273"/>
        <v>27753250</v>
      </c>
      <c r="O2183" s="487">
        <v>30096855</v>
      </c>
      <c r="P2183" s="487"/>
      <c r="Q2183" s="274">
        <f t="shared" si="268"/>
        <v>30096855</v>
      </c>
      <c r="R2183" s="574">
        <f t="shared" si="269"/>
        <v>67204653</v>
      </c>
      <c r="S2183" s="275">
        <f t="shared" si="270"/>
        <v>69367882</v>
      </c>
      <c r="T2183" s="575"/>
      <c r="U2183" s="487"/>
      <c r="V2183" s="576"/>
      <c r="W2183" s="573"/>
      <c r="X2183" s="574">
        <f t="shared" si="274"/>
        <v>0</v>
      </c>
      <c r="Y2183" s="487"/>
      <c r="Z2183" s="487"/>
      <c r="AA2183" s="276">
        <f t="shared" si="275"/>
        <v>0</v>
      </c>
      <c r="AB2183" s="573"/>
      <c r="AC2183" s="487"/>
      <c r="AD2183" s="573"/>
      <c r="AE2183" s="487"/>
      <c r="AF2183" s="577">
        <f t="shared" si="271"/>
        <v>67204653</v>
      </c>
      <c r="AG2183" s="275">
        <f t="shared" si="272"/>
        <v>69367882</v>
      </c>
    </row>
    <row r="2184" spans="1:33" ht="12" customHeight="1">
      <c r="A2184" s="594" t="s">
        <v>1282</v>
      </c>
      <c r="B2184" s="569" t="s">
        <v>1776</v>
      </c>
      <c r="C2184" s="568" t="s">
        <v>1652</v>
      </c>
      <c r="D2184" s="571" t="s">
        <v>1653</v>
      </c>
      <c r="E2184" s="572">
        <v>5</v>
      </c>
      <c r="F2184" s="573">
        <v>23201837</v>
      </c>
      <c r="G2184" s="487">
        <v>23119327</v>
      </c>
      <c r="H2184" s="573"/>
      <c r="I2184" s="487"/>
      <c r="J2184" s="573"/>
      <c r="K2184" s="487"/>
      <c r="L2184" s="573">
        <v>18148750</v>
      </c>
      <c r="M2184" s="573"/>
      <c r="N2184" s="456">
        <f t="shared" si="273"/>
        <v>18148750</v>
      </c>
      <c r="O2184" s="487">
        <v>18878425</v>
      </c>
      <c r="P2184" s="487"/>
      <c r="Q2184" s="274">
        <f t="shared" si="268"/>
        <v>18878425</v>
      </c>
      <c r="R2184" s="574">
        <f t="shared" si="269"/>
        <v>41350587</v>
      </c>
      <c r="S2184" s="275">
        <f t="shared" si="270"/>
        <v>41997752</v>
      </c>
      <c r="T2184" s="575"/>
      <c r="U2184" s="487"/>
      <c r="V2184" s="576"/>
      <c r="W2184" s="573"/>
      <c r="X2184" s="574">
        <f t="shared" si="274"/>
        <v>0</v>
      </c>
      <c r="Y2184" s="487"/>
      <c r="Z2184" s="487"/>
      <c r="AA2184" s="276">
        <f t="shared" si="275"/>
        <v>0</v>
      </c>
      <c r="AB2184" s="573"/>
      <c r="AC2184" s="487"/>
      <c r="AD2184" s="573"/>
      <c r="AE2184" s="487"/>
      <c r="AF2184" s="577">
        <f t="shared" si="271"/>
        <v>41350587</v>
      </c>
      <c r="AG2184" s="275">
        <f t="shared" si="272"/>
        <v>41997752</v>
      </c>
    </row>
    <row r="2185" spans="1:33" ht="12" customHeight="1">
      <c r="A2185" s="594" t="s">
        <v>1282</v>
      </c>
      <c r="B2185" s="569" t="s">
        <v>1776</v>
      </c>
      <c r="C2185" s="570" t="s">
        <v>1654</v>
      </c>
      <c r="D2185" s="571" t="s">
        <v>1655</v>
      </c>
      <c r="E2185" s="572">
        <v>5</v>
      </c>
      <c r="F2185" s="573">
        <v>18969254</v>
      </c>
      <c r="G2185" s="487">
        <v>18791057</v>
      </c>
      <c r="H2185" s="573"/>
      <c r="I2185" s="487"/>
      <c r="J2185" s="573"/>
      <c r="K2185" s="487"/>
      <c r="L2185" s="573">
        <v>13375906</v>
      </c>
      <c r="M2185" s="573"/>
      <c r="N2185" s="456">
        <f t="shared" si="273"/>
        <v>13375906</v>
      </c>
      <c r="O2185" s="487">
        <v>14961949</v>
      </c>
      <c r="P2185" s="487"/>
      <c r="Q2185" s="274">
        <f t="shared" si="268"/>
        <v>14961949</v>
      </c>
      <c r="R2185" s="574">
        <f t="shared" si="269"/>
        <v>32345160</v>
      </c>
      <c r="S2185" s="275">
        <f t="shared" si="270"/>
        <v>33753006</v>
      </c>
      <c r="T2185" s="575"/>
      <c r="U2185" s="487"/>
      <c r="V2185" s="576"/>
      <c r="W2185" s="573"/>
      <c r="X2185" s="574">
        <f t="shared" si="274"/>
        <v>0</v>
      </c>
      <c r="Y2185" s="487"/>
      <c r="Z2185" s="487"/>
      <c r="AA2185" s="276">
        <f t="shared" si="275"/>
        <v>0</v>
      </c>
      <c r="AB2185" s="573"/>
      <c r="AC2185" s="487"/>
      <c r="AD2185" s="573"/>
      <c r="AE2185" s="487"/>
      <c r="AF2185" s="577">
        <f t="shared" si="271"/>
        <v>32345160</v>
      </c>
      <c r="AG2185" s="275">
        <f t="shared" si="272"/>
        <v>33753006</v>
      </c>
    </row>
    <row r="2186" spans="1:33" ht="12" customHeight="1">
      <c r="A2186" s="594" t="s">
        <v>1282</v>
      </c>
      <c r="B2186" s="569" t="s">
        <v>1776</v>
      </c>
      <c r="C2186" s="570" t="s">
        <v>1656</v>
      </c>
      <c r="D2186" s="571" t="s">
        <v>1657</v>
      </c>
      <c r="E2186" s="572">
        <v>5</v>
      </c>
      <c r="F2186" s="573">
        <v>21959362</v>
      </c>
      <c r="G2186" s="487">
        <v>21831863</v>
      </c>
      <c r="H2186" s="573"/>
      <c r="I2186" s="487"/>
      <c r="J2186" s="573"/>
      <c r="K2186" s="487"/>
      <c r="L2186" s="573">
        <v>11140959</v>
      </c>
      <c r="M2186" s="573"/>
      <c r="N2186" s="456">
        <f t="shared" si="273"/>
        <v>11140959</v>
      </c>
      <c r="O2186" s="487">
        <v>11852409</v>
      </c>
      <c r="P2186" s="487"/>
      <c r="Q2186" s="274">
        <f t="shared" ref="Q2186:Q2249" si="276">SUM(O2186:P2186)</f>
        <v>11852409</v>
      </c>
      <c r="R2186" s="574">
        <f t="shared" ref="R2186:R2249" si="277">SUM(F2186,H2186,J2186,L2186)</f>
        <v>33100321</v>
      </c>
      <c r="S2186" s="275">
        <f t="shared" ref="S2186:S2249" si="278">SUM(G2186,I2186,K2186,O2186)</f>
        <v>33684272</v>
      </c>
      <c r="T2186" s="575"/>
      <c r="U2186" s="487"/>
      <c r="V2186" s="576"/>
      <c r="W2186" s="573"/>
      <c r="X2186" s="574">
        <f t="shared" si="274"/>
        <v>0</v>
      </c>
      <c r="Y2186" s="487"/>
      <c r="Z2186" s="487"/>
      <c r="AA2186" s="276">
        <f t="shared" si="275"/>
        <v>0</v>
      </c>
      <c r="AB2186" s="573"/>
      <c r="AC2186" s="487"/>
      <c r="AD2186" s="573"/>
      <c r="AE2186" s="487"/>
      <c r="AF2186" s="577">
        <f t="shared" ref="AF2186:AF2249" si="279">SUM(R2186,T2186,V2186,AB2186,AD2186)</f>
        <v>33100321</v>
      </c>
      <c r="AG2186" s="275">
        <f t="shared" ref="AG2186:AG2249" si="280">SUM(S2186,U2186,Y2186,AC2186,AE2186)</f>
        <v>33684272</v>
      </c>
    </row>
    <row r="2187" spans="1:33" ht="12" customHeight="1">
      <c r="A2187" s="594" t="s">
        <v>1282</v>
      </c>
      <c r="B2187" s="569" t="s">
        <v>1776</v>
      </c>
      <c r="C2187" s="568" t="s">
        <v>1658</v>
      </c>
      <c r="D2187" s="571" t="s">
        <v>1659</v>
      </c>
      <c r="E2187" s="572">
        <v>5</v>
      </c>
      <c r="F2187" s="573">
        <v>11056330</v>
      </c>
      <c r="G2187" s="487">
        <v>11572421</v>
      </c>
      <c r="H2187" s="573"/>
      <c r="I2187" s="487"/>
      <c r="J2187" s="573"/>
      <c r="K2187" s="487"/>
      <c r="L2187" s="573">
        <v>8120581</v>
      </c>
      <c r="M2187" s="573"/>
      <c r="N2187" s="456">
        <f t="shared" si="273"/>
        <v>8120581</v>
      </c>
      <c r="O2187" s="487">
        <v>9277288</v>
      </c>
      <c r="P2187" s="487"/>
      <c r="Q2187" s="274">
        <f t="shared" si="276"/>
        <v>9277288</v>
      </c>
      <c r="R2187" s="574">
        <f t="shared" si="277"/>
        <v>19176911</v>
      </c>
      <c r="S2187" s="275">
        <f t="shared" si="278"/>
        <v>20849709</v>
      </c>
      <c r="T2187" s="575"/>
      <c r="U2187" s="487"/>
      <c r="V2187" s="576"/>
      <c r="W2187" s="573"/>
      <c r="X2187" s="574">
        <f t="shared" si="274"/>
        <v>0</v>
      </c>
      <c r="Y2187" s="487"/>
      <c r="Z2187" s="487"/>
      <c r="AA2187" s="276">
        <f t="shared" si="275"/>
        <v>0</v>
      </c>
      <c r="AB2187" s="573"/>
      <c r="AC2187" s="487"/>
      <c r="AD2187" s="573"/>
      <c r="AE2187" s="487"/>
      <c r="AF2187" s="577">
        <f t="shared" si="279"/>
        <v>19176911</v>
      </c>
      <c r="AG2187" s="275">
        <f t="shared" si="280"/>
        <v>20849709</v>
      </c>
    </row>
    <row r="2188" spans="1:33" ht="12" customHeight="1">
      <c r="A2188" s="594" t="s">
        <v>1282</v>
      </c>
      <c r="B2188" s="569" t="s">
        <v>1776</v>
      </c>
      <c r="C2188" s="570" t="s">
        <v>1660</v>
      </c>
      <c r="D2188" s="571" t="s">
        <v>1661</v>
      </c>
      <c r="E2188" s="572">
        <v>5</v>
      </c>
      <c r="F2188" s="573">
        <v>20414184</v>
      </c>
      <c r="G2188" s="487">
        <v>20242638</v>
      </c>
      <c r="H2188" s="573"/>
      <c r="I2188" s="487"/>
      <c r="J2188" s="573"/>
      <c r="K2188" s="487"/>
      <c r="L2188" s="573">
        <v>17302931</v>
      </c>
      <c r="M2188" s="573"/>
      <c r="N2188" s="456">
        <f t="shared" si="273"/>
        <v>17302931</v>
      </c>
      <c r="O2188" s="487">
        <v>18470663</v>
      </c>
      <c r="P2188" s="487"/>
      <c r="Q2188" s="274">
        <f t="shared" si="276"/>
        <v>18470663</v>
      </c>
      <c r="R2188" s="574">
        <f t="shared" si="277"/>
        <v>37717115</v>
      </c>
      <c r="S2188" s="275">
        <f t="shared" si="278"/>
        <v>38713301</v>
      </c>
      <c r="T2188" s="575"/>
      <c r="U2188" s="487"/>
      <c r="V2188" s="576"/>
      <c r="W2188" s="573"/>
      <c r="X2188" s="574">
        <f t="shared" si="274"/>
        <v>0</v>
      </c>
      <c r="Y2188" s="487"/>
      <c r="Z2188" s="487"/>
      <c r="AA2188" s="276">
        <f t="shared" si="275"/>
        <v>0</v>
      </c>
      <c r="AB2188" s="573"/>
      <c r="AC2188" s="487"/>
      <c r="AD2188" s="573"/>
      <c r="AE2188" s="487"/>
      <c r="AF2188" s="577">
        <f t="shared" si="279"/>
        <v>37717115</v>
      </c>
      <c r="AG2188" s="275">
        <f t="shared" si="280"/>
        <v>38713301</v>
      </c>
    </row>
    <row r="2189" spans="1:33" ht="12" customHeight="1">
      <c r="A2189" s="594" t="s">
        <v>1282</v>
      </c>
      <c r="B2189" s="569" t="s">
        <v>1776</v>
      </c>
      <c r="C2189" s="570" t="s">
        <v>1662</v>
      </c>
      <c r="D2189" s="571" t="s">
        <v>1663</v>
      </c>
      <c r="E2189" s="572">
        <v>5</v>
      </c>
      <c r="F2189" s="573">
        <v>24541672</v>
      </c>
      <c r="G2189" s="487">
        <v>24358129</v>
      </c>
      <c r="H2189" s="573"/>
      <c r="I2189" s="487"/>
      <c r="J2189" s="573"/>
      <c r="K2189" s="487"/>
      <c r="L2189" s="573">
        <v>19707460</v>
      </c>
      <c r="M2189" s="573"/>
      <c r="N2189" s="456">
        <f t="shared" si="273"/>
        <v>19707460</v>
      </c>
      <c r="O2189" s="487">
        <v>20915880</v>
      </c>
      <c r="P2189" s="487"/>
      <c r="Q2189" s="274">
        <f t="shared" si="276"/>
        <v>20915880</v>
      </c>
      <c r="R2189" s="574">
        <f t="shared" si="277"/>
        <v>44249132</v>
      </c>
      <c r="S2189" s="275">
        <f t="shared" si="278"/>
        <v>45274009</v>
      </c>
      <c r="T2189" s="575"/>
      <c r="U2189" s="487"/>
      <c r="V2189" s="576"/>
      <c r="W2189" s="573"/>
      <c r="X2189" s="574">
        <f t="shared" si="274"/>
        <v>0</v>
      </c>
      <c r="Y2189" s="487"/>
      <c r="Z2189" s="487"/>
      <c r="AA2189" s="276">
        <f t="shared" si="275"/>
        <v>0</v>
      </c>
      <c r="AB2189" s="573"/>
      <c r="AC2189" s="487"/>
      <c r="AD2189" s="573"/>
      <c r="AE2189" s="487"/>
      <c r="AF2189" s="577">
        <f t="shared" si="279"/>
        <v>44249132</v>
      </c>
      <c r="AG2189" s="275">
        <f t="shared" si="280"/>
        <v>45274009</v>
      </c>
    </row>
    <row r="2190" spans="1:33" ht="12" customHeight="1">
      <c r="A2190" s="594" t="s">
        <v>1282</v>
      </c>
      <c r="B2190" s="569" t="s">
        <v>1776</v>
      </c>
      <c r="C2190" s="570" t="s">
        <v>572</v>
      </c>
      <c r="D2190" s="571" t="s">
        <v>573</v>
      </c>
      <c r="E2190" s="572">
        <v>6</v>
      </c>
      <c r="F2190" s="573">
        <v>7809703</v>
      </c>
      <c r="G2190" s="487">
        <v>7621213</v>
      </c>
      <c r="H2190" s="573"/>
      <c r="I2190" s="487"/>
      <c r="J2190" s="573"/>
      <c r="K2190" s="487"/>
      <c r="L2190" s="573">
        <v>5369355</v>
      </c>
      <c r="M2190" s="573"/>
      <c r="N2190" s="456">
        <f t="shared" si="273"/>
        <v>5369355</v>
      </c>
      <c r="O2190" s="487">
        <v>6424414</v>
      </c>
      <c r="P2190" s="487"/>
      <c r="Q2190" s="274">
        <f t="shared" si="276"/>
        <v>6424414</v>
      </c>
      <c r="R2190" s="574">
        <f t="shared" si="277"/>
        <v>13179058</v>
      </c>
      <c r="S2190" s="275">
        <f t="shared" si="278"/>
        <v>14045627</v>
      </c>
      <c r="T2190" s="575"/>
      <c r="U2190" s="487"/>
      <c r="V2190" s="576"/>
      <c r="W2190" s="573"/>
      <c r="X2190" s="574">
        <f t="shared" si="274"/>
        <v>0</v>
      </c>
      <c r="Y2190" s="487"/>
      <c r="Z2190" s="487"/>
      <c r="AA2190" s="276">
        <f t="shared" si="275"/>
        <v>0</v>
      </c>
      <c r="AB2190" s="573"/>
      <c r="AC2190" s="487"/>
      <c r="AD2190" s="573"/>
      <c r="AE2190" s="487"/>
      <c r="AF2190" s="577">
        <f t="shared" si="279"/>
        <v>13179058</v>
      </c>
      <c r="AG2190" s="275">
        <f t="shared" si="280"/>
        <v>14045627</v>
      </c>
    </row>
    <row r="2191" spans="1:33" ht="12" customHeight="1">
      <c r="A2191" s="594" t="s">
        <v>1282</v>
      </c>
      <c r="B2191" s="569" t="s">
        <v>1776</v>
      </c>
      <c r="C2191" s="568" t="s">
        <v>576</v>
      </c>
      <c r="D2191" s="571" t="s">
        <v>577</v>
      </c>
      <c r="E2191" s="572">
        <v>6</v>
      </c>
      <c r="F2191" s="573">
        <v>15039541</v>
      </c>
      <c r="G2191" s="487">
        <v>14860639</v>
      </c>
      <c r="H2191" s="573"/>
      <c r="I2191" s="487"/>
      <c r="J2191" s="573"/>
      <c r="K2191" s="487"/>
      <c r="L2191" s="573">
        <v>9896093</v>
      </c>
      <c r="M2191" s="573"/>
      <c r="N2191" s="456">
        <f t="shared" si="273"/>
        <v>9896093</v>
      </c>
      <c r="O2191" s="487">
        <v>11946453</v>
      </c>
      <c r="P2191" s="487"/>
      <c r="Q2191" s="274">
        <f t="shared" si="276"/>
        <v>11946453</v>
      </c>
      <c r="R2191" s="574">
        <f t="shared" si="277"/>
        <v>24935634</v>
      </c>
      <c r="S2191" s="275">
        <f t="shared" si="278"/>
        <v>26807092</v>
      </c>
      <c r="T2191" s="575"/>
      <c r="U2191" s="487"/>
      <c r="V2191" s="576"/>
      <c r="W2191" s="573"/>
      <c r="X2191" s="574">
        <f t="shared" si="274"/>
        <v>0</v>
      </c>
      <c r="Y2191" s="487"/>
      <c r="Z2191" s="487"/>
      <c r="AA2191" s="276">
        <f t="shared" si="275"/>
        <v>0</v>
      </c>
      <c r="AB2191" s="573"/>
      <c r="AC2191" s="487"/>
      <c r="AD2191" s="573"/>
      <c r="AE2191" s="487"/>
      <c r="AF2191" s="577">
        <f t="shared" si="279"/>
        <v>24935634</v>
      </c>
      <c r="AG2191" s="275">
        <f t="shared" si="280"/>
        <v>26807092</v>
      </c>
    </row>
    <row r="2192" spans="1:33" ht="12" customHeight="1">
      <c r="A2192" s="594" t="s">
        <v>1282</v>
      </c>
      <c r="B2192" s="569" t="s">
        <v>1776</v>
      </c>
      <c r="C2192" s="570" t="s">
        <v>574</v>
      </c>
      <c r="D2192" s="571" t="s">
        <v>575</v>
      </c>
      <c r="E2192" s="572">
        <v>6</v>
      </c>
      <c r="F2192" s="573">
        <v>7677235</v>
      </c>
      <c r="G2192" s="487">
        <v>7489542</v>
      </c>
      <c r="H2192" s="573"/>
      <c r="I2192" s="487"/>
      <c r="J2192" s="573"/>
      <c r="K2192" s="487"/>
      <c r="L2192" s="573">
        <v>4093199</v>
      </c>
      <c r="M2192" s="573"/>
      <c r="N2192" s="456">
        <f t="shared" si="273"/>
        <v>4093199</v>
      </c>
      <c r="O2192" s="487">
        <v>4251899</v>
      </c>
      <c r="P2192" s="487"/>
      <c r="Q2192" s="274">
        <f t="shared" si="276"/>
        <v>4251899</v>
      </c>
      <c r="R2192" s="574">
        <f t="shared" si="277"/>
        <v>11770434</v>
      </c>
      <c r="S2192" s="275">
        <f t="shared" si="278"/>
        <v>11741441</v>
      </c>
      <c r="T2192" s="575"/>
      <c r="U2192" s="487"/>
      <c r="V2192" s="576"/>
      <c r="W2192" s="573"/>
      <c r="X2192" s="574">
        <f t="shared" si="274"/>
        <v>0</v>
      </c>
      <c r="Y2192" s="487"/>
      <c r="Z2192" s="487"/>
      <c r="AA2192" s="276">
        <f t="shared" si="275"/>
        <v>0</v>
      </c>
      <c r="AB2192" s="573"/>
      <c r="AC2192" s="487"/>
      <c r="AD2192" s="573"/>
      <c r="AE2192" s="487"/>
      <c r="AF2192" s="577">
        <f t="shared" si="279"/>
        <v>11770434</v>
      </c>
      <c r="AG2192" s="275">
        <f t="shared" si="280"/>
        <v>11741441</v>
      </c>
    </row>
    <row r="2193" spans="1:33" ht="12" customHeight="1">
      <c r="A2193" s="594" t="s">
        <v>1282</v>
      </c>
      <c r="B2193" s="569" t="s">
        <v>1776</v>
      </c>
      <c r="C2193" s="570" t="s">
        <v>586</v>
      </c>
      <c r="D2193" s="571" t="s">
        <v>587</v>
      </c>
      <c r="E2193" s="1024">
        <v>7</v>
      </c>
      <c r="F2193" s="573">
        <v>15280028</v>
      </c>
      <c r="G2193" s="487">
        <v>15399432</v>
      </c>
      <c r="H2193" s="573"/>
      <c r="I2193" s="487"/>
      <c r="J2193" s="573"/>
      <c r="K2193" s="487"/>
      <c r="L2193" s="573">
        <v>8462946</v>
      </c>
      <c r="M2193" s="573"/>
      <c r="N2193" s="456">
        <f t="shared" si="273"/>
        <v>8462946</v>
      </c>
      <c r="O2193" s="487">
        <v>9031443</v>
      </c>
      <c r="P2193" s="487"/>
      <c r="Q2193" s="274">
        <f t="shared" si="276"/>
        <v>9031443</v>
      </c>
      <c r="R2193" s="574">
        <f t="shared" si="277"/>
        <v>23742974</v>
      </c>
      <c r="S2193" s="275">
        <f t="shared" si="278"/>
        <v>24430875</v>
      </c>
      <c r="T2193" s="575"/>
      <c r="U2193" s="487"/>
      <c r="V2193" s="576"/>
      <c r="W2193" s="573"/>
      <c r="X2193" s="574">
        <f t="shared" si="274"/>
        <v>0</v>
      </c>
      <c r="Y2193" s="487"/>
      <c r="Z2193" s="487"/>
      <c r="AA2193" s="276">
        <f t="shared" si="275"/>
        <v>0</v>
      </c>
      <c r="AB2193" s="573"/>
      <c r="AC2193" s="487"/>
      <c r="AD2193" s="573"/>
      <c r="AE2193" s="487"/>
      <c r="AF2193" s="577">
        <f t="shared" si="279"/>
        <v>23742974</v>
      </c>
      <c r="AG2193" s="275">
        <f t="shared" si="280"/>
        <v>24430875</v>
      </c>
    </row>
    <row r="2194" spans="1:33" ht="12" customHeight="1">
      <c r="A2194" s="594" t="s">
        <v>1282</v>
      </c>
      <c r="B2194" s="569" t="s">
        <v>1776</v>
      </c>
      <c r="C2194" s="570" t="s">
        <v>578</v>
      </c>
      <c r="D2194" s="571" t="s">
        <v>579</v>
      </c>
      <c r="E2194" s="572">
        <v>8</v>
      </c>
      <c r="F2194" s="573">
        <v>26428060</v>
      </c>
      <c r="G2194" s="487">
        <v>26271561</v>
      </c>
      <c r="H2194" s="573"/>
      <c r="I2194" s="487"/>
      <c r="J2194" s="573">
        <v>3100000</v>
      </c>
      <c r="K2194" s="487">
        <v>3800000</v>
      </c>
      <c r="L2194" s="573">
        <v>16198582</v>
      </c>
      <c r="M2194" s="573"/>
      <c r="N2194" s="456">
        <f t="shared" si="273"/>
        <v>16198582</v>
      </c>
      <c r="O2194" s="487">
        <v>18062056</v>
      </c>
      <c r="P2194" s="487"/>
      <c r="Q2194" s="274">
        <f t="shared" si="276"/>
        <v>18062056</v>
      </c>
      <c r="R2194" s="574">
        <f t="shared" si="277"/>
        <v>45726642</v>
      </c>
      <c r="S2194" s="275">
        <f t="shared" si="278"/>
        <v>48133617</v>
      </c>
      <c r="T2194" s="575"/>
      <c r="U2194" s="487"/>
      <c r="V2194" s="576"/>
      <c r="W2194" s="573"/>
      <c r="X2194" s="574">
        <f t="shared" si="274"/>
        <v>0</v>
      </c>
      <c r="Y2194" s="487"/>
      <c r="Z2194" s="487"/>
      <c r="AA2194" s="276">
        <f t="shared" si="275"/>
        <v>0</v>
      </c>
      <c r="AB2194" s="573"/>
      <c r="AC2194" s="487"/>
      <c r="AD2194" s="573"/>
      <c r="AE2194" s="487"/>
      <c r="AF2194" s="577">
        <f t="shared" si="279"/>
        <v>45726642</v>
      </c>
      <c r="AG2194" s="275">
        <f t="shared" si="280"/>
        <v>48133617</v>
      </c>
    </row>
    <row r="2195" spans="1:33" ht="12" customHeight="1">
      <c r="A2195" s="594" t="s">
        <v>1282</v>
      </c>
      <c r="B2195" s="569" t="s">
        <v>1776</v>
      </c>
      <c r="C2195" s="570" t="s">
        <v>580</v>
      </c>
      <c r="D2195" s="571" t="s">
        <v>581</v>
      </c>
      <c r="E2195" s="572">
        <v>8</v>
      </c>
      <c r="F2195" s="573">
        <v>37717888</v>
      </c>
      <c r="G2195" s="487">
        <v>37659540</v>
      </c>
      <c r="H2195" s="573"/>
      <c r="I2195" s="487"/>
      <c r="J2195" s="573">
        <v>31345173</v>
      </c>
      <c r="K2195" s="487">
        <v>35166238</v>
      </c>
      <c r="L2195" s="573">
        <v>25862571</v>
      </c>
      <c r="M2195" s="573"/>
      <c r="N2195" s="456">
        <f t="shared" ref="N2195:N2258" si="281">SUM(L2195:M2195)</f>
        <v>25862571</v>
      </c>
      <c r="O2195" s="487">
        <v>29112151</v>
      </c>
      <c r="P2195" s="487"/>
      <c r="Q2195" s="274">
        <f t="shared" si="276"/>
        <v>29112151</v>
      </c>
      <c r="R2195" s="574">
        <f t="shared" si="277"/>
        <v>94925632</v>
      </c>
      <c r="S2195" s="275">
        <f t="shared" si="278"/>
        <v>101937929</v>
      </c>
      <c r="T2195" s="575"/>
      <c r="U2195" s="487"/>
      <c r="V2195" s="576"/>
      <c r="W2195" s="573"/>
      <c r="X2195" s="574">
        <f t="shared" ref="X2195:X2258" si="282">SUM(V2195:W2195)</f>
        <v>0</v>
      </c>
      <c r="Y2195" s="487"/>
      <c r="Z2195" s="487"/>
      <c r="AA2195" s="276">
        <f t="shared" ref="AA2195:AA2258" si="283">SUM(Y2195:Z2195)</f>
        <v>0</v>
      </c>
      <c r="AB2195" s="573"/>
      <c r="AC2195" s="487"/>
      <c r="AD2195" s="573"/>
      <c r="AE2195" s="487"/>
      <c r="AF2195" s="577">
        <f t="shared" si="279"/>
        <v>94925632</v>
      </c>
      <c r="AG2195" s="275">
        <f t="shared" si="280"/>
        <v>101937929</v>
      </c>
    </row>
    <row r="2196" spans="1:33" ht="12" customHeight="1">
      <c r="A2196" s="594" t="s">
        <v>1282</v>
      </c>
      <c r="B2196" s="569" t="s">
        <v>1776</v>
      </c>
      <c r="C2196" s="570" t="s">
        <v>582</v>
      </c>
      <c r="D2196" s="571" t="s">
        <v>583</v>
      </c>
      <c r="E2196" s="572">
        <v>9</v>
      </c>
      <c r="F2196" s="573">
        <v>10696182</v>
      </c>
      <c r="G2196" s="487">
        <v>10521484</v>
      </c>
      <c r="H2196" s="573"/>
      <c r="I2196" s="487"/>
      <c r="J2196" s="573"/>
      <c r="K2196" s="487"/>
      <c r="L2196" s="573">
        <v>9728334</v>
      </c>
      <c r="M2196" s="573"/>
      <c r="N2196" s="456">
        <f t="shared" si="281"/>
        <v>9728334</v>
      </c>
      <c r="O2196" s="487">
        <v>11180725</v>
      </c>
      <c r="P2196" s="487"/>
      <c r="Q2196" s="274">
        <f t="shared" si="276"/>
        <v>11180725</v>
      </c>
      <c r="R2196" s="574">
        <f t="shared" si="277"/>
        <v>20424516</v>
      </c>
      <c r="S2196" s="275">
        <f t="shared" si="278"/>
        <v>21702209</v>
      </c>
      <c r="T2196" s="575"/>
      <c r="U2196" s="487"/>
      <c r="V2196" s="576"/>
      <c r="W2196" s="573"/>
      <c r="X2196" s="574">
        <f t="shared" si="282"/>
        <v>0</v>
      </c>
      <c r="Y2196" s="487"/>
      <c r="Z2196" s="487"/>
      <c r="AA2196" s="276">
        <f t="shared" si="283"/>
        <v>0</v>
      </c>
      <c r="AB2196" s="573"/>
      <c r="AC2196" s="487"/>
      <c r="AD2196" s="573"/>
      <c r="AE2196" s="487"/>
      <c r="AF2196" s="577">
        <f t="shared" si="279"/>
        <v>20424516</v>
      </c>
      <c r="AG2196" s="275">
        <f t="shared" si="280"/>
        <v>21702209</v>
      </c>
    </row>
    <row r="2197" spans="1:33" ht="12" customHeight="1">
      <c r="A2197" s="594" t="s">
        <v>1282</v>
      </c>
      <c r="B2197" s="569" t="s">
        <v>1776</v>
      </c>
      <c r="C2197" s="568" t="s">
        <v>584</v>
      </c>
      <c r="D2197" s="571" t="s">
        <v>585</v>
      </c>
      <c r="E2197" s="572">
        <v>9</v>
      </c>
      <c r="F2197" s="573">
        <v>11573349</v>
      </c>
      <c r="G2197" s="487">
        <v>11684601</v>
      </c>
      <c r="H2197" s="573"/>
      <c r="I2197" s="487"/>
      <c r="J2197" s="573"/>
      <c r="K2197" s="487"/>
      <c r="L2197" s="573">
        <v>9373399</v>
      </c>
      <c r="M2197" s="573"/>
      <c r="N2197" s="456">
        <f t="shared" si="281"/>
        <v>9373399</v>
      </c>
      <c r="O2197" s="487">
        <v>11005772</v>
      </c>
      <c r="P2197" s="487"/>
      <c r="Q2197" s="274">
        <f t="shared" si="276"/>
        <v>11005772</v>
      </c>
      <c r="R2197" s="574">
        <f t="shared" si="277"/>
        <v>20946748</v>
      </c>
      <c r="S2197" s="275">
        <f t="shared" si="278"/>
        <v>22690373</v>
      </c>
      <c r="T2197" s="575"/>
      <c r="U2197" s="487"/>
      <c r="V2197" s="576"/>
      <c r="W2197" s="573"/>
      <c r="X2197" s="574">
        <f t="shared" si="282"/>
        <v>0</v>
      </c>
      <c r="Y2197" s="487"/>
      <c r="Z2197" s="487"/>
      <c r="AA2197" s="276">
        <f t="shared" si="283"/>
        <v>0</v>
      </c>
      <c r="AB2197" s="573"/>
      <c r="AC2197" s="487"/>
      <c r="AD2197" s="573"/>
      <c r="AE2197" s="487"/>
      <c r="AF2197" s="577">
        <f t="shared" si="279"/>
        <v>20946748</v>
      </c>
      <c r="AG2197" s="275">
        <f t="shared" si="280"/>
        <v>22690373</v>
      </c>
    </row>
    <row r="2198" spans="1:33" ht="12" customHeight="1">
      <c r="A2198" s="594" t="s">
        <v>1282</v>
      </c>
      <c r="B2198" s="569" t="s">
        <v>1776</v>
      </c>
      <c r="C2198" s="570" t="s">
        <v>588</v>
      </c>
      <c r="D2198" s="571" t="s">
        <v>589</v>
      </c>
      <c r="E2198" s="572">
        <v>9</v>
      </c>
      <c r="F2198" s="573">
        <v>22388258</v>
      </c>
      <c r="G2198" s="487">
        <v>22271412</v>
      </c>
      <c r="H2198" s="573"/>
      <c r="I2198" s="487"/>
      <c r="J2198" s="573">
        <v>1600000</v>
      </c>
      <c r="K2198" s="487">
        <v>1700000</v>
      </c>
      <c r="L2198" s="573">
        <v>9896093</v>
      </c>
      <c r="M2198" s="573"/>
      <c r="N2198" s="456">
        <f t="shared" si="281"/>
        <v>9896093</v>
      </c>
      <c r="O2198" s="487">
        <v>13117255</v>
      </c>
      <c r="P2198" s="487"/>
      <c r="Q2198" s="274">
        <f t="shared" si="276"/>
        <v>13117255</v>
      </c>
      <c r="R2198" s="574">
        <f t="shared" si="277"/>
        <v>33884351</v>
      </c>
      <c r="S2198" s="275">
        <f t="shared" si="278"/>
        <v>37088667</v>
      </c>
      <c r="T2198" s="575"/>
      <c r="U2198" s="487"/>
      <c r="V2198" s="576"/>
      <c r="W2198" s="573"/>
      <c r="X2198" s="574">
        <f t="shared" si="282"/>
        <v>0</v>
      </c>
      <c r="Y2198" s="487"/>
      <c r="Z2198" s="487"/>
      <c r="AA2198" s="276">
        <f t="shared" si="283"/>
        <v>0</v>
      </c>
      <c r="AB2198" s="573"/>
      <c r="AC2198" s="487"/>
      <c r="AD2198" s="573"/>
      <c r="AE2198" s="487"/>
      <c r="AF2198" s="577">
        <f t="shared" si="279"/>
        <v>33884351</v>
      </c>
      <c r="AG2198" s="275">
        <f t="shared" si="280"/>
        <v>37088667</v>
      </c>
    </row>
    <row r="2199" spans="1:33" ht="12" customHeight="1">
      <c r="A2199" s="594" t="s">
        <v>1282</v>
      </c>
      <c r="B2199" s="569" t="s">
        <v>1776</v>
      </c>
      <c r="C2199" s="570" t="s">
        <v>590</v>
      </c>
      <c r="D2199" s="571" t="s">
        <v>591</v>
      </c>
      <c r="E2199" s="572">
        <v>10</v>
      </c>
      <c r="F2199" s="573">
        <f>6931921-100348</f>
        <v>6831573</v>
      </c>
      <c r="G2199" s="487">
        <v>6774874</v>
      </c>
      <c r="H2199" s="573"/>
      <c r="I2199" s="487"/>
      <c r="J2199" s="573"/>
      <c r="K2199" s="487"/>
      <c r="L2199" s="573">
        <v>3713972</v>
      </c>
      <c r="M2199" s="573"/>
      <c r="N2199" s="456">
        <f t="shared" si="281"/>
        <v>3713972</v>
      </c>
      <c r="O2199" s="487">
        <v>3966972</v>
      </c>
      <c r="P2199" s="487"/>
      <c r="Q2199" s="274">
        <f t="shared" si="276"/>
        <v>3966972</v>
      </c>
      <c r="R2199" s="574">
        <f t="shared" si="277"/>
        <v>10545545</v>
      </c>
      <c r="S2199" s="275">
        <f t="shared" si="278"/>
        <v>10741846</v>
      </c>
      <c r="T2199" s="575"/>
      <c r="U2199" s="487"/>
      <c r="V2199" s="576"/>
      <c r="W2199" s="573"/>
      <c r="X2199" s="574">
        <f t="shared" si="282"/>
        <v>0</v>
      </c>
      <c r="Y2199" s="487"/>
      <c r="Z2199" s="487"/>
      <c r="AA2199" s="276">
        <f t="shared" si="283"/>
        <v>0</v>
      </c>
      <c r="AB2199" s="573"/>
      <c r="AC2199" s="487"/>
      <c r="AD2199" s="573"/>
      <c r="AE2199" s="487"/>
      <c r="AF2199" s="577">
        <f t="shared" si="279"/>
        <v>10545545</v>
      </c>
      <c r="AG2199" s="275">
        <f t="shared" si="280"/>
        <v>10741846</v>
      </c>
    </row>
    <row r="2200" spans="1:33" ht="12" customHeight="1">
      <c r="A2200" s="594" t="s">
        <v>1282</v>
      </c>
      <c r="B2200" s="569" t="s">
        <v>1776</v>
      </c>
      <c r="C2200" s="570" t="s">
        <v>592</v>
      </c>
      <c r="D2200" s="571" t="s">
        <v>593</v>
      </c>
      <c r="E2200" s="572">
        <v>10</v>
      </c>
      <c r="F2200" s="573">
        <v>7429712</v>
      </c>
      <c r="G2200" s="487">
        <v>7251006</v>
      </c>
      <c r="H2200" s="573"/>
      <c r="I2200" s="487"/>
      <c r="J2200" s="573"/>
      <c r="K2200" s="487"/>
      <c r="L2200" s="573">
        <v>3132341</v>
      </c>
      <c r="M2200" s="573"/>
      <c r="N2200" s="456">
        <f t="shared" si="281"/>
        <v>3132341</v>
      </c>
      <c r="O2200" s="487">
        <v>3356862</v>
      </c>
      <c r="P2200" s="487"/>
      <c r="Q2200" s="274">
        <f t="shared" si="276"/>
        <v>3356862</v>
      </c>
      <c r="R2200" s="574">
        <f t="shared" si="277"/>
        <v>10562053</v>
      </c>
      <c r="S2200" s="275">
        <f t="shared" si="278"/>
        <v>10607868</v>
      </c>
      <c r="T2200" s="575"/>
      <c r="U2200" s="487"/>
      <c r="V2200" s="576"/>
      <c r="W2200" s="573"/>
      <c r="X2200" s="574">
        <f t="shared" si="282"/>
        <v>0</v>
      </c>
      <c r="Y2200" s="487"/>
      <c r="Z2200" s="487"/>
      <c r="AA2200" s="276">
        <f t="shared" si="283"/>
        <v>0</v>
      </c>
      <c r="AB2200" s="573"/>
      <c r="AC2200" s="487"/>
      <c r="AD2200" s="573"/>
      <c r="AE2200" s="487"/>
      <c r="AF2200" s="577">
        <f t="shared" si="279"/>
        <v>10562053</v>
      </c>
      <c r="AG2200" s="275">
        <f t="shared" si="280"/>
        <v>10607868</v>
      </c>
    </row>
    <row r="2201" spans="1:33" ht="12" customHeight="1">
      <c r="A2201" s="594" t="s">
        <v>1282</v>
      </c>
      <c r="B2201" s="569" t="s">
        <v>1776</v>
      </c>
      <c r="C2201" s="570" t="s">
        <v>594</v>
      </c>
      <c r="D2201" s="571" t="s">
        <v>595</v>
      </c>
      <c r="E2201" s="572">
        <v>10</v>
      </c>
      <c r="F2201" s="573">
        <v>7129512</v>
      </c>
      <c r="G2201" s="487">
        <v>6961325</v>
      </c>
      <c r="H2201" s="573"/>
      <c r="I2201" s="487"/>
      <c r="J2201" s="573"/>
      <c r="K2201" s="487"/>
      <c r="L2201" s="573">
        <v>3446477</v>
      </c>
      <c r="M2201" s="573"/>
      <c r="N2201" s="456">
        <f t="shared" si="281"/>
        <v>3446477</v>
      </c>
      <c r="O2201" s="487">
        <v>2737249</v>
      </c>
      <c r="P2201" s="487"/>
      <c r="Q2201" s="274">
        <f t="shared" si="276"/>
        <v>2737249</v>
      </c>
      <c r="R2201" s="574">
        <f t="shared" si="277"/>
        <v>10575989</v>
      </c>
      <c r="S2201" s="275">
        <f t="shared" si="278"/>
        <v>9698574</v>
      </c>
      <c r="T2201" s="575"/>
      <c r="U2201" s="487"/>
      <c r="V2201" s="576"/>
      <c r="W2201" s="573"/>
      <c r="X2201" s="574">
        <f t="shared" si="282"/>
        <v>0</v>
      </c>
      <c r="Y2201" s="487"/>
      <c r="Z2201" s="487"/>
      <c r="AA2201" s="276">
        <f t="shared" si="283"/>
        <v>0</v>
      </c>
      <c r="AB2201" s="573"/>
      <c r="AC2201" s="487"/>
      <c r="AD2201" s="573"/>
      <c r="AE2201" s="487"/>
      <c r="AF2201" s="577">
        <f t="shared" si="279"/>
        <v>10575989</v>
      </c>
      <c r="AG2201" s="275">
        <f t="shared" si="280"/>
        <v>9698574</v>
      </c>
    </row>
    <row r="2202" spans="1:33" ht="12" customHeight="1">
      <c r="A2202" s="594" t="s">
        <v>1282</v>
      </c>
      <c r="B2202" s="569" t="s">
        <v>1776</v>
      </c>
      <c r="C2202" s="570" t="s">
        <v>596</v>
      </c>
      <c r="D2202" s="571" t="s">
        <v>597</v>
      </c>
      <c r="E2202" s="572">
        <v>10</v>
      </c>
      <c r="F2202" s="573">
        <v>6261902</v>
      </c>
      <c r="G2202" s="487">
        <v>6083143</v>
      </c>
      <c r="H2202" s="573"/>
      <c r="I2202" s="487"/>
      <c r="J2202" s="573"/>
      <c r="K2202" s="487"/>
      <c r="L2202" s="573">
        <v>4102960</v>
      </c>
      <c r="M2202" s="573"/>
      <c r="N2202" s="456">
        <f t="shared" si="281"/>
        <v>4102960</v>
      </c>
      <c r="O2202" s="487">
        <v>4502394</v>
      </c>
      <c r="P2202" s="487"/>
      <c r="Q2202" s="274">
        <f t="shared" si="276"/>
        <v>4502394</v>
      </c>
      <c r="R2202" s="574">
        <f t="shared" si="277"/>
        <v>10364862</v>
      </c>
      <c r="S2202" s="275">
        <f t="shared" si="278"/>
        <v>10585537</v>
      </c>
      <c r="T2202" s="575"/>
      <c r="U2202" s="487"/>
      <c r="V2202" s="576"/>
      <c r="W2202" s="573"/>
      <c r="X2202" s="574">
        <f t="shared" si="282"/>
        <v>0</v>
      </c>
      <c r="Y2202" s="487"/>
      <c r="Z2202" s="487"/>
      <c r="AA2202" s="276">
        <f t="shared" si="283"/>
        <v>0</v>
      </c>
      <c r="AB2202" s="573"/>
      <c r="AC2202" s="487"/>
      <c r="AD2202" s="573"/>
      <c r="AE2202" s="487"/>
      <c r="AF2202" s="577">
        <f t="shared" si="279"/>
        <v>10364862</v>
      </c>
      <c r="AG2202" s="275">
        <f t="shared" si="280"/>
        <v>10585537</v>
      </c>
    </row>
    <row r="2203" spans="1:33" ht="12" customHeight="1">
      <c r="A2203" s="594" t="s">
        <v>1282</v>
      </c>
      <c r="B2203" s="569" t="s">
        <v>1776</v>
      </c>
      <c r="C2203" s="570" t="s">
        <v>598</v>
      </c>
      <c r="D2203" s="571" t="s">
        <v>599</v>
      </c>
      <c r="E2203" s="572">
        <v>10</v>
      </c>
      <c r="F2203" s="573">
        <v>9756530</v>
      </c>
      <c r="G2203" s="487">
        <v>9582358</v>
      </c>
      <c r="H2203" s="573"/>
      <c r="I2203" s="487"/>
      <c r="J2203" s="573"/>
      <c r="K2203" s="487"/>
      <c r="L2203" s="573">
        <v>4133000</v>
      </c>
      <c r="M2203" s="573"/>
      <c r="N2203" s="456">
        <f t="shared" si="281"/>
        <v>4133000</v>
      </c>
      <c r="O2203" s="487">
        <v>4403000</v>
      </c>
      <c r="P2203" s="487"/>
      <c r="Q2203" s="274">
        <f t="shared" si="276"/>
        <v>4403000</v>
      </c>
      <c r="R2203" s="574">
        <f t="shared" si="277"/>
        <v>13889530</v>
      </c>
      <c r="S2203" s="275">
        <f t="shared" si="278"/>
        <v>13985358</v>
      </c>
      <c r="T2203" s="575"/>
      <c r="U2203" s="487"/>
      <c r="V2203" s="576"/>
      <c r="W2203" s="573"/>
      <c r="X2203" s="574">
        <f t="shared" si="282"/>
        <v>0</v>
      </c>
      <c r="Y2203" s="487"/>
      <c r="Z2203" s="487"/>
      <c r="AA2203" s="276">
        <f t="shared" si="283"/>
        <v>0</v>
      </c>
      <c r="AB2203" s="573"/>
      <c r="AC2203" s="487"/>
      <c r="AD2203" s="573"/>
      <c r="AE2203" s="487"/>
      <c r="AF2203" s="577">
        <f t="shared" si="279"/>
        <v>13889530</v>
      </c>
      <c r="AG2203" s="275">
        <f t="shared" si="280"/>
        <v>13985358</v>
      </c>
    </row>
    <row r="2204" spans="1:33" ht="12" customHeight="1">
      <c r="A2204" s="594" t="s">
        <v>1282</v>
      </c>
      <c r="B2204" s="569" t="s">
        <v>1776</v>
      </c>
      <c r="C2204" s="570" t="s">
        <v>600</v>
      </c>
      <c r="D2204" s="571" t="s">
        <v>601</v>
      </c>
      <c r="E2204" s="572">
        <v>10</v>
      </c>
      <c r="F2204" s="573">
        <v>5971414</v>
      </c>
      <c r="G2204" s="487">
        <v>6298543</v>
      </c>
      <c r="H2204" s="573"/>
      <c r="I2204" s="487"/>
      <c r="J2204" s="573"/>
      <c r="K2204" s="487"/>
      <c r="L2204" s="573">
        <v>2988912</v>
      </c>
      <c r="M2204" s="573"/>
      <c r="N2204" s="456">
        <f t="shared" si="281"/>
        <v>2988912</v>
      </c>
      <c r="O2204" s="487">
        <v>3567915</v>
      </c>
      <c r="P2204" s="487"/>
      <c r="Q2204" s="274">
        <f t="shared" si="276"/>
        <v>3567915</v>
      </c>
      <c r="R2204" s="574">
        <f t="shared" si="277"/>
        <v>8960326</v>
      </c>
      <c r="S2204" s="275">
        <f t="shared" si="278"/>
        <v>9866458</v>
      </c>
      <c r="T2204" s="575"/>
      <c r="U2204" s="487"/>
      <c r="V2204" s="576"/>
      <c r="W2204" s="573"/>
      <c r="X2204" s="574">
        <f t="shared" si="282"/>
        <v>0</v>
      </c>
      <c r="Y2204" s="487"/>
      <c r="Z2204" s="487"/>
      <c r="AA2204" s="276">
        <f t="shared" si="283"/>
        <v>0</v>
      </c>
      <c r="AB2204" s="573"/>
      <c r="AC2204" s="487"/>
      <c r="AD2204" s="573"/>
      <c r="AE2204" s="487"/>
      <c r="AF2204" s="577">
        <f t="shared" si="279"/>
        <v>8960326</v>
      </c>
      <c r="AG2204" s="275">
        <f t="shared" si="280"/>
        <v>9866458</v>
      </c>
    </row>
    <row r="2205" spans="1:33" ht="12" customHeight="1">
      <c r="A2205" s="594" t="s">
        <v>1282</v>
      </c>
      <c r="B2205" s="569" t="s">
        <v>1776</v>
      </c>
      <c r="C2205" s="570" t="s">
        <v>602</v>
      </c>
      <c r="D2205" s="571" t="s">
        <v>603</v>
      </c>
      <c r="E2205" s="572">
        <v>10</v>
      </c>
      <c r="F2205" s="573">
        <v>6540618</v>
      </c>
      <c r="G2205" s="487">
        <v>6356902</v>
      </c>
      <c r="H2205" s="573"/>
      <c r="I2205" s="487"/>
      <c r="J2205" s="573"/>
      <c r="K2205" s="487"/>
      <c r="L2205" s="573">
        <v>3455284</v>
      </c>
      <c r="M2205" s="573"/>
      <c r="N2205" s="456">
        <f t="shared" si="281"/>
        <v>3455284</v>
      </c>
      <c r="O2205" s="487">
        <v>3686498</v>
      </c>
      <c r="P2205" s="487"/>
      <c r="Q2205" s="274">
        <f t="shared" si="276"/>
        <v>3686498</v>
      </c>
      <c r="R2205" s="574">
        <f t="shared" si="277"/>
        <v>9995902</v>
      </c>
      <c r="S2205" s="275">
        <f t="shared" si="278"/>
        <v>10043400</v>
      </c>
      <c r="T2205" s="575"/>
      <c r="U2205" s="487"/>
      <c r="V2205" s="576"/>
      <c r="W2205" s="573"/>
      <c r="X2205" s="574">
        <f t="shared" si="282"/>
        <v>0</v>
      </c>
      <c r="Y2205" s="487"/>
      <c r="Z2205" s="487"/>
      <c r="AA2205" s="276">
        <f t="shared" si="283"/>
        <v>0</v>
      </c>
      <c r="AB2205" s="573"/>
      <c r="AC2205" s="487"/>
      <c r="AD2205" s="573"/>
      <c r="AE2205" s="487"/>
      <c r="AF2205" s="577">
        <f t="shared" si="279"/>
        <v>9995902</v>
      </c>
      <c r="AG2205" s="275">
        <f t="shared" si="280"/>
        <v>10043400</v>
      </c>
    </row>
    <row r="2206" spans="1:33" ht="12" customHeight="1">
      <c r="A2206" s="594" t="s">
        <v>1282</v>
      </c>
      <c r="B2206" s="569" t="s">
        <v>1776</v>
      </c>
      <c r="C2206" s="570" t="s">
        <v>604</v>
      </c>
      <c r="D2206" s="571">
        <v>208035</v>
      </c>
      <c r="E2206" s="572">
        <v>10</v>
      </c>
      <c r="F2206" s="573">
        <v>5942489</v>
      </c>
      <c r="G2206" s="487">
        <v>5761451</v>
      </c>
      <c r="H2206" s="573"/>
      <c r="I2206" s="487"/>
      <c r="J2206" s="573"/>
      <c r="K2206" s="487"/>
      <c r="L2206" s="573">
        <v>3022000</v>
      </c>
      <c r="M2206" s="573"/>
      <c r="N2206" s="456">
        <f t="shared" si="281"/>
        <v>3022000</v>
      </c>
      <c r="O2206" s="487">
        <v>3657000</v>
      </c>
      <c r="P2206" s="487"/>
      <c r="Q2206" s="274">
        <f t="shared" si="276"/>
        <v>3657000</v>
      </c>
      <c r="R2206" s="574">
        <f t="shared" si="277"/>
        <v>8964489</v>
      </c>
      <c r="S2206" s="275">
        <f t="shared" si="278"/>
        <v>9418451</v>
      </c>
      <c r="T2206" s="575"/>
      <c r="U2206" s="487"/>
      <c r="V2206" s="576"/>
      <c r="W2206" s="573"/>
      <c r="X2206" s="574">
        <f t="shared" si="282"/>
        <v>0</v>
      </c>
      <c r="Y2206" s="487"/>
      <c r="Z2206" s="487"/>
      <c r="AA2206" s="276">
        <f t="shared" si="283"/>
        <v>0</v>
      </c>
      <c r="AB2206" s="573"/>
      <c r="AC2206" s="487"/>
      <c r="AD2206" s="573"/>
      <c r="AE2206" s="487"/>
      <c r="AF2206" s="577">
        <f t="shared" si="279"/>
        <v>8964489</v>
      </c>
      <c r="AG2206" s="275">
        <f t="shared" si="280"/>
        <v>9418451</v>
      </c>
    </row>
    <row r="2207" spans="1:33" ht="12" customHeight="1">
      <c r="A2207" s="594" t="s">
        <v>1282</v>
      </c>
      <c r="B2207" s="569" t="s">
        <v>1785</v>
      </c>
      <c r="C2207" s="250" t="s">
        <v>1753</v>
      </c>
      <c r="D2207" s="571"/>
      <c r="E2207" s="572"/>
      <c r="F2207" s="573"/>
      <c r="G2207" s="487"/>
      <c r="H2207" s="573"/>
      <c r="I2207" s="487"/>
      <c r="J2207" s="573"/>
      <c r="K2207" s="487"/>
      <c r="L2207" s="573"/>
      <c r="M2207" s="573"/>
      <c r="N2207" s="456">
        <f t="shared" si="281"/>
        <v>0</v>
      </c>
      <c r="O2207" s="487"/>
      <c r="P2207" s="487"/>
      <c r="Q2207" s="274">
        <f t="shared" si="276"/>
        <v>0</v>
      </c>
      <c r="R2207" s="574">
        <f t="shared" si="277"/>
        <v>0</v>
      </c>
      <c r="S2207" s="275">
        <f t="shared" si="278"/>
        <v>0</v>
      </c>
      <c r="T2207" s="575"/>
      <c r="U2207" s="487"/>
      <c r="V2207" s="576"/>
      <c r="W2207" s="573"/>
      <c r="X2207" s="574">
        <f t="shared" si="282"/>
        <v>0</v>
      </c>
      <c r="Y2207" s="487"/>
      <c r="Z2207" s="487"/>
      <c r="AA2207" s="276">
        <f t="shared" si="283"/>
        <v>0</v>
      </c>
      <c r="AB2207" s="573"/>
      <c r="AC2207" s="487"/>
      <c r="AD2207" s="573"/>
      <c r="AE2207" s="487"/>
      <c r="AF2207" s="577">
        <f t="shared" si="279"/>
        <v>0</v>
      </c>
      <c r="AG2207" s="275">
        <f t="shared" si="280"/>
        <v>0</v>
      </c>
    </row>
    <row r="2208" spans="1:33" ht="12" customHeight="1" thickBot="1">
      <c r="A2208" s="594" t="s">
        <v>1282</v>
      </c>
      <c r="B2208" s="594" t="s">
        <v>1786</v>
      </c>
      <c r="C2208" s="237" t="s">
        <v>1891</v>
      </c>
      <c r="D2208" s="571"/>
      <c r="E2208" s="572"/>
      <c r="F2208" s="573"/>
      <c r="G2208" s="487"/>
      <c r="H2208" s="573"/>
      <c r="I2208" s="487"/>
      <c r="J2208" s="573"/>
      <c r="K2208" s="487"/>
      <c r="L2208" s="573"/>
      <c r="M2208" s="573"/>
      <c r="N2208" s="456">
        <f t="shared" si="281"/>
        <v>0</v>
      </c>
      <c r="O2208" s="487"/>
      <c r="P2208" s="487"/>
      <c r="Q2208" s="274">
        <f t="shared" si="276"/>
        <v>0</v>
      </c>
      <c r="R2208" s="574">
        <f t="shared" si="277"/>
        <v>0</v>
      </c>
      <c r="S2208" s="275">
        <f t="shared" si="278"/>
        <v>0</v>
      </c>
      <c r="T2208" s="575"/>
      <c r="U2208" s="487"/>
      <c r="V2208" s="576"/>
      <c r="W2208" s="573"/>
      <c r="X2208" s="574">
        <f t="shared" si="282"/>
        <v>0</v>
      </c>
      <c r="Y2208" s="487"/>
      <c r="Z2208" s="487"/>
      <c r="AA2208" s="276">
        <f t="shared" si="283"/>
        <v>0</v>
      </c>
      <c r="AB2208" s="573"/>
      <c r="AC2208" s="487"/>
      <c r="AD2208" s="573"/>
      <c r="AE2208" s="487"/>
      <c r="AF2208" s="577">
        <f t="shared" si="279"/>
        <v>0</v>
      </c>
      <c r="AG2208" s="275">
        <f t="shared" si="280"/>
        <v>0</v>
      </c>
    </row>
    <row r="2209" spans="1:33" ht="12" customHeight="1">
      <c r="A2209" s="594" t="s">
        <v>1282</v>
      </c>
      <c r="B2209" s="594" t="s">
        <v>1786</v>
      </c>
      <c r="C2209" s="579" t="s">
        <v>605</v>
      </c>
      <c r="D2209" s="571"/>
      <c r="E2209" s="572"/>
      <c r="F2209" s="573"/>
      <c r="G2209" s="487"/>
      <c r="H2209" s="587">
        <v>100348</v>
      </c>
      <c r="I2209" s="499">
        <v>100348</v>
      </c>
      <c r="J2209" s="573"/>
      <c r="K2209" s="487"/>
      <c r="L2209" s="573"/>
      <c r="M2209" s="573"/>
      <c r="N2209" s="456">
        <f t="shared" si="281"/>
        <v>0</v>
      </c>
      <c r="O2209" s="487"/>
      <c r="P2209" s="487"/>
      <c r="Q2209" s="274">
        <f t="shared" si="276"/>
        <v>0</v>
      </c>
      <c r="R2209" s="574">
        <f t="shared" si="277"/>
        <v>100348</v>
      </c>
      <c r="S2209" s="275">
        <f t="shared" si="278"/>
        <v>100348</v>
      </c>
      <c r="T2209" s="575"/>
      <c r="U2209" s="487"/>
      <c r="V2209" s="576"/>
      <c r="W2209" s="573"/>
      <c r="X2209" s="574">
        <f t="shared" si="282"/>
        <v>0</v>
      </c>
      <c r="Y2209" s="487"/>
      <c r="Z2209" s="487"/>
      <c r="AA2209" s="276">
        <f t="shared" si="283"/>
        <v>0</v>
      </c>
      <c r="AB2209" s="573"/>
      <c r="AC2209" s="487"/>
      <c r="AD2209" s="573"/>
      <c r="AE2209" s="487"/>
      <c r="AF2209" s="577">
        <f t="shared" si="279"/>
        <v>100348</v>
      </c>
      <c r="AG2209" s="275">
        <f t="shared" si="280"/>
        <v>100348</v>
      </c>
    </row>
    <row r="2210" spans="1:33" ht="12" customHeight="1">
      <c r="A2210" s="594" t="s">
        <v>1282</v>
      </c>
      <c r="B2210" s="594" t="s">
        <v>1821</v>
      </c>
      <c r="C2210" s="250" t="s">
        <v>606</v>
      </c>
      <c r="D2210" s="571"/>
      <c r="E2210" s="572"/>
      <c r="F2210" s="573"/>
      <c r="G2210" s="487"/>
      <c r="H2210" s="576"/>
      <c r="I2210" s="487"/>
      <c r="J2210" s="573"/>
      <c r="K2210" s="487"/>
      <c r="L2210" s="573"/>
      <c r="M2210" s="573"/>
      <c r="N2210" s="456">
        <f t="shared" si="281"/>
        <v>0</v>
      </c>
      <c r="O2210" s="487"/>
      <c r="P2210" s="487"/>
      <c r="Q2210" s="274">
        <f t="shared" si="276"/>
        <v>0</v>
      </c>
      <c r="R2210" s="574">
        <f t="shared" si="277"/>
        <v>0</v>
      </c>
      <c r="S2210" s="275">
        <f t="shared" si="278"/>
        <v>0</v>
      </c>
      <c r="T2210" s="575"/>
      <c r="U2210" s="487"/>
      <c r="V2210" s="576"/>
      <c r="W2210" s="573"/>
      <c r="X2210" s="574">
        <f t="shared" si="282"/>
        <v>0</v>
      </c>
      <c r="Y2210" s="487"/>
      <c r="Z2210" s="487"/>
      <c r="AA2210" s="276">
        <f t="shared" si="283"/>
        <v>0</v>
      </c>
      <c r="AB2210" s="573"/>
      <c r="AC2210" s="487"/>
      <c r="AD2210" s="573"/>
      <c r="AE2210" s="487"/>
      <c r="AF2210" s="577">
        <f t="shared" si="279"/>
        <v>0</v>
      </c>
      <c r="AG2210" s="275">
        <f t="shared" si="280"/>
        <v>0</v>
      </c>
    </row>
    <row r="2211" spans="1:33" ht="12" customHeight="1">
      <c r="A2211" s="594" t="s">
        <v>1282</v>
      </c>
      <c r="B2211" s="594" t="s">
        <v>1821</v>
      </c>
      <c r="C2211" s="579" t="s">
        <v>607</v>
      </c>
      <c r="D2211" s="571"/>
      <c r="E2211" s="572"/>
      <c r="F2211" s="573"/>
      <c r="G2211" s="487"/>
      <c r="H2211" s="576"/>
      <c r="I2211" s="487"/>
      <c r="J2211" s="573"/>
      <c r="K2211" s="487"/>
      <c r="L2211" s="573"/>
      <c r="M2211" s="573"/>
      <c r="N2211" s="456">
        <f t="shared" si="281"/>
        <v>0</v>
      </c>
      <c r="O2211" s="487"/>
      <c r="P2211" s="487"/>
      <c r="Q2211" s="274">
        <f t="shared" si="276"/>
        <v>0</v>
      </c>
      <c r="R2211" s="574">
        <f t="shared" si="277"/>
        <v>0</v>
      </c>
      <c r="S2211" s="275">
        <f t="shared" si="278"/>
        <v>0</v>
      </c>
      <c r="T2211" s="575"/>
      <c r="U2211" s="487"/>
      <c r="V2211" s="576"/>
      <c r="W2211" s="573"/>
      <c r="X2211" s="574">
        <f t="shared" si="282"/>
        <v>0</v>
      </c>
      <c r="Y2211" s="487"/>
      <c r="Z2211" s="487"/>
      <c r="AA2211" s="276">
        <f t="shared" si="283"/>
        <v>0</v>
      </c>
      <c r="AB2211" s="573"/>
      <c r="AC2211" s="487"/>
      <c r="AD2211" s="573"/>
      <c r="AE2211" s="487"/>
      <c r="AF2211" s="577">
        <f t="shared" si="279"/>
        <v>0</v>
      </c>
      <c r="AG2211" s="275">
        <f t="shared" si="280"/>
        <v>0</v>
      </c>
    </row>
    <row r="2212" spans="1:33" ht="12" customHeight="1">
      <c r="A2212" s="594" t="s">
        <v>1282</v>
      </c>
      <c r="B2212" s="594" t="s">
        <v>1821</v>
      </c>
      <c r="C2212" s="579" t="s">
        <v>608</v>
      </c>
      <c r="D2212" s="571"/>
      <c r="E2212" s="572"/>
      <c r="F2212" s="573"/>
      <c r="G2212" s="487"/>
      <c r="H2212" s="576">
        <v>729022</v>
      </c>
      <c r="I2212" s="487">
        <v>723982</v>
      </c>
      <c r="J2212" s="573"/>
      <c r="K2212" s="487"/>
      <c r="L2212" s="573"/>
      <c r="M2212" s="573"/>
      <c r="N2212" s="456">
        <f t="shared" si="281"/>
        <v>0</v>
      </c>
      <c r="O2212" s="487"/>
      <c r="P2212" s="487"/>
      <c r="Q2212" s="274">
        <f t="shared" si="276"/>
        <v>0</v>
      </c>
      <c r="R2212" s="574">
        <f t="shared" si="277"/>
        <v>729022</v>
      </c>
      <c r="S2212" s="275">
        <f t="shared" si="278"/>
        <v>723982</v>
      </c>
      <c r="T2212" s="575"/>
      <c r="U2212" s="487"/>
      <c r="V2212" s="576"/>
      <c r="W2212" s="573"/>
      <c r="X2212" s="574">
        <f t="shared" si="282"/>
        <v>0</v>
      </c>
      <c r="Y2212" s="487"/>
      <c r="Z2212" s="487"/>
      <c r="AA2212" s="276">
        <f t="shared" si="283"/>
        <v>0</v>
      </c>
      <c r="AB2212" s="573"/>
      <c r="AC2212" s="487"/>
      <c r="AD2212" s="573"/>
      <c r="AE2212" s="487"/>
      <c r="AF2212" s="577">
        <f t="shared" si="279"/>
        <v>729022</v>
      </c>
      <c r="AG2212" s="275">
        <f t="shared" si="280"/>
        <v>723982</v>
      </c>
    </row>
    <row r="2213" spans="1:33" ht="12" customHeight="1">
      <c r="A2213" s="594" t="s">
        <v>1282</v>
      </c>
      <c r="B2213" s="594" t="s">
        <v>1821</v>
      </c>
      <c r="C2213" s="579" t="s">
        <v>609</v>
      </c>
      <c r="D2213" s="571"/>
      <c r="E2213" s="572"/>
      <c r="F2213" s="573"/>
      <c r="G2213" s="487"/>
      <c r="H2213" s="576">
        <v>27038</v>
      </c>
      <c r="I2213" s="487">
        <v>27038</v>
      </c>
      <c r="J2213" s="573"/>
      <c r="K2213" s="487"/>
      <c r="L2213" s="573"/>
      <c r="M2213" s="573"/>
      <c r="N2213" s="456">
        <f t="shared" si="281"/>
        <v>0</v>
      </c>
      <c r="O2213" s="487"/>
      <c r="P2213" s="487"/>
      <c r="Q2213" s="274">
        <f t="shared" si="276"/>
        <v>0</v>
      </c>
      <c r="R2213" s="574">
        <f t="shared" si="277"/>
        <v>27038</v>
      </c>
      <c r="S2213" s="275">
        <f t="shared" si="278"/>
        <v>27038</v>
      </c>
      <c r="T2213" s="575"/>
      <c r="U2213" s="487"/>
      <c r="V2213" s="576"/>
      <c r="W2213" s="573"/>
      <c r="X2213" s="574">
        <f t="shared" si="282"/>
        <v>0</v>
      </c>
      <c r="Y2213" s="487"/>
      <c r="Z2213" s="487"/>
      <c r="AA2213" s="276">
        <f t="shared" si="283"/>
        <v>0</v>
      </c>
      <c r="AB2213" s="573"/>
      <c r="AC2213" s="487"/>
      <c r="AD2213" s="573"/>
      <c r="AE2213" s="487"/>
      <c r="AF2213" s="577">
        <f t="shared" si="279"/>
        <v>27038</v>
      </c>
      <c r="AG2213" s="275">
        <f t="shared" si="280"/>
        <v>27038</v>
      </c>
    </row>
    <row r="2214" spans="1:33" ht="12" customHeight="1">
      <c r="A2214" s="594" t="s">
        <v>1282</v>
      </c>
      <c r="B2214" s="594" t="s">
        <v>1821</v>
      </c>
      <c r="C2214" s="579" t="s">
        <v>610</v>
      </c>
      <c r="D2214" s="571"/>
      <c r="E2214" s="572"/>
      <c r="F2214" s="573"/>
      <c r="G2214" s="487"/>
      <c r="H2214" s="576">
        <v>1803211</v>
      </c>
      <c r="I2214" s="487">
        <v>1803211</v>
      </c>
      <c r="J2214" s="573"/>
      <c r="K2214" s="487"/>
      <c r="L2214" s="573"/>
      <c r="M2214" s="573"/>
      <c r="N2214" s="456">
        <f t="shared" si="281"/>
        <v>0</v>
      </c>
      <c r="O2214" s="487"/>
      <c r="P2214" s="487"/>
      <c r="Q2214" s="274">
        <f t="shared" si="276"/>
        <v>0</v>
      </c>
      <c r="R2214" s="574">
        <f t="shared" si="277"/>
        <v>1803211</v>
      </c>
      <c r="S2214" s="275">
        <f t="shared" si="278"/>
        <v>1803211</v>
      </c>
      <c r="T2214" s="575"/>
      <c r="U2214" s="487"/>
      <c r="V2214" s="576"/>
      <c r="W2214" s="573"/>
      <c r="X2214" s="574">
        <f t="shared" si="282"/>
        <v>0</v>
      </c>
      <c r="Y2214" s="487"/>
      <c r="Z2214" s="487"/>
      <c r="AA2214" s="276">
        <f t="shared" si="283"/>
        <v>0</v>
      </c>
      <c r="AB2214" s="573"/>
      <c r="AC2214" s="487"/>
      <c r="AD2214" s="573"/>
      <c r="AE2214" s="487"/>
      <c r="AF2214" s="577">
        <f t="shared" si="279"/>
        <v>1803211</v>
      </c>
      <c r="AG2214" s="275">
        <f t="shared" si="280"/>
        <v>1803211</v>
      </c>
    </row>
    <row r="2215" spans="1:33" ht="12" customHeight="1">
      <c r="A2215" s="594" t="s">
        <v>1282</v>
      </c>
      <c r="B2215" s="594" t="s">
        <v>1821</v>
      </c>
      <c r="C2215" s="579" t="s">
        <v>611</v>
      </c>
      <c r="D2215" s="571"/>
      <c r="E2215" s="572"/>
      <c r="F2215" s="573"/>
      <c r="G2215" s="487"/>
      <c r="H2215" s="576"/>
      <c r="I2215" s="487"/>
      <c r="J2215" s="573"/>
      <c r="K2215" s="487"/>
      <c r="L2215" s="573"/>
      <c r="M2215" s="573"/>
      <c r="N2215" s="456">
        <f t="shared" si="281"/>
        <v>0</v>
      </c>
      <c r="O2215" s="487"/>
      <c r="P2215" s="487"/>
      <c r="Q2215" s="274">
        <f t="shared" si="276"/>
        <v>0</v>
      </c>
      <c r="R2215" s="574">
        <f t="shared" si="277"/>
        <v>0</v>
      </c>
      <c r="S2215" s="275">
        <f t="shared" si="278"/>
        <v>0</v>
      </c>
      <c r="T2215" s="575"/>
      <c r="U2215" s="487"/>
      <c r="V2215" s="576"/>
      <c r="W2215" s="573"/>
      <c r="X2215" s="574">
        <f t="shared" si="282"/>
        <v>0</v>
      </c>
      <c r="Y2215" s="487"/>
      <c r="Z2215" s="487"/>
      <c r="AA2215" s="276">
        <f t="shared" si="283"/>
        <v>0</v>
      </c>
      <c r="AB2215" s="573"/>
      <c r="AC2215" s="487"/>
      <c r="AD2215" s="573"/>
      <c r="AE2215" s="487"/>
      <c r="AF2215" s="577">
        <f t="shared" si="279"/>
        <v>0</v>
      </c>
      <c r="AG2215" s="275">
        <f t="shared" si="280"/>
        <v>0</v>
      </c>
    </row>
    <row r="2216" spans="1:33" ht="12" customHeight="1">
      <c r="A2216" s="594" t="s">
        <v>1282</v>
      </c>
      <c r="B2216" s="594" t="s">
        <v>1821</v>
      </c>
      <c r="C2216" s="579" t="s">
        <v>612</v>
      </c>
      <c r="D2216" s="571"/>
      <c r="E2216" s="572"/>
      <c r="F2216" s="573"/>
      <c r="G2216" s="487"/>
      <c r="H2216" s="576"/>
      <c r="I2216" s="487"/>
      <c r="J2216" s="573"/>
      <c r="K2216" s="487"/>
      <c r="L2216" s="573"/>
      <c r="M2216" s="573"/>
      <c r="N2216" s="456">
        <f t="shared" si="281"/>
        <v>0</v>
      </c>
      <c r="O2216" s="487"/>
      <c r="P2216" s="487"/>
      <c r="Q2216" s="274">
        <f t="shared" si="276"/>
        <v>0</v>
      </c>
      <c r="R2216" s="574">
        <f t="shared" si="277"/>
        <v>0</v>
      </c>
      <c r="S2216" s="275">
        <f t="shared" si="278"/>
        <v>0</v>
      </c>
      <c r="T2216" s="575"/>
      <c r="U2216" s="487"/>
      <c r="V2216" s="576"/>
      <c r="W2216" s="573"/>
      <c r="X2216" s="574">
        <f t="shared" si="282"/>
        <v>0</v>
      </c>
      <c r="Y2216" s="487"/>
      <c r="Z2216" s="487"/>
      <c r="AA2216" s="276">
        <f t="shared" si="283"/>
        <v>0</v>
      </c>
      <c r="AB2216" s="573"/>
      <c r="AC2216" s="487"/>
      <c r="AD2216" s="573"/>
      <c r="AE2216" s="487"/>
      <c r="AF2216" s="577">
        <f t="shared" si="279"/>
        <v>0</v>
      </c>
      <c r="AG2216" s="275">
        <f t="shared" si="280"/>
        <v>0</v>
      </c>
    </row>
    <row r="2217" spans="1:33" ht="12" customHeight="1">
      <c r="A2217" s="594" t="s">
        <v>1282</v>
      </c>
      <c r="B2217" s="594" t="s">
        <v>1821</v>
      </c>
      <c r="C2217" s="579" t="s">
        <v>613</v>
      </c>
      <c r="D2217" s="571"/>
      <c r="E2217" s="572"/>
      <c r="F2217" s="573"/>
      <c r="G2217" s="487"/>
      <c r="H2217" s="576">
        <v>305882</v>
      </c>
      <c r="I2217" s="487">
        <v>305882</v>
      </c>
      <c r="J2217" s="573"/>
      <c r="K2217" s="487"/>
      <c r="L2217" s="573"/>
      <c r="M2217" s="573"/>
      <c r="N2217" s="456">
        <f t="shared" si="281"/>
        <v>0</v>
      </c>
      <c r="O2217" s="487"/>
      <c r="P2217" s="487"/>
      <c r="Q2217" s="274">
        <f t="shared" si="276"/>
        <v>0</v>
      </c>
      <c r="R2217" s="574">
        <f t="shared" si="277"/>
        <v>305882</v>
      </c>
      <c r="S2217" s="275">
        <f t="shared" si="278"/>
        <v>305882</v>
      </c>
      <c r="T2217" s="575"/>
      <c r="U2217" s="487"/>
      <c r="V2217" s="576"/>
      <c r="W2217" s="573"/>
      <c r="X2217" s="574">
        <f t="shared" si="282"/>
        <v>0</v>
      </c>
      <c r="Y2217" s="487"/>
      <c r="Z2217" s="487"/>
      <c r="AA2217" s="276">
        <f t="shared" si="283"/>
        <v>0</v>
      </c>
      <c r="AB2217" s="573"/>
      <c r="AC2217" s="487"/>
      <c r="AD2217" s="573"/>
      <c r="AE2217" s="487"/>
      <c r="AF2217" s="577">
        <f t="shared" si="279"/>
        <v>305882</v>
      </c>
      <c r="AG2217" s="275">
        <f t="shared" si="280"/>
        <v>305882</v>
      </c>
    </row>
    <row r="2218" spans="1:33" ht="12" customHeight="1">
      <c r="A2218" s="594" t="s">
        <v>1282</v>
      </c>
      <c r="B2218" s="594" t="s">
        <v>1821</v>
      </c>
      <c r="C2218" s="579" t="s">
        <v>614</v>
      </c>
      <c r="D2218" s="571"/>
      <c r="E2218" s="572"/>
      <c r="F2218" s="573"/>
      <c r="G2218" s="487"/>
      <c r="H2218" s="576"/>
      <c r="I2218" s="487"/>
      <c r="J2218" s="573"/>
      <c r="K2218" s="487"/>
      <c r="L2218" s="573"/>
      <c r="M2218" s="573"/>
      <c r="N2218" s="456">
        <f t="shared" si="281"/>
        <v>0</v>
      </c>
      <c r="O2218" s="487"/>
      <c r="P2218" s="487"/>
      <c r="Q2218" s="274">
        <f t="shared" si="276"/>
        <v>0</v>
      </c>
      <c r="R2218" s="574">
        <f t="shared" si="277"/>
        <v>0</v>
      </c>
      <c r="S2218" s="275">
        <f t="shared" si="278"/>
        <v>0</v>
      </c>
      <c r="T2218" s="575"/>
      <c r="U2218" s="487"/>
      <c r="V2218" s="576"/>
      <c r="W2218" s="573"/>
      <c r="X2218" s="574">
        <f t="shared" si="282"/>
        <v>0</v>
      </c>
      <c r="Y2218" s="487"/>
      <c r="Z2218" s="487"/>
      <c r="AA2218" s="276">
        <f t="shared" si="283"/>
        <v>0</v>
      </c>
      <c r="AB2218" s="573"/>
      <c r="AC2218" s="487"/>
      <c r="AD2218" s="573"/>
      <c r="AE2218" s="487"/>
      <c r="AF2218" s="577">
        <f t="shared" si="279"/>
        <v>0</v>
      </c>
      <c r="AG2218" s="275">
        <f t="shared" si="280"/>
        <v>0</v>
      </c>
    </row>
    <row r="2219" spans="1:33" ht="12" customHeight="1">
      <c r="A2219" s="594" t="s">
        <v>1282</v>
      </c>
      <c r="B2219" s="594" t="s">
        <v>1821</v>
      </c>
      <c r="C2219" s="579" t="s">
        <v>1526</v>
      </c>
      <c r="D2219" s="571"/>
      <c r="E2219" s="572"/>
      <c r="F2219" s="573"/>
      <c r="G2219" s="487"/>
      <c r="H2219" s="576"/>
      <c r="I2219" s="487"/>
      <c r="J2219" s="573"/>
      <c r="K2219" s="487"/>
      <c r="L2219" s="573"/>
      <c r="M2219" s="573"/>
      <c r="N2219" s="456">
        <f t="shared" si="281"/>
        <v>0</v>
      </c>
      <c r="O2219" s="487"/>
      <c r="P2219" s="487"/>
      <c r="Q2219" s="274">
        <f t="shared" si="276"/>
        <v>0</v>
      </c>
      <c r="R2219" s="574">
        <f t="shared" si="277"/>
        <v>0</v>
      </c>
      <c r="S2219" s="275">
        <f t="shared" si="278"/>
        <v>0</v>
      </c>
      <c r="T2219" s="575"/>
      <c r="U2219" s="487"/>
      <c r="V2219" s="576"/>
      <c r="W2219" s="573"/>
      <c r="X2219" s="574">
        <f t="shared" si="282"/>
        <v>0</v>
      </c>
      <c r="Y2219" s="487"/>
      <c r="Z2219" s="487"/>
      <c r="AA2219" s="276">
        <f t="shared" si="283"/>
        <v>0</v>
      </c>
      <c r="AB2219" s="573"/>
      <c r="AC2219" s="487"/>
      <c r="AD2219" s="573"/>
      <c r="AE2219" s="487"/>
      <c r="AF2219" s="577">
        <f t="shared" si="279"/>
        <v>0</v>
      </c>
      <c r="AG2219" s="275">
        <f t="shared" si="280"/>
        <v>0</v>
      </c>
    </row>
    <row r="2220" spans="1:33" ht="12" customHeight="1">
      <c r="A2220" s="594" t="s">
        <v>1282</v>
      </c>
      <c r="B2220" s="594" t="s">
        <v>1821</v>
      </c>
      <c r="C2220" s="579" t="s">
        <v>1527</v>
      </c>
      <c r="D2220" s="571"/>
      <c r="E2220" s="572"/>
      <c r="F2220" s="573"/>
      <c r="G2220" s="487"/>
      <c r="H2220" s="576">
        <v>8604500</v>
      </c>
      <c r="I2220" s="487">
        <v>8604500</v>
      </c>
      <c r="J2220" s="573"/>
      <c r="K2220" s="487"/>
      <c r="L2220" s="573"/>
      <c r="M2220" s="573"/>
      <c r="N2220" s="456">
        <f t="shared" si="281"/>
        <v>0</v>
      </c>
      <c r="O2220" s="487"/>
      <c r="P2220" s="487"/>
      <c r="Q2220" s="274">
        <f t="shared" si="276"/>
        <v>0</v>
      </c>
      <c r="R2220" s="574">
        <f t="shared" si="277"/>
        <v>8604500</v>
      </c>
      <c r="S2220" s="275">
        <f t="shared" si="278"/>
        <v>8604500</v>
      </c>
      <c r="T2220" s="575"/>
      <c r="U2220" s="487"/>
      <c r="V2220" s="576"/>
      <c r="W2220" s="573"/>
      <c r="X2220" s="574">
        <f t="shared" si="282"/>
        <v>0</v>
      </c>
      <c r="Y2220" s="487"/>
      <c r="Z2220" s="487"/>
      <c r="AA2220" s="276">
        <f t="shared" si="283"/>
        <v>0</v>
      </c>
      <c r="AB2220" s="573"/>
      <c r="AC2220" s="487"/>
      <c r="AD2220" s="573"/>
      <c r="AE2220" s="487"/>
      <c r="AF2220" s="577">
        <f t="shared" si="279"/>
        <v>8604500</v>
      </c>
      <c r="AG2220" s="275">
        <f t="shared" si="280"/>
        <v>8604500</v>
      </c>
    </row>
    <row r="2221" spans="1:33" ht="12" customHeight="1">
      <c r="A2221" s="594" t="s">
        <v>1282</v>
      </c>
      <c r="B2221" s="594" t="s">
        <v>1821</v>
      </c>
      <c r="C2221" s="579" t="s">
        <v>1528</v>
      </c>
      <c r="D2221" s="571"/>
      <c r="E2221" s="572"/>
      <c r="F2221" s="573"/>
      <c r="G2221" s="487"/>
      <c r="H2221" s="576">
        <v>418372</v>
      </c>
      <c r="I2221" s="487">
        <v>418372</v>
      </c>
      <c r="J2221" s="573"/>
      <c r="K2221" s="487"/>
      <c r="L2221" s="573"/>
      <c r="M2221" s="573"/>
      <c r="N2221" s="456">
        <f t="shared" si="281"/>
        <v>0</v>
      </c>
      <c r="O2221" s="487"/>
      <c r="P2221" s="487"/>
      <c r="Q2221" s="274">
        <f t="shared" si="276"/>
        <v>0</v>
      </c>
      <c r="R2221" s="574">
        <f t="shared" si="277"/>
        <v>418372</v>
      </c>
      <c r="S2221" s="275">
        <f t="shared" si="278"/>
        <v>418372</v>
      </c>
      <c r="T2221" s="575"/>
      <c r="U2221" s="487"/>
      <c r="V2221" s="576"/>
      <c r="W2221" s="573"/>
      <c r="X2221" s="574">
        <f t="shared" si="282"/>
        <v>0</v>
      </c>
      <c r="Y2221" s="487"/>
      <c r="Z2221" s="487"/>
      <c r="AA2221" s="276">
        <f t="shared" si="283"/>
        <v>0</v>
      </c>
      <c r="AB2221" s="573"/>
      <c r="AC2221" s="487"/>
      <c r="AD2221" s="573"/>
      <c r="AE2221" s="487"/>
      <c r="AF2221" s="577">
        <f t="shared" si="279"/>
        <v>418372</v>
      </c>
      <c r="AG2221" s="275">
        <f t="shared" si="280"/>
        <v>418372</v>
      </c>
    </row>
    <row r="2222" spans="1:33" ht="12" customHeight="1">
      <c r="A2222" s="594" t="s">
        <v>1282</v>
      </c>
      <c r="B2222" s="594" t="s">
        <v>1821</v>
      </c>
      <c r="C2222" s="579" t="s">
        <v>1529</v>
      </c>
      <c r="D2222" s="571"/>
      <c r="E2222" s="572"/>
      <c r="F2222" s="573"/>
      <c r="G2222" s="487"/>
      <c r="H2222" s="576">
        <f>3145116+1219271</f>
        <v>4364387</v>
      </c>
      <c r="I2222" s="487">
        <f>3145116+1219271</f>
        <v>4364387</v>
      </c>
      <c r="J2222" s="573"/>
      <c r="K2222" s="487"/>
      <c r="L2222" s="573"/>
      <c r="M2222" s="573"/>
      <c r="N2222" s="456">
        <f t="shared" si="281"/>
        <v>0</v>
      </c>
      <c r="O2222" s="487"/>
      <c r="P2222" s="487"/>
      <c r="Q2222" s="274">
        <f t="shared" si="276"/>
        <v>0</v>
      </c>
      <c r="R2222" s="574">
        <f t="shared" si="277"/>
        <v>4364387</v>
      </c>
      <c r="S2222" s="275">
        <f t="shared" si="278"/>
        <v>4364387</v>
      </c>
      <c r="T2222" s="575"/>
      <c r="U2222" s="487"/>
      <c r="V2222" s="576"/>
      <c r="W2222" s="573"/>
      <c r="X2222" s="574">
        <f t="shared" si="282"/>
        <v>0</v>
      </c>
      <c r="Y2222" s="487"/>
      <c r="Z2222" s="487"/>
      <c r="AA2222" s="276">
        <f t="shared" si="283"/>
        <v>0</v>
      </c>
      <c r="AB2222" s="573"/>
      <c r="AC2222" s="487"/>
      <c r="AD2222" s="573"/>
      <c r="AE2222" s="487"/>
      <c r="AF2222" s="577">
        <f t="shared" si="279"/>
        <v>4364387</v>
      </c>
      <c r="AG2222" s="275">
        <f t="shared" si="280"/>
        <v>4364387</v>
      </c>
    </row>
    <row r="2223" spans="1:33" ht="12" customHeight="1">
      <c r="A2223" s="594" t="s">
        <v>1282</v>
      </c>
      <c r="B2223" s="594" t="s">
        <v>1821</v>
      </c>
      <c r="C2223" s="580" t="s">
        <v>1530</v>
      </c>
      <c r="D2223" s="571"/>
      <c r="E2223" s="572"/>
      <c r="F2223" s="573"/>
      <c r="G2223" s="487"/>
      <c r="H2223" s="576">
        <v>1174710</v>
      </c>
      <c r="I2223" s="487">
        <v>1174710</v>
      </c>
      <c r="J2223" s="573"/>
      <c r="K2223" s="487"/>
      <c r="L2223" s="573"/>
      <c r="M2223" s="573"/>
      <c r="N2223" s="456">
        <f t="shared" si="281"/>
        <v>0</v>
      </c>
      <c r="O2223" s="487"/>
      <c r="P2223" s="487"/>
      <c r="Q2223" s="274">
        <f t="shared" si="276"/>
        <v>0</v>
      </c>
      <c r="R2223" s="574">
        <f t="shared" si="277"/>
        <v>1174710</v>
      </c>
      <c r="S2223" s="275">
        <f t="shared" si="278"/>
        <v>1174710</v>
      </c>
      <c r="T2223" s="575"/>
      <c r="U2223" s="487"/>
      <c r="V2223" s="576"/>
      <c r="W2223" s="573"/>
      <c r="X2223" s="574">
        <f t="shared" si="282"/>
        <v>0</v>
      </c>
      <c r="Y2223" s="487"/>
      <c r="Z2223" s="487"/>
      <c r="AA2223" s="276">
        <f t="shared" si="283"/>
        <v>0</v>
      </c>
      <c r="AB2223" s="573"/>
      <c r="AC2223" s="487"/>
      <c r="AD2223" s="573"/>
      <c r="AE2223" s="487"/>
      <c r="AF2223" s="577">
        <f t="shared" si="279"/>
        <v>1174710</v>
      </c>
      <c r="AG2223" s="275">
        <f t="shared" si="280"/>
        <v>1174710</v>
      </c>
    </row>
    <row r="2224" spans="1:33" ht="12" customHeight="1" thickBot="1">
      <c r="A2224" s="594" t="s">
        <v>1282</v>
      </c>
      <c r="B2224" s="594" t="s">
        <v>1821</v>
      </c>
      <c r="C2224" s="580" t="s">
        <v>1531</v>
      </c>
      <c r="D2224" s="571"/>
      <c r="E2224" s="572"/>
      <c r="F2224" s="573"/>
      <c r="G2224" s="487"/>
      <c r="H2224" s="591">
        <v>73229</v>
      </c>
      <c r="I2224" s="471">
        <v>73229</v>
      </c>
      <c r="J2224" s="573"/>
      <c r="K2224" s="487"/>
      <c r="L2224" s="573"/>
      <c r="M2224" s="573"/>
      <c r="N2224" s="456">
        <f t="shared" si="281"/>
        <v>0</v>
      </c>
      <c r="O2224" s="487"/>
      <c r="P2224" s="487"/>
      <c r="Q2224" s="274">
        <f t="shared" si="276"/>
        <v>0</v>
      </c>
      <c r="R2224" s="574">
        <f t="shared" si="277"/>
        <v>73229</v>
      </c>
      <c r="S2224" s="275">
        <f t="shared" si="278"/>
        <v>73229</v>
      </c>
      <c r="T2224" s="575"/>
      <c r="U2224" s="487"/>
      <c r="V2224" s="576"/>
      <c r="W2224" s="573"/>
      <c r="X2224" s="574">
        <f t="shared" si="282"/>
        <v>0</v>
      </c>
      <c r="Y2224" s="487"/>
      <c r="Z2224" s="487"/>
      <c r="AA2224" s="276">
        <f t="shared" si="283"/>
        <v>0</v>
      </c>
      <c r="AB2224" s="573"/>
      <c r="AC2224" s="487"/>
      <c r="AD2224" s="573"/>
      <c r="AE2224" s="487"/>
      <c r="AF2224" s="577">
        <f t="shared" si="279"/>
        <v>73229</v>
      </c>
      <c r="AG2224" s="275">
        <f t="shared" si="280"/>
        <v>73229</v>
      </c>
    </row>
    <row r="2225" spans="1:33" ht="12" customHeight="1">
      <c r="A2225" s="594" t="s">
        <v>1282</v>
      </c>
      <c r="B2225" s="594" t="s">
        <v>1794</v>
      </c>
      <c r="C2225" s="250" t="s">
        <v>849</v>
      </c>
      <c r="D2225" s="571"/>
      <c r="E2225" s="572"/>
      <c r="F2225" s="573"/>
      <c r="G2225" s="487"/>
      <c r="H2225" s="573"/>
      <c r="I2225" s="487"/>
      <c r="J2225" s="573"/>
      <c r="K2225" s="487"/>
      <c r="L2225" s="573"/>
      <c r="M2225" s="573"/>
      <c r="N2225" s="456">
        <f t="shared" si="281"/>
        <v>0</v>
      </c>
      <c r="O2225" s="487"/>
      <c r="P2225" s="487"/>
      <c r="Q2225" s="274">
        <f t="shared" si="276"/>
        <v>0</v>
      </c>
      <c r="R2225" s="574">
        <f t="shared" si="277"/>
        <v>0</v>
      </c>
      <c r="S2225" s="275">
        <f t="shared" si="278"/>
        <v>0</v>
      </c>
      <c r="T2225" s="575"/>
      <c r="U2225" s="487"/>
      <c r="V2225" s="576"/>
      <c r="W2225" s="573"/>
      <c r="X2225" s="574">
        <f t="shared" si="282"/>
        <v>0</v>
      </c>
      <c r="Y2225" s="487"/>
      <c r="Z2225" s="487"/>
      <c r="AA2225" s="276">
        <f t="shared" si="283"/>
        <v>0</v>
      </c>
      <c r="AB2225" s="573"/>
      <c r="AC2225" s="487"/>
      <c r="AD2225" s="573"/>
      <c r="AE2225" s="487"/>
      <c r="AF2225" s="577">
        <f t="shared" si="279"/>
        <v>0</v>
      </c>
      <c r="AG2225" s="275">
        <f t="shared" si="280"/>
        <v>0</v>
      </c>
    </row>
    <row r="2226" spans="1:33" ht="12" customHeight="1">
      <c r="A2226" s="594" t="s">
        <v>1282</v>
      </c>
      <c r="B2226" s="594" t="s">
        <v>1795</v>
      </c>
      <c r="C2226" s="237" t="s">
        <v>957</v>
      </c>
      <c r="D2226" s="571"/>
      <c r="E2226" s="572"/>
      <c r="F2226" s="573"/>
      <c r="G2226" s="487"/>
      <c r="H2226" s="573"/>
      <c r="I2226" s="487"/>
      <c r="J2226" s="573"/>
      <c r="K2226" s="487"/>
      <c r="L2226" s="573"/>
      <c r="M2226" s="573"/>
      <c r="N2226" s="456">
        <f t="shared" si="281"/>
        <v>0</v>
      </c>
      <c r="O2226" s="487"/>
      <c r="P2226" s="487"/>
      <c r="Q2226" s="274">
        <f t="shared" si="276"/>
        <v>0</v>
      </c>
      <c r="R2226" s="574">
        <f t="shared" si="277"/>
        <v>0</v>
      </c>
      <c r="S2226" s="275">
        <f t="shared" si="278"/>
        <v>0</v>
      </c>
      <c r="T2226" s="575"/>
      <c r="U2226" s="487"/>
      <c r="V2226" s="576"/>
      <c r="W2226" s="573"/>
      <c r="X2226" s="574">
        <f t="shared" si="282"/>
        <v>0</v>
      </c>
      <c r="Y2226" s="487"/>
      <c r="Z2226" s="487"/>
      <c r="AA2226" s="276">
        <f t="shared" si="283"/>
        <v>0</v>
      </c>
      <c r="AB2226" s="573"/>
      <c r="AC2226" s="487"/>
      <c r="AD2226" s="573"/>
      <c r="AE2226" s="487"/>
      <c r="AF2226" s="577">
        <f t="shared" si="279"/>
        <v>0</v>
      </c>
      <c r="AG2226" s="275">
        <f t="shared" si="280"/>
        <v>0</v>
      </c>
    </row>
    <row r="2227" spans="1:33" ht="12" customHeight="1">
      <c r="A2227" s="594" t="s">
        <v>1282</v>
      </c>
      <c r="B2227" s="594" t="s">
        <v>1795</v>
      </c>
      <c r="C2227" s="579" t="s">
        <v>1532</v>
      </c>
      <c r="D2227" s="571"/>
      <c r="E2227" s="572"/>
      <c r="F2227" s="573"/>
      <c r="G2227" s="487"/>
      <c r="H2227" s="573"/>
      <c r="I2227" s="487"/>
      <c r="J2227" s="573"/>
      <c r="K2227" s="487"/>
      <c r="L2227" s="573"/>
      <c r="M2227" s="573"/>
      <c r="N2227" s="456">
        <f t="shared" si="281"/>
        <v>0</v>
      </c>
      <c r="O2227" s="487"/>
      <c r="P2227" s="487"/>
      <c r="Q2227" s="274">
        <f t="shared" si="276"/>
        <v>0</v>
      </c>
      <c r="R2227" s="574">
        <f t="shared" si="277"/>
        <v>0</v>
      </c>
      <c r="S2227" s="275">
        <f t="shared" si="278"/>
        <v>0</v>
      </c>
      <c r="T2227" s="575">
        <f>6504108+657215+1653401</f>
        <v>8814724</v>
      </c>
      <c r="U2227" s="487">
        <f>7223421+1632401+657215</f>
        <v>9513037</v>
      </c>
      <c r="V2227" s="576"/>
      <c r="W2227" s="573"/>
      <c r="X2227" s="574">
        <f t="shared" si="282"/>
        <v>0</v>
      </c>
      <c r="Y2227" s="487"/>
      <c r="Z2227" s="487"/>
      <c r="AA2227" s="276">
        <f t="shared" si="283"/>
        <v>0</v>
      </c>
      <c r="AB2227" s="573"/>
      <c r="AC2227" s="487"/>
      <c r="AD2227" s="573"/>
      <c r="AE2227" s="487"/>
      <c r="AF2227" s="577">
        <f t="shared" si="279"/>
        <v>8814724</v>
      </c>
      <c r="AG2227" s="275">
        <f t="shared" si="280"/>
        <v>9513037</v>
      </c>
    </row>
    <row r="2228" spans="1:33" ht="12" customHeight="1">
      <c r="A2228" s="594" t="s">
        <v>1282</v>
      </c>
      <c r="B2228" s="594" t="s">
        <v>1796</v>
      </c>
      <c r="C2228" s="237" t="s">
        <v>956</v>
      </c>
      <c r="D2228" s="571"/>
      <c r="E2228" s="572"/>
      <c r="F2228" s="573"/>
      <c r="G2228" s="487"/>
      <c r="H2228" s="573"/>
      <c r="I2228" s="487"/>
      <c r="J2228" s="573"/>
      <c r="K2228" s="487"/>
      <c r="L2228" s="573"/>
      <c r="M2228" s="573"/>
      <c r="N2228" s="456">
        <f t="shared" si="281"/>
        <v>0</v>
      </c>
      <c r="O2228" s="487"/>
      <c r="P2228" s="487"/>
      <c r="Q2228" s="274">
        <f t="shared" si="276"/>
        <v>0</v>
      </c>
      <c r="R2228" s="574">
        <f t="shared" si="277"/>
        <v>0</v>
      </c>
      <c r="S2228" s="275">
        <f t="shared" si="278"/>
        <v>0</v>
      </c>
      <c r="T2228" s="575"/>
      <c r="U2228" s="487"/>
      <c r="V2228" s="576"/>
      <c r="W2228" s="573"/>
      <c r="X2228" s="574">
        <f t="shared" si="282"/>
        <v>0</v>
      </c>
      <c r="Y2228" s="487"/>
      <c r="Z2228" s="487"/>
      <c r="AA2228" s="276">
        <f t="shared" si="283"/>
        <v>0</v>
      </c>
      <c r="AB2228" s="573"/>
      <c r="AC2228" s="487"/>
      <c r="AD2228" s="573"/>
      <c r="AE2228" s="487"/>
      <c r="AF2228" s="577">
        <f t="shared" si="279"/>
        <v>0</v>
      </c>
      <c r="AG2228" s="275">
        <f t="shared" si="280"/>
        <v>0</v>
      </c>
    </row>
    <row r="2229" spans="1:33" ht="12" customHeight="1">
      <c r="A2229" s="594" t="s">
        <v>1282</v>
      </c>
      <c r="B2229" s="594" t="s">
        <v>1797</v>
      </c>
      <c r="C2229" s="237" t="s">
        <v>955</v>
      </c>
      <c r="D2229" s="571"/>
      <c r="E2229" s="572"/>
      <c r="F2229" s="573"/>
      <c r="G2229" s="487"/>
      <c r="H2229" s="573"/>
      <c r="I2229" s="487"/>
      <c r="J2229" s="573"/>
      <c r="K2229" s="487"/>
      <c r="L2229" s="573"/>
      <c r="M2229" s="573"/>
      <c r="N2229" s="456">
        <f t="shared" si="281"/>
        <v>0</v>
      </c>
      <c r="O2229" s="487"/>
      <c r="P2229" s="487"/>
      <c r="Q2229" s="274">
        <f t="shared" si="276"/>
        <v>0</v>
      </c>
      <c r="R2229" s="574">
        <f t="shared" si="277"/>
        <v>0</v>
      </c>
      <c r="S2229" s="275">
        <f t="shared" si="278"/>
        <v>0</v>
      </c>
      <c r="T2229" s="575"/>
      <c r="U2229" s="487"/>
      <c r="V2229" s="576"/>
      <c r="W2229" s="573"/>
      <c r="X2229" s="574">
        <f t="shared" si="282"/>
        <v>0</v>
      </c>
      <c r="Y2229" s="487"/>
      <c r="Z2229" s="487"/>
      <c r="AA2229" s="276">
        <f t="shared" si="283"/>
        <v>0</v>
      </c>
      <c r="AB2229" s="573"/>
      <c r="AC2229" s="487"/>
      <c r="AD2229" s="573"/>
      <c r="AE2229" s="487"/>
      <c r="AF2229" s="577">
        <f t="shared" si="279"/>
        <v>0</v>
      </c>
      <c r="AG2229" s="275">
        <f t="shared" si="280"/>
        <v>0</v>
      </c>
    </row>
    <row r="2230" spans="1:33" ht="12" customHeight="1">
      <c r="A2230" s="594" t="s">
        <v>1282</v>
      </c>
      <c r="B2230" s="594" t="s">
        <v>1797</v>
      </c>
      <c r="C2230" s="580" t="s">
        <v>1533</v>
      </c>
      <c r="D2230" s="571"/>
      <c r="E2230" s="572"/>
      <c r="F2230" s="573"/>
      <c r="G2230" s="487"/>
      <c r="H2230" s="573"/>
      <c r="I2230" s="487"/>
      <c r="J2230" s="573"/>
      <c r="K2230" s="487"/>
      <c r="L2230" s="573"/>
      <c r="M2230" s="573"/>
      <c r="N2230" s="456">
        <f t="shared" si="281"/>
        <v>0</v>
      </c>
      <c r="O2230" s="487"/>
      <c r="P2230" s="487"/>
      <c r="Q2230" s="274">
        <f t="shared" si="276"/>
        <v>0</v>
      </c>
      <c r="R2230" s="574">
        <f t="shared" si="277"/>
        <v>0</v>
      </c>
      <c r="S2230" s="275">
        <f t="shared" si="278"/>
        <v>0</v>
      </c>
      <c r="T2230" s="575"/>
      <c r="U2230" s="487"/>
      <c r="V2230" s="576"/>
      <c r="W2230" s="573"/>
      <c r="X2230" s="574">
        <f t="shared" si="282"/>
        <v>0</v>
      </c>
      <c r="Y2230" s="487"/>
      <c r="Z2230" s="487"/>
      <c r="AA2230" s="276">
        <f t="shared" si="283"/>
        <v>0</v>
      </c>
      <c r="AB2230" s="573"/>
      <c r="AC2230" s="487"/>
      <c r="AD2230" s="573"/>
      <c r="AE2230" s="487"/>
      <c r="AF2230" s="577">
        <f t="shared" si="279"/>
        <v>0</v>
      </c>
      <c r="AG2230" s="275">
        <f t="shared" si="280"/>
        <v>0</v>
      </c>
    </row>
    <row r="2231" spans="1:33" ht="12" customHeight="1">
      <c r="A2231" s="594" t="s">
        <v>1282</v>
      </c>
      <c r="B2231" s="594" t="s">
        <v>1798</v>
      </c>
      <c r="C2231" s="237" t="s">
        <v>1606</v>
      </c>
      <c r="D2231" s="571"/>
      <c r="E2231" s="572"/>
      <c r="F2231" s="573"/>
      <c r="G2231" s="487"/>
      <c r="H2231" s="573"/>
      <c r="I2231" s="487"/>
      <c r="J2231" s="573"/>
      <c r="K2231" s="487"/>
      <c r="L2231" s="573"/>
      <c r="M2231" s="573"/>
      <c r="N2231" s="456">
        <f t="shared" si="281"/>
        <v>0</v>
      </c>
      <c r="O2231" s="487"/>
      <c r="P2231" s="487"/>
      <c r="Q2231" s="274">
        <f t="shared" si="276"/>
        <v>0</v>
      </c>
      <c r="R2231" s="574">
        <f t="shared" si="277"/>
        <v>0</v>
      </c>
      <c r="S2231" s="275">
        <f t="shared" si="278"/>
        <v>0</v>
      </c>
      <c r="T2231" s="575"/>
      <c r="U2231" s="487"/>
      <c r="V2231" s="576"/>
      <c r="W2231" s="573"/>
      <c r="X2231" s="574">
        <f t="shared" si="282"/>
        <v>0</v>
      </c>
      <c r="Y2231" s="487"/>
      <c r="Z2231" s="487"/>
      <c r="AA2231" s="276">
        <f t="shared" si="283"/>
        <v>0</v>
      </c>
      <c r="AB2231" s="573"/>
      <c r="AC2231" s="487"/>
      <c r="AD2231" s="573"/>
      <c r="AE2231" s="487"/>
      <c r="AF2231" s="577">
        <f t="shared" si="279"/>
        <v>0</v>
      </c>
      <c r="AG2231" s="275">
        <f t="shared" si="280"/>
        <v>0</v>
      </c>
    </row>
    <row r="2232" spans="1:33" ht="12" customHeight="1">
      <c r="A2232" s="594" t="s">
        <v>1282</v>
      </c>
      <c r="B2232" s="569" t="s">
        <v>1799</v>
      </c>
      <c r="C2232" s="250" t="s">
        <v>853</v>
      </c>
      <c r="D2232" s="571"/>
      <c r="E2232" s="572"/>
      <c r="F2232" s="573"/>
      <c r="G2232" s="487"/>
      <c r="H2232" s="573"/>
      <c r="I2232" s="487"/>
      <c r="J2232" s="573"/>
      <c r="K2232" s="487"/>
      <c r="L2232" s="573"/>
      <c r="M2232" s="573"/>
      <c r="N2232" s="456">
        <f t="shared" si="281"/>
        <v>0</v>
      </c>
      <c r="O2232" s="487"/>
      <c r="P2232" s="487"/>
      <c r="Q2232" s="274">
        <f t="shared" si="276"/>
        <v>0</v>
      </c>
      <c r="R2232" s="574">
        <f t="shared" si="277"/>
        <v>0</v>
      </c>
      <c r="S2232" s="275">
        <f t="shared" si="278"/>
        <v>0</v>
      </c>
      <c r="T2232" s="575"/>
      <c r="U2232" s="487"/>
      <c r="V2232" s="576"/>
      <c r="W2232" s="573"/>
      <c r="X2232" s="574">
        <f t="shared" si="282"/>
        <v>0</v>
      </c>
      <c r="Y2232" s="487"/>
      <c r="Z2232" s="487"/>
      <c r="AA2232" s="276">
        <f t="shared" si="283"/>
        <v>0</v>
      </c>
      <c r="AB2232" s="573"/>
      <c r="AC2232" s="487"/>
      <c r="AD2232" s="573"/>
      <c r="AE2232" s="487"/>
      <c r="AF2232" s="577">
        <f t="shared" si="279"/>
        <v>0</v>
      </c>
      <c r="AG2232" s="275">
        <f t="shared" si="280"/>
        <v>0</v>
      </c>
    </row>
    <row r="2233" spans="1:33" ht="12" customHeight="1">
      <c r="A2233" s="594" t="s">
        <v>1282</v>
      </c>
      <c r="B2233" s="569" t="s">
        <v>1800</v>
      </c>
      <c r="C2233" s="250" t="s">
        <v>858</v>
      </c>
      <c r="D2233" s="571"/>
      <c r="E2233" s="572"/>
      <c r="F2233" s="573"/>
      <c r="G2233" s="487"/>
      <c r="H2233" s="573"/>
      <c r="I2233" s="487"/>
      <c r="J2233" s="573"/>
      <c r="K2233" s="487"/>
      <c r="L2233" s="573"/>
      <c r="M2233" s="573"/>
      <c r="N2233" s="456">
        <f t="shared" si="281"/>
        <v>0</v>
      </c>
      <c r="O2233" s="487"/>
      <c r="P2233" s="487"/>
      <c r="Q2233" s="274">
        <f t="shared" si="276"/>
        <v>0</v>
      </c>
      <c r="R2233" s="574">
        <f t="shared" si="277"/>
        <v>0</v>
      </c>
      <c r="S2233" s="275">
        <f t="shared" si="278"/>
        <v>0</v>
      </c>
      <c r="T2233" s="575"/>
      <c r="U2233" s="487"/>
      <c r="V2233" s="576"/>
      <c r="W2233" s="573"/>
      <c r="X2233" s="574">
        <f t="shared" si="282"/>
        <v>0</v>
      </c>
      <c r="Y2233" s="487"/>
      <c r="Z2233" s="487"/>
      <c r="AA2233" s="276">
        <f t="shared" si="283"/>
        <v>0</v>
      </c>
      <c r="AB2233" s="573"/>
      <c r="AC2233" s="487"/>
      <c r="AD2233" s="573"/>
      <c r="AE2233" s="487"/>
      <c r="AF2233" s="577">
        <f t="shared" si="279"/>
        <v>0</v>
      </c>
      <c r="AG2233" s="275">
        <f t="shared" si="280"/>
        <v>0</v>
      </c>
    </row>
    <row r="2234" spans="1:33" ht="12" customHeight="1">
      <c r="A2234" s="594" t="s">
        <v>1282</v>
      </c>
      <c r="B2234" s="569" t="s">
        <v>1801</v>
      </c>
      <c r="C2234" s="237" t="s">
        <v>859</v>
      </c>
      <c r="D2234" s="581"/>
      <c r="E2234" s="572"/>
      <c r="F2234" s="573"/>
      <c r="G2234" s="487"/>
      <c r="H2234" s="573"/>
      <c r="I2234" s="487"/>
      <c r="J2234" s="573"/>
      <c r="K2234" s="487"/>
      <c r="L2234" s="573"/>
      <c r="M2234" s="573"/>
      <c r="N2234" s="456">
        <f t="shared" si="281"/>
        <v>0</v>
      </c>
      <c r="O2234" s="487"/>
      <c r="P2234" s="487"/>
      <c r="Q2234" s="274">
        <f t="shared" si="276"/>
        <v>0</v>
      </c>
      <c r="R2234" s="574">
        <f t="shared" si="277"/>
        <v>0</v>
      </c>
      <c r="S2234" s="275">
        <f t="shared" si="278"/>
        <v>0</v>
      </c>
      <c r="T2234" s="575"/>
      <c r="U2234" s="487"/>
      <c r="V2234" s="576"/>
      <c r="W2234" s="573"/>
      <c r="X2234" s="574">
        <f t="shared" si="282"/>
        <v>0</v>
      </c>
      <c r="Y2234" s="487"/>
      <c r="Z2234" s="487"/>
      <c r="AA2234" s="276">
        <f t="shared" si="283"/>
        <v>0</v>
      </c>
      <c r="AB2234" s="573"/>
      <c r="AC2234" s="487"/>
      <c r="AD2234" s="573"/>
      <c r="AE2234" s="487"/>
      <c r="AF2234" s="577">
        <f t="shared" si="279"/>
        <v>0</v>
      </c>
      <c r="AG2234" s="275">
        <f t="shared" si="280"/>
        <v>0</v>
      </c>
    </row>
    <row r="2235" spans="1:33" ht="12" customHeight="1">
      <c r="A2235" s="594" t="s">
        <v>1282</v>
      </c>
      <c r="B2235" s="569" t="s">
        <v>1802</v>
      </c>
      <c r="C2235" s="237" t="s">
        <v>861</v>
      </c>
      <c r="D2235" s="571"/>
      <c r="E2235" s="572"/>
      <c r="F2235" s="573"/>
      <c r="G2235" s="487"/>
      <c r="H2235" s="573"/>
      <c r="I2235" s="487"/>
      <c r="J2235" s="573"/>
      <c r="K2235" s="487"/>
      <c r="L2235" s="573"/>
      <c r="M2235" s="573"/>
      <c r="N2235" s="456">
        <f t="shared" si="281"/>
        <v>0</v>
      </c>
      <c r="O2235" s="487"/>
      <c r="P2235" s="487"/>
      <c r="Q2235" s="274">
        <f t="shared" si="276"/>
        <v>0</v>
      </c>
      <c r="R2235" s="574">
        <f t="shared" si="277"/>
        <v>0</v>
      </c>
      <c r="S2235" s="275">
        <f t="shared" si="278"/>
        <v>0</v>
      </c>
      <c r="T2235" s="575"/>
      <c r="U2235" s="487"/>
      <c r="V2235" s="576"/>
      <c r="W2235" s="573"/>
      <c r="X2235" s="574">
        <f t="shared" si="282"/>
        <v>0</v>
      </c>
      <c r="Y2235" s="487"/>
      <c r="Z2235" s="487"/>
      <c r="AA2235" s="276">
        <f t="shared" si="283"/>
        <v>0</v>
      </c>
      <c r="AB2235" s="573"/>
      <c r="AC2235" s="487"/>
      <c r="AD2235" s="573"/>
      <c r="AE2235" s="487"/>
      <c r="AF2235" s="577">
        <f t="shared" si="279"/>
        <v>0</v>
      </c>
      <c r="AG2235" s="275">
        <f t="shared" si="280"/>
        <v>0</v>
      </c>
    </row>
    <row r="2236" spans="1:33" ht="12" customHeight="1">
      <c r="A2236" s="594" t="s">
        <v>1282</v>
      </c>
      <c r="B2236" s="569" t="s">
        <v>1803</v>
      </c>
      <c r="C2236" s="237" t="s">
        <v>954</v>
      </c>
      <c r="D2236" s="571"/>
      <c r="E2236" s="572"/>
      <c r="F2236" s="573"/>
      <c r="G2236" s="487"/>
      <c r="H2236" s="573"/>
      <c r="I2236" s="487"/>
      <c r="J2236" s="573"/>
      <c r="K2236" s="487"/>
      <c r="L2236" s="573"/>
      <c r="M2236" s="573"/>
      <c r="N2236" s="456">
        <f t="shared" si="281"/>
        <v>0</v>
      </c>
      <c r="O2236" s="487"/>
      <c r="P2236" s="487"/>
      <c r="Q2236" s="274">
        <f t="shared" si="276"/>
        <v>0</v>
      </c>
      <c r="R2236" s="574">
        <f t="shared" si="277"/>
        <v>0</v>
      </c>
      <c r="S2236" s="275">
        <f t="shared" si="278"/>
        <v>0</v>
      </c>
      <c r="T2236" s="575"/>
      <c r="U2236" s="487"/>
      <c r="V2236" s="576"/>
      <c r="W2236" s="573"/>
      <c r="X2236" s="574">
        <f t="shared" si="282"/>
        <v>0</v>
      </c>
      <c r="Y2236" s="487"/>
      <c r="Z2236" s="487"/>
      <c r="AA2236" s="276">
        <f t="shared" si="283"/>
        <v>0</v>
      </c>
      <c r="AB2236" s="573"/>
      <c r="AC2236" s="487"/>
      <c r="AD2236" s="573"/>
      <c r="AE2236" s="487"/>
      <c r="AF2236" s="577">
        <f t="shared" si="279"/>
        <v>0</v>
      </c>
      <c r="AG2236" s="275">
        <f t="shared" si="280"/>
        <v>0</v>
      </c>
    </row>
    <row r="2237" spans="1:33" ht="12" customHeight="1">
      <c r="A2237" s="594" t="s">
        <v>1282</v>
      </c>
      <c r="B2237" s="569" t="s">
        <v>1804</v>
      </c>
      <c r="C2237" s="250" t="s">
        <v>418</v>
      </c>
      <c r="D2237" s="571"/>
      <c r="E2237" s="572"/>
      <c r="F2237" s="573"/>
      <c r="G2237" s="487"/>
      <c r="H2237" s="573"/>
      <c r="I2237" s="487"/>
      <c r="J2237" s="573"/>
      <c r="K2237" s="487"/>
      <c r="L2237" s="573"/>
      <c r="M2237" s="573"/>
      <c r="N2237" s="456">
        <f t="shared" si="281"/>
        <v>0</v>
      </c>
      <c r="O2237" s="487"/>
      <c r="P2237" s="487"/>
      <c r="Q2237" s="274">
        <f t="shared" si="276"/>
        <v>0</v>
      </c>
      <c r="R2237" s="574">
        <f t="shared" si="277"/>
        <v>0</v>
      </c>
      <c r="S2237" s="275">
        <f t="shared" si="278"/>
        <v>0</v>
      </c>
      <c r="T2237" s="575"/>
      <c r="U2237" s="487"/>
      <c r="V2237" s="576"/>
      <c r="W2237" s="573"/>
      <c r="X2237" s="574">
        <f t="shared" si="282"/>
        <v>0</v>
      </c>
      <c r="Y2237" s="487"/>
      <c r="Z2237" s="487"/>
      <c r="AA2237" s="276">
        <f t="shared" si="283"/>
        <v>0</v>
      </c>
      <c r="AB2237" s="573"/>
      <c r="AC2237" s="487"/>
      <c r="AD2237" s="573"/>
      <c r="AE2237" s="487"/>
      <c r="AF2237" s="577">
        <f t="shared" si="279"/>
        <v>0</v>
      </c>
      <c r="AG2237" s="275">
        <f t="shared" si="280"/>
        <v>0</v>
      </c>
    </row>
    <row r="2238" spans="1:33" ht="12" customHeight="1">
      <c r="A2238" s="594" t="s">
        <v>1282</v>
      </c>
      <c r="B2238" s="569" t="s">
        <v>1805</v>
      </c>
      <c r="C2238" s="459" t="s">
        <v>419</v>
      </c>
      <c r="D2238" s="571"/>
      <c r="E2238" s="572"/>
      <c r="F2238" s="573"/>
      <c r="G2238" s="487"/>
      <c r="H2238" s="573"/>
      <c r="I2238" s="487"/>
      <c r="J2238" s="573"/>
      <c r="K2238" s="487"/>
      <c r="L2238" s="573"/>
      <c r="M2238" s="573"/>
      <c r="N2238" s="456">
        <f t="shared" si="281"/>
        <v>0</v>
      </c>
      <c r="O2238" s="487"/>
      <c r="P2238" s="487"/>
      <c r="Q2238" s="274">
        <f t="shared" si="276"/>
        <v>0</v>
      </c>
      <c r="R2238" s="574">
        <f t="shared" si="277"/>
        <v>0</v>
      </c>
      <c r="S2238" s="275">
        <f t="shared" si="278"/>
        <v>0</v>
      </c>
      <c r="T2238" s="575"/>
      <c r="U2238" s="487"/>
      <c r="V2238" s="576"/>
      <c r="W2238" s="573"/>
      <c r="X2238" s="574">
        <f t="shared" si="282"/>
        <v>0</v>
      </c>
      <c r="Y2238" s="487"/>
      <c r="Z2238" s="487"/>
      <c r="AA2238" s="276">
        <f t="shared" si="283"/>
        <v>0</v>
      </c>
      <c r="AB2238" s="573"/>
      <c r="AC2238" s="487"/>
      <c r="AD2238" s="573"/>
      <c r="AE2238" s="487"/>
      <c r="AF2238" s="577">
        <f t="shared" si="279"/>
        <v>0</v>
      </c>
      <c r="AG2238" s="275">
        <f t="shared" si="280"/>
        <v>0</v>
      </c>
    </row>
    <row r="2239" spans="1:33" ht="12" customHeight="1">
      <c r="A2239" s="594" t="s">
        <v>1282</v>
      </c>
      <c r="B2239" s="569" t="s">
        <v>1805</v>
      </c>
      <c r="C2239" s="940" t="s">
        <v>1981</v>
      </c>
      <c r="D2239" s="571"/>
      <c r="E2239" s="572"/>
      <c r="F2239" s="573"/>
      <c r="G2239" s="487"/>
      <c r="H2239" s="573"/>
      <c r="I2239" s="487"/>
      <c r="J2239" s="573"/>
      <c r="K2239" s="487"/>
      <c r="L2239" s="589"/>
      <c r="M2239" s="573"/>
      <c r="N2239" s="456">
        <f t="shared" si="281"/>
        <v>0</v>
      </c>
      <c r="O2239" s="487"/>
      <c r="P2239" s="487"/>
      <c r="Q2239" s="274">
        <f t="shared" si="276"/>
        <v>0</v>
      </c>
      <c r="R2239" s="574">
        <f t="shared" si="277"/>
        <v>0</v>
      </c>
      <c r="S2239" s="275">
        <f t="shared" si="278"/>
        <v>0</v>
      </c>
      <c r="T2239" s="576">
        <v>48100000</v>
      </c>
      <c r="U2239" s="487">
        <v>54000000</v>
      </c>
      <c r="V2239" s="576"/>
      <c r="W2239" s="573"/>
      <c r="X2239" s="574">
        <f t="shared" si="282"/>
        <v>0</v>
      </c>
      <c r="Y2239" s="487"/>
      <c r="Z2239" s="487"/>
      <c r="AA2239" s="276">
        <f t="shared" si="283"/>
        <v>0</v>
      </c>
      <c r="AB2239" s="573"/>
      <c r="AC2239" s="487"/>
      <c r="AD2239" s="573"/>
      <c r="AE2239" s="487"/>
      <c r="AF2239" s="577">
        <f t="shared" si="279"/>
        <v>48100000</v>
      </c>
      <c r="AG2239" s="275">
        <f t="shared" si="280"/>
        <v>54000000</v>
      </c>
    </row>
    <row r="2240" spans="1:33" ht="12" customHeight="1">
      <c r="A2240" s="594" t="s">
        <v>1282</v>
      </c>
      <c r="B2240" s="594" t="s">
        <v>1882</v>
      </c>
      <c r="C2240" s="593" t="s">
        <v>1883</v>
      </c>
      <c r="D2240" s="585"/>
      <c r="E2240" s="586"/>
      <c r="F2240" s="573"/>
      <c r="G2240" s="487"/>
      <c r="H2240" s="573"/>
      <c r="I2240" s="487"/>
      <c r="J2240" s="573"/>
      <c r="K2240" s="487"/>
      <c r="L2240" s="573"/>
      <c r="M2240" s="573"/>
      <c r="N2240" s="456">
        <f t="shared" si="281"/>
        <v>0</v>
      </c>
      <c r="O2240" s="487"/>
      <c r="P2240" s="487"/>
      <c r="Q2240" s="274">
        <f t="shared" si="276"/>
        <v>0</v>
      </c>
      <c r="R2240" s="574">
        <f t="shared" si="277"/>
        <v>0</v>
      </c>
      <c r="S2240" s="275">
        <f t="shared" si="278"/>
        <v>0</v>
      </c>
      <c r="T2240" s="1144" t="s">
        <v>1224</v>
      </c>
      <c r="U2240" s="487"/>
      <c r="V2240" s="576"/>
      <c r="W2240" s="573"/>
      <c r="X2240" s="574">
        <f t="shared" si="282"/>
        <v>0</v>
      </c>
      <c r="Y2240" s="487"/>
      <c r="Z2240" s="487"/>
      <c r="AA2240" s="276">
        <f t="shared" si="283"/>
        <v>0</v>
      </c>
      <c r="AB2240" s="573"/>
      <c r="AC2240" s="487"/>
      <c r="AD2240" s="573"/>
      <c r="AE2240" s="487"/>
      <c r="AF2240" s="577">
        <f t="shared" si="279"/>
        <v>0</v>
      </c>
      <c r="AG2240" s="275">
        <f t="shared" si="280"/>
        <v>0</v>
      </c>
    </row>
    <row r="2241" spans="1:33" ht="12" customHeight="1">
      <c r="A2241" s="594" t="s">
        <v>1282</v>
      </c>
      <c r="B2241" s="594" t="s">
        <v>1763</v>
      </c>
      <c r="C2241" s="593" t="s">
        <v>1761</v>
      </c>
      <c r="D2241" s="585"/>
      <c r="E2241" s="586"/>
      <c r="F2241" s="573"/>
      <c r="G2241" s="487"/>
      <c r="H2241" s="573"/>
      <c r="I2241" s="487"/>
      <c r="J2241" s="573"/>
      <c r="K2241" s="487"/>
      <c r="L2241" s="573"/>
      <c r="M2241" s="573"/>
      <c r="N2241" s="456">
        <f t="shared" si="281"/>
        <v>0</v>
      </c>
      <c r="O2241" s="487"/>
      <c r="P2241" s="487"/>
      <c r="Q2241" s="274">
        <f t="shared" si="276"/>
        <v>0</v>
      </c>
      <c r="R2241" s="574">
        <f t="shared" si="277"/>
        <v>0</v>
      </c>
      <c r="S2241" s="275">
        <f t="shared" si="278"/>
        <v>0</v>
      </c>
      <c r="T2241" s="1145"/>
      <c r="U2241" s="487"/>
      <c r="V2241" s="576"/>
      <c r="W2241" s="573"/>
      <c r="X2241" s="574">
        <f t="shared" si="282"/>
        <v>0</v>
      </c>
      <c r="Y2241" s="487"/>
      <c r="Z2241" s="487"/>
      <c r="AA2241" s="276">
        <f t="shared" si="283"/>
        <v>0</v>
      </c>
      <c r="AB2241" s="573"/>
      <c r="AC2241" s="487"/>
      <c r="AD2241" s="573"/>
      <c r="AE2241" s="487"/>
      <c r="AF2241" s="577">
        <f t="shared" si="279"/>
        <v>0</v>
      </c>
      <c r="AG2241" s="275">
        <f t="shared" si="280"/>
        <v>0</v>
      </c>
    </row>
    <row r="2242" spans="1:33" ht="12" customHeight="1">
      <c r="A2242" s="594" t="s">
        <v>1282</v>
      </c>
      <c r="B2242" s="594" t="s">
        <v>1510</v>
      </c>
      <c r="C2242" s="593" t="s">
        <v>421</v>
      </c>
      <c r="D2242" s="585"/>
      <c r="E2242" s="586"/>
      <c r="F2242" s="573"/>
      <c r="G2242" s="487"/>
      <c r="H2242" s="573"/>
      <c r="I2242" s="487"/>
      <c r="J2242" s="573"/>
      <c r="K2242" s="487"/>
      <c r="L2242" s="573"/>
      <c r="M2242" s="573"/>
      <c r="N2242" s="456">
        <f t="shared" si="281"/>
        <v>0</v>
      </c>
      <c r="O2242" s="487"/>
      <c r="P2242" s="487"/>
      <c r="Q2242" s="274">
        <f t="shared" si="276"/>
        <v>0</v>
      </c>
      <c r="R2242" s="574">
        <f t="shared" si="277"/>
        <v>0</v>
      </c>
      <c r="S2242" s="275">
        <f t="shared" si="278"/>
        <v>0</v>
      </c>
      <c r="T2242" s="1147"/>
      <c r="U2242" s="487"/>
      <c r="V2242" s="576"/>
      <c r="W2242" s="573"/>
      <c r="X2242" s="574">
        <f t="shared" si="282"/>
        <v>0</v>
      </c>
      <c r="Y2242" s="487"/>
      <c r="Z2242" s="487"/>
      <c r="AA2242" s="276">
        <f t="shared" si="283"/>
        <v>0</v>
      </c>
      <c r="AB2242" s="573"/>
      <c r="AC2242" s="487"/>
      <c r="AD2242" s="573"/>
      <c r="AE2242" s="487"/>
      <c r="AF2242" s="577">
        <f t="shared" si="279"/>
        <v>0</v>
      </c>
      <c r="AG2242" s="275">
        <f t="shared" si="280"/>
        <v>0</v>
      </c>
    </row>
    <row r="2243" spans="1:33" ht="12" customHeight="1">
      <c r="A2243" s="594" t="s">
        <v>1282</v>
      </c>
      <c r="B2243" s="594" t="s">
        <v>1511</v>
      </c>
      <c r="C2243" s="593" t="s">
        <v>1883</v>
      </c>
      <c r="D2243" s="585"/>
      <c r="E2243" s="586"/>
      <c r="F2243" s="573"/>
      <c r="G2243" s="487"/>
      <c r="H2243" s="573"/>
      <c r="I2243" s="487"/>
      <c r="J2243" s="573"/>
      <c r="K2243" s="487"/>
      <c r="L2243" s="573"/>
      <c r="M2243" s="573"/>
      <c r="N2243" s="456">
        <f t="shared" si="281"/>
        <v>0</v>
      </c>
      <c r="O2243" s="487"/>
      <c r="P2243" s="487"/>
      <c r="Q2243" s="274">
        <f t="shared" si="276"/>
        <v>0</v>
      </c>
      <c r="R2243" s="574">
        <f t="shared" si="277"/>
        <v>0</v>
      </c>
      <c r="S2243" s="275">
        <f t="shared" si="278"/>
        <v>0</v>
      </c>
      <c r="T2243" s="575"/>
      <c r="U2243" s="487"/>
      <c r="V2243" s="576"/>
      <c r="W2243" s="573"/>
      <c r="X2243" s="574">
        <f t="shared" si="282"/>
        <v>0</v>
      </c>
      <c r="Y2243" s="487"/>
      <c r="Z2243" s="487"/>
      <c r="AA2243" s="276">
        <f t="shared" si="283"/>
        <v>0</v>
      </c>
      <c r="AB2243" s="573"/>
      <c r="AC2243" s="487"/>
      <c r="AD2243" s="573"/>
      <c r="AE2243" s="487"/>
      <c r="AF2243" s="577">
        <f t="shared" si="279"/>
        <v>0</v>
      </c>
      <c r="AG2243" s="275">
        <f t="shared" si="280"/>
        <v>0</v>
      </c>
    </row>
    <row r="2244" spans="1:33" ht="12" customHeight="1">
      <c r="A2244" s="594" t="s">
        <v>1282</v>
      </c>
      <c r="B2244" s="594" t="s">
        <v>1763</v>
      </c>
      <c r="C2244" s="593" t="s">
        <v>1761</v>
      </c>
      <c r="D2244" s="585"/>
      <c r="E2244" s="586"/>
      <c r="F2244" s="573"/>
      <c r="G2244" s="487"/>
      <c r="H2244" s="573"/>
      <c r="I2244" s="487"/>
      <c r="J2244" s="573"/>
      <c r="K2244" s="487"/>
      <c r="L2244" s="573"/>
      <c r="M2244" s="573"/>
      <c r="N2244" s="456">
        <f t="shared" si="281"/>
        <v>0</v>
      </c>
      <c r="O2244" s="487"/>
      <c r="P2244" s="487"/>
      <c r="Q2244" s="274">
        <f t="shared" si="276"/>
        <v>0</v>
      </c>
      <c r="R2244" s="574">
        <f t="shared" si="277"/>
        <v>0</v>
      </c>
      <c r="S2244" s="275">
        <f t="shared" si="278"/>
        <v>0</v>
      </c>
      <c r="T2244" s="575"/>
      <c r="U2244" s="487"/>
      <c r="V2244" s="576"/>
      <c r="W2244" s="573"/>
      <c r="X2244" s="574">
        <f t="shared" si="282"/>
        <v>0</v>
      </c>
      <c r="Y2244" s="487"/>
      <c r="Z2244" s="487"/>
      <c r="AA2244" s="276">
        <f t="shared" si="283"/>
        <v>0</v>
      </c>
      <c r="AB2244" s="573"/>
      <c r="AC2244" s="487"/>
      <c r="AD2244" s="573"/>
      <c r="AE2244" s="487"/>
      <c r="AF2244" s="577">
        <f t="shared" si="279"/>
        <v>0</v>
      </c>
      <c r="AG2244" s="275">
        <f t="shared" si="280"/>
        <v>0</v>
      </c>
    </row>
    <row r="2245" spans="1:33" ht="12" customHeight="1">
      <c r="A2245" s="594" t="s">
        <v>1282</v>
      </c>
      <c r="B2245" s="594" t="s">
        <v>1413</v>
      </c>
      <c r="C2245" s="593" t="s">
        <v>422</v>
      </c>
      <c r="D2245" s="585"/>
      <c r="E2245" s="586"/>
      <c r="F2245" s="573"/>
      <c r="G2245" s="487"/>
      <c r="H2245" s="573"/>
      <c r="I2245" s="487"/>
      <c r="J2245" s="573"/>
      <c r="K2245" s="487"/>
      <c r="L2245" s="573"/>
      <c r="M2245" s="573"/>
      <c r="N2245" s="456">
        <f t="shared" si="281"/>
        <v>0</v>
      </c>
      <c r="O2245" s="487"/>
      <c r="P2245" s="487"/>
      <c r="Q2245" s="274">
        <f t="shared" si="276"/>
        <v>0</v>
      </c>
      <c r="R2245" s="574">
        <f t="shared" si="277"/>
        <v>0</v>
      </c>
      <c r="S2245" s="275">
        <f t="shared" si="278"/>
        <v>0</v>
      </c>
      <c r="T2245" s="575"/>
      <c r="U2245" s="487"/>
      <c r="V2245" s="576"/>
      <c r="W2245" s="573"/>
      <c r="X2245" s="574">
        <f t="shared" si="282"/>
        <v>0</v>
      </c>
      <c r="Y2245" s="487"/>
      <c r="Z2245" s="487"/>
      <c r="AA2245" s="276">
        <f t="shared" si="283"/>
        <v>0</v>
      </c>
      <c r="AB2245" s="573"/>
      <c r="AC2245" s="487"/>
      <c r="AD2245" s="573"/>
      <c r="AE2245" s="487"/>
      <c r="AF2245" s="577">
        <f t="shared" si="279"/>
        <v>0</v>
      </c>
      <c r="AG2245" s="275">
        <f t="shared" si="280"/>
        <v>0</v>
      </c>
    </row>
    <row r="2246" spans="1:33" ht="12" customHeight="1">
      <c r="A2246" s="594" t="s">
        <v>1282</v>
      </c>
      <c r="B2246" s="594" t="s">
        <v>1582</v>
      </c>
      <c r="C2246" s="593" t="s">
        <v>1883</v>
      </c>
      <c r="D2246" s="585"/>
      <c r="E2246" s="586"/>
      <c r="F2246" s="573"/>
      <c r="G2246" s="487"/>
      <c r="H2246" s="573"/>
      <c r="I2246" s="487"/>
      <c r="J2246" s="573"/>
      <c r="K2246" s="487"/>
      <c r="L2246" s="573"/>
      <c r="M2246" s="573"/>
      <c r="N2246" s="456">
        <f t="shared" si="281"/>
        <v>0</v>
      </c>
      <c r="O2246" s="487"/>
      <c r="P2246" s="487"/>
      <c r="Q2246" s="274">
        <f t="shared" si="276"/>
        <v>0</v>
      </c>
      <c r="R2246" s="574">
        <f t="shared" si="277"/>
        <v>0</v>
      </c>
      <c r="S2246" s="275">
        <f t="shared" si="278"/>
        <v>0</v>
      </c>
      <c r="T2246" s="575"/>
      <c r="U2246" s="487"/>
      <c r="V2246" s="576"/>
      <c r="W2246" s="573"/>
      <c r="X2246" s="574">
        <f t="shared" si="282"/>
        <v>0</v>
      </c>
      <c r="Y2246" s="487"/>
      <c r="Z2246" s="487"/>
      <c r="AA2246" s="276">
        <f t="shared" si="283"/>
        <v>0</v>
      </c>
      <c r="AB2246" s="573"/>
      <c r="AC2246" s="487"/>
      <c r="AD2246" s="573"/>
      <c r="AE2246" s="487"/>
      <c r="AF2246" s="577">
        <f t="shared" si="279"/>
        <v>0</v>
      </c>
      <c r="AG2246" s="275">
        <f t="shared" si="280"/>
        <v>0</v>
      </c>
    </row>
    <row r="2247" spans="1:33" ht="12" customHeight="1">
      <c r="A2247" s="594" t="s">
        <v>1282</v>
      </c>
      <c r="B2247" s="594" t="s">
        <v>1763</v>
      </c>
      <c r="C2247" s="593" t="s">
        <v>1761</v>
      </c>
      <c r="D2247" s="585"/>
      <c r="E2247" s="586"/>
      <c r="F2247" s="573"/>
      <c r="G2247" s="487"/>
      <c r="H2247" s="573"/>
      <c r="I2247" s="487"/>
      <c r="J2247" s="573"/>
      <c r="K2247" s="487"/>
      <c r="L2247" s="573"/>
      <c r="M2247" s="573"/>
      <c r="N2247" s="456">
        <f t="shared" si="281"/>
        <v>0</v>
      </c>
      <c r="O2247" s="487"/>
      <c r="P2247" s="487"/>
      <c r="Q2247" s="274">
        <f t="shared" si="276"/>
        <v>0</v>
      </c>
      <c r="R2247" s="574">
        <f t="shared" si="277"/>
        <v>0</v>
      </c>
      <c r="S2247" s="275">
        <f t="shared" si="278"/>
        <v>0</v>
      </c>
      <c r="T2247" s="575"/>
      <c r="U2247" s="487"/>
      <c r="V2247" s="576"/>
      <c r="W2247" s="573"/>
      <c r="X2247" s="574">
        <f t="shared" si="282"/>
        <v>0</v>
      </c>
      <c r="Y2247" s="487"/>
      <c r="Z2247" s="487"/>
      <c r="AA2247" s="276">
        <f t="shared" si="283"/>
        <v>0</v>
      </c>
      <c r="AB2247" s="573"/>
      <c r="AC2247" s="487"/>
      <c r="AD2247" s="573"/>
      <c r="AE2247" s="487"/>
      <c r="AF2247" s="577">
        <f t="shared" si="279"/>
        <v>0</v>
      </c>
      <c r="AG2247" s="275">
        <f t="shared" si="280"/>
        <v>0</v>
      </c>
    </row>
    <row r="2248" spans="1:33" ht="12" customHeight="1">
      <c r="A2248" s="594" t="s">
        <v>1282</v>
      </c>
      <c r="B2248" s="569" t="s">
        <v>1805</v>
      </c>
      <c r="C2248" s="310" t="s">
        <v>1534</v>
      </c>
      <c r="D2248" s="571"/>
      <c r="E2248" s="572"/>
      <c r="F2248" s="573"/>
      <c r="G2248" s="487"/>
      <c r="H2248" s="573"/>
      <c r="I2248" s="487"/>
      <c r="J2248" s="573"/>
      <c r="K2248" s="487"/>
      <c r="L2248" s="573"/>
      <c r="M2248" s="573"/>
      <c r="N2248" s="456">
        <f t="shared" si="281"/>
        <v>0</v>
      </c>
      <c r="O2248" s="487"/>
      <c r="P2248" s="487"/>
      <c r="Q2248" s="274">
        <f t="shared" si="276"/>
        <v>0</v>
      </c>
      <c r="R2248" s="574">
        <f t="shared" si="277"/>
        <v>0</v>
      </c>
      <c r="S2248" s="275">
        <f t="shared" si="278"/>
        <v>0</v>
      </c>
      <c r="T2248" s="575">
        <v>40000</v>
      </c>
      <c r="U2248" s="487">
        <v>40000</v>
      </c>
      <c r="V2248" s="576"/>
      <c r="W2248" s="573"/>
      <c r="X2248" s="574">
        <f t="shared" si="282"/>
        <v>0</v>
      </c>
      <c r="Y2248" s="487"/>
      <c r="Z2248" s="487"/>
      <c r="AA2248" s="276">
        <f t="shared" si="283"/>
        <v>0</v>
      </c>
      <c r="AB2248" s="573"/>
      <c r="AC2248" s="487"/>
      <c r="AD2248" s="573"/>
      <c r="AE2248" s="487"/>
      <c r="AF2248" s="577">
        <f t="shared" si="279"/>
        <v>40000</v>
      </c>
      <c r="AG2248" s="275">
        <f t="shared" si="280"/>
        <v>40000</v>
      </c>
    </row>
    <row r="2249" spans="1:33" ht="12" customHeight="1">
      <c r="A2249" s="594" t="s">
        <v>1282</v>
      </c>
      <c r="B2249" s="594" t="s">
        <v>1882</v>
      </c>
      <c r="C2249" s="593" t="s">
        <v>1883</v>
      </c>
      <c r="D2249" s="585"/>
      <c r="E2249" s="586"/>
      <c r="F2249" s="573"/>
      <c r="G2249" s="487"/>
      <c r="H2249" s="573"/>
      <c r="I2249" s="487"/>
      <c r="J2249" s="573"/>
      <c r="K2249" s="487"/>
      <c r="L2249" s="573"/>
      <c r="M2249" s="573"/>
      <c r="N2249" s="456">
        <f t="shared" si="281"/>
        <v>0</v>
      </c>
      <c r="O2249" s="487"/>
      <c r="P2249" s="487"/>
      <c r="Q2249" s="274">
        <f t="shared" si="276"/>
        <v>0</v>
      </c>
      <c r="R2249" s="574">
        <f t="shared" si="277"/>
        <v>0</v>
      </c>
      <c r="S2249" s="275">
        <f t="shared" si="278"/>
        <v>0</v>
      </c>
      <c r="T2249" s="1144" t="s">
        <v>1224</v>
      </c>
      <c r="U2249" s="487"/>
      <c r="V2249" s="576"/>
      <c r="W2249" s="573"/>
      <c r="X2249" s="574">
        <f t="shared" si="282"/>
        <v>0</v>
      </c>
      <c r="Y2249" s="487"/>
      <c r="Z2249" s="487"/>
      <c r="AA2249" s="276">
        <f t="shared" si="283"/>
        <v>0</v>
      </c>
      <c r="AB2249" s="573"/>
      <c r="AC2249" s="487"/>
      <c r="AD2249" s="573"/>
      <c r="AE2249" s="487"/>
      <c r="AF2249" s="577">
        <f t="shared" si="279"/>
        <v>0</v>
      </c>
      <c r="AG2249" s="275">
        <f t="shared" si="280"/>
        <v>0</v>
      </c>
    </row>
    <row r="2250" spans="1:33" ht="12" customHeight="1">
      <c r="A2250" s="594" t="s">
        <v>1282</v>
      </c>
      <c r="B2250" s="594" t="s">
        <v>1763</v>
      </c>
      <c r="C2250" s="593" t="s">
        <v>1761</v>
      </c>
      <c r="D2250" s="585"/>
      <c r="E2250" s="586"/>
      <c r="F2250" s="573"/>
      <c r="G2250" s="487"/>
      <c r="H2250" s="573"/>
      <c r="I2250" s="487"/>
      <c r="J2250" s="573"/>
      <c r="K2250" s="487"/>
      <c r="L2250" s="573"/>
      <c r="M2250" s="573"/>
      <c r="N2250" s="456">
        <f t="shared" si="281"/>
        <v>0</v>
      </c>
      <c r="O2250" s="487"/>
      <c r="P2250" s="487"/>
      <c r="Q2250" s="274">
        <f t="shared" ref="Q2250:Q2313" si="284">SUM(O2250:P2250)</f>
        <v>0</v>
      </c>
      <c r="R2250" s="574">
        <f t="shared" ref="R2250:R2313" si="285">SUM(F2250,H2250,J2250,L2250)</f>
        <v>0</v>
      </c>
      <c r="S2250" s="275">
        <f t="shared" ref="S2250:S2313" si="286">SUM(G2250,I2250,K2250,O2250)</f>
        <v>0</v>
      </c>
      <c r="T2250" s="1145"/>
      <c r="U2250" s="487"/>
      <c r="V2250" s="576"/>
      <c r="W2250" s="573"/>
      <c r="X2250" s="574">
        <f t="shared" si="282"/>
        <v>0</v>
      </c>
      <c r="Y2250" s="487"/>
      <c r="Z2250" s="487"/>
      <c r="AA2250" s="276">
        <f t="shared" si="283"/>
        <v>0</v>
      </c>
      <c r="AB2250" s="573"/>
      <c r="AC2250" s="487"/>
      <c r="AD2250" s="573"/>
      <c r="AE2250" s="487"/>
      <c r="AF2250" s="577">
        <f t="shared" ref="AF2250:AF2313" si="287">SUM(R2250,T2250,V2250,AB2250,AD2250)</f>
        <v>0</v>
      </c>
      <c r="AG2250" s="275">
        <f t="shared" ref="AG2250:AG2313" si="288">SUM(S2250,U2250,Y2250,AC2250,AE2250)</f>
        <v>0</v>
      </c>
    </row>
    <row r="2251" spans="1:33" ht="12" customHeight="1">
      <c r="A2251" s="594" t="s">
        <v>1282</v>
      </c>
      <c r="B2251" s="594" t="s">
        <v>1510</v>
      </c>
      <c r="C2251" s="593" t="s">
        <v>421</v>
      </c>
      <c r="D2251" s="585"/>
      <c r="E2251" s="586"/>
      <c r="F2251" s="573"/>
      <c r="G2251" s="487"/>
      <c r="H2251" s="573"/>
      <c r="I2251" s="487"/>
      <c r="J2251" s="573"/>
      <c r="K2251" s="487"/>
      <c r="L2251" s="573"/>
      <c r="M2251" s="573"/>
      <c r="N2251" s="456">
        <f t="shared" si="281"/>
        <v>0</v>
      </c>
      <c r="O2251" s="487"/>
      <c r="P2251" s="487"/>
      <c r="Q2251" s="274">
        <f t="shared" si="284"/>
        <v>0</v>
      </c>
      <c r="R2251" s="574">
        <f t="shared" si="285"/>
        <v>0</v>
      </c>
      <c r="S2251" s="275">
        <f t="shared" si="286"/>
        <v>0</v>
      </c>
      <c r="T2251" s="1147"/>
      <c r="U2251" s="487"/>
      <c r="V2251" s="576"/>
      <c r="W2251" s="573"/>
      <c r="X2251" s="574">
        <f t="shared" si="282"/>
        <v>0</v>
      </c>
      <c r="Y2251" s="487"/>
      <c r="Z2251" s="487"/>
      <c r="AA2251" s="276">
        <f t="shared" si="283"/>
        <v>0</v>
      </c>
      <c r="AB2251" s="573"/>
      <c r="AC2251" s="487"/>
      <c r="AD2251" s="573"/>
      <c r="AE2251" s="487"/>
      <c r="AF2251" s="577">
        <f t="shared" si="287"/>
        <v>0</v>
      </c>
      <c r="AG2251" s="275">
        <f t="shared" si="288"/>
        <v>0</v>
      </c>
    </row>
    <row r="2252" spans="1:33" ht="12" customHeight="1">
      <c r="A2252" s="594" t="s">
        <v>1282</v>
      </c>
      <c r="B2252" s="594" t="s">
        <v>1511</v>
      </c>
      <c r="C2252" s="593" t="s">
        <v>1883</v>
      </c>
      <c r="D2252" s="585"/>
      <c r="E2252" s="586"/>
      <c r="F2252" s="573"/>
      <c r="G2252" s="487"/>
      <c r="H2252" s="573"/>
      <c r="I2252" s="487"/>
      <c r="J2252" s="573"/>
      <c r="K2252" s="487"/>
      <c r="L2252" s="573"/>
      <c r="M2252" s="573"/>
      <c r="N2252" s="456">
        <f t="shared" si="281"/>
        <v>0</v>
      </c>
      <c r="O2252" s="487"/>
      <c r="P2252" s="487"/>
      <c r="Q2252" s="274">
        <f t="shared" si="284"/>
        <v>0</v>
      </c>
      <c r="R2252" s="574">
        <f t="shared" si="285"/>
        <v>0</v>
      </c>
      <c r="S2252" s="275">
        <f t="shared" si="286"/>
        <v>0</v>
      </c>
      <c r="T2252" s="575"/>
      <c r="U2252" s="487"/>
      <c r="V2252" s="576"/>
      <c r="W2252" s="573"/>
      <c r="X2252" s="574">
        <f t="shared" si="282"/>
        <v>0</v>
      </c>
      <c r="Y2252" s="487"/>
      <c r="Z2252" s="487"/>
      <c r="AA2252" s="276">
        <f t="shared" si="283"/>
        <v>0</v>
      </c>
      <c r="AB2252" s="573"/>
      <c r="AC2252" s="487"/>
      <c r="AD2252" s="573"/>
      <c r="AE2252" s="487"/>
      <c r="AF2252" s="577">
        <f t="shared" si="287"/>
        <v>0</v>
      </c>
      <c r="AG2252" s="275">
        <f t="shared" si="288"/>
        <v>0</v>
      </c>
    </row>
    <row r="2253" spans="1:33" ht="12" customHeight="1">
      <c r="A2253" s="594" t="s">
        <v>1282</v>
      </c>
      <c r="B2253" s="594" t="s">
        <v>1763</v>
      </c>
      <c r="C2253" s="593" t="s">
        <v>1761</v>
      </c>
      <c r="D2253" s="585"/>
      <c r="E2253" s="586"/>
      <c r="F2253" s="573"/>
      <c r="G2253" s="487"/>
      <c r="H2253" s="573"/>
      <c r="I2253" s="487"/>
      <c r="J2253" s="573"/>
      <c r="K2253" s="487"/>
      <c r="L2253" s="573"/>
      <c r="M2253" s="573"/>
      <c r="N2253" s="456">
        <f t="shared" si="281"/>
        <v>0</v>
      </c>
      <c r="O2253" s="487"/>
      <c r="P2253" s="487"/>
      <c r="Q2253" s="274">
        <f t="shared" si="284"/>
        <v>0</v>
      </c>
      <c r="R2253" s="574">
        <f t="shared" si="285"/>
        <v>0</v>
      </c>
      <c r="S2253" s="275">
        <f t="shared" si="286"/>
        <v>0</v>
      </c>
      <c r="T2253" s="575"/>
      <c r="U2253" s="487"/>
      <c r="V2253" s="576"/>
      <c r="W2253" s="573"/>
      <c r="X2253" s="574">
        <f t="shared" si="282"/>
        <v>0</v>
      </c>
      <c r="Y2253" s="487"/>
      <c r="Z2253" s="487"/>
      <c r="AA2253" s="276">
        <f t="shared" si="283"/>
        <v>0</v>
      </c>
      <c r="AB2253" s="573"/>
      <c r="AC2253" s="487"/>
      <c r="AD2253" s="573"/>
      <c r="AE2253" s="487"/>
      <c r="AF2253" s="577">
        <f t="shared" si="287"/>
        <v>0</v>
      </c>
      <c r="AG2253" s="275">
        <f t="shared" si="288"/>
        <v>0</v>
      </c>
    </row>
    <row r="2254" spans="1:33" ht="12" customHeight="1">
      <c r="A2254" s="594" t="s">
        <v>1282</v>
      </c>
      <c r="B2254" s="594" t="s">
        <v>1413</v>
      </c>
      <c r="C2254" s="593" t="s">
        <v>422</v>
      </c>
      <c r="D2254" s="585"/>
      <c r="E2254" s="586"/>
      <c r="F2254" s="573"/>
      <c r="G2254" s="487"/>
      <c r="H2254" s="573"/>
      <c r="I2254" s="487"/>
      <c r="J2254" s="573"/>
      <c r="K2254" s="487"/>
      <c r="L2254" s="573"/>
      <c r="M2254" s="573"/>
      <c r="N2254" s="456">
        <f t="shared" si="281"/>
        <v>0</v>
      </c>
      <c r="O2254" s="487"/>
      <c r="P2254" s="487"/>
      <c r="Q2254" s="274">
        <f t="shared" si="284"/>
        <v>0</v>
      </c>
      <c r="R2254" s="574">
        <f t="shared" si="285"/>
        <v>0</v>
      </c>
      <c r="S2254" s="275">
        <f t="shared" si="286"/>
        <v>0</v>
      </c>
      <c r="T2254" s="575"/>
      <c r="U2254" s="487"/>
      <c r="V2254" s="576"/>
      <c r="W2254" s="573"/>
      <c r="X2254" s="574">
        <f t="shared" si="282"/>
        <v>0</v>
      </c>
      <c r="Y2254" s="487"/>
      <c r="Z2254" s="487"/>
      <c r="AA2254" s="276">
        <f t="shared" si="283"/>
        <v>0</v>
      </c>
      <c r="AB2254" s="573"/>
      <c r="AC2254" s="487"/>
      <c r="AD2254" s="573"/>
      <c r="AE2254" s="487"/>
      <c r="AF2254" s="577">
        <f t="shared" si="287"/>
        <v>0</v>
      </c>
      <c r="AG2254" s="275">
        <f t="shared" si="288"/>
        <v>0</v>
      </c>
    </row>
    <row r="2255" spans="1:33" ht="12" customHeight="1">
      <c r="A2255" s="594" t="s">
        <v>1282</v>
      </c>
      <c r="B2255" s="594" t="s">
        <v>1582</v>
      </c>
      <c r="C2255" s="593" t="s">
        <v>1883</v>
      </c>
      <c r="D2255" s="585"/>
      <c r="E2255" s="586"/>
      <c r="F2255" s="573"/>
      <c r="G2255" s="487"/>
      <c r="H2255" s="573"/>
      <c r="I2255" s="487"/>
      <c r="J2255" s="573"/>
      <c r="K2255" s="487"/>
      <c r="L2255" s="573"/>
      <c r="M2255" s="573"/>
      <c r="N2255" s="456">
        <f t="shared" si="281"/>
        <v>0</v>
      </c>
      <c r="O2255" s="487"/>
      <c r="P2255" s="487"/>
      <c r="Q2255" s="274">
        <f t="shared" si="284"/>
        <v>0</v>
      </c>
      <c r="R2255" s="574">
        <f t="shared" si="285"/>
        <v>0</v>
      </c>
      <c r="S2255" s="275">
        <f t="shared" si="286"/>
        <v>0</v>
      </c>
      <c r="T2255" s="575"/>
      <c r="U2255" s="487"/>
      <c r="V2255" s="576"/>
      <c r="W2255" s="573"/>
      <c r="X2255" s="574">
        <f t="shared" si="282"/>
        <v>0</v>
      </c>
      <c r="Y2255" s="487"/>
      <c r="Z2255" s="487"/>
      <c r="AA2255" s="276">
        <f t="shared" si="283"/>
        <v>0</v>
      </c>
      <c r="AB2255" s="573"/>
      <c r="AC2255" s="487"/>
      <c r="AD2255" s="573"/>
      <c r="AE2255" s="487"/>
      <c r="AF2255" s="577">
        <f t="shared" si="287"/>
        <v>0</v>
      </c>
      <c r="AG2255" s="275">
        <f t="shared" si="288"/>
        <v>0</v>
      </c>
    </row>
    <row r="2256" spans="1:33" ht="12" customHeight="1">
      <c r="A2256" s="594" t="s">
        <v>1282</v>
      </c>
      <c r="B2256" s="594" t="s">
        <v>1763</v>
      </c>
      <c r="C2256" s="593" t="s">
        <v>1761</v>
      </c>
      <c r="D2256" s="585"/>
      <c r="E2256" s="586"/>
      <c r="F2256" s="573"/>
      <c r="G2256" s="487"/>
      <c r="H2256" s="573"/>
      <c r="I2256" s="487"/>
      <c r="J2256" s="573"/>
      <c r="K2256" s="487"/>
      <c r="L2256" s="573"/>
      <c r="M2256" s="573"/>
      <c r="N2256" s="456">
        <f t="shared" si="281"/>
        <v>0</v>
      </c>
      <c r="O2256" s="487"/>
      <c r="P2256" s="487"/>
      <c r="Q2256" s="274">
        <f t="shared" si="284"/>
        <v>0</v>
      </c>
      <c r="R2256" s="574">
        <f t="shared" si="285"/>
        <v>0</v>
      </c>
      <c r="S2256" s="275">
        <f t="shared" si="286"/>
        <v>0</v>
      </c>
      <c r="T2256" s="575"/>
      <c r="U2256" s="487"/>
      <c r="V2256" s="576"/>
      <c r="W2256" s="573"/>
      <c r="X2256" s="574">
        <f t="shared" si="282"/>
        <v>0</v>
      </c>
      <c r="Y2256" s="487"/>
      <c r="Z2256" s="487"/>
      <c r="AA2256" s="276">
        <f t="shared" si="283"/>
        <v>0</v>
      </c>
      <c r="AB2256" s="573"/>
      <c r="AC2256" s="487"/>
      <c r="AD2256" s="573"/>
      <c r="AE2256" s="487"/>
      <c r="AF2256" s="577">
        <f t="shared" si="287"/>
        <v>0</v>
      </c>
      <c r="AG2256" s="275">
        <f t="shared" si="288"/>
        <v>0</v>
      </c>
    </row>
    <row r="2257" spans="1:33" ht="12" customHeight="1">
      <c r="A2257" s="594" t="s">
        <v>1282</v>
      </c>
      <c r="B2257" s="569" t="s">
        <v>1805</v>
      </c>
      <c r="C2257" s="310" t="s">
        <v>1535</v>
      </c>
      <c r="D2257" s="571"/>
      <c r="E2257" s="572"/>
      <c r="F2257" s="573"/>
      <c r="G2257" s="487"/>
      <c r="H2257" s="573"/>
      <c r="I2257" s="487"/>
      <c r="J2257" s="573"/>
      <c r="K2257" s="487"/>
      <c r="L2257" s="573"/>
      <c r="M2257" s="573"/>
      <c r="N2257" s="456">
        <f t="shared" si="281"/>
        <v>0</v>
      </c>
      <c r="O2257" s="487"/>
      <c r="P2257" s="487"/>
      <c r="Q2257" s="274">
        <f t="shared" si="284"/>
        <v>0</v>
      </c>
      <c r="R2257" s="574">
        <f t="shared" si="285"/>
        <v>0</v>
      </c>
      <c r="S2257" s="275">
        <f t="shared" si="286"/>
        <v>0</v>
      </c>
      <c r="T2257" s="575">
        <v>100000</v>
      </c>
      <c r="U2257" s="487">
        <v>100000</v>
      </c>
      <c r="V2257" s="576"/>
      <c r="W2257" s="573"/>
      <c r="X2257" s="574">
        <f t="shared" si="282"/>
        <v>0</v>
      </c>
      <c r="Y2257" s="487"/>
      <c r="Z2257" s="487"/>
      <c r="AA2257" s="276">
        <f t="shared" si="283"/>
        <v>0</v>
      </c>
      <c r="AB2257" s="573"/>
      <c r="AC2257" s="487"/>
      <c r="AD2257" s="573"/>
      <c r="AE2257" s="487"/>
      <c r="AF2257" s="577">
        <f t="shared" si="287"/>
        <v>100000</v>
      </c>
      <c r="AG2257" s="275">
        <f t="shared" si="288"/>
        <v>100000</v>
      </c>
    </row>
    <row r="2258" spans="1:33" ht="12" customHeight="1">
      <c r="A2258" s="594" t="s">
        <v>1282</v>
      </c>
      <c r="B2258" s="594" t="s">
        <v>1882</v>
      </c>
      <c r="C2258" s="593" t="s">
        <v>1883</v>
      </c>
      <c r="D2258" s="585"/>
      <c r="E2258" s="586"/>
      <c r="F2258" s="573"/>
      <c r="G2258" s="487"/>
      <c r="H2258" s="573"/>
      <c r="I2258" s="487"/>
      <c r="J2258" s="573"/>
      <c r="K2258" s="487"/>
      <c r="L2258" s="573"/>
      <c r="M2258" s="573"/>
      <c r="N2258" s="456">
        <f t="shared" si="281"/>
        <v>0</v>
      </c>
      <c r="O2258" s="487"/>
      <c r="P2258" s="487"/>
      <c r="Q2258" s="274">
        <f t="shared" si="284"/>
        <v>0</v>
      </c>
      <c r="R2258" s="574">
        <f t="shared" si="285"/>
        <v>0</v>
      </c>
      <c r="S2258" s="275">
        <f t="shared" si="286"/>
        <v>0</v>
      </c>
      <c r="T2258" s="575"/>
      <c r="U2258" s="487"/>
      <c r="V2258" s="576"/>
      <c r="W2258" s="573"/>
      <c r="X2258" s="574">
        <f t="shared" si="282"/>
        <v>0</v>
      </c>
      <c r="Y2258" s="487"/>
      <c r="Z2258" s="487"/>
      <c r="AA2258" s="276">
        <f t="shared" si="283"/>
        <v>0</v>
      </c>
      <c r="AB2258" s="573"/>
      <c r="AC2258" s="487"/>
      <c r="AD2258" s="573"/>
      <c r="AE2258" s="487"/>
      <c r="AF2258" s="577">
        <f t="shared" si="287"/>
        <v>0</v>
      </c>
      <c r="AG2258" s="275">
        <f t="shared" si="288"/>
        <v>0</v>
      </c>
    </row>
    <row r="2259" spans="1:33" ht="12" customHeight="1">
      <c r="A2259" s="594" t="s">
        <v>1282</v>
      </c>
      <c r="B2259" s="594" t="s">
        <v>1763</v>
      </c>
      <c r="C2259" s="593" t="s">
        <v>1761</v>
      </c>
      <c r="D2259" s="585"/>
      <c r="E2259" s="586"/>
      <c r="F2259" s="573"/>
      <c r="G2259" s="487"/>
      <c r="H2259" s="573"/>
      <c r="I2259" s="487"/>
      <c r="J2259" s="573"/>
      <c r="K2259" s="487"/>
      <c r="L2259" s="573"/>
      <c r="M2259" s="573"/>
      <c r="N2259" s="456">
        <f t="shared" ref="N2259:N2322" si="289">SUM(L2259:M2259)</f>
        <v>0</v>
      </c>
      <c r="O2259" s="487"/>
      <c r="P2259" s="487"/>
      <c r="Q2259" s="274">
        <f t="shared" si="284"/>
        <v>0</v>
      </c>
      <c r="R2259" s="574">
        <f t="shared" si="285"/>
        <v>0</v>
      </c>
      <c r="S2259" s="275">
        <f t="shared" si="286"/>
        <v>0</v>
      </c>
      <c r="T2259" s="1144" t="s">
        <v>1224</v>
      </c>
      <c r="U2259" s="487"/>
      <c r="V2259" s="576"/>
      <c r="W2259" s="573"/>
      <c r="X2259" s="574">
        <f t="shared" ref="X2259:X2322" si="290">SUM(V2259:W2259)</f>
        <v>0</v>
      </c>
      <c r="Y2259" s="487"/>
      <c r="Z2259" s="487"/>
      <c r="AA2259" s="276">
        <f t="shared" ref="AA2259:AA2322" si="291">SUM(Y2259:Z2259)</f>
        <v>0</v>
      </c>
      <c r="AB2259" s="573"/>
      <c r="AC2259" s="487"/>
      <c r="AD2259" s="573"/>
      <c r="AE2259" s="487"/>
      <c r="AF2259" s="577">
        <f t="shared" si="287"/>
        <v>0</v>
      </c>
      <c r="AG2259" s="275">
        <f t="shared" si="288"/>
        <v>0</v>
      </c>
    </row>
    <row r="2260" spans="1:33" ht="12" customHeight="1">
      <c r="A2260" s="594" t="s">
        <v>1282</v>
      </c>
      <c r="B2260" s="594" t="s">
        <v>1510</v>
      </c>
      <c r="C2260" s="593" t="s">
        <v>421</v>
      </c>
      <c r="D2260" s="585"/>
      <c r="E2260" s="586"/>
      <c r="F2260" s="573"/>
      <c r="G2260" s="487"/>
      <c r="H2260" s="573"/>
      <c r="I2260" s="487"/>
      <c r="J2260" s="573"/>
      <c r="K2260" s="487"/>
      <c r="L2260" s="573"/>
      <c r="M2260" s="573"/>
      <c r="N2260" s="456">
        <f t="shared" si="289"/>
        <v>0</v>
      </c>
      <c r="O2260" s="487"/>
      <c r="P2260" s="487"/>
      <c r="Q2260" s="274">
        <f t="shared" si="284"/>
        <v>0</v>
      </c>
      <c r="R2260" s="574">
        <f t="shared" si="285"/>
        <v>0</v>
      </c>
      <c r="S2260" s="275">
        <f t="shared" si="286"/>
        <v>0</v>
      </c>
      <c r="T2260" s="1145"/>
      <c r="U2260" s="487"/>
      <c r="V2260" s="576"/>
      <c r="W2260" s="573"/>
      <c r="X2260" s="574">
        <f t="shared" si="290"/>
        <v>0</v>
      </c>
      <c r="Y2260" s="487"/>
      <c r="Z2260" s="487"/>
      <c r="AA2260" s="276">
        <f t="shared" si="291"/>
        <v>0</v>
      </c>
      <c r="AB2260" s="573"/>
      <c r="AC2260" s="487"/>
      <c r="AD2260" s="573"/>
      <c r="AE2260" s="487"/>
      <c r="AF2260" s="577">
        <f t="shared" si="287"/>
        <v>0</v>
      </c>
      <c r="AG2260" s="275">
        <f t="shared" si="288"/>
        <v>0</v>
      </c>
    </row>
    <row r="2261" spans="1:33" ht="12" customHeight="1">
      <c r="A2261" s="594" t="s">
        <v>1282</v>
      </c>
      <c r="B2261" s="594" t="s">
        <v>1511</v>
      </c>
      <c r="C2261" s="593" t="s">
        <v>1883</v>
      </c>
      <c r="D2261" s="585"/>
      <c r="E2261" s="586"/>
      <c r="F2261" s="573"/>
      <c r="G2261" s="487"/>
      <c r="H2261" s="573"/>
      <c r="I2261" s="487"/>
      <c r="J2261" s="573"/>
      <c r="K2261" s="487"/>
      <c r="L2261" s="573"/>
      <c r="M2261" s="573"/>
      <c r="N2261" s="456">
        <f t="shared" si="289"/>
        <v>0</v>
      </c>
      <c r="O2261" s="487"/>
      <c r="P2261" s="487"/>
      <c r="Q2261" s="274">
        <f t="shared" si="284"/>
        <v>0</v>
      </c>
      <c r="R2261" s="574">
        <f t="shared" si="285"/>
        <v>0</v>
      </c>
      <c r="S2261" s="275">
        <f t="shared" si="286"/>
        <v>0</v>
      </c>
      <c r="T2261" s="1147"/>
      <c r="U2261" s="487"/>
      <c r="V2261" s="576"/>
      <c r="W2261" s="573"/>
      <c r="X2261" s="574">
        <f t="shared" si="290"/>
        <v>0</v>
      </c>
      <c r="Y2261" s="487"/>
      <c r="Z2261" s="487"/>
      <c r="AA2261" s="276">
        <f t="shared" si="291"/>
        <v>0</v>
      </c>
      <c r="AB2261" s="573"/>
      <c r="AC2261" s="487"/>
      <c r="AD2261" s="573"/>
      <c r="AE2261" s="487"/>
      <c r="AF2261" s="577">
        <f t="shared" si="287"/>
        <v>0</v>
      </c>
      <c r="AG2261" s="275">
        <f t="shared" si="288"/>
        <v>0</v>
      </c>
    </row>
    <row r="2262" spans="1:33" ht="12" customHeight="1">
      <c r="A2262" s="594" t="s">
        <v>1282</v>
      </c>
      <c r="B2262" s="594" t="s">
        <v>1763</v>
      </c>
      <c r="C2262" s="593" t="s">
        <v>1761</v>
      </c>
      <c r="D2262" s="585"/>
      <c r="E2262" s="586"/>
      <c r="F2262" s="573"/>
      <c r="G2262" s="487"/>
      <c r="H2262" s="573"/>
      <c r="I2262" s="487"/>
      <c r="J2262" s="573"/>
      <c r="K2262" s="487"/>
      <c r="L2262" s="573"/>
      <c r="M2262" s="573"/>
      <c r="N2262" s="456">
        <f t="shared" si="289"/>
        <v>0</v>
      </c>
      <c r="O2262" s="487"/>
      <c r="P2262" s="487"/>
      <c r="Q2262" s="274">
        <f t="shared" si="284"/>
        <v>0</v>
      </c>
      <c r="R2262" s="574">
        <f t="shared" si="285"/>
        <v>0</v>
      </c>
      <c r="S2262" s="275">
        <f t="shared" si="286"/>
        <v>0</v>
      </c>
      <c r="T2262" s="575"/>
      <c r="U2262" s="487"/>
      <c r="V2262" s="576"/>
      <c r="W2262" s="573"/>
      <c r="X2262" s="574">
        <f t="shared" si="290"/>
        <v>0</v>
      </c>
      <c r="Y2262" s="487"/>
      <c r="Z2262" s="487"/>
      <c r="AA2262" s="276">
        <f t="shared" si="291"/>
        <v>0</v>
      </c>
      <c r="AB2262" s="573"/>
      <c r="AC2262" s="487"/>
      <c r="AD2262" s="573"/>
      <c r="AE2262" s="487"/>
      <c r="AF2262" s="577">
        <f t="shared" si="287"/>
        <v>0</v>
      </c>
      <c r="AG2262" s="275">
        <f t="shared" si="288"/>
        <v>0</v>
      </c>
    </row>
    <row r="2263" spans="1:33" ht="12" customHeight="1">
      <c r="A2263" s="594" t="s">
        <v>1282</v>
      </c>
      <c r="B2263" s="594" t="s">
        <v>1413</v>
      </c>
      <c r="C2263" s="593" t="s">
        <v>422</v>
      </c>
      <c r="D2263" s="585"/>
      <c r="E2263" s="586"/>
      <c r="F2263" s="573"/>
      <c r="G2263" s="487"/>
      <c r="H2263" s="573"/>
      <c r="I2263" s="487"/>
      <c r="J2263" s="573"/>
      <c r="K2263" s="487"/>
      <c r="L2263" s="573"/>
      <c r="M2263" s="573"/>
      <c r="N2263" s="456">
        <f t="shared" si="289"/>
        <v>0</v>
      </c>
      <c r="O2263" s="487"/>
      <c r="P2263" s="487"/>
      <c r="Q2263" s="274">
        <f t="shared" si="284"/>
        <v>0</v>
      </c>
      <c r="R2263" s="574">
        <f t="shared" si="285"/>
        <v>0</v>
      </c>
      <c r="S2263" s="275">
        <f t="shared" si="286"/>
        <v>0</v>
      </c>
      <c r="T2263" s="575"/>
      <c r="U2263" s="487"/>
      <c r="V2263" s="576"/>
      <c r="W2263" s="573"/>
      <c r="X2263" s="574">
        <f t="shared" si="290"/>
        <v>0</v>
      </c>
      <c r="Y2263" s="487"/>
      <c r="Z2263" s="487"/>
      <c r="AA2263" s="276">
        <f t="shared" si="291"/>
        <v>0</v>
      </c>
      <c r="AB2263" s="573"/>
      <c r="AC2263" s="487"/>
      <c r="AD2263" s="573"/>
      <c r="AE2263" s="487"/>
      <c r="AF2263" s="577">
        <f t="shared" si="287"/>
        <v>0</v>
      </c>
      <c r="AG2263" s="275">
        <f t="shared" si="288"/>
        <v>0</v>
      </c>
    </row>
    <row r="2264" spans="1:33" ht="12" customHeight="1">
      <c r="A2264" s="594" t="s">
        <v>1282</v>
      </c>
      <c r="B2264" s="594" t="s">
        <v>1582</v>
      </c>
      <c r="C2264" s="593" t="s">
        <v>1883</v>
      </c>
      <c r="D2264" s="585"/>
      <c r="E2264" s="586"/>
      <c r="F2264" s="573"/>
      <c r="G2264" s="487"/>
      <c r="H2264" s="573"/>
      <c r="I2264" s="487"/>
      <c r="J2264" s="573"/>
      <c r="K2264" s="487"/>
      <c r="L2264" s="573"/>
      <c r="M2264" s="573"/>
      <c r="N2264" s="456">
        <f t="shared" si="289"/>
        <v>0</v>
      </c>
      <c r="O2264" s="487"/>
      <c r="P2264" s="487"/>
      <c r="Q2264" s="274">
        <f t="shared" si="284"/>
        <v>0</v>
      </c>
      <c r="R2264" s="574">
        <f t="shared" si="285"/>
        <v>0</v>
      </c>
      <c r="S2264" s="275">
        <f t="shared" si="286"/>
        <v>0</v>
      </c>
      <c r="T2264" s="575"/>
      <c r="U2264" s="487"/>
      <c r="V2264" s="576"/>
      <c r="W2264" s="573"/>
      <c r="X2264" s="574">
        <f t="shared" si="290"/>
        <v>0</v>
      </c>
      <c r="Y2264" s="487"/>
      <c r="Z2264" s="487"/>
      <c r="AA2264" s="276">
        <f t="shared" si="291"/>
        <v>0</v>
      </c>
      <c r="AB2264" s="573"/>
      <c r="AC2264" s="487"/>
      <c r="AD2264" s="573"/>
      <c r="AE2264" s="487"/>
      <c r="AF2264" s="577">
        <f t="shared" si="287"/>
        <v>0</v>
      </c>
      <c r="AG2264" s="275">
        <f t="shared" si="288"/>
        <v>0</v>
      </c>
    </row>
    <row r="2265" spans="1:33" ht="12" customHeight="1">
      <c r="A2265" s="594" t="s">
        <v>1282</v>
      </c>
      <c r="B2265" s="594" t="s">
        <v>1763</v>
      </c>
      <c r="C2265" s="593" t="s">
        <v>1761</v>
      </c>
      <c r="D2265" s="585"/>
      <c r="E2265" s="586"/>
      <c r="F2265" s="573"/>
      <c r="G2265" s="487"/>
      <c r="H2265" s="573"/>
      <c r="I2265" s="487"/>
      <c r="J2265" s="573"/>
      <c r="K2265" s="487"/>
      <c r="L2265" s="573"/>
      <c r="M2265" s="573"/>
      <c r="N2265" s="456">
        <f t="shared" si="289"/>
        <v>0</v>
      </c>
      <c r="O2265" s="487"/>
      <c r="P2265" s="487"/>
      <c r="Q2265" s="274">
        <f t="shared" si="284"/>
        <v>0</v>
      </c>
      <c r="R2265" s="574">
        <f t="shared" si="285"/>
        <v>0</v>
      </c>
      <c r="S2265" s="275">
        <f t="shared" si="286"/>
        <v>0</v>
      </c>
      <c r="T2265" s="575"/>
      <c r="U2265" s="487"/>
      <c r="V2265" s="576"/>
      <c r="W2265" s="573"/>
      <c r="X2265" s="574">
        <f t="shared" si="290"/>
        <v>0</v>
      </c>
      <c r="Y2265" s="487"/>
      <c r="Z2265" s="487"/>
      <c r="AA2265" s="276">
        <f t="shared" si="291"/>
        <v>0</v>
      </c>
      <c r="AB2265" s="573"/>
      <c r="AC2265" s="487"/>
      <c r="AD2265" s="573"/>
      <c r="AE2265" s="487"/>
      <c r="AF2265" s="577">
        <f t="shared" si="287"/>
        <v>0</v>
      </c>
      <c r="AG2265" s="275">
        <f t="shared" si="288"/>
        <v>0</v>
      </c>
    </row>
    <row r="2266" spans="1:33" ht="12" customHeight="1">
      <c r="A2266" s="594" t="s">
        <v>1282</v>
      </c>
      <c r="B2266" s="569" t="s">
        <v>1805</v>
      </c>
      <c r="C2266" s="310" t="s">
        <v>1536</v>
      </c>
      <c r="D2266" s="571"/>
      <c r="E2266" s="572"/>
      <c r="F2266" s="573"/>
      <c r="G2266" s="487"/>
      <c r="H2266" s="573"/>
      <c r="I2266" s="487"/>
      <c r="J2266" s="573"/>
      <c r="K2266" s="487"/>
      <c r="L2266" s="573"/>
      <c r="M2266" s="573"/>
      <c r="N2266" s="456">
        <f t="shared" si="289"/>
        <v>0</v>
      </c>
      <c r="O2266" s="487"/>
      <c r="P2266" s="487"/>
      <c r="Q2266" s="274">
        <f t="shared" si="284"/>
        <v>0</v>
      </c>
      <c r="R2266" s="574">
        <f t="shared" si="285"/>
        <v>0</v>
      </c>
      <c r="S2266" s="275">
        <f t="shared" si="286"/>
        <v>0</v>
      </c>
      <c r="T2266" s="575">
        <v>800229</v>
      </c>
      <c r="U2266" s="487">
        <v>800229</v>
      </c>
      <c r="V2266" s="576"/>
      <c r="W2266" s="573"/>
      <c r="X2266" s="574">
        <f t="shared" si="290"/>
        <v>0</v>
      </c>
      <c r="Y2266" s="487"/>
      <c r="Z2266" s="487"/>
      <c r="AA2266" s="276">
        <f t="shared" si="291"/>
        <v>0</v>
      </c>
      <c r="AB2266" s="573"/>
      <c r="AC2266" s="487"/>
      <c r="AD2266" s="573"/>
      <c r="AE2266" s="487"/>
      <c r="AF2266" s="577">
        <f t="shared" si="287"/>
        <v>800229</v>
      </c>
      <c r="AG2266" s="275">
        <f t="shared" si="288"/>
        <v>800229</v>
      </c>
    </row>
    <row r="2267" spans="1:33" ht="12" customHeight="1">
      <c r="A2267" s="594" t="s">
        <v>1282</v>
      </c>
      <c r="B2267" s="594" t="s">
        <v>1882</v>
      </c>
      <c r="C2267" s="593" t="s">
        <v>1883</v>
      </c>
      <c r="D2267" s="585"/>
      <c r="E2267" s="586"/>
      <c r="F2267" s="573"/>
      <c r="G2267" s="487"/>
      <c r="H2267" s="573"/>
      <c r="I2267" s="487"/>
      <c r="J2267" s="573"/>
      <c r="K2267" s="487"/>
      <c r="L2267" s="573"/>
      <c r="M2267" s="573"/>
      <c r="N2267" s="456">
        <f t="shared" si="289"/>
        <v>0</v>
      </c>
      <c r="O2267" s="487"/>
      <c r="P2267" s="487"/>
      <c r="Q2267" s="274">
        <f t="shared" si="284"/>
        <v>0</v>
      </c>
      <c r="R2267" s="574">
        <f t="shared" si="285"/>
        <v>0</v>
      </c>
      <c r="S2267" s="275">
        <f t="shared" si="286"/>
        <v>0</v>
      </c>
      <c r="T2267" s="1144" t="s">
        <v>1224</v>
      </c>
      <c r="U2267" s="487"/>
      <c r="V2267" s="576"/>
      <c r="W2267" s="573"/>
      <c r="X2267" s="574">
        <f t="shared" si="290"/>
        <v>0</v>
      </c>
      <c r="Y2267" s="487"/>
      <c r="Z2267" s="487"/>
      <c r="AA2267" s="276">
        <f t="shared" si="291"/>
        <v>0</v>
      </c>
      <c r="AB2267" s="573"/>
      <c r="AC2267" s="487"/>
      <c r="AD2267" s="573"/>
      <c r="AE2267" s="487"/>
      <c r="AF2267" s="577">
        <f t="shared" si="287"/>
        <v>0</v>
      </c>
      <c r="AG2267" s="275">
        <f t="shared" si="288"/>
        <v>0</v>
      </c>
    </row>
    <row r="2268" spans="1:33" ht="12" customHeight="1">
      <c r="A2268" s="594" t="s">
        <v>1282</v>
      </c>
      <c r="B2268" s="594" t="s">
        <v>1763</v>
      </c>
      <c r="C2268" s="593" t="s">
        <v>1761</v>
      </c>
      <c r="D2268" s="585"/>
      <c r="E2268" s="586"/>
      <c r="F2268" s="573"/>
      <c r="G2268" s="487"/>
      <c r="H2268" s="573"/>
      <c r="I2268" s="487"/>
      <c r="J2268" s="573"/>
      <c r="K2268" s="487"/>
      <c r="L2268" s="573"/>
      <c r="M2268" s="573"/>
      <c r="N2268" s="456">
        <f t="shared" si="289"/>
        <v>0</v>
      </c>
      <c r="O2268" s="487"/>
      <c r="P2268" s="487"/>
      <c r="Q2268" s="274">
        <f t="shared" si="284"/>
        <v>0</v>
      </c>
      <c r="R2268" s="574">
        <f t="shared" si="285"/>
        <v>0</v>
      </c>
      <c r="S2268" s="275">
        <f t="shared" si="286"/>
        <v>0</v>
      </c>
      <c r="T2268" s="1145"/>
      <c r="U2268" s="487"/>
      <c r="V2268" s="576"/>
      <c r="W2268" s="573"/>
      <c r="X2268" s="574">
        <f t="shared" si="290"/>
        <v>0</v>
      </c>
      <c r="Y2268" s="487"/>
      <c r="Z2268" s="487"/>
      <c r="AA2268" s="276">
        <f t="shared" si="291"/>
        <v>0</v>
      </c>
      <c r="AB2268" s="573"/>
      <c r="AC2268" s="487"/>
      <c r="AD2268" s="573"/>
      <c r="AE2268" s="487"/>
      <c r="AF2268" s="577">
        <f t="shared" si="287"/>
        <v>0</v>
      </c>
      <c r="AG2268" s="275">
        <f t="shared" si="288"/>
        <v>0</v>
      </c>
    </row>
    <row r="2269" spans="1:33" ht="12" customHeight="1">
      <c r="A2269" s="594" t="s">
        <v>1282</v>
      </c>
      <c r="B2269" s="594" t="s">
        <v>1510</v>
      </c>
      <c r="C2269" s="593" t="s">
        <v>421</v>
      </c>
      <c r="D2269" s="585"/>
      <c r="E2269" s="586"/>
      <c r="F2269" s="573"/>
      <c r="G2269" s="487"/>
      <c r="H2269" s="573"/>
      <c r="I2269" s="487"/>
      <c r="J2269" s="573"/>
      <c r="K2269" s="487"/>
      <c r="L2269" s="573"/>
      <c r="M2269" s="573"/>
      <c r="N2269" s="456">
        <f t="shared" si="289"/>
        <v>0</v>
      </c>
      <c r="O2269" s="487"/>
      <c r="P2269" s="487"/>
      <c r="Q2269" s="274">
        <f t="shared" si="284"/>
        <v>0</v>
      </c>
      <c r="R2269" s="574">
        <f t="shared" si="285"/>
        <v>0</v>
      </c>
      <c r="S2269" s="275">
        <f t="shared" si="286"/>
        <v>0</v>
      </c>
      <c r="T2269" s="1147"/>
      <c r="U2269" s="487"/>
      <c r="V2269" s="576"/>
      <c r="W2269" s="573"/>
      <c r="X2269" s="574">
        <f t="shared" si="290"/>
        <v>0</v>
      </c>
      <c r="Y2269" s="487"/>
      <c r="Z2269" s="487"/>
      <c r="AA2269" s="276">
        <f t="shared" si="291"/>
        <v>0</v>
      </c>
      <c r="AB2269" s="573"/>
      <c r="AC2269" s="487"/>
      <c r="AD2269" s="573"/>
      <c r="AE2269" s="487"/>
      <c r="AF2269" s="577">
        <f t="shared" si="287"/>
        <v>0</v>
      </c>
      <c r="AG2269" s="275">
        <f t="shared" si="288"/>
        <v>0</v>
      </c>
    </row>
    <row r="2270" spans="1:33" ht="12" customHeight="1">
      <c r="A2270" s="594" t="s">
        <v>1282</v>
      </c>
      <c r="B2270" s="594" t="s">
        <v>1511</v>
      </c>
      <c r="C2270" s="593" t="s">
        <v>1883</v>
      </c>
      <c r="D2270" s="585"/>
      <c r="E2270" s="586"/>
      <c r="F2270" s="573"/>
      <c r="G2270" s="487"/>
      <c r="H2270" s="573"/>
      <c r="I2270" s="487"/>
      <c r="J2270" s="573"/>
      <c r="K2270" s="487"/>
      <c r="L2270" s="573"/>
      <c r="M2270" s="573"/>
      <c r="N2270" s="456">
        <f t="shared" si="289"/>
        <v>0</v>
      </c>
      <c r="O2270" s="487"/>
      <c r="P2270" s="487"/>
      <c r="Q2270" s="274">
        <f t="shared" si="284"/>
        <v>0</v>
      </c>
      <c r="R2270" s="574">
        <f t="shared" si="285"/>
        <v>0</v>
      </c>
      <c r="S2270" s="275">
        <f t="shared" si="286"/>
        <v>0</v>
      </c>
      <c r="T2270" s="575"/>
      <c r="U2270" s="487"/>
      <c r="V2270" s="576"/>
      <c r="W2270" s="573"/>
      <c r="X2270" s="574">
        <f t="shared" si="290"/>
        <v>0</v>
      </c>
      <c r="Y2270" s="487"/>
      <c r="Z2270" s="487"/>
      <c r="AA2270" s="276">
        <f t="shared" si="291"/>
        <v>0</v>
      </c>
      <c r="AB2270" s="573"/>
      <c r="AC2270" s="487"/>
      <c r="AD2270" s="573"/>
      <c r="AE2270" s="487"/>
      <c r="AF2270" s="577">
        <f t="shared" si="287"/>
        <v>0</v>
      </c>
      <c r="AG2270" s="275">
        <f t="shared" si="288"/>
        <v>0</v>
      </c>
    </row>
    <row r="2271" spans="1:33" ht="12" customHeight="1">
      <c r="A2271" s="594" t="s">
        <v>1282</v>
      </c>
      <c r="B2271" s="594" t="s">
        <v>1763</v>
      </c>
      <c r="C2271" s="593" t="s">
        <v>1761</v>
      </c>
      <c r="D2271" s="585"/>
      <c r="E2271" s="586"/>
      <c r="F2271" s="573"/>
      <c r="G2271" s="487"/>
      <c r="H2271" s="573"/>
      <c r="I2271" s="487"/>
      <c r="J2271" s="573"/>
      <c r="K2271" s="487"/>
      <c r="L2271" s="573"/>
      <c r="M2271" s="573"/>
      <c r="N2271" s="456">
        <f t="shared" si="289"/>
        <v>0</v>
      </c>
      <c r="O2271" s="487"/>
      <c r="P2271" s="487"/>
      <c r="Q2271" s="274">
        <f t="shared" si="284"/>
        <v>0</v>
      </c>
      <c r="R2271" s="574">
        <f t="shared" si="285"/>
        <v>0</v>
      </c>
      <c r="S2271" s="275">
        <f t="shared" si="286"/>
        <v>0</v>
      </c>
      <c r="T2271" s="575"/>
      <c r="U2271" s="487"/>
      <c r="V2271" s="576"/>
      <c r="W2271" s="573"/>
      <c r="X2271" s="574">
        <f t="shared" si="290"/>
        <v>0</v>
      </c>
      <c r="Y2271" s="487"/>
      <c r="Z2271" s="487"/>
      <c r="AA2271" s="276">
        <f t="shared" si="291"/>
        <v>0</v>
      </c>
      <c r="AB2271" s="573"/>
      <c r="AC2271" s="487"/>
      <c r="AD2271" s="573"/>
      <c r="AE2271" s="487"/>
      <c r="AF2271" s="577">
        <f t="shared" si="287"/>
        <v>0</v>
      </c>
      <c r="AG2271" s="275">
        <f t="shared" si="288"/>
        <v>0</v>
      </c>
    </row>
    <row r="2272" spans="1:33" ht="12" customHeight="1">
      <c r="A2272" s="594" t="s">
        <v>1282</v>
      </c>
      <c r="B2272" s="594" t="s">
        <v>1413</v>
      </c>
      <c r="C2272" s="593" t="s">
        <v>422</v>
      </c>
      <c r="D2272" s="585"/>
      <c r="E2272" s="586"/>
      <c r="F2272" s="573"/>
      <c r="G2272" s="487"/>
      <c r="H2272" s="573"/>
      <c r="I2272" s="487"/>
      <c r="J2272" s="573"/>
      <c r="K2272" s="487"/>
      <c r="L2272" s="573"/>
      <c r="M2272" s="573"/>
      <c r="N2272" s="456">
        <f t="shared" si="289"/>
        <v>0</v>
      </c>
      <c r="O2272" s="487"/>
      <c r="P2272" s="487"/>
      <c r="Q2272" s="274">
        <f t="shared" si="284"/>
        <v>0</v>
      </c>
      <c r="R2272" s="574">
        <f t="shared" si="285"/>
        <v>0</v>
      </c>
      <c r="S2272" s="275">
        <f t="shared" si="286"/>
        <v>0</v>
      </c>
      <c r="T2272" s="575"/>
      <c r="U2272" s="487"/>
      <c r="V2272" s="576"/>
      <c r="W2272" s="573"/>
      <c r="X2272" s="574">
        <f t="shared" si="290"/>
        <v>0</v>
      </c>
      <c r="Y2272" s="487"/>
      <c r="Z2272" s="487"/>
      <c r="AA2272" s="276">
        <f t="shared" si="291"/>
        <v>0</v>
      </c>
      <c r="AB2272" s="573"/>
      <c r="AC2272" s="487"/>
      <c r="AD2272" s="573"/>
      <c r="AE2272" s="487"/>
      <c r="AF2272" s="577">
        <f t="shared" si="287"/>
        <v>0</v>
      </c>
      <c r="AG2272" s="275">
        <f t="shared" si="288"/>
        <v>0</v>
      </c>
    </row>
    <row r="2273" spans="1:33" ht="12" customHeight="1">
      <c r="A2273" s="594" t="s">
        <v>1282</v>
      </c>
      <c r="B2273" s="594" t="s">
        <v>1582</v>
      </c>
      <c r="C2273" s="593" t="s">
        <v>1883</v>
      </c>
      <c r="D2273" s="585"/>
      <c r="E2273" s="586"/>
      <c r="F2273" s="573"/>
      <c r="G2273" s="487"/>
      <c r="H2273" s="573"/>
      <c r="I2273" s="487"/>
      <c r="J2273" s="573"/>
      <c r="K2273" s="487"/>
      <c r="L2273" s="573"/>
      <c r="M2273" s="573"/>
      <c r="N2273" s="456">
        <f t="shared" si="289"/>
        <v>0</v>
      </c>
      <c r="O2273" s="487"/>
      <c r="P2273" s="487"/>
      <c r="Q2273" s="274">
        <f t="shared" si="284"/>
        <v>0</v>
      </c>
      <c r="R2273" s="574">
        <f t="shared" si="285"/>
        <v>0</v>
      </c>
      <c r="S2273" s="275">
        <f t="shared" si="286"/>
        <v>0</v>
      </c>
      <c r="T2273" s="575"/>
      <c r="U2273" s="487"/>
      <c r="V2273" s="576"/>
      <c r="W2273" s="573"/>
      <c r="X2273" s="574">
        <f t="shared" si="290"/>
        <v>0</v>
      </c>
      <c r="Y2273" s="487"/>
      <c r="Z2273" s="487"/>
      <c r="AA2273" s="276">
        <f t="shared" si="291"/>
        <v>0</v>
      </c>
      <c r="AB2273" s="573"/>
      <c r="AC2273" s="487"/>
      <c r="AD2273" s="573"/>
      <c r="AE2273" s="487"/>
      <c r="AF2273" s="577">
        <f t="shared" si="287"/>
        <v>0</v>
      </c>
      <c r="AG2273" s="275">
        <f t="shared" si="288"/>
        <v>0</v>
      </c>
    </row>
    <row r="2274" spans="1:33" ht="12" customHeight="1">
      <c r="A2274" s="594" t="s">
        <v>1282</v>
      </c>
      <c r="B2274" s="594" t="s">
        <v>1763</v>
      </c>
      <c r="C2274" s="593" t="s">
        <v>1761</v>
      </c>
      <c r="D2274" s="585"/>
      <c r="E2274" s="586"/>
      <c r="F2274" s="573"/>
      <c r="G2274" s="487"/>
      <c r="H2274" s="573"/>
      <c r="I2274" s="487"/>
      <c r="J2274" s="573"/>
      <c r="K2274" s="487"/>
      <c r="L2274" s="573"/>
      <c r="M2274" s="573"/>
      <c r="N2274" s="456">
        <f t="shared" si="289"/>
        <v>0</v>
      </c>
      <c r="O2274" s="487"/>
      <c r="P2274" s="487"/>
      <c r="Q2274" s="274">
        <f t="shared" si="284"/>
        <v>0</v>
      </c>
      <c r="R2274" s="574">
        <f t="shared" si="285"/>
        <v>0</v>
      </c>
      <c r="S2274" s="275">
        <f t="shared" si="286"/>
        <v>0</v>
      </c>
      <c r="T2274" s="575"/>
      <c r="U2274" s="487"/>
      <c r="V2274" s="576"/>
      <c r="W2274" s="573"/>
      <c r="X2274" s="574">
        <f t="shared" si="290"/>
        <v>0</v>
      </c>
      <c r="Y2274" s="487"/>
      <c r="Z2274" s="487"/>
      <c r="AA2274" s="276">
        <f t="shared" si="291"/>
        <v>0</v>
      </c>
      <c r="AB2274" s="573"/>
      <c r="AC2274" s="487"/>
      <c r="AD2274" s="573"/>
      <c r="AE2274" s="487"/>
      <c r="AF2274" s="577">
        <f t="shared" si="287"/>
        <v>0</v>
      </c>
      <c r="AG2274" s="275">
        <f t="shared" si="288"/>
        <v>0</v>
      </c>
    </row>
    <row r="2275" spans="1:33" ht="12" customHeight="1">
      <c r="A2275" s="594" t="s">
        <v>1282</v>
      </c>
      <c r="B2275" s="569" t="s">
        <v>1805</v>
      </c>
      <c r="C2275" s="310" t="s">
        <v>1537</v>
      </c>
      <c r="D2275" s="571"/>
      <c r="E2275" s="572"/>
      <c r="F2275" s="573"/>
      <c r="G2275" s="487"/>
      <c r="H2275" s="573"/>
      <c r="I2275" s="487"/>
      <c r="J2275" s="573"/>
      <c r="K2275" s="487"/>
      <c r="L2275" s="573"/>
      <c r="M2275" s="573"/>
      <c r="N2275" s="456">
        <f t="shared" si="289"/>
        <v>0</v>
      </c>
      <c r="O2275" s="487"/>
      <c r="P2275" s="487"/>
      <c r="Q2275" s="274">
        <f t="shared" si="284"/>
        <v>0</v>
      </c>
      <c r="R2275" s="574">
        <f t="shared" si="285"/>
        <v>0</v>
      </c>
      <c r="S2275" s="275">
        <f t="shared" si="286"/>
        <v>0</v>
      </c>
      <c r="T2275" s="575">
        <v>18927327</v>
      </c>
      <c r="U2275" s="487">
        <v>18927327</v>
      </c>
      <c r="V2275" s="576"/>
      <c r="W2275" s="573"/>
      <c r="X2275" s="574">
        <f t="shared" si="290"/>
        <v>0</v>
      </c>
      <c r="Y2275" s="487"/>
      <c r="Z2275" s="487"/>
      <c r="AA2275" s="276">
        <f t="shared" si="291"/>
        <v>0</v>
      </c>
      <c r="AB2275" s="573"/>
      <c r="AC2275" s="487"/>
      <c r="AD2275" s="573"/>
      <c r="AE2275" s="487"/>
      <c r="AF2275" s="577">
        <f t="shared" si="287"/>
        <v>18927327</v>
      </c>
      <c r="AG2275" s="275">
        <f t="shared" si="288"/>
        <v>18927327</v>
      </c>
    </row>
    <row r="2276" spans="1:33" ht="12" customHeight="1">
      <c r="A2276" s="594" t="s">
        <v>1282</v>
      </c>
      <c r="B2276" s="594" t="s">
        <v>1882</v>
      </c>
      <c r="C2276" s="593" t="s">
        <v>1883</v>
      </c>
      <c r="D2276" s="585"/>
      <c r="E2276" s="586"/>
      <c r="F2276" s="573"/>
      <c r="G2276" s="487"/>
      <c r="H2276" s="573"/>
      <c r="I2276" s="487"/>
      <c r="J2276" s="573"/>
      <c r="K2276" s="487"/>
      <c r="L2276" s="573"/>
      <c r="M2276" s="573"/>
      <c r="N2276" s="456">
        <f t="shared" si="289"/>
        <v>0</v>
      </c>
      <c r="O2276" s="487"/>
      <c r="P2276" s="487"/>
      <c r="Q2276" s="274">
        <f t="shared" si="284"/>
        <v>0</v>
      </c>
      <c r="R2276" s="574">
        <f t="shared" si="285"/>
        <v>0</v>
      </c>
      <c r="S2276" s="275">
        <f t="shared" si="286"/>
        <v>0</v>
      </c>
      <c r="T2276" s="1144" t="s">
        <v>1224</v>
      </c>
      <c r="U2276" s="487"/>
      <c r="V2276" s="576"/>
      <c r="W2276" s="573"/>
      <c r="X2276" s="574">
        <f t="shared" si="290"/>
        <v>0</v>
      </c>
      <c r="Y2276" s="487"/>
      <c r="Z2276" s="487"/>
      <c r="AA2276" s="276">
        <f t="shared" si="291"/>
        <v>0</v>
      </c>
      <c r="AB2276" s="573"/>
      <c r="AC2276" s="487"/>
      <c r="AD2276" s="573"/>
      <c r="AE2276" s="487"/>
      <c r="AF2276" s="577">
        <f t="shared" si="287"/>
        <v>0</v>
      </c>
      <c r="AG2276" s="275">
        <f t="shared" si="288"/>
        <v>0</v>
      </c>
    </row>
    <row r="2277" spans="1:33" ht="12" customHeight="1">
      <c r="A2277" s="594" t="s">
        <v>1282</v>
      </c>
      <c r="B2277" s="594" t="s">
        <v>1763</v>
      </c>
      <c r="C2277" s="593" t="s">
        <v>1761</v>
      </c>
      <c r="D2277" s="585"/>
      <c r="E2277" s="586"/>
      <c r="F2277" s="573"/>
      <c r="G2277" s="487"/>
      <c r="H2277" s="573"/>
      <c r="I2277" s="487"/>
      <c r="J2277" s="573"/>
      <c r="K2277" s="487"/>
      <c r="L2277" s="573"/>
      <c r="M2277" s="573"/>
      <c r="N2277" s="456">
        <f t="shared" si="289"/>
        <v>0</v>
      </c>
      <c r="O2277" s="487"/>
      <c r="P2277" s="487"/>
      <c r="Q2277" s="274">
        <f t="shared" si="284"/>
        <v>0</v>
      </c>
      <c r="R2277" s="574">
        <f t="shared" si="285"/>
        <v>0</v>
      </c>
      <c r="S2277" s="275">
        <f t="shared" si="286"/>
        <v>0</v>
      </c>
      <c r="T2277" s="1145"/>
      <c r="U2277" s="487"/>
      <c r="V2277" s="576"/>
      <c r="W2277" s="573"/>
      <c r="X2277" s="574">
        <f t="shared" si="290"/>
        <v>0</v>
      </c>
      <c r="Y2277" s="487"/>
      <c r="Z2277" s="487"/>
      <c r="AA2277" s="276">
        <f t="shared" si="291"/>
        <v>0</v>
      </c>
      <c r="AB2277" s="573"/>
      <c r="AC2277" s="487"/>
      <c r="AD2277" s="573"/>
      <c r="AE2277" s="487"/>
      <c r="AF2277" s="577">
        <f t="shared" si="287"/>
        <v>0</v>
      </c>
      <c r="AG2277" s="275">
        <f t="shared" si="288"/>
        <v>0</v>
      </c>
    </row>
    <row r="2278" spans="1:33" ht="12" customHeight="1">
      <c r="A2278" s="594" t="s">
        <v>1282</v>
      </c>
      <c r="B2278" s="594" t="s">
        <v>1510</v>
      </c>
      <c r="C2278" s="593" t="s">
        <v>421</v>
      </c>
      <c r="D2278" s="585"/>
      <c r="E2278" s="586"/>
      <c r="F2278" s="573"/>
      <c r="G2278" s="487"/>
      <c r="H2278" s="573"/>
      <c r="I2278" s="487"/>
      <c r="J2278" s="573"/>
      <c r="K2278" s="487"/>
      <c r="L2278" s="573"/>
      <c r="M2278" s="573"/>
      <c r="N2278" s="456">
        <f t="shared" si="289"/>
        <v>0</v>
      </c>
      <c r="O2278" s="487"/>
      <c r="P2278" s="487"/>
      <c r="Q2278" s="274">
        <f t="shared" si="284"/>
        <v>0</v>
      </c>
      <c r="R2278" s="574">
        <f t="shared" si="285"/>
        <v>0</v>
      </c>
      <c r="S2278" s="275">
        <f t="shared" si="286"/>
        <v>0</v>
      </c>
      <c r="T2278" s="1147"/>
      <c r="U2278" s="487"/>
      <c r="V2278" s="576"/>
      <c r="W2278" s="573"/>
      <c r="X2278" s="574">
        <f t="shared" si="290"/>
        <v>0</v>
      </c>
      <c r="Y2278" s="487"/>
      <c r="Z2278" s="487"/>
      <c r="AA2278" s="276">
        <f t="shared" si="291"/>
        <v>0</v>
      </c>
      <c r="AB2278" s="573"/>
      <c r="AC2278" s="487"/>
      <c r="AD2278" s="573"/>
      <c r="AE2278" s="487"/>
      <c r="AF2278" s="577">
        <f t="shared" si="287"/>
        <v>0</v>
      </c>
      <c r="AG2278" s="275">
        <f t="shared" si="288"/>
        <v>0</v>
      </c>
    </row>
    <row r="2279" spans="1:33" ht="12" customHeight="1">
      <c r="A2279" s="594" t="s">
        <v>1282</v>
      </c>
      <c r="B2279" s="594" t="s">
        <v>1511</v>
      </c>
      <c r="C2279" s="593" t="s">
        <v>1883</v>
      </c>
      <c r="D2279" s="585"/>
      <c r="E2279" s="586"/>
      <c r="F2279" s="573"/>
      <c r="G2279" s="487"/>
      <c r="H2279" s="573"/>
      <c r="I2279" s="487"/>
      <c r="J2279" s="573"/>
      <c r="K2279" s="487"/>
      <c r="L2279" s="573"/>
      <c r="M2279" s="573"/>
      <c r="N2279" s="456">
        <f t="shared" si="289"/>
        <v>0</v>
      </c>
      <c r="O2279" s="487"/>
      <c r="P2279" s="487"/>
      <c r="Q2279" s="274">
        <f t="shared" si="284"/>
        <v>0</v>
      </c>
      <c r="R2279" s="574">
        <f t="shared" si="285"/>
        <v>0</v>
      </c>
      <c r="S2279" s="275">
        <f t="shared" si="286"/>
        <v>0</v>
      </c>
      <c r="T2279" s="575"/>
      <c r="U2279" s="487"/>
      <c r="V2279" s="576"/>
      <c r="W2279" s="573"/>
      <c r="X2279" s="574">
        <f t="shared" si="290"/>
        <v>0</v>
      </c>
      <c r="Y2279" s="487"/>
      <c r="Z2279" s="487"/>
      <c r="AA2279" s="276">
        <f t="shared" si="291"/>
        <v>0</v>
      </c>
      <c r="AB2279" s="573"/>
      <c r="AC2279" s="487"/>
      <c r="AD2279" s="573"/>
      <c r="AE2279" s="487"/>
      <c r="AF2279" s="577">
        <f t="shared" si="287"/>
        <v>0</v>
      </c>
      <c r="AG2279" s="275">
        <f t="shared" si="288"/>
        <v>0</v>
      </c>
    </row>
    <row r="2280" spans="1:33" ht="12" customHeight="1">
      <c r="A2280" s="594" t="s">
        <v>1282</v>
      </c>
      <c r="B2280" s="594" t="s">
        <v>1763</v>
      </c>
      <c r="C2280" s="593" t="s">
        <v>1761</v>
      </c>
      <c r="D2280" s="585"/>
      <c r="E2280" s="586"/>
      <c r="F2280" s="573"/>
      <c r="G2280" s="487"/>
      <c r="H2280" s="573"/>
      <c r="I2280" s="487"/>
      <c r="J2280" s="573"/>
      <c r="K2280" s="487"/>
      <c r="L2280" s="573"/>
      <c r="M2280" s="573"/>
      <c r="N2280" s="456">
        <f t="shared" si="289"/>
        <v>0</v>
      </c>
      <c r="O2280" s="487"/>
      <c r="P2280" s="487"/>
      <c r="Q2280" s="274">
        <f t="shared" si="284"/>
        <v>0</v>
      </c>
      <c r="R2280" s="574">
        <f t="shared" si="285"/>
        <v>0</v>
      </c>
      <c r="S2280" s="275">
        <f t="shared" si="286"/>
        <v>0</v>
      </c>
      <c r="T2280" s="575"/>
      <c r="U2280" s="487"/>
      <c r="V2280" s="576"/>
      <c r="W2280" s="573"/>
      <c r="X2280" s="574">
        <f t="shared" si="290"/>
        <v>0</v>
      </c>
      <c r="Y2280" s="487"/>
      <c r="Z2280" s="487"/>
      <c r="AA2280" s="276">
        <f t="shared" si="291"/>
        <v>0</v>
      </c>
      <c r="AB2280" s="573"/>
      <c r="AC2280" s="487"/>
      <c r="AD2280" s="573"/>
      <c r="AE2280" s="487"/>
      <c r="AF2280" s="577">
        <f t="shared" si="287"/>
        <v>0</v>
      </c>
      <c r="AG2280" s="275">
        <f t="shared" si="288"/>
        <v>0</v>
      </c>
    </row>
    <row r="2281" spans="1:33" ht="12" customHeight="1">
      <c r="A2281" s="594" t="s">
        <v>1282</v>
      </c>
      <c r="B2281" s="594" t="s">
        <v>1413</v>
      </c>
      <c r="C2281" s="593" t="s">
        <v>422</v>
      </c>
      <c r="D2281" s="585"/>
      <c r="E2281" s="586"/>
      <c r="F2281" s="573"/>
      <c r="G2281" s="487"/>
      <c r="H2281" s="573"/>
      <c r="I2281" s="487"/>
      <c r="J2281" s="573"/>
      <c r="K2281" s="487"/>
      <c r="L2281" s="573"/>
      <c r="M2281" s="573"/>
      <c r="N2281" s="456">
        <f t="shared" si="289"/>
        <v>0</v>
      </c>
      <c r="O2281" s="487"/>
      <c r="P2281" s="487"/>
      <c r="Q2281" s="274">
        <f t="shared" si="284"/>
        <v>0</v>
      </c>
      <c r="R2281" s="574">
        <f t="shared" si="285"/>
        <v>0</v>
      </c>
      <c r="S2281" s="275">
        <f t="shared" si="286"/>
        <v>0</v>
      </c>
      <c r="T2281" s="575"/>
      <c r="U2281" s="487"/>
      <c r="V2281" s="576"/>
      <c r="W2281" s="573"/>
      <c r="X2281" s="574">
        <f t="shared" si="290"/>
        <v>0</v>
      </c>
      <c r="Y2281" s="487"/>
      <c r="Z2281" s="487"/>
      <c r="AA2281" s="276">
        <f t="shared" si="291"/>
        <v>0</v>
      </c>
      <c r="AB2281" s="573"/>
      <c r="AC2281" s="487"/>
      <c r="AD2281" s="573"/>
      <c r="AE2281" s="487"/>
      <c r="AF2281" s="577">
        <f t="shared" si="287"/>
        <v>0</v>
      </c>
      <c r="AG2281" s="275">
        <f t="shared" si="288"/>
        <v>0</v>
      </c>
    </row>
    <row r="2282" spans="1:33" ht="12" customHeight="1">
      <c r="A2282" s="594" t="s">
        <v>1282</v>
      </c>
      <c r="B2282" s="594" t="s">
        <v>1582</v>
      </c>
      <c r="C2282" s="593" t="s">
        <v>1883</v>
      </c>
      <c r="D2282" s="585"/>
      <c r="E2282" s="586"/>
      <c r="F2282" s="573"/>
      <c r="G2282" s="487"/>
      <c r="H2282" s="573"/>
      <c r="I2282" s="487"/>
      <c r="J2282" s="573"/>
      <c r="K2282" s="487"/>
      <c r="L2282" s="573"/>
      <c r="M2282" s="573"/>
      <c r="N2282" s="456">
        <f t="shared" si="289"/>
        <v>0</v>
      </c>
      <c r="O2282" s="487"/>
      <c r="P2282" s="487"/>
      <c r="Q2282" s="274">
        <f t="shared" si="284"/>
        <v>0</v>
      </c>
      <c r="R2282" s="574">
        <f t="shared" si="285"/>
        <v>0</v>
      </c>
      <c r="S2282" s="275">
        <f t="shared" si="286"/>
        <v>0</v>
      </c>
      <c r="T2282" s="575"/>
      <c r="U2282" s="487"/>
      <c r="V2282" s="576"/>
      <c r="W2282" s="573"/>
      <c r="X2282" s="574">
        <f t="shared" si="290"/>
        <v>0</v>
      </c>
      <c r="Y2282" s="487"/>
      <c r="Z2282" s="487"/>
      <c r="AA2282" s="276">
        <f t="shared" si="291"/>
        <v>0</v>
      </c>
      <c r="AB2282" s="573"/>
      <c r="AC2282" s="487"/>
      <c r="AD2282" s="573"/>
      <c r="AE2282" s="487"/>
      <c r="AF2282" s="577">
        <f t="shared" si="287"/>
        <v>0</v>
      </c>
      <c r="AG2282" s="275">
        <f t="shared" si="288"/>
        <v>0</v>
      </c>
    </row>
    <row r="2283" spans="1:33" ht="12" customHeight="1">
      <c r="A2283" s="594" t="s">
        <v>1282</v>
      </c>
      <c r="B2283" s="594" t="s">
        <v>1763</v>
      </c>
      <c r="C2283" s="593" t="s">
        <v>1761</v>
      </c>
      <c r="D2283" s="585"/>
      <c r="E2283" s="586"/>
      <c r="F2283" s="573"/>
      <c r="G2283" s="487"/>
      <c r="H2283" s="573"/>
      <c r="I2283" s="487"/>
      <c r="J2283" s="573"/>
      <c r="K2283" s="487"/>
      <c r="L2283" s="573"/>
      <c r="M2283" s="573"/>
      <c r="N2283" s="456">
        <f t="shared" si="289"/>
        <v>0</v>
      </c>
      <c r="O2283" s="487"/>
      <c r="P2283" s="487"/>
      <c r="Q2283" s="274">
        <f t="shared" si="284"/>
        <v>0</v>
      </c>
      <c r="R2283" s="574">
        <f t="shared" si="285"/>
        <v>0</v>
      </c>
      <c r="S2283" s="275">
        <f t="shared" si="286"/>
        <v>0</v>
      </c>
      <c r="T2283" s="575"/>
      <c r="U2283" s="487"/>
      <c r="V2283" s="576"/>
      <c r="W2283" s="573"/>
      <c r="X2283" s="574">
        <f t="shared" si="290"/>
        <v>0</v>
      </c>
      <c r="Y2283" s="487"/>
      <c r="Z2283" s="487"/>
      <c r="AA2283" s="276">
        <f t="shared" si="291"/>
        <v>0</v>
      </c>
      <c r="AB2283" s="573"/>
      <c r="AC2283" s="487"/>
      <c r="AD2283" s="573"/>
      <c r="AE2283" s="487"/>
      <c r="AF2283" s="577">
        <f t="shared" si="287"/>
        <v>0</v>
      </c>
      <c r="AG2283" s="275">
        <f t="shared" si="288"/>
        <v>0</v>
      </c>
    </row>
    <row r="2284" spans="1:33" ht="12" customHeight="1">
      <c r="A2284" s="594" t="s">
        <v>1282</v>
      </c>
      <c r="B2284" s="594" t="s">
        <v>1806</v>
      </c>
      <c r="C2284" s="479" t="s">
        <v>193</v>
      </c>
      <c r="D2284" s="585"/>
      <c r="E2284" s="586"/>
      <c r="F2284" s="573"/>
      <c r="G2284" s="487"/>
      <c r="H2284" s="573"/>
      <c r="I2284" s="487"/>
      <c r="J2284" s="573"/>
      <c r="K2284" s="487"/>
      <c r="L2284" s="573"/>
      <c r="M2284" s="573"/>
      <c r="N2284" s="456">
        <f t="shared" si="289"/>
        <v>0</v>
      </c>
      <c r="O2284" s="487"/>
      <c r="P2284" s="487"/>
      <c r="Q2284" s="274">
        <f t="shared" si="284"/>
        <v>0</v>
      </c>
      <c r="R2284" s="574">
        <f t="shared" si="285"/>
        <v>0</v>
      </c>
      <c r="S2284" s="275">
        <f t="shared" si="286"/>
        <v>0</v>
      </c>
      <c r="T2284" s="575"/>
      <c r="U2284" s="487"/>
      <c r="V2284" s="576"/>
      <c r="W2284" s="573"/>
      <c r="X2284" s="574">
        <f t="shared" si="290"/>
        <v>0</v>
      </c>
      <c r="Y2284" s="487"/>
      <c r="Z2284" s="487"/>
      <c r="AA2284" s="276">
        <f t="shared" si="291"/>
        <v>0</v>
      </c>
      <c r="AB2284" s="573"/>
      <c r="AC2284" s="487"/>
      <c r="AD2284" s="573"/>
      <c r="AE2284" s="487"/>
      <c r="AF2284" s="577">
        <f t="shared" si="287"/>
        <v>0</v>
      </c>
      <c r="AG2284" s="275">
        <f t="shared" si="288"/>
        <v>0</v>
      </c>
    </row>
    <row r="2285" spans="1:33" ht="12" customHeight="1">
      <c r="A2285" s="594" t="s">
        <v>1282</v>
      </c>
      <c r="B2285" s="594" t="s">
        <v>1764</v>
      </c>
      <c r="C2285" s="593" t="s">
        <v>1883</v>
      </c>
      <c r="D2285" s="585"/>
      <c r="E2285" s="586"/>
      <c r="F2285" s="573"/>
      <c r="G2285" s="487"/>
      <c r="H2285" s="573"/>
      <c r="I2285" s="487"/>
      <c r="J2285" s="573"/>
      <c r="K2285" s="487"/>
      <c r="L2285" s="573"/>
      <c r="M2285" s="573"/>
      <c r="N2285" s="456">
        <f t="shared" si="289"/>
        <v>0</v>
      </c>
      <c r="O2285" s="487"/>
      <c r="P2285" s="487"/>
      <c r="Q2285" s="274">
        <f t="shared" si="284"/>
        <v>0</v>
      </c>
      <c r="R2285" s="574">
        <f t="shared" si="285"/>
        <v>0</v>
      </c>
      <c r="S2285" s="275">
        <f t="shared" si="286"/>
        <v>0</v>
      </c>
      <c r="T2285" s="575"/>
      <c r="U2285" s="487"/>
      <c r="V2285" s="576"/>
      <c r="W2285" s="573"/>
      <c r="X2285" s="574">
        <f t="shared" si="290"/>
        <v>0</v>
      </c>
      <c r="Y2285" s="487"/>
      <c r="Z2285" s="487"/>
      <c r="AA2285" s="276">
        <f t="shared" si="291"/>
        <v>0</v>
      </c>
      <c r="AB2285" s="573"/>
      <c r="AC2285" s="487"/>
      <c r="AD2285" s="573"/>
      <c r="AE2285" s="487"/>
      <c r="AF2285" s="577">
        <f t="shared" si="287"/>
        <v>0</v>
      </c>
      <c r="AG2285" s="275">
        <f t="shared" si="288"/>
        <v>0</v>
      </c>
    </row>
    <row r="2286" spans="1:33" ht="12" customHeight="1">
      <c r="A2286" s="594" t="s">
        <v>1282</v>
      </c>
      <c r="B2286" s="594" t="s">
        <v>1765</v>
      </c>
      <c r="C2286" s="593" t="s">
        <v>1761</v>
      </c>
      <c r="D2286" s="585"/>
      <c r="E2286" s="586"/>
      <c r="F2286" s="573"/>
      <c r="G2286" s="487"/>
      <c r="H2286" s="573"/>
      <c r="I2286" s="487"/>
      <c r="J2286" s="573"/>
      <c r="K2286" s="487"/>
      <c r="L2286" s="573"/>
      <c r="M2286" s="573"/>
      <c r="N2286" s="456">
        <f t="shared" si="289"/>
        <v>0</v>
      </c>
      <c r="O2286" s="487"/>
      <c r="P2286" s="487"/>
      <c r="Q2286" s="274">
        <f t="shared" si="284"/>
        <v>0</v>
      </c>
      <c r="R2286" s="574">
        <f t="shared" si="285"/>
        <v>0</v>
      </c>
      <c r="S2286" s="275">
        <f t="shared" si="286"/>
        <v>0</v>
      </c>
      <c r="T2286" s="575"/>
      <c r="U2286" s="487"/>
      <c r="V2286" s="576"/>
      <c r="W2286" s="573"/>
      <c r="X2286" s="574">
        <f t="shared" si="290"/>
        <v>0</v>
      </c>
      <c r="Y2286" s="487"/>
      <c r="Z2286" s="487"/>
      <c r="AA2286" s="276">
        <f t="shared" si="291"/>
        <v>0</v>
      </c>
      <c r="AB2286" s="573"/>
      <c r="AC2286" s="487"/>
      <c r="AD2286" s="573"/>
      <c r="AE2286" s="487"/>
      <c r="AF2286" s="577">
        <f t="shared" si="287"/>
        <v>0</v>
      </c>
      <c r="AG2286" s="275">
        <f t="shared" si="288"/>
        <v>0</v>
      </c>
    </row>
    <row r="2287" spans="1:33" ht="12" customHeight="1">
      <c r="A2287" s="568" t="s">
        <v>1282</v>
      </c>
      <c r="B2287" s="594" t="s">
        <v>1807</v>
      </c>
      <c r="C2287" s="479" t="s">
        <v>713</v>
      </c>
      <c r="D2287" s="585"/>
      <c r="E2287" s="586"/>
      <c r="F2287" s="573"/>
      <c r="G2287" s="487"/>
      <c r="H2287" s="573"/>
      <c r="I2287" s="487"/>
      <c r="J2287" s="573"/>
      <c r="K2287" s="487"/>
      <c r="L2287" s="573"/>
      <c r="M2287" s="573"/>
      <c r="N2287" s="456">
        <f t="shared" si="289"/>
        <v>0</v>
      </c>
      <c r="O2287" s="487"/>
      <c r="P2287" s="487"/>
      <c r="Q2287" s="274">
        <f t="shared" si="284"/>
        <v>0</v>
      </c>
      <c r="R2287" s="574">
        <f t="shared" si="285"/>
        <v>0</v>
      </c>
      <c r="S2287" s="275">
        <f t="shared" si="286"/>
        <v>0</v>
      </c>
      <c r="T2287" s="575"/>
      <c r="U2287" s="487"/>
      <c r="V2287" s="576"/>
      <c r="W2287" s="573"/>
      <c r="X2287" s="574">
        <f t="shared" si="290"/>
        <v>0</v>
      </c>
      <c r="Y2287" s="487"/>
      <c r="Z2287" s="487"/>
      <c r="AA2287" s="276">
        <f t="shared" si="291"/>
        <v>0</v>
      </c>
      <c r="AB2287" s="573"/>
      <c r="AC2287" s="487"/>
      <c r="AD2287" s="573"/>
      <c r="AE2287" s="487"/>
      <c r="AF2287" s="577">
        <f t="shared" si="287"/>
        <v>0</v>
      </c>
      <c r="AG2287" s="275">
        <f t="shared" si="288"/>
        <v>0</v>
      </c>
    </row>
    <row r="2288" spans="1:33" ht="12" customHeight="1">
      <c r="A2288" s="568" t="s">
        <v>1282</v>
      </c>
      <c r="B2288" s="594" t="s">
        <v>1807</v>
      </c>
      <c r="C2288" s="310" t="s">
        <v>1538</v>
      </c>
      <c r="D2288" s="585"/>
      <c r="E2288" s="586"/>
      <c r="F2288" s="573"/>
      <c r="G2288" s="487"/>
      <c r="H2288" s="573"/>
      <c r="I2288" s="487"/>
      <c r="J2288" s="573"/>
      <c r="K2288" s="487"/>
      <c r="L2288" s="573"/>
      <c r="M2288" s="573"/>
      <c r="N2288" s="456">
        <f t="shared" si="289"/>
        <v>0</v>
      </c>
      <c r="O2288" s="487"/>
      <c r="P2288" s="487"/>
      <c r="Q2288" s="274">
        <f t="shared" si="284"/>
        <v>0</v>
      </c>
      <c r="R2288" s="574">
        <f t="shared" si="285"/>
        <v>0</v>
      </c>
      <c r="S2288" s="275">
        <f t="shared" si="286"/>
        <v>0</v>
      </c>
      <c r="T2288" s="575">
        <v>3828751</v>
      </c>
      <c r="U2288" s="487">
        <v>3828751</v>
      </c>
      <c r="V2288" s="576"/>
      <c r="W2288" s="573"/>
      <c r="X2288" s="574">
        <f t="shared" si="290"/>
        <v>0</v>
      </c>
      <c r="Y2288" s="487"/>
      <c r="Z2288" s="487"/>
      <c r="AA2288" s="276">
        <f t="shared" si="291"/>
        <v>0</v>
      </c>
      <c r="AB2288" s="573"/>
      <c r="AC2288" s="487"/>
      <c r="AD2288" s="573"/>
      <c r="AE2288" s="487"/>
      <c r="AF2288" s="577">
        <f t="shared" si="287"/>
        <v>3828751</v>
      </c>
      <c r="AG2288" s="275">
        <f t="shared" si="288"/>
        <v>3828751</v>
      </c>
    </row>
    <row r="2289" spans="1:33" ht="12" customHeight="1">
      <c r="A2289" s="594" t="s">
        <v>1282</v>
      </c>
      <c r="B2289" s="594" t="s">
        <v>1766</v>
      </c>
      <c r="C2289" s="593" t="s">
        <v>1883</v>
      </c>
      <c r="D2289" s="585"/>
      <c r="E2289" s="586"/>
      <c r="F2289" s="573"/>
      <c r="G2289" s="487"/>
      <c r="H2289" s="573"/>
      <c r="I2289" s="487"/>
      <c r="J2289" s="573"/>
      <c r="K2289" s="487"/>
      <c r="L2289" s="573"/>
      <c r="M2289" s="573"/>
      <c r="N2289" s="456">
        <f t="shared" si="289"/>
        <v>0</v>
      </c>
      <c r="O2289" s="487"/>
      <c r="P2289" s="487"/>
      <c r="Q2289" s="274">
        <f t="shared" si="284"/>
        <v>0</v>
      </c>
      <c r="R2289" s="574">
        <f t="shared" si="285"/>
        <v>0</v>
      </c>
      <c r="S2289" s="275">
        <f t="shared" si="286"/>
        <v>0</v>
      </c>
      <c r="T2289" s="663" t="s">
        <v>1225</v>
      </c>
      <c r="U2289" s="487"/>
      <c r="V2289" s="576"/>
      <c r="W2289" s="573"/>
      <c r="X2289" s="574">
        <f t="shared" si="290"/>
        <v>0</v>
      </c>
      <c r="Y2289" s="487"/>
      <c r="Z2289" s="487"/>
      <c r="AA2289" s="276">
        <f t="shared" si="291"/>
        <v>0</v>
      </c>
      <c r="AB2289" s="573"/>
      <c r="AC2289" s="487"/>
      <c r="AD2289" s="573"/>
      <c r="AE2289" s="487"/>
      <c r="AF2289" s="577">
        <f t="shared" si="287"/>
        <v>0</v>
      </c>
      <c r="AG2289" s="275">
        <f t="shared" si="288"/>
        <v>0</v>
      </c>
    </row>
    <row r="2290" spans="1:33" ht="12" customHeight="1">
      <c r="A2290" s="594" t="s">
        <v>1282</v>
      </c>
      <c r="B2290" s="594" t="s">
        <v>1767</v>
      </c>
      <c r="C2290" s="593" t="s">
        <v>1761</v>
      </c>
      <c r="D2290" s="585"/>
      <c r="E2290" s="586"/>
      <c r="F2290" s="573"/>
      <c r="G2290" s="487"/>
      <c r="H2290" s="573"/>
      <c r="I2290" s="487"/>
      <c r="J2290" s="573"/>
      <c r="K2290" s="487"/>
      <c r="L2290" s="573"/>
      <c r="M2290" s="573"/>
      <c r="N2290" s="456">
        <f t="shared" si="289"/>
        <v>0</v>
      </c>
      <c r="O2290" s="487"/>
      <c r="P2290" s="487"/>
      <c r="Q2290" s="274">
        <f t="shared" si="284"/>
        <v>0</v>
      </c>
      <c r="R2290" s="574">
        <f t="shared" si="285"/>
        <v>0</v>
      </c>
      <c r="S2290" s="275">
        <f t="shared" si="286"/>
        <v>0</v>
      </c>
      <c r="T2290" s="794"/>
      <c r="U2290" s="487"/>
      <c r="V2290" s="576"/>
      <c r="W2290" s="573"/>
      <c r="X2290" s="574">
        <f t="shared" si="290"/>
        <v>0</v>
      </c>
      <c r="Y2290" s="487"/>
      <c r="Z2290" s="487"/>
      <c r="AA2290" s="276">
        <f t="shared" si="291"/>
        <v>0</v>
      </c>
      <c r="AB2290" s="573"/>
      <c r="AC2290" s="487"/>
      <c r="AD2290" s="573"/>
      <c r="AE2290" s="487"/>
      <c r="AF2290" s="577">
        <f t="shared" si="287"/>
        <v>0</v>
      </c>
      <c r="AG2290" s="275">
        <f t="shared" si="288"/>
        <v>0</v>
      </c>
    </row>
    <row r="2291" spans="1:33" ht="12" customHeight="1">
      <c r="A2291" s="744" t="s">
        <v>1274</v>
      </c>
      <c r="B2291" s="703" t="s">
        <v>1776</v>
      </c>
      <c r="C2291" s="745" t="s">
        <v>1675</v>
      </c>
      <c r="D2291" s="746">
        <v>217882</v>
      </c>
      <c r="E2291" s="697">
        <v>1</v>
      </c>
      <c r="F2291" s="518">
        <v>98821103</v>
      </c>
      <c r="G2291" s="949">
        <f>90588359-16630506+1079668</f>
        <v>75037521</v>
      </c>
      <c r="H2291" s="573"/>
      <c r="I2291" s="487"/>
      <c r="J2291" s="573"/>
      <c r="K2291" s="487"/>
      <c r="L2291" s="573">
        <v>211032854</v>
      </c>
      <c r="M2291" s="573">
        <v>13286225</v>
      </c>
      <c r="N2291" s="456">
        <f t="shared" si="289"/>
        <v>224319079</v>
      </c>
      <c r="O2291" s="487">
        <v>226066740</v>
      </c>
      <c r="P2291" s="487">
        <v>16595610</v>
      </c>
      <c r="Q2291" s="274">
        <f t="shared" si="284"/>
        <v>242662350</v>
      </c>
      <c r="R2291" s="574">
        <f t="shared" si="285"/>
        <v>309853957</v>
      </c>
      <c r="S2291" s="275">
        <f t="shared" si="286"/>
        <v>301104261</v>
      </c>
      <c r="T2291" s="575"/>
      <c r="U2291" s="487"/>
      <c r="V2291" s="576"/>
      <c r="W2291" s="573"/>
      <c r="X2291" s="574">
        <f t="shared" si="290"/>
        <v>0</v>
      </c>
      <c r="Y2291" s="487"/>
      <c r="Z2291" s="487"/>
      <c r="AA2291" s="276">
        <f t="shared" si="291"/>
        <v>0</v>
      </c>
      <c r="AB2291" s="573"/>
      <c r="AC2291" s="487"/>
      <c r="AD2291" s="573"/>
      <c r="AE2291" s="487"/>
      <c r="AF2291" s="577">
        <f t="shared" si="287"/>
        <v>309853957</v>
      </c>
      <c r="AG2291" s="275">
        <f t="shared" si="288"/>
        <v>301104261</v>
      </c>
    </row>
    <row r="2292" spans="1:33" ht="12" customHeight="1">
      <c r="A2292" s="744" t="s">
        <v>1274</v>
      </c>
      <c r="B2292" s="703" t="s">
        <v>1776</v>
      </c>
      <c r="C2292" s="747" t="s">
        <v>1988</v>
      </c>
      <c r="D2292" s="746">
        <v>217882</v>
      </c>
      <c r="E2292" s="697">
        <v>1</v>
      </c>
      <c r="F2292" s="518"/>
      <c r="G2292" s="949">
        <f>13032744-2041904</f>
        <v>10990840</v>
      </c>
      <c r="H2292" s="573"/>
      <c r="I2292" s="487"/>
      <c r="J2292" s="573"/>
      <c r="K2292" s="487"/>
      <c r="L2292" s="573"/>
      <c r="M2292" s="573"/>
      <c r="N2292" s="456">
        <f t="shared" si="289"/>
        <v>0</v>
      </c>
      <c r="O2292" s="487"/>
      <c r="P2292" s="487"/>
      <c r="Q2292" s="274">
        <f t="shared" si="284"/>
        <v>0</v>
      </c>
      <c r="R2292" s="574">
        <f t="shared" si="285"/>
        <v>0</v>
      </c>
      <c r="S2292" s="275">
        <f t="shared" si="286"/>
        <v>10990840</v>
      </c>
      <c r="T2292" s="575"/>
      <c r="U2292" s="487"/>
      <c r="V2292" s="576"/>
      <c r="W2292" s="573"/>
      <c r="X2292" s="574">
        <f t="shared" si="290"/>
        <v>0</v>
      </c>
      <c r="Y2292" s="487"/>
      <c r="Z2292" s="487"/>
      <c r="AA2292" s="276">
        <f t="shared" si="291"/>
        <v>0</v>
      </c>
      <c r="AB2292" s="573"/>
      <c r="AC2292" s="487"/>
      <c r="AD2292" s="573"/>
      <c r="AE2292" s="487"/>
      <c r="AF2292" s="577">
        <f t="shared" si="287"/>
        <v>0</v>
      </c>
      <c r="AG2292" s="275">
        <f t="shared" si="288"/>
        <v>10990840</v>
      </c>
    </row>
    <row r="2293" spans="1:33" ht="12" customHeight="1">
      <c r="A2293" s="744" t="s">
        <v>1274</v>
      </c>
      <c r="B2293" s="703" t="s">
        <v>1776</v>
      </c>
      <c r="C2293" s="747" t="s">
        <v>1237</v>
      </c>
      <c r="D2293" s="746">
        <v>217882</v>
      </c>
      <c r="E2293" s="697">
        <v>1</v>
      </c>
      <c r="F2293" s="518">
        <v>2000000</v>
      </c>
      <c r="G2293" s="487">
        <v>2000000</v>
      </c>
      <c r="H2293" s="573"/>
      <c r="I2293" s="487"/>
      <c r="J2293" s="573"/>
      <c r="K2293" s="487"/>
      <c r="L2293" s="573"/>
      <c r="M2293" s="573"/>
      <c r="N2293" s="456">
        <f t="shared" si="289"/>
        <v>0</v>
      </c>
      <c r="O2293" s="487"/>
      <c r="P2293" s="487"/>
      <c r="Q2293" s="274">
        <f t="shared" si="284"/>
        <v>0</v>
      </c>
      <c r="R2293" s="574">
        <f t="shared" si="285"/>
        <v>2000000</v>
      </c>
      <c r="S2293" s="275">
        <f t="shared" si="286"/>
        <v>2000000</v>
      </c>
      <c r="T2293" s="575"/>
      <c r="U2293" s="487"/>
      <c r="V2293" s="576"/>
      <c r="W2293" s="573"/>
      <c r="X2293" s="574">
        <f t="shared" si="290"/>
        <v>0</v>
      </c>
      <c r="Y2293" s="487"/>
      <c r="Z2293" s="487"/>
      <c r="AA2293" s="276">
        <f t="shared" si="291"/>
        <v>0</v>
      </c>
      <c r="AB2293" s="573"/>
      <c r="AC2293" s="487"/>
      <c r="AD2293" s="573"/>
      <c r="AE2293" s="487"/>
      <c r="AF2293" s="577">
        <f t="shared" si="287"/>
        <v>2000000</v>
      </c>
      <c r="AG2293" s="275">
        <f t="shared" si="288"/>
        <v>2000000</v>
      </c>
    </row>
    <row r="2294" spans="1:33" ht="12" customHeight="1">
      <c r="A2294" s="744" t="s">
        <v>1274</v>
      </c>
      <c r="B2294" s="703" t="s">
        <v>1778</v>
      </c>
      <c r="C2294" s="297" t="s">
        <v>1891</v>
      </c>
      <c r="D2294" s="746">
        <v>217882</v>
      </c>
      <c r="E2294" s="697">
        <v>1</v>
      </c>
      <c r="F2294" s="573"/>
      <c r="G2294" s="487"/>
      <c r="H2294" s="573"/>
      <c r="I2294" s="487"/>
      <c r="J2294" s="573"/>
      <c r="K2294" s="487"/>
      <c r="L2294" s="573"/>
      <c r="M2294" s="573"/>
      <c r="N2294" s="456">
        <f t="shared" si="289"/>
        <v>0</v>
      </c>
      <c r="O2294" s="487"/>
      <c r="P2294" s="487"/>
      <c r="Q2294" s="274">
        <f t="shared" si="284"/>
        <v>0</v>
      </c>
      <c r="R2294" s="574">
        <f t="shared" si="285"/>
        <v>0</v>
      </c>
      <c r="S2294" s="275">
        <f t="shared" si="286"/>
        <v>0</v>
      </c>
      <c r="T2294" s="575"/>
      <c r="U2294" s="487"/>
      <c r="V2294" s="576"/>
      <c r="W2294" s="573"/>
      <c r="X2294" s="574">
        <f t="shared" si="290"/>
        <v>0</v>
      </c>
      <c r="Y2294" s="487"/>
      <c r="Z2294" s="487"/>
      <c r="AA2294" s="276">
        <f t="shared" si="291"/>
        <v>0</v>
      </c>
      <c r="AB2294" s="573"/>
      <c r="AC2294" s="487"/>
      <c r="AD2294" s="573"/>
      <c r="AE2294" s="487"/>
      <c r="AF2294" s="577">
        <f t="shared" si="287"/>
        <v>0</v>
      </c>
      <c r="AG2294" s="275">
        <f t="shared" si="288"/>
        <v>0</v>
      </c>
    </row>
    <row r="2295" spans="1:33" ht="12" customHeight="1">
      <c r="A2295" s="744" t="s">
        <v>1274</v>
      </c>
      <c r="B2295" s="703" t="s">
        <v>1778</v>
      </c>
      <c r="C2295" s="747" t="s">
        <v>1680</v>
      </c>
      <c r="D2295" s="746">
        <v>217882</v>
      </c>
      <c r="E2295" s="697">
        <v>1</v>
      </c>
      <c r="F2295" s="518"/>
      <c r="G2295" s="487"/>
      <c r="H2295" s="573">
        <v>931747</v>
      </c>
      <c r="I2295" s="487">
        <v>931747</v>
      </c>
      <c r="J2295" s="573"/>
      <c r="K2295" s="487"/>
      <c r="L2295" s="573"/>
      <c r="M2295" s="573"/>
      <c r="N2295" s="456">
        <f t="shared" si="289"/>
        <v>0</v>
      </c>
      <c r="O2295" s="487"/>
      <c r="P2295" s="487"/>
      <c r="Q2295" s="274">
        <f t="shared" si="284"/>
        <v>0</v>
      </c>
      <c r="R2295" s="574">
        <f t="shared" si="285"/>
        <v>931747</v>
      </c>
      <c r="S2295" s="275">
        <f t="shared" si="286"/>
        <v>931747</v>
      </c>
      <c r="T2295" s="575"/>
      <c r="U2295" s="487"/>
      <c r="V2295" s="576"/>
      <c r="W2295" s="573"/>
      <c r="X2295" s="574">
        <f t="shared" si="290"/>
        <v>0</v>
      </c>
      <c r="Y2295" s="487"/>
      <c r="Z2295" s="487"/>
      <c r="AA2295" s="276">
        <f t="shared" si="291"/>
        <v>0</v>
      </c>
      <c r="AB2295" s="573"/>
      <c r="AC2295" s="487"/>
      <c r="AD2295" s="573"/>
      <c r="AE2295" s="487"/>
      <c r="AF2295" s="577">
        <f t="shared" si="287"/>
        <v>931747</v>
      </c>
      <c r="AG2295" s="275">
        <f t="shared" si="288"/>
        <v>931747</v>
      </c>
    </row>
    <row r="2296" spans="1:33" ht="12" customHeight="1">
      <c r="A2296" s="744" t="s">
        <v>1274</v>
      </c>
      <c r="B2296" s="703" t="s">
        <v>1780</v>
      </c>
      <c r="C2296" s="298" t="s">
        <v>1682</v>
      </c>
      <c r="D2296" s="746">
        <v>217882</v>
      </c>
      <c r="E2296" s="697">
        <v>1</v>
      </c>
      <c r="F2296" s="573"/>
      <c r="G2296" s="487"/>
      <c r="H2296" s="573"/>
      <c r="I2296" s="487"/>
      <c r="J2296" s="573"/>
      <c r="K2296" s="487"/>
      <c r="L2296" s="573"/>
      <c r="M2296" s="573"/>
      <c r="N2296" s="456">
        <f t="shared" si="289"/>
        <v>0</v>
      </c>
      <c r="O2296" s="487"/>
      <c r="P2296" s="487"/>
      <c r="Q2296" s="274">
        <f t="shared" si="284"/>
        <v>0</v>
      </c>
      <c r="R2296" s="574">
        <f t="shared" si="285"/>
        <v>0</v>
      </c>
      <c r="S2296" s="275">
        <f t="shared" si="286"/>
        <v>0</v>
      </c>
      <c r="T2296" s="575"/>
      <c r="U2296" s="487"/>
      <c r="V2296" s="576"/>
      <c r="W2296" s="573"/>
      <c r="X2296" s="574">
        <f t="shared" si="290"/>
        <v>0</v>
      </c>
      <c r="Y2296" s="487"/>
      <c r="Z2296" s="487"/>
      <c r="AA2296" s="276">
        <f t="shared" si="291"/>
        <v>0</v>
      </c>
      <c r="AB2296" s="573"/>
      <c r="AC2296" s="487"/>
      <c r="AD2296" s="573"/>
      <c r="AE2296" s="487"/>
      <c r="AF2296" s="577">
        <f t="shared" si="287"/>
        <v>0</v>
      </c>
      <c r="AG2296" s="275">
        <f t="shared" si="288"/>
        <v>0</v>
      </c>
    </row>
    <row r="2297" spans="1:33" ht="12" customHeight="1">
      <c r="A2297" s="744" t="s">
        <v>1274</v>
      </c>
      <c r="B2297" s="703" t="s">
        <v>1780</v>
      </c>
      <c r="C2297" s="747" t="s">
        <v>1681</v>
      </c>
      <c r="D2297" s="746">
        <v>217882</v>
      </c>
      <c r="E2297" s="697">
        <v>1</v>
      </c>
      <c r="F2297" s="573"/>
      <c r="G2297" s="487"/>
      <c r="H2297" s="573">
        <v>52127033</v>
      </c>
      <c r="I2297" s="487">
        <v>40677120</v>
      </c>
      <c r="J2297" s="573"/>
      <c r="K2297" s="487"/>
      <c r="L2297" s="573"/>
      <c r="M2297" s="573"/>
      <c r="N2297" s="456">
        <f t="shared" si="289"/>
        <v>0</v>
      </c>
      <c r="O2297" s="487"/>
      <c r="P2297" s="487"/>
      <c r="Q2297" s="274">
        <f t="shared" si="284"/>
        <v>0</v>
      </c>
      <c r="R2297" s="574">
        <f t="shared" si="285"/>
        <v>52127033</v>
      </c>
      <c r="S2297" s="275">
        <f t="shared" si="286"/>
        <v>40677120</v>
      </c>
      <c r="T2297" s="575"/>
      <c r="U2297" s="487"/>
      <c r="V2297" s="576"/>
      <c r="W2297" s="573"/>
      <c r="X2297" s="574">
        <f t="shared" si="290"/>
        <v>0</v>
      </c>
      <c r="Y2297" s="487"/>
      <c r="Z2297" s="487"/>
      <c r="AA2297" s="276">
        <f t="shared" si="291"/>
        <v>0</v>
      </c>
      <c r="AB2297" s="573"/>
      <c r="AC2297" s="487"/>
      <c r="AD2297" s="573"/>
      <c r="AE2297" s="487"/>
      <c r="AF2297" s="577">
        <f t="shared" si="287"/>
        <v>52127033</v>
      </c>
      <c r="AG2297" s="275">
        <f t="shared" si="288"/>
        <v>40677120</v>
      </c>
    </row>
    <row r="2298" spans="1:33" ht="12" customHeight="1">
      <c r="A2298" s="744" t="s">
        <v>1274</v>
      </c>
      <c r="B2298" s="703" t="s">
        <v>1780</v>
      </c>
      <c r="C2298" s="747" t="s">
        <v>1990</v>
      </c>
      <c r="D2298" s="746">
        <v>217882</v>
      </c>
      <c r="E2298" s="697">
        <v>1</v>
      </c>
      <c r="F2298" s="573"/>
      <c r="G2298" s="487"/>
      <c r="H2298" s="573">
        <v>3600000</v>
      </c>
      <c r="I2298" s="487"/>
      <c r="J2298" s="573"/>
      <c r="K2298" s="487"/>
      <c r="L2298" s="573"/>
      <c r="M2298" s="573"/>
      <c r="N2298" s="456">
        <f t="shared" si="289"/>
        <v>0</v>
      </c>
      <c r="O2298" s="487"/>
      <c r="P2298" s="487"/>
      <c r="Q2298" s="274">
        <f t="shared" si="284"/>
        <v>0</v>
      </c>
      <c r="R2298" s="574">
        <f t="shared" si="285"/>
        <v>3600000</v>
      </c>
      <c r="S2298" s="275">
        <f t="shared" si="286"/>
        <v>0</v>
      </c>
      <c r="T2298" s="575"/>
      <c r="U2298" s="487"/>
      <c r="V2298" s="576"/>
      <c r="W2298" s="573"/>
      <c r="X2298" s="574">
        <f t="shared" si="290"/>
        <v>0</v>
      </c>
      <c r="Y2298" s="487"/>
      <c r="Z2298" s="487"/>
      <c r="AA2298" s="276">
        <f t="shared" si="291"/>
        <v>0</v>
      </c>
      <c r="AB2298" s="573"/>
      <c r="AC2298" s="487"/>
      <c r="AD2298" s="573"/>
      <c r="AE2298" s="487"/>
      <c r="AF2298" s="577">
        <f t="shared" si="287"/>
        <v>3600000</v>
      </c>
      <c r="AG2298" s="275">
        <f t="shared" si="288"/>
        <v>0</v>
      </c>
    </row>
    <row r="2299" spans="1:33" ht="12" customHeight="1">
      <c r="A2299" s="744" t="s">
        <v>1274</v>
      </c>
      <c r="B2299" s="703" t="s">
        <v>1780</v>
      </c>
      <c r="C2299" s="747" t="s">
        <v>1991</v>
      </c>
      <c r="D2299" s="746">
        <v>217882</v>
      </c>
      <c r="E2299" s="697">
        <v>1</v>
      </c>
      <c r="F2299" s="573"/>
      <c r="G2299" s="487"/>
      <c r="H2299" s="573">
        <v>100000</v>
      </c>
      <c r="I2299" s="487"/>
      <c r="J2299" s="573"/>
      <c r="K2299" s="487"/>
      <c r="L2299" s="573"/>
      <c r="M2299" s="573"/>
      <c r="N2299" s="456">
        <f t="shared" si="289"/>
        <v>0</v>
      </c>
      <c r="O2299" s="487"/>
      <c r="P2299" s="487"/>
      <c r="Q2299" s="274">
        <f t="shared" si="284"/>
        <v>0</v>
      </c>
      <c r="R2299" s="574">
        <f t="shared" si="285"/>
        <v>100000</v>
      </c>
      <c r="S2299" s="275">
        <f t="shared" si="286"/>
        <v>0</v>
      </c>
      <c r="T2299" s="575"/>
      <c r="U2299" s="487"/>
      <c r="V2299" s="576"/>
      <c r="W2299" s="573"/>
      <c r="X2299" s="574">
        <f t="shared" si="290"/>
        <v>0</v>
      </c>
      <c r="Y2299" s="487"/>
      <c r="Z2299" s="487"/>
      <c r="AA2299" s="276">
        <f t="shared" si="291"/>
        <v>0</v>
      </c>
      <c r="AB2299" s="573"/>
      <c r="AC2299" s="487"/>
      <c r="AD2299" s="573"/>
      <c r="AE2299" s="487"/>
      <c r="AF2299" s="577">
        <f t="shared" si="287"/>
        <v>100000</v>
      </c>
      <c r="AG2299" s="275">
        <f t="shared" si="288"/>
        <v>0</v>
      </c>
    </row>
    <row r="2300" spans="1:33" ht="12" customHeight="1">
      <c r="A2300" s="744" t="s">
        <v>1274</v>
      </c>
      <c r="B2300" s="703" t="s">
        <v>1780</v>
      </c>
      <c r="C2300" s="747" t="s">
        <v>1992</v>
      </c>
      <c r="D2300" s="746">
        <v>217882</v>
      </c>
      <c r="E2300" s="697">
        <v>1</v>
      </c>
      <c r="F2300" s="573"/>
      <c r="G2300" s="487"/>
      <c r="H2300" s="573"/>
      <c r="I2300" s="487">
        <v>275000</v>
      </c>
      <c r="J2300" s="573"/>
      <c r="K2300" s="487"/>
      <c r="L2300" s="573"/>
      <c r="M2300" s="573"/>
      <c r="N2300" s="456">
        <f t="shared" si="289"/>
        <v>0</v>
      </c>
      <c r="O2300" s="487"/>
      <c r="P2300" s="487"/>
      <c r="Q2300" s="274">
        <f t="shared" si="284"/>
        <v>0</v>
      </c>
      <c r="R2300" s="574">
        <f t="shared" si="285"/>
        <v>0</v>
      </c>
      <c r="S2300" s="275">
        <f t="shared" si="286"/>
        <v>275000</v>
      </c>
      <c r="T2300" s="575"/>
      <c r="U2300" s="487"/>
      <c r="V2300" s="576"/>
      <c r="W2300" s="573"/>
      <c r="X2300" s="574">
        <f t="shared" si="290"/>
        <v>0</v>
      </c>
      <c r="Y2300" s="487"/>
      <c r="Z2300" s="487"/>
      <c r="AA2300" s="276">
        <f t="shared" si="291"/>
        <v>0</v>
      </c>
      <c r="AB2300" s="573"/>
      <c r="AC2300" s="487"/>
      <c r="AD2300" s="573"/>
      <c r="AE2300" s="487"/>
      <c r="AF2300" s="577">
        <f t="shared" si="287"/>
        <v>0</v>
      </c>
      <c r="AG2300" s="275">
        <f t="shared" si="288"/>
        <v>275000</v>
      </c>
    </row>
    <row r="2301" spans="1:33" ht="12" customHeight="1">
      <c r="A2301" s="744" t="s">
        <v>1274</v>
      </c>
      <c r="B2301" s="703" t="s">
        <v>1783</v>
      </c>
      <c r="C2301" s="298" t="s">
        <v>1683</v>
      </c>
      <c r="D2301" s="746">
        <v>217882</v>
      </c>
      <c r="E2301" s="697">
        <v>1</v>
      </c>
      <c r="F2301" s="573"/>
      <c r="G2301" s="487"/>
      <c r="H2301" s="573"/>
      <c r="I2301" s="487"/>
      <c r="J2301" s="573"/>
      <c r="K2301" s="487"/>
      <c r="L2301" s="573"/>
      <c r="M2301" s="573"/>
      <c r="N2301" s="456">
        <f t="shared" si="289"/>
        <v>0</v>
      </c>
      <c r="O2301" s="487"/>
      <c r="P2301" s="487"/>
      <c r="Q2301" s="274">
        <f t="shared" si="284"/>
        <v>0</v>
      </c>
      <c r="R2301" s="574">
        <f t="shared" si="285"/>
        <v>0</v>
      </c>
      <c r="S2301" s="275">
        <f t="shared" si="286"/>
        <v>0</v>
      </c>
      <c r="T2301" s="575"/>
      <c r="U2301" s="487"/>
      <c r="V2301" s="576"/>
      <c r="W2301" s="573"/>
      <c r="X2301" s="574">
        <f t="shared" si="290"/>
        <v>0</v>
      </c>
      <c r="Y2301" s="487"/>
      <c r="Z2301" s="487"/>
      <c r="AA2301" s="276">
        <f t="shared" si="291"/>
        <v>0</v>
      </c>
      <c r="AB2301" s="573"/>
      <c r="AC2301" s="487"/>
      <c r="AD2301" s="573"/>
      <c r="AE2301" s="487"/>
      <c r="AF2301" s="577">
        <f t="shared" si="287"/>
        <v>0</v>
      </c>
      <c r="AG2301" s="275">
        <f t="shared" si="288"/>
        <v>0</v>
      </c>
    </row>
    <row r="2302" spans="1:33" ht="12" customHeight="1">
      <c r="A2302" s="744" t="s">
        <v>1274</v>
      </c>
      <c r="B2302" s="703" t="s">
        <v>1783</v>
      </c>
      <c r="C2302" s="747" t="s">
        <v>1684</v>
      </c>
      <c r="D2302" s="746">
        <v>217882</v>
      </c>
      <c r="E2302" s="697">
        <v>1</v>
      </c>
      <c r="F2302" s="518"/>
      <c r="G2302" s="487"/>
      <c r="H2302" s="573">
        <v>500000</v>
      </c>
      <c r="I2302" s="487">
        <v>0</v>
      </c>
      <c r="J2302" s="573"/>
      <c r="K2302" s="487"/>
      <c r="L2302" s="573"/>
      <c r="M2302" s="573"/>
      <c r="N2302" s="456">
        <f t="shared" si="289"/>
        <v>0</v>
      </c>
      <c r="O2302" s="487"/>
      <c r="P2302" s="487"/>
      <c r="Q2302" s="274">
        <f t="shared" si="284"/>
        <v>0</v>
      </c>
      <c r="R2302" s="574">
        <f t="shared" si="285"/>
        <v>500000</v>
      </c>
      <c r="S2302" s="275">
        <f t="shared" si="286"/>
        <v>0</v>
      </c>
      <c r="T2302" s="575"/>
      <c r="U2302" s="487"/>
      <c r="V2302" s="576"/>
      <c r="W2302" s="573"/>
      <c r="X2302" s="574">
        <f t="shared" si="290"/>
        <v>0</v>
      </c>
      <c r="Y2302" s="487"/>
      <c r="Z2302" s="487"/>
      <c r="AA2302" s="276">
        <f t="shared" si="291"/>
        <v>0</v>
      </c>
      <c r="AB2302" s="573"/>
      <c r="AC2302" s="487"/>
      <c r="AD2302" s="573"/>
      <c r="AE2302" s="487"/>
      <c r="AF2302" s="577">
        <f t="shared" si="287"/>
        <v>500000</v>
      </c>
      <c r="AG2302" s="275">
        <f t="shared" si="288"/>
        <v>0</v>
      </c>
    </row>
    <row r="2303" spans="1:33" ht="12" customHeight="1">
      <c r="A2303" s="744" t="s">
        <v>1274</v>
      </c>
      <c r="B2303" s="703" t="s">
        <v>1783</v>
      </c>
      <c r="C2303" s="747" t="s">
        <v>1685</v>
      </c>
      <c r="D2303" s="746">
        <v>217882</v>
      </c>
      <c r="E2303" s="697">
        <v>1</v>
      </c>
      <c r="F2303" s="518"/>
      <c r="G2303" s="487"/>
      <c r="H2303" s="573">
        <v>791272</v>
      </c>
      <c r="I2303" s="487">
        <v>791272</v>
      </c>
      <c r="J2303" s="573"/>
      <c r="K2303" s="487"/>
      <c r="L2303" s="573"/>
      <c r="M2303" s="573"/>
      <c r="N2303" s="456">
        <f t="shared" si="289"/>
        <v>0</v>
      </c>
      <c r="O2303" s="487"/>
      <c r="P2303" s="487"/>
      <c r="Q2303" s="274">
        <f t="shared" si="284"/>
        <v>0</v>
      </c>
      <c r="R2303" s="574">
        <f t="shared" si="285"/>
        <v>791272</v>
      </c>
      <c r="S2303" s="275">
        <f t="shared" si="286"/>
        <v>791272</v>
      </c>
      <c r="T2303" s="575"/>
      <c r="U2303" s="487"/>
      <c r="V2303" s="576"/>
      <c r="W2303" s="573"/>
      <c r="X2303" s="574">
        <f t="shared" si="290"/>
        <v>0</v>
      </c>
      <c r="Y2303" s="487"/>
      <c r="Z2303" s="487"/>
      <c r="AA2303" s="276">
        <f t="shared" si="291"/>
        <v>0</v>
      </c>
      <c r="AB2303" s="573"/>
      <c r="AC2303" s="487"/>
      <c r="AD2303" s="573"/>
      <c r="AE2303" s="487"/>
      <c r="AF2303" s="577">
        <f t="shared" si="287"/>
        <v>791272</v>
      </c>
      <c r="AG2303" s="275">
        <f t="shared" si="288"/>
        <v>791272</v>
      </c>
    </row>
    <row r="2304" spans="1:33" ht="12" customHeight="1">
      <c r="A2304" s="744" t="s">
        <v>1274</v>
      </c>
      <c r="B2304" s="703" t="s">
        <v>1783</v>
      </c>
      <c r="C2304" s="747" t="s">
        <v>1686</v>
      </c>
      <c r="D2304" s="746">
        <v>217882</v>
      </c>
      <c r="E2304" s="697">
        <v>1</v>
      </c>
      <c r="F2304" s="518"/>
      <c r="G2304" s="487"/>
      <c r="H2304" s="573">
        <v>814749</v>
      </c>
      <c r="I2304" s="487">
        <v>0</v>
      </c>
      <c r="J2304" s="573"/>
      <c r="K2304" s="487"/>
      <c r="L2304" s="573"/>
      <c r="M2304" s="573"/>
      <c r="N2304" s="456">
        <f t="shared" si="289"/>
        <v>0</v>
      </c>
      <c r="O2304" s="487"/>
      <c r="P2304" s="487"/>
      <c r="Q2304" s="274">
        <f t="shared" si="284"/>
        <v>0</v>
      </c>
      <c r="R2304" s="574">
        <f t="shared" si="285"/>
        <v>814749</v>
      </c>
      <c r="S2304" s="275">
        <f t="shared" si="286"/>
        <v>0</v>
      </c>
      <c r="T2304" s="575"/>
      <c r="U2304" s="487"/>
      <c r="V2304" s="576"/>
      <c r="W2304" s="573"/>
      <c r="X2304" s="574">
        <f t="shared" si="290"/>
        <v>0</v>
      </c>
      <c r="Y2304" s="487"/>
      <c r="Z2304" s="487"/>
      <c r="AA2304" s="276">
        <f t="shared" si="291"/>
        <v>0</v>
      </c>
      <c r="AB2304" s="573"/>
      <c r="AC2304" s="487"/>
      <c r="AD2304" s="573"/>
      <c r="AE2304" s="487"/>
      <c r="AF2304" s="577">
        <f t="shared" si="287"/>
        <v>814749</v>
      </c>
      <c r="AG2304" s="275">
        <f t="shared" si="288"/>
        <v>0</v>
      </c>
    </row>
    <row r="2305" spans="1:33" ht="12" customHeight="1">
      <c r="A2305" s="744" t="s">
        <v>1274</v>
      </c>
      <c r="B2305" s="703" t="s">
        <v>1783</v>
      </c>
      <c r="C2305" s="747" t="s">
        <v>1687</v>
      </c>
      <c r="D2305" s="746">
        <v>217882</v>
      </c>
      <c r="E2305" s="697">
        <v>1</v>
      </c>
      <c r="F2305" s="518"/>
      <c r="G2305" s="487"/>
      <c r="H2305" s="573">
        <v>2000000</v>
      </c>
      <c r="I2305" s="487">
        <v>1000000</v>
      </c>
      <c r="J2305" s="573"/>
      <c r="K2305" s="487"/>
      <c r="L2305" s="573"/>
      <c r="M2305" s="573"/>
      <c r="N2305" s="456">
        <f t="shared" si="289"/>
        <v>0</v>
      </c>
      <c r="O2305" s="487"/>
      <c r="P2305" s="487"/>
      <c r="Q2305" s="274">
        <f t="shared" si="284"/>
        <v>0</v>
      </c>
      <c r="R2305" s="574">
        <f t="shared" si="285"/>
        <v>2000000</v>
      </c>
      <c r="S2305" s="275">
        <f t="shared" si="286"/>
        <v>1000000</v>
      </c>
      <c r="T2305" s="575"/>
      <c r="U2305" s="487"/>
      <c r="V2305" s="576"/>
      <c r="W2305" s="573"/>
      <c r="X2305" s="574">
        <f t="shared" si="290"/>
        <v>0</v>
      </c>
      <c r="Y2305" s="487"/>
      <c r="Z2305" s="487"/>
      <c r="AA2305" s="276">
        <f t="shared" si="291"/>
        <v>0</v>
      </c>
      <c r="AB2305" s="573"/>
      <c r="AC2305" s="487"/>
      <c r="AD2305" s="573"/>
      <c r="AE2305" s="487"/>
      <c r="AF2305" s="577">
        <f t="shared" si="287"/>
        <v>2000000</v>
      </c>
      <c r="AG2305" s="275">
        <f t="shared" si="288"/>
        <v>1000000</v>
      </c>
    </row>
    <row r="2306" spans="1:33" ht="12" customHeight="1">
      <c r="A2306" s="744" t="s">
        <v>1274</v>
      </c>
      <c r="B2306" s="703" t="s">
        <v>1784</v>
      </c>
      <c r="C2306" s="299" t="s">
        <v>2037</v>
      </c>
      <c r="D2306" s="746">
        <v>217882</v>
      </c>
      <c r="E2306" s="697">
        <v>1</v>
      </c>
      <c r="F2306" s="518"/>
      <c r="G2306" s="487"/>
      <c r="H2306" s="573"/>
      <c r="I2306" s="487"/>
      <c r="J2306" s="573"/>
      <c r="K2306" s="487"/>
      <c r="L2306" s="573"/>
      <c r="M2306" s="573"/>
      <c r="N2306" s="456">
        <f t="shared" si="289"/>
        <v>0</v>
      </c>
      <c r="O2306" s="487"/>
      <c r="P2306" s="487"/>
      <c r="Q2306" s="274">
        <f t="shared" si="284"/>
        <v>0</v>
      </c>
      <c r="R2306" s="574">
        <f t="shared" si="285"/>
        <v>0</v>
      </c>
      <c r="S2306" s="275">
        <f t="shared" si="286"/>
        <v>0</v>
      </c>
      <c r="T2306" s="575"/>
      <c r="U2306" s="487"/>
      <c r="V2306" s="576"/>
      <c r="W2306" s="573"/>
      <c r="X2306" s="574">
        <f t="shared" si="290"/>
        <v>0</v>
      </c>
      <c r="Y2306" s="487"/>
      <c r="Z2306" s="487"/>
      <c r="AA2306" s="276">
        <f t="shared" si="291"/>
        <v>0</v>
      </c>
      <c r="AB2306" s="573"/>
      <c r="AC2306" s="487"/>
      <c r="AD2306" s="573"/>
      <c r="AE2306" s="487"/>
      <c r="AF2306" s="577">
        <f t="shared" si="287"/>
        <v>0</v>
      </c>
      <c r="AG2306" s="275">
        <f t="shared" si="288"/>
        <v>0</v>
      </c>
    </row>
    <row r="2307" spans="1:33" ht="12" customHeight="1">
      <c r="A2307" s="744" t="s">
        <v>1274</v>
      </c>
      <c r="B2307" s="703" t="s">
        <v>1784</v>
      </c>
      <c r="C2307" s="747" t="s">
        <v>1676</v>
      </c>
      <c r="D2307" s="746">
        <v>217882</v>
      </c>
      <c r="E2307" s="697">
        <v>1</v>
      </c>
      <c r="F2307" s="573"/>
      <c r="G2307" s="487"/>
      <c r="H2307" s="573">
        <v>63470</v>
      </c>
      <c r="I2307" s="487">
        <v>77604</v>
      </c>
      <c r="J2307" s="573"/>
      <c r="K2307" s="487"/>
      <c r="L2307" s="573"/>
      <c r="M2307" s="573"/>
      <c r="N2307" s="456">
        <f t="shared" si="289"/>
        <v>0</v>
      </c>
      <c r="O2307" s="487"/>
      <c r="P2307" s="487"/>
      <c r="Q2307" s="274">
        <f t="shared" si="284"/>
        <v>0</v>
      </c>
      <c r="R2307" s="574">
        <f t="shared" si="285"/>
        <v>63470</v>
      </c>
      <c r="S2307" s="275">
        <f t="shared" si="286"/>
        <v>77604</v>
      </c>
      <c r="T2307" s="575"/>
      <c r="U2307" s="487"/>
      <c r="V2307" s="576"/>
      <c r="W2307" s="573"/>
      <c r="X2307" s="574">
        <f t="shared" si="290"/>
        <v>0</v>
      </c>
      <c r="Y2307" s="487"/>
      <c r="Z2307" s="487"/>
      <c r="AA2307" s="276">
        <f t="shared" si="291"/>
        <v>0</v>
      </c>
      <c r="AB2307" s="573"/>
      <c r="AC2307" s="487"/>
      <c r="AD2307" s="573"/>
      <c r="AE2307" s="487"/>
      <c r="AF2307" s="577">
        <f t="shared" si="287"/>
        <v>63470</v>
      </c>
      <c r="AG2307" s="275">
        <f t="shared" si="288"/>
        <v>77604</v>
      </c>
    </row>
    <row r="2308" spans="1:33" ht="12" customHeight="1">
      <c r="A2308" s="744" t="s">
        <v>1274</v>
      </c>
      <c r="B2308" s="703" t="s">
        <v>1784</v>
      </c>
      <c r="C2308" s="747" t="s">
        <v>1238</v>
      </c>
      <c r="D2308" s="746">
        <v>217882</v>
      </c>
      <c r="E2308" s="697">
        <v>1</v>
      </c>
      <c r="F2308" s="518"/>
      <c r="G2308" s="487"/>
      <c r="H2308" s="1096">
        <v>69202</v>
      </c>
      <c r="I2308" s="487">
        <v>54689</v>
      </c>
      <c r="J2308" s="573"/>
      <c r="K2308" s="487"/>
      <c r="L2308" s="573"/>
      <c r="M2308" s="573"/>
      <c r="N2308" s="456">
        <f t="shared" si="289"/>
        <v>0</v>
      </c>
      <c r="O2308" s="487"/>
      <c r="P2308" s="487"/>
      <c r="Q2308" s="274">
        <f t="shared" si="284"/>
        <v>0</v>
      </c>
      <c r="R2308" s="574">
        <f t="shared" si="285"/>
        <v>69202</v>
      </c>
      <c r="S2308" s="275">
        <f t="shared" si="286"/>
        <v>54689</v>
      </c>
      <c r="T2308" s="575"/>
      <c r="U2308" s="487"/>
      <c r="V2308" s="576"/>
      <c r="W2308" s="573"/>
      <c r="X2308" s="574">
        <f t="shared" si="290"/>
        <v>0</v>
      </c>
      <c r="Y2308" s="487"/>
      <c r="Z2308" s="487"/>
      <c r="AA2308" s="276">
        <f t="shared" si="291"/>
        <v>0</v>
      </c>
      <c r="AB2308" s="573"/>
      <c r="AC2308" s="487"/>
      <c r="AD2308" s="573"/>
      <c r="AE2308" s="487"/>
      <c r="AF2308" s="577">
        <f t="shared" si="287"/>
        <v>69202</v>
      </c>
      <c r="AG2308" s="275">
        <f t="shared" si="288"/>
        <v>54689</v>
      </c>
    </row>
    <row r="2309" spans="1:33" ht="12" customHeight="1">
      <c r="A2309" s="744" t="s">
        <v>1274</v>
      </c>
      <c r="B2309" s="703" t="s">
        <v>1784</v>
      </c>
      <c r="C2309" s="747" t="s">
        <v>1239</v>
      </c>
      <c r="D2309" s="746">
        <v>217882</v>
      </c>
      <c r="E2309" s="697">
        <v>1</v>
      </c>
      <c r="F2309" s="518"/>
      <c r="G2309" s="487"/>
      <c r="H2309" s="1096">
        <v>30000</v>
      </c>
      <c r="I2309" s="487">
        <v>0</v>
      </c>
      <c r="J2309" s="573"/>
      <c r="K2309" s="487"/>
      <c r="L2309" s="573"/>
      <c r="M2309" s="573"/>
      <c r="N2309" s="456">
        <f t="shared" si="289"/>
        <v>0</v>
      </c>
      <c r="O2309" s="487"/>
      <c r="P2309" s="487"/>
      <c r="Q2309" s="274">
        <f t="shared" si="284"/>
        <v>0</v>
      </c>
      <c r="R2309" s="574">
        <f t="shared" si="285"/>
        <v>30000</v>
      </c>
      <c r="S2309" s="275">
        <f t="shared" si="286"/>
        <v>0</v>
      </c>
      <c r="T2309" s="575"/>
      <c r="U2309" s="487"/>
      <c r="V2309" s="576"/>
      <c r="W2309" s="573"/>
      <c r="X2309" s="574">
        <f t="shared" si="290"/>
        <v>0</v>
      </c>
      <c r="Y2309" s="487"/>
      <c r="Z2309" s="487"/>
      <c r="AA2309" s="276">
        <f t="shared" si="291"/>
        <v>0</v>
      </c>
      <c r="AB2309" s="573"/>
      <c r="AC2309" s="487"/>
      <c r="AD2309" s="573"/>
      <c r="AE2309" s="487"/>
      <c r="AF2309" s="577">
        <f t="shared" si="287"/>
        <v>30000</v>
      </c>
      <c r="AG2309" s="275">
        <f t="shared" si="288"/>
        <v>0</v>
      </c>
    </row>
    <row r="2310" spans="1:33" ht="12" customHeight="1">
      <c r="A2310" s="744" t="s">
        <v>1274</v>
      </c>
      <c r="B2310" s="703" t="s">
        <v>1784</v>
      </c>
      <c r="C2310" s="747" t="s">
        <v>45</v>
      </c>
      <c r="D2310" s="746">
        <v>217882</v>
      </c>
      <c r="E2310" s="697">
        <v>1</v>
      </c>
      <c r="F2310" s="518"/>
      <c r="G2310" s="487"/>
      <c r="H2310" s="1096">
        <v>93585</v>
      </c>
      <c r="I2310" s="487">
        <v>66647</v>
      </c>
      <c r="J2310" s="573"/>
      <c r="K2310" s="487"/>
      <c r="L2310" s="573"/>
      <c r="M2310" s="573"/>
      <c r="N2310" s="456">
        <f t="shared" si="289"/>
        <v>0</v>
      </c>
      <c r="O2310" s="487"/>
      <c r="P2310" s="487"/>
      <c r="Q2310" s="274">
        <f t="shared" si="284"/>
        <v>0</v>
      </c>
      <c r="R2310" s="574">
        <f t="shared" si="285"/>
        <v>93585</v>
      </c>
      <c r="S2310" s="275">
        <f t="shared" si="286"/>
        <v>66647</v>
      </c>
      <c r="T2310" s="575"/>
      <c r="U2310" s="487"/>
      <c r="V2310" s="576"/>
      <c r="W2310" s="573"/>
      <c r="X2310" s="574">
        <f t="shared" si="290"/>
        <v>0</v>
      </c>
      <c r="Y2310" s="487"/>
      <c r="Z2310" s="487"/>
      <c r="AA2310" s="276">
        <f t="shared" si="291"/>
        <v>0</v>
      </c>
      <c r="AB2310" s="573"/>
      <c r="AC2310" s="487"/>
      <c r="AD2310" s="573"/>
      <c r="AE2310" s="487"/>
      <c r="AF2310" s="577">
        <f t="shared" si="287"/>
        <v>93585</v>
      </c>
      <c r="AG2310" s="275">
        <f t="shared" si="288"/>
        <v>66647</v>
      </c>
    </row>
    <row r="2311" spans="1:33" ht="12" customHeight="1">
      <c r="A2311" s="744" t="s">
        <v>1274</v>
      </c>
      <c r="B2311" s="703" t="s">
        <v>1784</v>
      </c>
      <c r="C2311" s="747" t="s">
        <v>1677</v>
      </c>
      <c r="D2311" s="746">
        <v>217882</v>
      </c>
      <c r="E2311" s="697">
        <v>1</v>
      </c>
      <c r="F2311" s="573"/>
      <c r="G2311" s="487"/>
      <c r="H2311" s="573">
        <v>4800000</v>
      </c>
      <c r="I2311" s="487"/>
      <c r="J2311" s="573"/>
      <c r="K2311" s="487"/>
      <c r="L2311" s="573"/>
      <c r="M2311" s="573"/>
      <c r="N2311" s="456">
        <f t="shared" si="289"/>
        <v>0</v>
      </c>
      <c r="O2311" s="487"/>
      <c r="P2311" s="487"/>
      <c r="Q2311" s="274">
        <f t="shared" si="284"/>
        <v>0</v>
      </c>
      <c r="R2311" s="574">
        <f t="shared" si="285"/>
        <v>4800000</v>
      </c>
      <c r="S2311" s="275">
        <f t="shared" si="286"/>
        <v>0</v>
      </c>
      <c r="T2311" s="575"/>
      <c r="U2311" s="487"/>
      <c r="V2311" s="576"/>
      <c r="W2311" s="573"/>
      <c r="X2311" s="574">
        <f t="shared" si="290"/>
        <v>0</v>
      </c>
      <c r="Y2311" s="487"/>
      <c r="Z2311" s="487"/>
      <c r="AA2311" s="276">
        <f t="shared" si="291"/>
        <v>0</v>
      </c>
      <c r="AB2311" s="573"/>
      <c r="AC2311" s="487"/>
      <c r="AD2311" s="573"/>
      <c r="AE2311" s="487"/>
      <c r="AF2311" s="577">
        <f t="shared" si="287"/>
        <v>4800000</v>
      </c>
      <c r="AG2311" s="275">
        <f t="shared" si="288"/>
        <v>0</v>
      </c>
    </row>
    <row r="2312" spans="1:33" ht="12" customHeight="1">
      <c r="A2312" s="744" t="s">
        <v>1274</v>
      </c>
      <c r="B2312" s="703" t="s">
        <v>1784</v>
      </c>
      <c r="C2312" s="747" t="s">
        <v>1678</v>
      </c>
      <c r="D2312" s="746">
        <v>217882</v>
      </c>
      <c r="E2312" s="697">
        <v>1</v>
      </c>
      <c r="F2312" s="573"/>
      <c r="G2312" s="487"/>
      <c r="H2312" s="573">
        <v>900000</v>
      </c>
      <c r="I2312" s="949"/>
      <c r="J2312" s="573"/>
      <c r="K2312" s="487"/>
      <c r="L2312" s="573"/>
      <c r="M2312" s="573"/>
      <c r="N2312" s="456">
        <f t="shared" si="289"/>
        <v>0</v>
      </c>
      <c r="O2312" s="487"/>
      <c r="P2312" s="487"/>
      <c r="Q2312" s="274">
        <f t="shared" si="284"/>
        <v>0</v>
      </c>
      <c r="R2312" s="574">
        <f t="shared" si="285"/>
        <v>900000</v>
      </c>
      <c r="S2312" s="275">
        <f t="shared" si="286"/>
        <v>0</v>
      </c>
      <c r="T2312" s="575"/>
      <c r="U2312" s="487"/>
      <c r="V2312" s="576"/>
      <c r="W2312" s="573"/>
      <c r="X2312" s="574">
        <f t="shared" si="290"/>
        <v>0</v>
      </c>
      <c r="Y2312" s="487"/>
      <c r="Z2312" s="487"/>
      <c r="AA2312" s="276">
        <f t="shared" si="291"/>
        <v>0</v>
      </c>
      <c r="AB2312" s="573"/>
      <c r="AC2312" s="487"/>
      <c r="AD2312" s="573"/>
      <c r="AE2312" s="487"/>
      <c r="AF2312" s="577">
        <f t="shared" si="287"/>
        <v>900000</v>
      </c>
      <c r="AG2312" s="275">
        <f t="shared" si="288"/>
        <v>0</v>
      </c>
    </row>
    <row r="2313" spans="1:33" ht="12" customHeight="1">
      <c r="A2313" s="744" t="s">
        <v>1274</v>
      </c>
      <c r="B2313" s="703" t="s">
        <v>1784</v>
      </c>
      <c r="C2313" s="747" t="s">
        <v>1679</v>
      </c>
      <c r="D2313" s="746">
        <v>217882</v>
      </c>
      <c r="E2313" s="697">
        <v>1</v>
      </c>
      <c r="F2313" s="573"/>
      <c r="G2313" s="487"/>
      <c r="H2313" s="573">
        <v>1300000</v>
      </c>
      <c r="I2313" s="949"/>
      <c r="J2313" s="573"/>
      <c r="K2313" s="487"/>
      <c r="L2313" s="573"/>
      <c r="M2313" s="573"/>
      <c r="N2313" s="456">
        <f t="shared" si="289"/>
        <v>0</v>
      </c>
      <c r="O2313" s="487"/>
      <c r="P2313" s="487"/>
      <c r="Q2313" s="274">
        <f t="shared" si="284"/>
        <v>0</v>
      </c>
      <c r="R2313" s="574">
        <f t="shared" si="285"/>
        <v>1300000</v>
      </c>
      <c r="S2313" s="275">
        <f t="shared" si="286"/>
        <v>0</v>
      </c>
      <c r="T2313" s="575"/>
      <c r="U2313" s="487"/>
      <c r="V2313" s="576"/>
      <c r="W2313" s="573"/>
      <c r="X2313" s="574">
        <f t="shared" si="290"/>
        <v>0</v>
      </c>
      <c r="Y2313" s="487"/>
      <c r="Z2313" s="487"/>
      <c r="AA2313" s="276">
        <f t="shared" si="291"/>
        <v>0</v>
      </c>
      <c r="AB2313" s="573"/>
      <c r="AC2313" s="487"/>
      <c r="AD2313" s="573"/>
      <c r="AE2313" s="487"/>
      <c r="AF2313" s="577">
        <f t="shared" si="287"/>
        <v>1300000</v>
      </c>
      <c r="AG2313" s="275">
        <f t="shared" si="288"/>
        <v>0</v>
      </c>
    </row>
    <row r="2314" spans="1:33" ht="12" customHeight="1">
      <c r="A2314" s="744" t="s">
        <v>1274</v>
      </c>
      <c r="B2314" s="703" t="s">
        <v>1784</v>
      </c>
      <c r="C2314" s="748" t="s">
        <v>1989</v>
      </c>
      <c r="D2314" s="746">
        <v>217882</v>
      </c>
      <c r="E2314" s="697">
        <v>1</v>
      </c>
      <c r="F2314" s="573"/>
      <c r="G2314" s="487"/>
      <c r="H2314" s="958">
        <v>1500000</v>
      </c>
      <c r="I2314" s="949">
        <v>700000</v>
      </c>
      <c r="J2314" s="573"/>
      <c r="K2314" s="487"/>
      <c r="L2314" s="573"/>
      <c r="M2314" s="573"/>
      <c r="N2314" s="456">
        <f t="shared" si="289"/>
        <v>0</v>
      </c>
      <c r="O2314" s="487"/>
      <c r="P2314" s="487"/>
      <c r="Q2314" s="274">
        <f t="shared" ref="Q2314:Q2377" si="292">SUM(O2314:P2314)</f>
        <v>0</v>
      </c>
      <c r="R2314" s="574">
        <f t="shared" ref="R2314:R2377" si="293">SUM(F2314,H2314,J2314,L2314)</f>
        <v>1500000</v>
      </c>
      <c r="S2314" s="275">
        <f t="shared" ref="S2314:S2377" si="294">SUM(G2314,I2314,K2314,O2314)</f>
        <v>700000</v>
      </c>
      <c r="T2314" s="575"/>
      <c r="U2314" s="487"/>
      <c r="V2314" s="576"/>
      <c r="W2314" s="573"/>
      <c r="X2314" s="574">
        <f t="shared" si="290"/>
        <v>0</v>
      </c>
      <c r="Y2314" s="487"/>
      <c r="Z2314" s="487"/>
      <c r="AA2314" s="276">
        <f t="shared" si="291"/>
        <v>0</v>
      </c>
      <c r="AB2314" s="573"/>
      <c r="AC2314" s="487"/>
      <c r="AD2314" s="573"/>
      <c r="AE2314" s="487"/>
      <c r="AF2314" s="577">
        <f t="shared" ref="AF2314:AF2377" si="295">SUM(R2314,T2314,V2314,AB2314,AD2314)</f>
        <v>1500000</v>
      </c>
      <c r="AG2314" s="275">
        <f t="shared" ref="AG2314:AG2377" si="296">SUM(S2314,U2314,Y2314,AC2314,AE2314)</f>
        <v>700000</v>
      </c>
    </row>
    <row r="2315" spans="1:33" ht="12" customHeight="1">
      <c r="A2315" s="744" t="s">
        <v>1274</v>
      </c>
      <c r="B2315" s="703" t="s">
        <v>1784</v>
      </c>
      <c r="C2315" s="747" t="s">
        <v>1993</v>
      </c>
      <c r="D2315" s="746">
        <v>217882</v>
      </c>
      <c r="E2315" s="697">
        <v>1</v>
      </c>
      <c r="F2315" s="518"/>
      <c r="G2315" s="487"/>
      <c r="H2315" s="958">
        <v>105000</v>
      </c>
      <c r="I2315" s="487"/>
      <c r="J2315" s="573"/>
      <c r="K2315" s="487"/>
      <c r="L2315" s="573"/>
      <c r="M2315" s="573"/>
      <c r="N2315" s="456">
        <f t="shared" si="289"/>
        <v>0</v>
      </c>
      <c r="O2315" s="487"/>
      <c r="P2315" s="487"/>
      <c r="Q2315" s="274">
        <f t="shared" si="292"/>
        <v>0</v>
      </c>
      <c r="R2315" s="574">
        <f t="shared" si="293"/>
        <v>105000</v>
      </c>
      <c r="S2315" s="275">
        <f t="shared" si="294"/>
        <v>0</v>
      </c>
      <c r="T2315" s="575"/>
      <c r="U2315" s="487"/>
      <c r="V2315" s="576"/>
      <c r="W2315" s="573"/>
      <c r="X2315" s="574">
        <f t="shared" si="290"/>
        <v>0</v>
      </c>
      <c r="Y2315" s="487"/>
      <c r="Z2315" s="487"/>
      <c r="AA2315" s="276">
        <f t="shared" si="291"/>
        <v>0</v>
      </c>
      <c r="AB2315" s="573"/>
      <c r="AC2315" s="487"/>
      <c r="AD2315" s="573"/>
      <c r="AE2315" s="487"/>
      <c r="AF2315" s="577">
        <f t="shared" si="295"/>
        <v>105000</v>
      </c>
      <c r="AG2315" s="275">
        <f t="shared" si="296"/>
        <v>0</v>
      </c>
    </row>
    <row r="2316" spans="1:33" ht="12" customHeight="1">
      <c r="A2316" s="744" t="s">
        <v>1274</v>
      </c>
      <c r="B2316" s="703" t="s">
        <v>1776</v>
      </c>
      <c r="C2316" s="749" t="s">
        <v>1688</v>
      </c>
      <c r="D2316" s="746">
        <v>218663</v>
      </c>
      <c r="E2316" s="697">
        <v>1</v>
      </c>
      <c r="F2316" s="518">
        <v>149206828</v>
      </c>
      <c r="G2316" s="949">
        <f>131150607-32473980+1513373</f>
        <v>100190000</v>
      </c>
      <c r="H2316" s="573"/>
      <c r="I2316" s="487"/>
      <c r="J2316" s="573"/>
      <c r="K2316" s="487"/>
      <c r="L2316" s="518">
        <v>269370279</v>
      </c>
      <c r="M2316" s="518">
        <v>16150404</v>
      </c>
      <c r="N2316" s="456">
        <f t="shared" si="289"/>
        <v>285520683</v>
      </c>
      <c r="O2316" s="487">
        <v>301986917</v>
      </c>
      <c r="P2316" s="487">
        <v>16584475</v>
      </c>
      <c r="Q2316" s="274">
        <f t="shared" si="292"/>
        <v>318571392</v>
      </c>
      <c r="R2316" s="574">
        <f t="shared" si="293"/>
        <v>418577107</v>
      </c>
      <c r="S2316" s="275">
        <f t="shared" si="294"/>
        <v>402176917</v>
      </c>
      <c r="T2316" s="575"/>
      <c r="U2316" s="487"/>
      <c r="V2316" s="576"/>
      <c r="W2316" s="573"/>
      <c r="X2316" s="574">
        <f t="shared" si="290"/>
        <v>0</v>
      </c>
      <c r="Y2316" s="487"/>
      <c r="Z2316" s="487"/>
      <c r="AA2316" s="276">
        <f t="shared" si="291"/>
        <v>0</v>
      </c>
      <c r="AB2316" s="573"/>
      <c r="AC2316" s="487"/>
      <c r="AD2316" s="573"/>
      <c r="AE2316" s="487"/>
      <c r="AF2316" s="577">
        <f t="shared" si="295"/>
        <v>418577107</v>
      </c>
      <c r="AG2316" s="275">
        <f t="shared" si="296"/>
        <v>402176917</v>
      </c>
    </row>
    <row r="2317" spans="1:33" ht="12" customHeight="1">
      <c r="A2317" s="744" t="s">
        <v>1274</v>
      </c>
      <c r="B2317" s="703" t="s">
        <v>1776</v>
      </c>
      <c r="C2317" s="747" t="s">
        <v>1988</v>
      </c>
      <c r="D2317" s="746">
        <v>218663</v>
      </c>
      <c r="E2317" s="697">
        <v>1</v>
      </c>
      <c r="F2317" s="518"/>
      <c r="G2317" s="949">
        <v>22856221</v>
      </c>
      <c r="H2317" s="573"/>
      <c r="I2317" s="487"/>
      <c r="J2317" s="573"/>
      <c r="K2317" s="487"/>
      <c r="L2317" s="573"/>
      <c r="M2317" s="573"/>
      <c r="N2317" s="456">
        <f t="shared" si="289"/>
        <v>0</v>
      </c>
      <c r="O2317" s="487"/>
      <c r="P2317" s="487"/>
      <c r="Q2317" s="274">
        <f t="shared" si="292"/>
        <v>0</v>
      </c>
      <c r="R2317" s="574">
        <f t="shared" si="293"/>
        <v>0</v>
      </c>
      <c r="S2317" s="275">
        <f t="shared" si="294"/>
        <v>22856221</v>
      </c>
      <c r="T2317" s="575"/>
      <c r="U2317" s="487"/>
      <c r="V2317" s="576"/>
      <c r="W2317" s="573"/>
      <c r="X2317" s="574">
        <f t="shared" si="290"/>
        <v>0</v>
      </c>
      <c r="Y2317" s="487"/>
      <c r="Z2317" s="487"/>
      <c r="AA2317" s="276">
        <f t="shared" si="291"/>
        <v>0</v>
      </c>
      <c r="AB2317" s="573"/>
      <c r="AC2317" s="487"/>
      <c r="AD2317" s="573"/>
      <c r="AE2317" s="487"/>
      <c r="AF2317" s="577">
        <f t="shared" si="295"/>
        <v>0</v>
      </c>
      <c r="AG2317" s="275">
        <f t="shared" si="296"/>
        <v>22856221</v>
      </c>
    </row>
    <row r="2318" spans="1:33" ht="12" customHeight="1">
      <c r="A2318" s="744" t="s">
        <v>1274</v>
      </c>
      <c r="B2318" s="703" t="s">
        <v>1778</v>
      </c>
      <c r="C2318" s="298" t="s">
        <v>1891</v>
      </c>
      <c r="D2318" s="746">
        <v>218663</v>
      </c>
      <c r="E2318" s="697">
        <v>1</v>
      </c>
      <c r="F2318" s="573"/>
      <c r="G2318" s="487"/>
      <c r="H2318" s="573"/>
      <c r="I2318" s="487"/>
      <c r="J2318" s="573"/>
      <c r="K2318" s="487"/>
      <c r="L2318" s="573"/>
      <c r="M2318" s="573"/>
      <c r="N2318" s="456">
        <f t="shared" si="289"/>
        <v>0</v>
      </c>
      <c r="O2318" s="487"/>
      <c r="P2318" s="487"/>
      <c r="Q2318" s="274">
        <f t="shared" si="292"/>
        <v>0</v>
      </c>
      <c r="R2318" s="574">
        <f t="shared" si="293"/>
        <v>0</v>
      </c>
      <c r="S2318" s="275">
        <f t="shared" si="294"/>
        <v>0</v>
      </c>
      <c r="T2318" s="575"/>
      <c r="U2318" s="487"/>
      <c r="V2318" s="576"/>
      <c r="W2318" s="573"/>
      <c r="X2318" s="574">
        <f t="shared" si="290"/>
        <v>0</v>
      </c>
      <c r="Y2318" s="487"/>
      <c r="Z2318" s="487"/>
      <c r="AA2318" s="276">
        <f t="shared" si="291"/>
        <v>0</v>
      </c>
      <c r="AB2318" s="573"/>
      <c r="AC2318" s="487"/>
      <c r="AD2318" s="573"/>
      <c r="AE2318" s="487"/>
      <c r="AF2318" s="577">
        <f t="shared" si="295"/>
        <v>0</v>
      </c>
      <c r="AG2318" s="275">
        <f t="shared" si="296"/>
        <v>0</v>
      </c>
    </row>
    <row r="2319" spans="1:33" ht="12" customHeight="1">
      <c r="A2319" s="744" t="s">
        <v>1274</v>
      </c>
      <c r="B2319" s="703" t="s">
        <v>1778</v>
      </c>
      <c r="C2319" s="747" t="s">
        <v>1694</v>
      </c>
      <c r="D2319" s="746">
        <v>218663</v>
      </c>
      <c r="E2319" s="697">
        <v>1</v>
      </c>
      <c r="F2319" s="518"/>
      <c r="G2319" s="487"/>
      <c r="H2319" s="573">
        <v>716454</v>
      </c>
      <c r="I2319" s="487">
        <v>0</v>
      </c>
      <c r="J2319" s="573"/>
      <c r="K2319" s="487"/>
      <c r="L2319" s="573"/>
      <c r="M2319" s="573"/>
      <c r="N2319" s="456">
        <f t="shared" si="289"/>
        <v>0</v>
      </c>
      <c r="O2319" s="487"/>
      <c r="P2319" s="487"/>
      <c r="Q2319" s="274">
        <f t="shared" si="292"/>
        <v>0</v>
      </c>
      <c r="R2319" s="574">
        <f t="shared" si="293"/>
        <v>716454</v>
      </c>
      <c r="S2319" s="275">
        <f t="shared" si="294"/>
        <v>0</v>
      </c>
      <c r="T2319" s="575"/>
      <c r="U2319" s="487"/>
      <c r="V2319" s="576"/>
      <c r="W2319" s="573"/>
      <c r="X2319" s="574">
        <f t="shared" si="290"/>
        <v>0</v>
      </c>
      <c r="Y2319" s="487"/>
      <c r="Z2319" s="487"/>
      <c r="AA2319" s="276">
        <f t="shared" si="291"/>
        <v>0</v>
      </c>
      <c r="AB2319" s="573"/>
      <c r="AC2319" s="487"/>
      <c r="AD2319" s="573"/>
      <c r="AE2319" s="487">
        <f>SUM(AE2318:AE2318)</f>
        <v>0</v>
      </c>
      <c r="AF2319" s="577">
        <f t="shared" si="295"/>
        <v>716454</v>
      </c>
      <c r="AG2319" s="275">
        <f t="shared" si="296"/>
        <v>0</v>
      </c>
    </row>
    <row r="2320" spans="1:33" ht="12" customHeight="1">
      <c r="A2320" s="744" t="s">
        <v>1274</v>
      </c>
      <c r="B2320" s="703" t="s">
        <v>1778</v>
      </c>
      <c r="C2320" s="747" t="s">
        <v>1695</v>
      </c>
      <c r="D2320" s="746">
        <v>218663</v>
      </c>
      <c r="E2320" s="697">
        <v>1</v>
      </c>
      <c r="F2320" s="518"/>
      <c r="G2320" s="487"/>
      <c r="H2320" s="573">
        <v>936534</v>
      </c>
      <c r="I2320" s="949">
        <f>936534-210157</f>
        <v>726377</v>
      </c>
      <c r="J2320" s="573"/>
      <c r="K2320" s="487"/>
      <c r="L2320" s="573"/>
      <c r="M2320" s="573"/>
      <c r="N2320" s="456">
        <f t="shared" si="289"/>
        <v>0</v>
      </c>
      <c r="O2320" s="487"/>
      <c r="P2320" s="487"/>
      <c r="Q2320" s="274">
        <f t="shared" si="292"/>
        <v>0</v>
      </c>
      <c r="R2320" s="574">
        <f t="shared" si="293"/>
        <v>936534</v>
      </c>
      <c r="S2320" s="275">
        <f t="shared" si="294"/>
        <v>726377</v>
      </c>
      <c r="T2320" s="575"/>
      <c r="U2320" s="487"/>
      <c r="V2320" s="576"/>
      <c r="W2320" s="573"/>
      <c r="X2320" s="574">
        <f t="shared" si="290"/>
        <v>0</v>
      </c>
      <c r="Y2320" s="487"/>
      <c r="Z2320" s="487"/>
      <c r="AA2320" s="276">
        <f t="shared" si="291"/>
        <v>0</v>
      </c>
      <c r="AB2320" s="573"/>
      <c r="AC2320" s="487"/>
      <c r="AD2320" s="573"/>
      <c r="AE2320" s="487"/>
      <c r="AF2320" s="577">
        <f t="shared" si="295"/>
        <v>936534</v>
      </c>
      <c r="AG2320" s="275">
        <f t="shared" si="296"/>
        <v>726377</v>
      </c>
    </row>
    <row r="2321" spans="1:33" ht="12" customHeight="1">
      <c r="A2321" s="744" t="s">
        <v>1274</v>
      </c>
      <c r="B2321" s="703" t="s">
        <v>1778</v>
      </c>
      <c r="C2321" s="747" t="s">
        <v>1696</v>
      </c>
      <c r="D2321" s="746">
        <v>218663</v>
      </c>
      <c r="E2321" s="697">
        <v>1</v>
      </c>
      <c r="F2321" s="518"/>
      <c r="G2321" s="487"/>
      <c r="H2321" s="573">
        <v>500000</v>
      </c>
      <c r="I2321" s="487">
        <v>300000</v>
      </c>
      <c r="J2321" s="573"/>
      <c r="K2321" s="487"/>
      <c r="L2321" s="573"/>
      <c r="M2321" s="573"/>
      <c r="N2321" s="456">
        <f t="shared" si="289"/>
        <v>0</v>
      </c>
      <c r="O2321" s="487"/>
      <c r="P2321" s="487"/>
      <c r="Q2321" s="274">
        <f t="shared" si="292"/>
        <v>0</v>
      </c>
      <c r="R2321" s="574">
        <f t="shared" si="293"/>
        <v>500000</v>
      </c>
      <c r="S2321" s="275">
        <f t="shared" si="294"/>
        <v>300000</v>
      </c>
      <c r="T2321" s="575"/>
      <c r="U2321" s="487"/>
      <c r="V2321" s="576"/>
      <c r="W2321" s="573"/>
      <c r="X2321" s="574">
        <f t="shared" si="290"/>
        <v>0</v>
      </c>
      <c r="Y2321" s="487"/>
      <c r="Z2321" s="487"/>
      <c r="AA2321" s="276">
        <f t="shared" si="291"/>
        <v>0</v>
      </c>
      <c r="AB2321" s="573"/>
      <c r="AC2321" s="487"/>
      <c r="AD2321" s="573"/>
      <c r="AE2321" s="487"/>
      <c r="AF2321" s="577">
        <f t="shared" si="295"/>
        <v>500000</v>
      </c>
      <c r="AG2321" s="275">
        <f t="shared" si="296"/>
        <v>300000</v>
      </c>
    </row>
    <row r="2322" spans="1:33" ht="12" customHeight="1">
      <c r="A2322" s="744" t="s">
        <v>1274</v>
      </c>
      <c r="B2322" s="703" t="s">
        <v>1778</v>
      </c>
      <c r="C2322" s="747" t="s">
        <v>1697</v>
      </c>
      <c r="D2322" s="746">
        <v>218663</v>
      </c>
      <c r="E2322" s="697">
        <v>1</v>
      </c>
      <c r="F2322" s="573"/>
      <c r="G2322" s="487"/>
      <c r="H2322" s="573">
        <v>250000</v>
      </c>
      <c r="I2322" s="949">
        <f>250000-56100</f>
        <v>193900</v>
      </c>
      <c r="J2322" s="573"/>
      <c r="K2322" s="487"/>
      <c r="L2322" s="573"/>
      <c r="M2322" s="573"/>
      <c r="N2322" s="456">
        <f t="shared" si="289"/>
        <v>0</v>
      </c>
      <c r="O2322" s="487"/>
      <c r="P2322" s="487"/>
      <c r="Q2322" s="274">
        <f t="shared" si="292"/>
        <v>0</v>
      </c>
      <c r="R2322" s="574">
        <f t="shared" si="293"/>
        <v>250000</v>
      </c>
      <c r="S2322" s="275">
        <f t="shared" si="294"/>
        <v>193900</v>
      </c>
      <c r="T2322" s="575"/>
      <c r="U2322" s="487"/>
      <c r="V2322" s="576"/>
      <c r="W2322" s="573"/>
      <c r="X2322" s="574">
        <f t="shared" si="290"/>
        <v>0</v>
      </c>
      <c r="Y2322" s="487"/>
      <c r="Z2322" s="487"/>
      <c r="AA2322" s="276">
        <f t="shared" si="291"/>
        <v>0</v>
      </c>
      <c r="AB2322" s="573"/>
      <c r="AC2322" s="487"/>
      <c r="AD2322" s="573"/>
      <c r="AE2322" s="487"/>
      <c r="AF2322" s="577">
        <f t="shared" si="295"/>
        <v>250000</v>
      </c>
      <c r="AG2322" s="275">
        <f t="shared" si="296"/>
        <v>193900</v>
      </c>
    </row>
    <row r="2323" spans="1:33" ht="12" customHeight="1">
      <c r="A2323" s="744" t="s">
        <v>1274</v>
      </c>
      <c r="B2323" s="703" t="s">
        <v>1778</v>
      </c>
      <c r="C2323" s="747" t="s">
        <v>1698</v>
      </c>
      <c r="D2323" s="746">
        <v>218663</v>
      </c>
      <c r="E2323" s="697">
        <v>1</v>
      </c>
      <c r="F2323" s="518"/>
      <c r="G2323" s="487"/>
      <c r="H2323" s="573">
        <v>200000</v>
      </c>
      <c r="I2323" s="949">
        <f>200000-44880</f>
        <v>155120</v>
      </c>
      <c r="J2323" s="573"/>
      <c r="K2323" s="487"/>
      <c r="L2323" s="573"/>
      <c r="M2323" s="573"/>
      <c r="N2323" s="456">
        <f t="shared" ref="N2323:N2386" si="297">SUM(L2323:M2323)</f>
        <v>0</v>
      </c>
      <c r="O2323" s="487"/>
      <c r="P2323" s="487"/>
      <c r="Q2323" s="274">
        <f t="shared" si="292"/>
        <v>0</v>
      </c>
      <c r="R2323" s="574">
        <f t="shared" si="293"/>
        <v>200000</v>
      </c>
      <c r="S2323" s="275">
        <f t="shared" si="294"/>
        <v>155120</v>
      </c>
      <c r="T2323" s="575"/>
      <c r="U2323" s="487"/>
      <c r="V2323" s="576"/>
      <c r="W2323" s="573"/>
      <c r="X2323" s="574">
        <f t="shared" ref="X2323:X2386" si="298">SUM(V2323:W2323)</f>
        <v>0</v>
      </c>
      <c r="Y2323" s="487"/>
      <c r="Z2323" s="487"/>
      <c r="AA2323" s="276">
        <f t="shared" ref="AA2323:AA2386" si="299">SUM(Y2323:Z2323)</f>
        <v>0</v>
      </c>
      <c r="AB2323" s="573"/>
      <c r="AC2323" s="487"/>
      <c r="AD2323" s="573"/>
      <c r="AE2323" s="487"/>
      <c r="AF2323" s="577">
        <f t="shared" si="295"/>
        <v>200000</v>
      </c>
      <c r="AG2323" s="275">
        <f t="shared" si="296"/>
        <v>155120</v>
      </c>
    </row>
    <row r="2324" spans="1:33" ht="12" customHeight="1">
      <c r="A2324" s="744" t="s">
        <v>1274</v>
      </c>
      <c r="B2324" s="703" t="s">
        <v>1783</v>
      </c>
      <c r="C2324" s="298" t="s">
        <v>1881</v>
      </c>
      <c r="D2324" s="746">
        <v>218663</v>
      </c>
      <c r="E2324" s="697">
        <v>1</v>
      </c>
      <c r="F2324" s="573"/>
      <c r="G2324" s="487"/>
      <c r="H2324" s="573"/>
      <c r="I2324" s="487"/>
      <c r="J2324" s="573"/>
      <c r="K2324" s="487"/>
      <c r="L2324" s="573"/>
      <c r="M2324" s="573"/>
      <c r="N2324" s="456">
        <f t="shared" si="297"/>
        <v>0</v>
      </c>
      <c r="O2324" s="487"/>
      <c r="P2324" s="487"/>
      <c r="Q2324" s="274">
        <f t="shared" si="292"/>
        <v>0</v>
      </c>
      <c r="R2324" s="574">
        <f t="shared" si="293"/>
        <v>0</v>
      </c>
      <c r="S2324" s="275">
        <f t="shared" si="294"/>
        <v>0</v>
      </c>
      <c r="T2324" s="575"/>
      <c r="U2324" s="487"/>
      <c r="V2324" s="576"/>
      <c r="W2324" s="573"/>
      <c r="X2324" s="574">
        <f t="shared" si="298"/>
        <v>0</v>
      </c>
      <c r="Y2324" s="487"/>
      <c r="Z2324" s="487"/>
      <c r="AA2324" s="276">
        <f t="shared" si="299"/>
        <v>0</v>
      </c>
      <c r="AB2324" s="573"/>
      <c r="AC2324" s="487"/>
      <c r="AD2324" s="573"/>
      <c r="AE2324" s="487"/>
      <c r="AF2324" s="577">
        <f t="shared" si="295"/>
        <v>0</v>
      </c>
      <c r="AG2324" s="275">
        <f t="shared" si="296"/>
        <v>0</v>
      </c>
    </row>
    <row r="2325" spans="1:33" ht="12" customHeight="1">
      <c r="A2325" s="744" t="s">
        <v>1274</v>
      </c>
      <c r="B2325" s="703" t="s">
        <v>1783</v>
      </c>
      <c r="C2325" s="747" t="s">
        <v>1699</v>
      </c>
      <c r="D2325" s="746">
        <v>218663</v>
      </c>
      <c r="E2325" s="697">
        <v>1</v>
      </c>
      <c r="F2325" s="518"/>
      <c r="G2325" s="487"/>
      <c r="H2325" s="573">
        <v>1000000</v>
      </c>
      <c r="I2325" s="949">
        <f>1000000-224399</f>
        <v>775601</v>
      </c>
      <c r="J2325" s="573"/>
      <c r="K2325" s="487"/>
      <c r="L2325" s="573"/>
      <c r="M2325" s="573"/>
      <c r="N2325" s="456">
        <f t="shared" si="297"/>
        <v>0</v>
      </c>
      <c r="O2325" s="487"/>
      <c r="P2325" s="487"/>
      <c r="Q2325" s="274">
        <f t="shared" si="292"/>
        <v>0</v>
      </c>
      <c r="R2325" s="574">
        <f t="shared" si="293"/>
        <v>1000000</v>
      </c>
      <c r="S2325" s="275">
        <f t="shared" si="294"/>
        <v>775601</v>
      </c>
      <c r="T2325" s="575"/>
      <c r="U2325" s="487"/>
      <c r="V2325" s="576"/>
      <c r="W2325" s="573"/>
      <c r="X2325" s="574">
        <f t="shared" si="298"/>
        <v>0</v>
      </c>
      <c r="Y2325" s="487"/>
      <c r="Z2325" s="487"/>
      <c r="AA2325" s="276">
        <f t="shared" si="299"/>
        <v>0</v>
      </c>
      <c r="AB2325" s="573"/>
      <c r="AC2325" s="487"/>
      <c r="AD2325" s="573"/>
      <c r="AE2325" s="487"/>
      <c r="AF2325" s="577">
        <f t="shared" si="295"/>
        <v>1000000</v>
      </c>
      <c r="AG2325" s="275">
        <f t="shared" si="296"/>
        <v>775601</v>
      </c>
    </row>
    <row r="2326" spans="1:33" ht="12" customHeight="1">
      <c r="A2326" s="744" t="s">
        <v>1274</v>
      </c>
      <c r="B2326" s="703" t="s">
        <v>1783</v>
      </c>
      <c r="C2326" s="747" t="s">
        <v>1700</v>
      </c>
      <c r="D2326" s="746">
        <v>218663</v>
      </c>
      <c r="E2326" s="697">
        <v>1</v>
      </c>
      <c r="F2326" s="518"/>
      <c r="G2326" s="487"/>
      <c r="H2326" s="573">
        <v>1000000</v>
      </c>
      <c r="I2326" s="949">
        <f>1000000-224399</f>
        <v>775601</v>
      </c>
      <c r="J2326" s="573"/>
      <c r="K2326" s="487"/>
      <c r="L2326" s="573"/>
      <c r="M2326" s="573"/>
      <c r="N2326" s="456">
        <f t="shared" si="297"/>
        <v>0</v>
      </c>
      <c r="O2326" s="487"/>
      <c r="P2326" s="487"/>
      <c r="Q2326" s="274">
        <f t="shared" si="292"/>
        <v>0</v>
      </c>
      <c r="R2326" s="574">
        <f t="shared" si="293"/>
        <v>1000000</v>
      </c>
      <c r="S2326" s="275">
        <f t="shared" si="294"/>
        <v>775601</v>
      </c>
      <c r="T2326" s="575"/>
      <c r="U2326" s="487"/>
      <c r="V2326" s="576"/>
      <c r="W2326" s="573"/>
      <c r="X2326" s="574">
        <f t="shared" si="298"/>
        <v>0</v>
      </c>
      <c r="Y2326" s="487"/>
      <c r="Z2326" s="487"/>
      <c r="AA2326" s="276">
        <f t="shared" si="299"/>
        <v>0</v>
      </c>
      <c r="AB2326" s="573"/>
      <c r="AC2326" s="487"/>
      <c r="AD2326" s="573"/>
      <c r="AE2326" s="487"/>
      <c r="AF2326" s="577">
        <f t="shared" si="295"/>
        <v>1000000</v>
      </c>
      <c r="AG2326" s="275">
        <f t="shared" si="296"/>
        <v>775601</v>
      </c>
    </row>
    <row r="2327" spans="1:33" ht="12" customHeight="1">
      <c r="A2327" s="744" t="s">
        <v>1274</v>
      </c>
      <c r="B2327" s="703" t="s">
        <v>1783</v>
      </c>
      <c r="C2327" s="747" t="s">
        <v>1701</v>
      </c>
      <c r="D2327" s="746">
        <v>218663</v>
      </c>
      <c r="E2327" s="697">
        <v>1</v>
      </c>
      <c r="F2327" s="518"/>
      <c r="G2327" s="487"/>
      <c r="H2327" s="573">
        <v>75000</v>
      </c>
      <c r="I2327" s="487">
        <v>0</v>
      </c>
      <c r="J2327" s="573"/>
      <c r="K2327" s="487"/>
      <c r="L2327" s="573"/>
      <c r="M2327" s="573"/>
      <c r="N2327" s="456">
        <f t="shared" si="297"/>
        <v>0</v>
      </c>
      <c r="O2327" s="487"/>
      <c r="P2327" s="487"/>
      <c r="Q2327" s="274">
        <f t="shared" si="292"/>
        <v>0</v>
      </c>
      <c r="R2327" s="574">
        <f t="shared" si="293"/>
        <v>75000</v>
      </c>
      <c r="S2327" s="275">
        <f t="shared" si="294"/>
        <v>0</v>
      </c>
      <c r="T2327" s="575"/>
      <c r="U2327" s="487"/>
      <c r="V2327" s="576"/>
      <c r="W2327" s="573"/>
      <c r="X2327" s="574">
        <f t="shared" si="298"/>
        <v>0</v>
      </c>
      <c r="Y2327" s="487"/>
      <c r="Z2327" s="487"/>
      <c r="AA2327" s="276">
        <f t="shared" si="299"/>
        <v>0</v>
      </c>
      <c r="AB2327" s="573"/>
      <c r="AC2327" s="487"/>
      <c r="AD2327" s="573"/>
      <c r="AE2327" s="487"/>
      <c r="AF2327" s="577">
        <f t="shared" si="295"/>
        <v>75000</v>
      </c>
      <c r="AG2327" s="275">
        <f t="shared" si="296"/>
        <v>0</v>
      </c>
    </row>
    <row r="2328" spans="1:33" ht="12" customHeight="1">
      <c r="A2328" s="744" t="s">
        <v>1274</v>
      </c>
      <c r="B2328" s="703" t="s">
        <v>1784</v>
      </c>
      <c r="C2328" s="299" t="s">
        <v>2037</v>
      </c>
      <c r="D2328" s="746">
        <v>218663</v>
      </c>
      <c r="E2328" s="697">
        <v>1</v>
      </c>
      <c r="F2328" s="518"/>
      <c r="G2328" s="487"/>
      <c r="H2328" s="573"/>
      <c r="I2328" s="487"/>
      <c r="J2328" s="573"/>
      <c r="K2328" s="487"/>
      <c r="L2328" s="573"/>
      <c r="M2328" s="573"/>
      <c r="N2328" s="456">
        <f t="shared" si="297"/>
        <v>0</v>
      </c>
      <c r="O2328" s="487"/>
      <c r="P2328" s="487"/>
      <c r="Q2328" s="274">
        <f t="shared" si="292"/>
        <v>0</v>
      </c>
      <c r="R2328" s="574">
        <f t="shared" si="293"/>
        <v>0</v>
      </c>
      <c r="S2328" s="275">
        <f t="shared" si="294"/>
        <v>0</v>
      </c>
      <c r="T2328" s="575"/>
      <c r="U2328" s="487"/>
      <c r="V2328" s="576"/>
      <c r="W2328" s="573"/>
      <c r="X2328" s="574">
        <f t="shared" si="298"/>
        <v>0</v>
      </c>
      <c r="Y2328" s="487"/>
      <c r="Z2328" s="487"/>
      <c r="AA2328" s="276">
        <f t="shared" si="299"/>
        <v>0</v>
      </c>
      <c r="AB2328" s="573"/>
      <c r="AC2328" s="487"/>
      <c r="AD2328" s="573"/>
      <c r="AE2328" s="487"/>
      <c r="AF2328" s="577">
        <f t="shared" si="295"/>
        <v>0</v>
      </c>
      <c r="AG2328" s="275">
        <f t="shared" si="296"/>
        <v>0</v>
      </c>
    </row>
    <row r="2329" spans="1:33" ht="12" customHeight="1">
      <c r="A2329" s="744" t="s">
        <v>1274</v>
      </c>
      <c r="B2329" s="703" t="s">
        <v>1784</v>
      </c>
      <c r="C2329" s="747" t="s">
        <v>1676</v>
      </c>
      <c r="D2329" s="746">
        <v>218663</v>
      </c>
      <c r="E2329" s="697">
        <v>1</v>
      </c>
      <c r="F2329" s="573"/>
      <c r="G2329" s="487"/>
      <c r="H2329" s="573">
        <v>86742</v>
      </c>
      <c r="I2329" s="487">
        <v>131003</v>
      </c>
      <c r="J2329" s="573"/>
      <c r="K2329" s="487"/>
      <c r="L2329" s="573"/>
      <c r="M2329" s="573"/>
      <c r="N2329" s="456">
        <f t="shared" si="297"/>
        <v>0</v>
      </c>
      <c r="O2329" s="487"/>
      <c r="P2329" s="487"/>
      <c r="Q2329" s="274">
        <f t="shared" si="292"/>
        <v>0</v>
      </c>
      <c r="R2329" s="574">
        <f t="shared" si="293"/>
        <v>86742</v>
      </c>
      <c r="S2329" s="275">
        <f t="shared" si="294"/>
        <v>131003</v>
      </c>
      <c r="T2329" s="575"/>
      <c r="U2329" s="487"/>
      <c r="V2329" s="576"/>
      <c r="W2329" s="573"/>
      <c r="X2329" s="574">
        <f t="shared" si="298"/>
        <v>0</v>
      </c>
      <c r="Y2329" s="487"/>
      <c r="Z2329" s="487"/>
      <c r="AA2329" s="276">
        <f t="shared" si="299"/>
        <v>0</v>
      </c>
      <c r="AB2329" s="573"/>
      <c r="AC2329" s="487"/>
      <c r="AD2329" s="573"/>
      <c r="AE2329" s="487"/>
      <c r="AF2329" s="577">
        <f t="shared" si="295"/>
        <v>86742</v>
      </c>
      <c r="AG2329" s="275">
        <f t="shared" si="296"/>
        <v>131003</v>
      </c>
    </row>
    <row r="2330" spans="1:33" ht="12" customHeight="1">
      <c r="A2330" s="744" t="s">
        <v>1274</v>
      </c>
      <c r="B2330" s="703" t="s">
        <v>1784</v>
      </c>
      <c r="C2330" s="747" t="s">
        <v>1238</v>
      </c>
      <c r="D2330" s="746">
        <v>218663</v>
      </c>
      <c r="E2330" s="697">
        <v>1</v>
      </c>
      <c r="F2330" s="518"/>
      <c r="G2330" s="487"/>
      <c r="H2330" s="518">
        <v>87744</v>
      </c>
      <c r="I2330" s="487">
        <v>68575</v>
      </c>
      <c r="J2330" s="573"/>
      <c r="K2330" s="487"/>
      <c r="L2330" s="573"/>
      <c r="M2330" s="573"/>
      <c r="N2330" s="456">
        <f t="shared" si="297"/>
        <v>0</v>
      </c>
      <c r="O2330" s="487"/>
      <c r="P2330" s="487"/>
      <c r="Q2330" s="274">
        <f t="shared" si="292"/>
        <v>0</v>
      </c>
      <c r="R2330" s="574">
        <f t="shared" si="293"/>
        <v>87744</v>
      </c>
      <c r="S2330" s="275">
        <f t="shared" si="294"/>
        <v>68575</v>
      </c>
      <c r="T2330" s="575"/>
      <c r="U2330" s="487"/>
      <c r="V2330" s="576"/>
      <c r="W2330" s="573"/>
      <c r="X2330" s="574">
        <f t="shared" si="298"/>
        <v>0</v>
      </c>
      <c r="Y2330" s="487"/>
      <c r="Z2330" s="487"/>
      <c r="AA2330" s="276">
        <f t="shared" si="299"/>
        <v>0</v>
      </c>
      <c r="AB2330" s="573"/>
      <c r="AC2330" s="487"/>
      <c r="AD2330" s="573"/>
      <c r="AE2330" s="487"/>
      <c r="AF2330" s="577">
        <f t="shared" si="295"/>
        <v>87744</v>
      </c>
      <c r="AG2330" s="275">
        <f t="shared" si="296"/>
        <v>68575</v>
      </c>
    </row>
    <row r="2331" spans="1:33" ht="12" customHeight="1">
      <c r="A2331" s="744" t="s">
        <v>1274</v>
      </c>
      <c r="B2331" s="703" t="s">
        <v>1784</v>
      </c>
      <c r="C2331" s="747" t="s">
        <v>1239</v>
      </c>
      <c r="D2331" s="746">
        <v>218663</v>
      </c>
      <c r="E2331" s="697">
        <v>1</v>
      </c>
      <c r="F2331" s="518"/>
      <c r="G2331" s="487"/>
      <c r="H2331" s="518">
        <v>30000</v>
      </c>
      <c r="I2331" s="487">
        <v>0</v>
      </c>
      <c r="J2331" s="573"/>
      <c r="K2331" s="487"/>
      <c r="L2331" s="573"/>
      <c r="M2331" s="573"/>
      <c r="N2331" s="456">
        <f t="shared" si="297"/>
        <v>0</v>
      </c>
      <c r="O2331" s="487"/>
      <c r="P2331" s="487"/>
      <c r="Q2331" s="274">
        <f t="shared" si="292"/>
        <v>0</v>
      </c>
      <c r="R2331" s="574">
        <f t="shared" si="293"/>
        <v>30000</v>
      </c>
      <c r="S2331" s="275">
        <f t="shared" si="294"/>
        <v>0</v>
      </c>
      <c r="T2331" s="575"/>
      <c r="U2331" s="487"/>
      <c r="V2331" s="576"/>
      <c r="W2331" s="573"/>
      <c r="X2331" s="574">
        <f t="shared" si="298"/>
        <v>0</v>
      </c>
      <c r="Y2331" s="487"/>
      <c r="Z2331" s="487"/>
      <c r="AA2331" s="276">
        <f t="shared" si="299"/>
        <v>0</v>
      </c>
      <c r="AB2331" s="573"/>
      <c r="AC2331" s="487"/>
      <c r="AD2331" s="573"/>
      <c r="AE2331" s="487"/>
      <c r="AF2331" s="577">
        <f t="shared" si="295"/>
        <v>30000</v>
      </c>
      <c r="AG2331" s="275">
        <f t="shared" si="296"/>
        <v>0</v>
      </c>
    </row>
    <row r="2332" spans="1:33" ht="12" customHeight="1">
      <c r="A2332" s="744" t="s">
        <v>1274</v>
      </c>
      <c r="B2332" s="703" t="s">
        <v>1784</v>
      </c>
      <c r="C2332" s="747" t="s">
        <v>45</v>
      </c>
      <c r="D2332" s="746">
        <v>218663</v>
      </c>
      <c r="E2332" s="697">
        <v>1</v>
      </c>
      <c r="F2332" s="518"/>
      <c r="G2332" s="487"/>
      <c r="H2332" s="518">
        <v>95369</v>
      </c>
      <c r="I2332" s="487">
        <v>69726</v>
      </c>
      <c r="J2332" s="573"/>
      <c r="K2332" s="487"/>
      <c r="L2332" s="573"/>
      <c r="M2332" s="573"/>
      <c r="N2332" s="456">
        <f t="shared" si="297"/>
        <v>0</v>
      </c>
      <c r="O2332" s="487"/>
      <c r="P2332" s="487"/>
      <c r="Q2332" s="274">
        <f t="shared" si="292"/>
        <v>0</v>
      </c>
      <c r="R2332" s="574">
        <f t="shared" si="293"/>
        <v>95369</v>
      </c>
      <c r="S2332" s="275">
        <f t="shared" si="294"/>
        <v>69726</v>
      </c>
      <c r="T2332" s="575"/>
      <c r="U2332" s="487"/>
      <c r="V2332" s="576"/>
      <c r="W2332" s="573"/>
      <c r="X2332" s="574">
        <f t="shared" si="298"/>
        <v>0</v>
      </c>
      <c r="Y2332" s="487"/>
      <c r="Z2332" s="487"/>
      <c r="AA2332" s="276">
        <f t="shared" si="299"/>
        <v>0</v>
      </c>
      <c r="AB2332" s="573"/>
      <c r="AC2332" s="487"/>
      <c r="AD2332" s="573"/>
      <c r="AE2332" s="487"/>
      <c r="AF2332" s="577">
        <f t="shared" si="295"/>
        <v>95369</v>
      </c>
      <c r="AG2332" s="275">
        <f t="shared" si="296"/>
        <v>69726</v>
      </c>
    </row>
    <row r="2333" spans="1:33" ht="12" customHeight="1">
      <c r="A2333" s="744" t="s">
        <v>1274</v>
      </c>
      <c r="B2333" s="703" t="s">
        <v>1784</v>
      </c>
      <c r="C2333" s="747" t="s">
        <v>1689</v>
      </c>
      <c r="D2333" s="746">
        <v>218663</v>
      </c>
      <c r="E2333" s="697">
        <v>1</v>
      </c>
      <c r="F2333" s="573"/>
      <c r="G2333" s="487"/>
      <c r="H2333" s="573">
        <v>100000</v>
      </c>
      <c r="I2333" s="487"/>
      <c r="J2333" s="573"/>
      <c r="K2333" s="487"/>
      <c r="L2333" s="573"/>
      <c r="M2333" s="573"/>
      <c r="N2333" s="456">
        <f t="shared" si="297"/>
        <v>0</v>
      </c>
      <c r="O2333" s="487"/>
      <c r="P2333" s="487"/>
      <c r="Q2333" s="274">
        <f t="shared" si="292"/>
        <v>0</v>
      </c>
      <c r="R2333" s="574">
        <f t="shared" si="293"/>
        <v>100000</v>
      </c>
      <c r="S2333" s="275">
        <f t="shared" si="294"/>
        <v>0</v>
      </c>
      <c r="T2333" s="575"/>
      <c r="U2333" s="487"/>
      <c r="V2333" s="576"/>
      <c r="W2333" s="573"/>
      <c r="X2333" s="574">
        <f t="shared" si="298"/>
        <v>0</v>
      </c>
      <c r="Y2333" s="487"/>
      <c r="Z2333" s="487"/>
      <c r="AA2333" s="276">
        <f t="shared" si="299"/>
        <v>0</v>
      </c>
      <c r="AB2333" s="573"/>
      <c r="AC2333" s="487"/>
      <c r="AD2333" s="573"/>
      <c r="AE2333" s="487"/>
      <c r="AF2333" s="577">
        <f t="shared" si="295"/>
        <v>100000</v>
      </c>
      <c r="AG2333" s="275">
        <f t="shared" si="296"/>
        <v>0</v>
      </c>
    </row>
    <row r="2334" spans="1:33" ht="12" customHeight="1">
      <c r="A2334" s="744" t="s">
        <v>1274</v>
      </c>
      <c r="B2334" s="703" t="s">
        <v>1784</v>
      </c>
      <c r="C2334" s="748" t="s">
        <v>1690</v>
      </c>
      <c r="D2334" s="746">
        <v>218663</v>
      </c>
      <c r="E2334" s="697">
        <v>1</v>
      </c>
      <c r="F2334" s="573"/>
      <c r="G2334" s="487"/>
      <c r="H2334" s="573">
        <v>344074</v>
      </c>
      <c r="I2334" s="487">
        <v>344074</v>
      </c>
      <c r="J2334" s="573"/>
      <c r="K2334" s="487"/>
      <c r="L2334" s="573"/>
      <c r="M2334" s="573"/>
      <c r="N2334" s="456">
        <f t="shared" si="297"/>
        <v>0</v>
      </c>
      <c r="O2334" s="487"/>
      <c r="P2334" s="487"/>
      <c r="Q2334" s="274">
        <f t="shared" si="292"/>
        <v>0</v>
      </c>
      <c r="R2334" s="574">
        <f t="shared" si="293"/>
        <v>344074</v>
      </c>
      <c r="S2334" s="275">
        <f t="shared" si="294"/>
        <v>344074</v>
      </c>
      <c r="T2334" s="575"/>
      <c r="U2334" s="487"/>
      <c r="V2334" s="576"/>
      <c r="W2334" s="573"/>
      <c r="X2334" s="574">
        <f t="shared" si="298"/>
        <v>0</v>
      </c>
      <c r="Y2334" s="487"/>
      <c r="Z2334" s="487"/>
      <c r="AA2334" s="276">
        <f t="shared" si="299"/>
        <v>0</v>
      </c>
      <c r="AB2334" s="573"/>
      <c r="AC2334" s="487"/>
      <c r="AD2334" s="573"/>
      <c r="AE2334" s="487"/>
      <c r="AF2334" s="577">
        <f t="shared" si="295"/>
        <v>344074</v>
      </c>
      <c r="AG2334" s="275">
        <f t="shared" si="296"/>
        <v>344074</v>
      </c>
    </row>
    <row r="2335" spans="1:33" ht="12" customHeight="1">
      <c r="A2335" s="744" t="s">
        <v>1274</v>
      </c>
      <c r="B2335" s="703" t="s">
        <v>1784</v>
      </c>
      <c r="C2335" s="748" t="s">
        <v>1691</v>
      </c>
      <c r="D2335" s="746">
        <v>218663</v>
      </c>
      <c r="E2335" s="697">
        <v>1</v>
      </c>
      <c r="F2335" s="573"/>
      <c r="G2335" s="487"/>
      <c r="H2335" s="573">
        <v>178805</v>
      </c>
      <c r="I2335" s="487">
        <v>178805</v>
      </c>
      <c r="J2335" s="573"/>
      <c r="K2335" s="487"/>
      <c r="L2335" s="573"/>
      <c r="M2335" s="573"/>
      <c r="N2335" s="456">
        <f t="shared" si="297"/>
        <v>0</v>
      </c>
      <c r="O2335" s="487"/>
      <c r="P2335" s="487"/>
      <c r="Q2335" s="274">
        <f t="shared" si="292"/>
        <v>0</v>
      </c>
      <c r="R2335" s="574">
        <f t="shared" si="293"/>
        <v>178805</v>
      </c>
      <c r="S2335" s="275">
        <f t="shared" si="294"/>
        <v>178805</v>
      </c>
      <c r="T2335" s="575"/>
      <c r="U2335" s="487"/>
      <c r="V2335" s="576"/>
      <c r="W2335" s="573"/>
      <c r="X2335" s="574">
        <f t="shared" si="298"/>
        <v>0</v>
      </c>
      <c r="Y2335" s="487"/>
      <c r="Z2335" s="487"/>
      <c r="AA2335" s="276">
        <f t="shared" si="299"/>
        <v>0</v>
      </c>
      <c r="AB2335" s="573"/>
      <c r="AC2335" s="487"/>
      <c r="AD2335" s="573"/>
      <c r="AE2335" s="487"/>
      <c r="AF2335" s="577">
        <f t="shared" si="295"/>
        <v>178805</v>
      </c>
      <c r="AG2335" s="275">
        <f t="shared" si="296"/>
        <v>178805</v>
      </c>
    </row>
    <row r="2336" spans="1:33" ht="12" customHeight="1">
      <c r="A2336" s="744" t="s">
        <v>1274</v>
      </c>
      <c r="B2336" s="703" t="s">
        <v>1784</v>
      </c>
      <c r="C2336" s="748" t="s">
        <v>1692</v>
      </c>
      <c r="D2336" s="746">
        <v>218663</v>
      </c>
      <c r="E2336" s="697">
        <v>1</v>
      </c>
      <c r="F2336" s="573"/>
      <c r="G2336" s="487"/>
      <c r="H2336" s="573">
        <v>4800000</v>
      </c>
      <c r="I2336" s="487"/>
      <c r="J2336" s="573"/>
      <c r="K2336" s="487"/>
      <c r="L2336" s="573"/>
      <c r="M2336" s="573"/>
      <c r="N2336" s="456">
        <f t="shared" si="297"/>
        <v>0</v>
      </c>
      <c r="O2336" s="487"/>
      <c r="P2336" s="487"/>
      <c r="Q2336" s="274">
        <f t="shared" si="292"/>
        <v>0</v>
      </c>
      <c r="R2336" s="574">
        <f t="shared" si="293"/>
        <v>4800000</v>
      </c>
      <c r="S2336" s="275">
        <f t="shared" si="294"/>
        <v>0</v>
      </c>
      <c r="T2336" s="575"/>
      <c r="U2336" s="487"/>
      <c r="V2336" s="576"/>
      <c r="W2336" s="573"/>
      <c r="X2336" s="574">
        <f t="shared" si="298"/>
        <v>0</v>
      </c>
      <c r="Y2336" s="487"/>
      <c r="Z2336" s="487"/>
      <c r="AA2336" s="276">
        <f t="shared" si="299"/>
        <v>0</v>
      </c>
      <c r="AB2336" s="573"/>
      <c r="AC2336" s="487"/>
      <c r="AD2336" s="573"/>
      <c r="AE2336" s="487"/>
      <c r="AF2336" s="577">
        <f t="shared" si="295"/>
        <v>4800000</v>
      </c>
      <c r="AG2336" s="275">
        <f t="shared" si="296"/>
        <v>0</v>
      </c>
    </row>
    <row r="2337" spans="1:33" ht="12" customHeight="1">
      <c r="A2337" s="744" t="s">
        <v>1274</v>
      </c>
      <c r="B2337" s="703" t="s">
        <v>1784</v>
      </c>
      <c r="C2337" s="748" t="s">
        <v>1693</v>
      </c>
      <c r="D2337" s="746">
        <v>218663</v>
      </c>
      <c r="E2337" s="697">
        <v>1</v>
      </c>
      <c r="F2337" s="573"/>
      <c r="G2337" s="487"/>
      <c r="H2337" s="573">
        <v>1500000</v>
      </c>
      <c r="I2337" s="487">
        <v>0</v>
      </c>
      <c r="J2337" s="573"/>
      <c r="K2337" s="487"/>
      <c r="L2337" s="573"/>
      <c r="M2337" s="573"/>
      <c r="N2337" s="456">
        <f t="shared" si="297"/>
        <v>0</v>
      </c>
      <c r="O2337" s="487"/>
      <c r="P2337" s="487"/>
      <c r="Q2337" s="274">
        <f t="shared" si="292"/>
        <v>0</v>
      </c>
      <c r="R2337" s="574">
        <f t="shared" si="293"/>
        <v>1500000</v>
      </c>
      <c r="S2337" s="275">
        <f t="shared" si="294"/>
        <v>0</v>
      </c>
      <c r="T2337" s="575"/>
      <c r="U2337" s="487"/>
      <c r="V2337" s="576"/>
      <c r="W2337" s="573"/>
      <c r="X2337" s="574">
        <f t="shared" si="298"/>
        <v>0</v>
      </c>
      <c r="Y2337" s="487"/>
      <c r="Z2337" s="487"/>
      <c r="AA2337" s="276">
        <f t="shared" si="299"/>
        <v>0</v>
      </c>
      <c r="AB2337" s="573"/>
      <c r="AC2337" s="487"/>
      <c r="AD2337" s="573"/>
      <c r="AE2337" s="487"/>
      <c r="AF2337" s="577">
        <f t="shared" si="295"/>
        <v>1500000</v>
      </c>
      <c r="AG2337" s="275">
        <f t="shared" si="296"/>
        <v>0</v>
      </c>
    </row>
    <row r="2338" spans="1:33" ht="12" customHeight="1">
      <c r="A2338" s="744" t="s">
        <v>1274</v>
      </c>
      <c r="B2338" s="703" t="s">
        <v>1784</v>
      </c>
      <c r="C2338" s="748" t="s">
        <v>1994</v>
      </c>
      <c r="D2338" s="746">
        <v>218663</v>
      </c>
      <c r="E2338" s="697">
        <v>1</v>
      </c>
      <c r="F2338" s="573"/>
      <c r="G2338" s="487"/>
      <c r="H2338" s="952">
        <v>1500000</v>
      </c>
      <c r="I2338" s="487"/>
      <c r="J2338" s="573"/>
      <c r="K2338" s="487"/>
      <c r="L2338" s="573"/>
      <c r="M2338" s="573"/>
      <c r="N2338" s="456">
        <f t="shared" si="297"/>
        <v>0</v>
      </c>
      <c r="O2338" s="487"/>
      <c r="P2338" s="487"/>
      <c r="Q2338" s="274">
        <f t="shared" si="292"/>
        <v>0</v>
      </c>
      <c r="R2338" s="574">
        <f t="shared" si="293"/>
        <v>1500000</v>
      </c>
      <c r="S2338" s="275">
        <f t="shared" si="294"/>
        <v>0</v>
      </c>
      <c r="T2338" s="575"/>
      <c r="U2338" s="487"/>
      <c r="V2338" s="576"/>
      <c r="W2338" s="573"/>
      <c r="X2338" s="574">
        <f t="shared" si="298"/>
        <v>0</v>
      </c>
      <c r="Y2338" s="487"/>
      <c r="Z2338" s="487"/>
      <c r="AA2338" s="276">
        <f t="shared" si="299"/>
        <v>0</v>
      </c>
      <c r="AB2338" s="573"/>
      <c r="AC2338" s="487"/>
      <c r="AD2338" s="573"/>
      <c r="AE2338" s="487"/>
      <c r="AF2338" s="577">
        <f t="shared" si="295"/>
        <v>1500000</v>
      </c>
      <c r="AG2338" s="275">
        <f t="shared" si="296"/>
        <v>0</v>
      </c>
    </row>
    <row r="2339" spans="1:33" ht="12" customHeight="1">
      <c r="A2339" s="744" t="s">
        <v>1274</v>
      </c>
      <c r="B2339" s="703" t="s">
        <v>1784</v>
      </c>
      <c r="C2339" s="748" t="s">
        <v>1989</v>
      </c>
      <c r="D2339" s="746">
        <v>218663</v>
      </c>
      <c r="E2339" s="697">
        <v>1</v>
      </c>
      <c r="F2339" s="573"/>
      <c r="G2339" s="487"/>
      <c r="H2339" s="952">
        <v>1500000</v>
      </c>
      <c r="I2339" s="949">
        <v>700000</v>
      </c>
      <c r="J2339" s="573"/>
      <c r="K2339" s="487"/>
      <c r="L2339" s="573"/>
      <c r="M2339" s="573"/>
      <c r="N2339" s="456">
        <f t="shared" si="297"/>
        <v>0</v>
      </c>
      <c r="O2339" s="487"/>
      <c r="P2339" s="487"/>
      <c r="Q2339" s="274">
        <f t="shared" si="292"/>
        <v>0</v>
      </c>
      <c r="R2339" s="574">
        <f t="shared" si="293"/>
        <v>1500000</v>
      </c>
      <c r="S2339" s="275">
        <f t="shared" si="294"/>
        <v>700000</v>
      </c>
      <c r="T2339" s="575"/>
      <c r="U2339" s="487"/>
      <c r="V2339" s="576"/>
      <c r="W2339" s="573"/>
      <c r="X2339" s="574">
        <f t="shared" si="298"/>
        <v>0</v>
      </c>
      <c r="Y2339" s="487"/>
      <c r="Z2339" s="487"/>
      <c r="AA2339" s="276">
        <f t="shared" si="299"/>
        <v>0</v>
      </c>
      <c r="AB2339" s="573"/>
      <c r="AC2339" s="487"/>
      <c r="AD2339" s="573"/>
      <c r="AE2339" s="487"/>
      <c r="AF2339" s="577">
        <f t="shared" si="295"/>
        <v>1500000</v>
      </c>
      <c r="AG2339" s="275">
        <f t="shared" si="296"/>
        <v>700000</v>
      </c>
    </row>
    <row r="2340" spans="1:33" ht="12" customHeight="1">
      <c r="A2340" s="744" t="s">
        <v>1274</v>
      </c>
      <c r="B2340" s="703" t="s">
        <v>1784</v>
      </c>
      <c r="C2340" s="700" t="s">
        <v>1995</v>
      </c>
      <c r="D2340" s="746">
        <v>218663</v>
      </c>
      <c r="E2340" s="697">
        <v>1</v>
      </c>
      <c r="F2340" s="573"/>
      <c r="G2340" s="487"/>
      <c r="H2340" s="958">
        <v>54375</v>
      </c>
      <c r="I2340" s="487"/>
      <c r="J2340" s="573"/>
      <c r="K2340" s="487"/>
      <c r="L2340" s="573"/>
      <c r="M2340" s="573"/>
      <c r="N2340" s="456">
        <f t="shared" si="297"/>
        <v>0</v>
      </c>
      <c r="O2340" s="487"/>
      <c r="P2340" s="487"/>
      <c r="Q2340" s="274">
        <f t="shared" si="292"/>
        <v>0</v>
      </c>
      <c r="R2340" s="574">
        <f t="shared" si="293"/>
        <v>54375</v>
      </c>
      <c r="S2340" s="275">
        <f t="shared" si="294"/>
        <v>0</v>
      </c>
      <c r="T2340" s="575"/>
      <c r="U2340" s="487"/>
      <c r="V2340" s="576"/>
      <c r="W2340" s="573"/>
      <c r="X2340" s="574">
        <f t="shared" si="298"/>
        <v>0</v>
      </c>
      <c r="Y2340" s="487"/>
      <c r="Z2340" s="487"/>
      <c r="AA2340" s="276">
        <f t="shared" si="299"/>
        <v>0</v>
      </c>
      <c r="AB2340" s="573"/>
      <c r="AC2340" s="487"/>
      <c r="AD2340" s="573"/>
      <c r="AE2340" s="487"/>
      <c r="AF2340" s="577">
        <f t="shared" si="295"/>
        <v>54375</v>
      </c>
      <c r="AG2340" s="275">
        <f t="shared" si="296"/>
        <v>0</v>
      </c>
    </row>
    <row r="2341" spans="1:33" ht="12" customHeight="1">
      <c r="A2341" s="744" t="s">
        <v>1274</v>
      </c>
      <c r="B2341" s="703" t="s">
        <v>1784</v>
      </c>
      <c r="C2341" s="700" t="s">
        <v>1996</v>
      </c>
      <c r="D2341" s="746">
        <v>218663</v>
      </c>
      <c r="E2341" s="697">
        <v>1</v>
      </c>
      <c r="F2341" s="573"/>
      <c r="G2341" s="487"/>
      <c r="H2341" s="958">
        <v>300000</v>
      </c>
      <c r="I2341" s="487"/>
      <c r="J2341" s="573"/>
      <c r="K2341" s="487"/>
      <c r="L2341" s="573"/>
      <c r="M2341" s="573"/>
      <c r="N2341" s="456">
        <f t="shared" si="297"/>
        <v>0</v>
      </c>
      <c r="O2341" s="487"/>
      <c r="P2341" s="487"/>
      <c r="Q2341" s="274">
        <f t="shared" si="292"/>
        <v>0</v>
      </c>
      <c r="R2341" s="574">
        <f t="shared" si="293"/>
        <v>300000</v>
      </c>
      <c r="S2341" s="275">
        <f t="shared" si="294"/>
        <v>0</v>
      </c>
      <c r="T2341" s="575"/>
      <c r="U2341" s="487"/>
      <c r="V2341" s="576"/>
      <c r="W2341" s="573"/>
      <c r="X2341" s="574">
        <f t="shared" si="298"/>
        <v>0</v>
      </c>
      <c r="Y2341" s="487"/>
      <c r="Z2341" s="487"/>
      <c r="AA2341" s="276">
        <f t="shared" si="299"/>
        <v>0</v>
      </c>
      <c r="AB2341" s="573"/>
      <c r="AC2341" s="487"/>
      <c r="AD2341" s="573"/>
      <c r="AE2341" s="487"/>
      <c r="AF2341" s="577">
        <f t="shared" si="295"/>
        <v>300000</v>
      </c>
      <c r="AG2341" s="275">
        <f t="shared" si="296"/>
        <v>0</v>
      </c>
    </row>
    <row r="2342" spans="1:33" ht="12" customHeight="1">
      <c r="A2342" s="744" t="s">
        <v>1274</v>
      </c>
      <c r="B2342" s="703" t="s">
        <v>1784</v>
      </c>
      <c r="C2342" s="700" t="s">
        <v>1997</v>
      </c>
      <c r="D2342" s="746">
        <v>218663</v>
      </c>
      <c r="E2342" s="697">
        <v>1</v>
      </c>
      <c r="F2342" s="573"/>
      <c r="G2342" s="487"/>
      <c r="H2342" s="958">
        <v>105000</v>
      </c>
      <c r="I2342" s="487"/>
      <c r="J2342" s="573"/>
      <c r="K2342" s="487"/>
      <c r="L2342" s="573"/>
      <c r="M2342" s="573"/>
      <c r="N2342" s="456">
        <f t="shared" si="297"/>
        <v>0</v>
      </c>
      <c r="O2342" s="487"/>
      <c r="P2342" s="487"/>
      <c r="Q2342" s="274">
        <f t="shared" si="292"/>
        <v>0</v>
      </c>
      <c r="R2342" s="574">
        <f t="shared" si="293"/>
        <v>105000</v>
      </c>
      <c r="S2342" s="275">
        <f t="shared" si="294"/>
        <v>0</v>
      </c>
      <c r="T2342" s="575"/>
      <c r="U2342" s="487"/>
      <c r="V2342" s="576"/>
      <c r="W2342" s="573"/>
      <c r="X2342" s="574">
        <f t="shared" si="298"/>
        <v>0</v>
      </c>
      <c r="Y2342" s="487"/>
      <c r="Z2342" s="487"/>
      <c r="AA2342" s="276">
        <f t="shared" si="299"/>
        <v>0</v>
      </c>
      <c r="AB2342" s="573"/>
      <c r="AC2342" s="487"/>
      <c r="AD2342" s="573"/>
      <c r="AE2342" s="487"/>
      <c r="AF2342" s="577">
        <f t="shared" si="295"/>
        <v>105000</v>
      </c>
      <c r="AG2342" s="275">
        <f t="shared" si="296"/>
        <v>0</v>
      </c>
    </row>
    <row r="2343" spans="1:33" ht="12" customHeight="1">
      <c r="A2343" s="744" t="s">
        <v>1274</v>
      </c>
      <c r="B2343" s="703" t="s">
        <v>1793</v>
      </c>
      <c r="C2343" s="297" t="s">
        <v>1429</v>
      </c>
      <c r="D2343" s="746">
        <v>218663</v>
      </c>
      <c r="E2343" s="697">
        <v>1</v>
      </c>
      <c r="F2343" s="573"/>
      <c r="G2343" s="487"/>
      <c r="H2343" s="573"/>
      <c r="I2343" s="487"/>
      <c r="J2343" s="573"/>
      <c r="K2343" s="487"/>
      <c r="L2343" s="573"/>
      <c r="M2343" s="573"/>
      <c r="N2343" s="456">
        <f t="shared" si="297"/>
        <v>0</v>
      </c>
      <c r="O2343" s="487"/>
      <c r="P2343" s="487"/>
      <c r="Q2343" s="274">
        <f t="shared" si="292"/>
        <v>0</v>
      </c>
      <c r="R2343" s="574">
        <f t="shared" si="293"/>
        <v>0</v>
      </c>
      <c r="S2343" s="275">
        <f t="shared" si="294"/>
        <v>0</v>
      </c>
      <c r="T2343" s="575"/>
      <c r="U2343" s="487"/>
      <c r="V2343" s="576"/>
      <c r="W2343" s="573"/>
      <c r="X2343" s="574">
        <f t="shared" si="298"/>
        <v>0</v>
      </c>
      <c r="Y2343" s="487"/>
      <c r="Z2343" s="487"/>
      <c r="AA2343" s="276">
        <f t="shared" si="299"/>
        <v>0</v>
      </c>
      <c r="AB2343" s="573"/>
      <c r="AC2343" s="487"/>
      <c r="AD2343" s="573"/>
      <c r="AE2343" s="487"/>
      <c r="AF2343" s="577">
        <f t="shared" si="295"/>
        <v>0</v>
      </c>
      <c r="AG2343" s="275">
        <f t="shared" si="296"/>
        <v>0</v>
      </c>
    </row>
    <row r="2344" spans="1:33" ht="12" customHeight="1">
      <c r="A2344" s="744" t="s">
        <v>1274</v>
      </c>
      <c r="B2344" s="703" t="s">
        <v>1793</v>
      </c>
      <c r="C2344" s="747" t="s">
        <v>1614</v>
      </c>
      <c r="D2344" s="746">
        <v>218663</v>
      </c>
      <c r="E2344" s="697">
        <v>1</v>
      </c>
      <c r="F2344" s="573"/>
      <c r="G2344" s="487"/>
      <c r="H2344" s="573"/>
      <c r="I2344" s="487"/>
      <c r="J2344" s="573"/>
      <c r="K2344" s="487"/>
      <c r="L2344" s="573"/>
      <c r="M2344" s="573"/>
      <c r="N2344" s="456">
        <f t="shared" si="297"/>
        <v>0</v>
      </c>
      <c r="O2344" s="487"/>
      <c r="P2344" s="487"/>
      <c r="Q2344" s="274">
        <f t="shared" si="292"/>
        <v>0</v>
      </c>
      <c r="R2344" s="574">
        <f t="shared" si="293"/>
        <v>0</v>
      </c>
      <c r="S2344" s="275">
        <f t="shared" si="294"/>
        <v>0</v>
      </c>
      <c r="T2344" s="575"/>
      <c r="U2344" s="487"/>
      <c r="V2344" s="576"/>
      <c r="W2344" s="573"/>
      <c r="X2344" s="574">
        <f t="shared" si="298"/>
        <v>0</v>
      </c>
      <c r="Y2344" s="487"/>
      <c r="Z2344" s="487"/>
      <c r="AA2344" s="276">
        <f t="shared" si="299"/>
        <v>0</v>
      </c>
      <c r="AB2344" s="518">
        <v>22980442</v>
      </c>
      <c r="AC2344" s="949">
        <v>13562432</v>
      </c>
      <c r="AD2344" s="518">
        <v>9094869</v>
      </c>
      <c r="AE2344" s="487">
        <v>9094869</v>
      </c>
      <c r="AF2344" s="577">
        <f t="shared" si="295"/>
        <v>32075311</v>
      </c>
      <c r="AG2344" s="275">
        <f t="shared" si="296"/>
        <v>22657301</v>
      </c>
    </row>
    <row r="2345" spans="1:33" ht="12" customHeight="1">
      <c r="A2345" s="744" t="s">
        <v>1274</v>
      </c>
      <c r="B2345" s="703" t="s">
        <v>1793</v>
      </c>
      <c r="C2345" s="700" t="s">
        <v>1702</v>
      </c>
      <c r="D2345" s="746">
        <v>218663</v>
      </c>
      <c r="E2345" s="697">
        <v>1</v>
      </c>
      <c r="F2345" s="573"/>
      <c r="G2345" s="487"/>
      <c r="H2345" s="573"/>
      <c r="I2345" s="487"/>
      <c r="J2345" s="573"/>
      <c r="K2345" s="487"/>
      <c r="L2345" s="573"/>
      <c r="M2345" s="573"/>
      <c r="N2345" s="456">
        <f t="shared" si="297"/>
        <v>0</v>
      </c>
      <c r="O2345" s="487"/>
      <c r="P2345" s="487"/>
      <c r="Q2345" s="274">
        <f t="shared" si="292"/>
        <v>0</v>
      </c>
      <c r="R2345" s="574">
        <f t="shared" si="293"/>
        <v>0</v>
      </c>
      <c r="S2345" s="275">
        <f t="shared" si="294"/>
        <v>0</v>
      </c>
      <c r="T2345" s="575"/>
      <c r="U2345" s="487"/>
      <c r="V2345" s="576"/>
      <c r="W2345" s="573"/>
      <c r="X2345" s="574">
        <f t="shared" si="298"/>
        <v>0</v>
      </c>
      <c r="Y2345" s="487"/>
      <c r="Z2345" s="487"/>
      <c r="AA2345" s="276">
        <f t="shared" si="299"/>
        <v>0</v>
      </c>
      <c r="AB2345" s="573"/>
      <c r="AC2345" s="487"/>
      <c r="AD2345" s="573"/>
      <c r="AE2345" s="487"/>
      <c r="AF2345" s="577">
        <f t="shared" si="295"/>
        <v>0</v>
      </c>
      <c r="AG2345" s="275">
        <f t="shared" si="296"/>
        <v>0</v>
      </c>
    </row>
    <row r="2346" spans="1:33" ht="12" customHeight="1">
      <c r="A2346" s="744" t="s">
        <v>1274</v>
      </c>
      <c r="B2346" s="703" t="s">
        <v>1776</v>
      </c>
      <c r="C2346" s="745" t="s">
        <v>1703</v>
      </c>
      <c r="D2346" s="746">
        <v>218964</v>
      </c>
      <c r="E2346" s="697">
        <v>3</v>
      </c>
      <c r="F2346" s="573">
        <v>22616684</v>
      </c>
      <c r="G2346" s="949">
        <f>20481122-5869772+228107</f>
        <v>14839457</v>
      </c>
      <c r="H2346" s="573"/>
      <c r="I2346" s="487"/>
      <c r="J2346" s="573"/>
      <c r="K2346" s="487"/>
      <c r="L2346" s="573">
        <v>48579349</v>
      </c>
      <c r="M2346" s="573">
        <v>6532473</v>
      </c>
      <c r="N2346" s="456">
        <f t="shared" si="297"/>
        <v>55111822</v>
      </c>
      <c r="O2346" s="487">
        <v>51360824</v>
      </c>
      <c r="P2346" s="487">
        <v>6822373</v>
      </c>
      <c r="Q2346" s="274">
        <f t="shared" si="292"/>
        <v>58183197</v>
      </c>
      <c r="R2346" s="574">
        <f t="shared" si="293"/>
        <v>71196033</v>
      </c>
      <c r="S2346" s="275">
        <f t="shared" si="294"/>
        <v>66200281</v>
      </c>
      <c r="T2346" s="575"/>
      <c r="U2346" s="487"/>
      <c r="V2346" s="576"/>
      <c r="W2346" s="573"/>
      <c r="X2346" s="574">
        <f t="shared" si="298"/>
        <v>0</v>
      </c>
      <c r="Y2346" s="487"/>
      <c r="Z2346" s="487"/>
      <c r="AA2346" s="276">
        <f t="shared" si="299"/>
        <v>0</v>
      </c>
      <c r="AB2346" s="573"/>
      <c r="AC2346" s="487"/>
      <c r="AD2346" s="573"/>
      <c r="AE2346" s="487"/>
      <c r="AF2346" s="577">
        <f t="shared" si="295"/>
        <v>71196033</v>
      </c>
      <c r="AG2346" s="275">
        <f t="shared" si="296"/>
        <v>66200281</v>
      </c>
    </row>
    <row r="2347" spans="1:33" ht="12" customHeight="1">
      <c r="A2347" s="744" t="s">
        <v>1274</v>
      </c>
      <c r="B2347" s="703" t="s">
        <v>1776</v>
      </c>
      <c r="C2347" s="747" t="s">
        <v>1704</v>
      </c>
      <c r="D2347" s="746">
        <v>218964</v>
      </c>
      <c r="E2347" s="697">
        <v>3</v>
      </c>
      <c r="F2347" s="573">
        <v>863900</v>
      </c>
      <c r="G2347" s="487"/>
      <c r="H2347" s="573"/>
      <c r="I2347" s="487"/>
      <c r="J2347" s="573"/>
      <c r="K2347" s="487"/>
      <c r="L2347" s="573"/>
      <c r="M2347" s="573"/>
      <c r="N2347" s="456">
        <f t="shared" si="297"/>
        <v>0</v>
      </c>
      <c r="O2347" s="487"/>
      <c r="P2347" s="487"/>
      <c r="Q2347" s="274">
        <f t="shared" si="292"/>
        <v>0</v>
      </c>
      <c r="R2347" s="574">
        <f t="shared" si="293"/>
        <v>863900</v>
      </c>
      <c r="S2347" s="275">
        <f t="shared" si="294"/>
        <v>0</v>
      </c>
      <c r="T2347" s="575"/>
      <c r="U2347" s="487"/>
      <c r="V2347" s="576"/>
      <c r="W2347" s="573"/>
      <c r="X2347" s="574">
        <f t="shared" si="298"/>
        <v>0</v>
      </c>
      <c r="Y2347" s="487"/>
      <c r="Z2347" s="487"/>
      <c r="AA2347" s="276">
        <f t="shared" si="299"/>
        <v>0</v>
      </c>
      <c r="AB2347" s="573"/>
      <c r="AC2347" s="487"/>
      <c r="AD2347" s="573"/>
      <c r="AE2347" s="487"/>
      <c r="AF2347" s="577">
        <f t="shared" si="295"/>
        <v>863900</v>
      </c>
      <c r="AG2347" s="275">
        <f t="shared" si="296"/>
        <v>0</v>
      </c>
    </row>
    <row r="2348" spans="1:33" ht="12" customHeight="1">
      <c r="A2348" s="744" t="s">
        <v>1274</v>
      </c>
      <c r="B2348" s="703" t="s">
        <v>1776</v>
      </c>
      <c r="C2348" s="747" t="s">
        <v>1988</v>
      </c>
      <c r="D2348" s="746">
        <v>218964</v>
      </c>
      <c r="E2348" s="697">
        <v>3</v>
      </c>
      <c r="F2348" s="518"/>
      <c r="G2348" s="949">
        <v>2999462</v>
      </c>
      <c r="H2348" s="573"/>
      <c r="I2348" s="487"/>
      <c r="J2348" s="573"/>
      <c r="K2348" s="487"/>
      <c r="L2348" s="573"/>
      <c r="M2348" s="573"/>
      <c r="N2348" s="456">
        <f t="shared" si="297"/>
        <v>0</v>
      </c>
      <c r="O2348" s="487"/>
      <c r="P2348" s="487"/>
      <c r="Q2348" s="274">
        <f t="shared" si="292"/>
        <v>0</v>
      </c>
      <c r="R2348" s="574">
        <f t="shared" si="293"/>
        <v>0</v>
      </c>
      <c r="S2348" s="275">
        <f t="shared" si="294"/>
        <v>2999462</v>
      </c>
      <c r="T2348" s="575"/>
      <c r="U2348" s="487"/>
      <c r="V2348" s="576"/>
      <c r="W2348" s="573"/>
      <c r="X2348" s="574">
        <f t="shared" si="298"/>
        <v>0</v>
      </c>
      <c r="Y2348" s="487"/>
      <c r="Z2348" s="487"/>
      <c r="AA2348" s="276">
        <f t="shared" si="299"/>
        <v>0</v>
      </c>
      <c r="AB2348" s="573"/>
      <c r="AC2348" s="487"/>
      <c r="AD2348" s="573"/>
      <c r="AE2348" s="487"/>
      <c r="AF2348" s="577">
        <f t="shared" si="295"/>
        <v>0</v>
      </c>
      <c r="AG2348" s="275">
        <f t="shared" si="296"/>
        <v>2999462</v>
      </c>
    </row>
    <row r="2349" spans="1:33" ht="12" customHeight="1">
      <c r="A2349" s="744" t="s">
        <v>1274</v>
      </c>
      <c r="B2349" s="703" t="s">
        <v>1784</v>
      </c>
      <c r="C2349" s="299" t="s">
        <v>2037</v>
      </c>
      <c r="D2349" s="746">
        <v>218964</v>
      </c>
      <c r="E2349" s="697">
        <v>3</v>
      </c>
      <c r="F2349" s="518"/>
      <c r="G2349" s="487"/>
      <c r="H2349" s="573"/>
      <c r="I2349" s="487"/>
      <c r="J2349" s="573"/>
      <c r="K2349" s="487"/>
      <c r="L2349" s="573"/>
      <c r="M2349" s="573"/>
      <c r="N2349" s="456">
        <f t="shared" si="297"/>
        <v>0</v>
      </c>
      <c r="O2349" s="487"/>
      <c r="P2349" s="487"/>
      <c r="Q2349" s="274">
        <f t="shared" si="292"/>
        <v>0</v>
      </c>
      <c r="R2349" s="574">
        <f t="shared" si="293"/>
        <v>0</v>
      </c>
      <c r="S2349" s="275">
        <f t="shared" si="294"/>
        <v>0</v>
      </c>
      <c r="T2349" s="575"/>
      <c r="U2349" s="487"/>
      <c r="V2349" s="576"/>
      <c r="W2349" s="573"/>
      <c r="X2349" s="574">
        <f t="shared" si="298"/>
        <v>0</v>
      </c>
      <c r="Y2349" s="487"/>
      <c r="Z2349" s="487"/>
      <c r="AA2349" s="276">
        <f t="shared" si="299"/>
        <v>0</v>
      </c>
      <c r="AB2349" s="573"/>
      <c r="AC2349" s="487"/>
      <c r="AD2349" s="573"/>
      <c r="AE2349" s="487"/>
      <c r="AF2349" s="577">
        <f t="shared" si="295"/>
        <v>0</v>
      </c>
      <c r="AG2349" s="275">
        <f t="shared" si="296"/>
        <v>0</v>
      </c>
    </row>
    <row r="2350" spans="1:33" ht="12" customHeight="1">
      <c r="A2350" s="744" t="s">
        <v>1274</v>
      </c>
      <c r="B2350" s="703" t="s">
        <v>1784</v>
      </c>
      <c r="C2350" s="747" t="s">
        <v>1238</v>
      </c>
      <c r="D2350" s="746">
        <v>218964</v>
      </c>
      <c r="E2350" s="697">
        <v>3</v>
      </c>
      <c r="F2350" s="518"/>
      <c r="G2350" s="487"/>
      <c r="H2350" s="1096">
        <v>17641</v>
      </c>
      <c r="I2350" s="487">
        <v>13912</v>
      </c>
      <c r="J2350" s="573"/>
      <c r="K2350" s="487"/>
      <c r="L2350" s="573"/>
      <c r="M2350" s="573"/>
      <c r="N2350" s="456">
        <f t="shared" si="297"/>
        <v>0</v>
      </c>
      <c r="O2350" s="487"/>
      <c r="P2350" s="487"/>
      <c r="Q2350" s="274">
        <f t="shared" si="292"/>
        <v>0</v>
      </c>
      <c r="R2350" s="574">
        <f t="shared" si="293"/>
        <v>17641</v>
      </c>
      <c r="S2350" s="275">
        <f t="shared" si="294"/>
        <v>13912</v>
      </c>
      <c r="T2350" s="575"/>
      <c r="U2350" s="487"/>
      <c r="V2350" s="576"/>
      <c r="W2350" s="573"/>
      <c r="X2350" s="574">
        <f t="shared" si="298"/>
        <v>0</v>
      </c>
      <c r="Y2350" s="487"/>
      <c r="Z2350" s="487"/>
      <c r="AA2350" s="276">
        <f t="shared" si="299"/>
        <v>0</v>
      </c>
      <c r="AB2350" s="573"/>
      <c r="AC2350" s="487"/>
      <c r="AD2350" s="573"/>
      <c r="AE2350" s="487"/>
      <c r="AF2350" s="577">
        <f t="shared" si="295"/>
        <v>17641</v>
      </c>
      <c r="AG2350" s="275">
        <f t="shared" si="296"/>
        <v>13912</v>
      </c>
    </row>
    <row r="2351" spans="1:33" ht="12" customHeight="1">
      <c r="A2351" s="744" t="s">
        <v>1274</v>
      </c>
      <c r="B2351" s="703" t="s">
        <v>1784</v>
      </c>
      <c r="C2351" s="747" t="s">
        <v>1239</v>
      </c>
      <c r="D2351" s="746">
        <v>218964</v>
      </c>
      <c r="E2351" s="697">
        <v>3</v>
      </c>
      <c r="F2351" s="518"/>
      <c r="G2351" s="487"/>
      <c r="H2351" s="1096">
        <v>30000</v>
      </c>
      <c r="I2351" s="487"/>
      <c r="J2351" s="573"/>
      <c r="K2351" s="487"/>
      <c r="L2351" s="573"/>
      <c r="M2351" s="573"/>
      <c r="N2351" s="456">
        <f t="shared" si="297"/>
        <v>0</v>
      </c>
      <c r="O2351" s="487"/>
      <c r="P2351" s="487"/>
      <c r="Q2351" s="274">
        <f t="shared" si="292"/>
        <v>0</v>
      </c>
      <c r="R2351" s="574">
        <f t="shared" si="293"/>
        <v>30000</v>
      </c>
      <c r="S2351" s="275">
        <f t="shared" si="294"/>
        <v>0</v>
      </c>
      <c r="T2351" s="575"/>
      <c r="U2351" s="487"/>
      <c r="V2351" s="576"/>
      <c r="W2351" s="573"/>
      <c r="X2351" s="574">
        <f t="shared" si="298"/>
        <v>0</v>
      </c>
      <c r="Y2351" s="487"/>
      <c r="Z2351" s="487"/>
      <c r="AA2351" s="276">
        <f t="shared" si="299"/>
        <v>0</v>
      </c>
      <c r="AB2351" s="573"/>
      <c r="AC2351" s="487"/>
      <c r="AD2351" s="573"/>
      <c r="AE2351" s="487"/>
      <c r="AF2351" s="577">
        <f t="shared" si="295"/>
        <v>30000</v>
      </c>
      <c r="AG2351" s="275">
        <f t="shared" si="296"/>
        <v>0</v>
      </c>
    </row>
    <row r="2352" spans="1:33" ht="12" customHeight="1">
      <c r="A2352" s="744" t="s">
        <v>1274</v>
      </c>
      <c r="B2352" s="703" t="s">
        <v>1784</v>
      </c>
      <c r="C2352" s="747" t="s">
        <v>45</v>
      </c>
      <c r="D2352" s="746">
        <v>218964</v>
      </c>
      <c r="E2352" s="697">
        <v>3</v>
      </c>
      <c r="F2352" s="518"/>
      <c r="G2352" s="487"/>
      <c r="H2352" s="1096">
        <v>37161</v>
      </c>
      <c r="I2352" s="487">
        <v>23506</v>
      </c>
      <c r="J2352" s="573"/>
      <c r="K2352" s="487"/>
      <c r="L2352" s="573"/>
      <c r="M2352" s="573"/>
      <c r="N2352" s="456">
        <f t="shared" si="297"/>
        <v>0</v>
      </c>
      <c r="O2352" s="487"/>
      <c r="P2352" s="487"/>
      <c r="Q2352" s="274">
        <f t="shared" si="292"/>
        <v>0</v>
      </c>
      <c r="R2352" s="574">
        <f t="shared" si="293"/>
        <v>37161</v>
      </c>
      <c r="S2352" s="275">
        <f t="shared" si="294"/>
        <v>23506</v>
      </c>
      <c r="T2352" s="575"/>
      <c r="U2352" s="487"/>
      <c r="V2352" s="576"/>
      <c r="W2352" s="573"/>
      <c r="X2352" s="574">
        <f t="shared" si="298"/>
        <v>0</v>
      </c>
      <c r="Y2352" s="487"/>
      <c r="Z2352" s="487"/>
      <c r="AA2352" s="276">
        <f t="shared" si="299"/>
        <v>0</v>
      </c>
      <c r="AB2352" s="573"/>
      <c r="AC2352" s="487"/>
      <c r="AD2352" s="573"/>
      <c r="AE2352" s="487"/>
      <c r="AF2352" s="577">
        <f t="shared" si="295"/>
        <v>37161</v>
      </c>
      <c r="AG2352" s="275">
        <f t="shared" si="296"/>
        <v>23506</v>
      </c>
    </row>
    <row r="2353" spans="1:33" ht="12" customHeight="1">
      <c r="A2353" s="744" t="s">
        <v>1274</v>
      </c>
      <c r="B2353" s="703" t="s">
        <v>1784</v>
      </c>
      <c r="C2353" s="747" t="s">
        <v>1998</v>
      </c>
      <c r="D2353" s="746">
        <v>218964</v>
      </c>
      <c r="E2353" s="697">
        <v>3</v>
      </c>
      <c r="F2353" s="518"/>
      <c r="G2353" s="487"/>
      <c r="H2353" s="958">
        <v>715701</v>
      </c>
      <c r="I2353" s="949">
        <v>700526</v>
      </c>
      <c r="J2353" s="573"/>
      <c r="K2353" s="487"/>
      <c r="L2353" s="573"/>
      <c r="M2353" s="573"/>
      <c r="N2353" s="456">
        <f t="shared" si="297"/>
        <v>0</v>
      </c>
      <c r="O2353" s="487"/>
      <c r="P2353" s="487"/>
      <c r="Q2353" s="274">
        <f t="shared" si="292"/>
        <v>0</v>
      </c>
      <c r="R2353" s="574">
        <f t="shared" si="293"/>
        <v>715701</v>
      </c>
      <c r="S2353" s="275">
        <f t="shared" si="294"/>
        <v>700526</v>
      </c>
      <c r="T2353" s="575"/>
      <c r="U2353" s="487"/>
      <c r="V2353" s="576"/>
      <c r="W2353" s="573"/>
      <c r="X2353" s="574">
        <f t="shared" si="298"/>
        <v>0</v>
      </c>
      <c r="Y2353" s="487"/>
      <c r="Z2353" s="487"/>
      <c r="AA2353" s="276">
        <f t="shared" si="299"/>
        <v>0</v>
      </c>
      <c r="AB2353" s="573"/>
      <c r="AC2353" s="487"/>
      <c r="AD2353" s="573"/>
      <c r="AE2353" s="487"/>
      <c r="AF2353" s="577">
        <f t="shared" si="295"/>
        <v>715701</v>
      </c>
      <c r="AG2353" s="275">
        <f t="shared" si="296"/>
        <v>700526</v>
      </c>
    </row>
    <row r="2354" spans="1:33" ht="12" customHeight="1">
      <c r="A2354" s="744" t="s">
        <v>1274</v>
      </c>
      <c r="B2354" s="703" t="s">
        <v>1784</v>
      </c>
      <c r="C2354" s="747" t="s">
        <v>1999</v>
      </c>
      <c r="D2354" s="746">
        <v>218964</v>
      </c>
      <c r="E2354" s="697">
        <v>3</v>
      </c>
      <c r="F2354" s="518"/>
      <c r="G2354" s="487"/>
      <c r="H2354" s="958">
        <v>115000</v>
      </c>
      <c r="I2354" s="487"/>
      <c r="J2354" s="573"/>
      <c r="K2354" s="487"/>
      <c r="L2354" s="573"/>
      <c r="M2354" s="573"/>
      <c r="N2354" s="456">
        <f t="shared" si="297"/>
        <v>0</v>
      </c>
      <c r="O2354" s="487"/>
      <c r="P2354" s="487"/>
      <c r="Q2354" s="274">
        <f t="shared" si="292"/>
        <v>0</v>
      </c>
      <c r="R2354" s="574">
        <f t="shared" si="293"/>
        <v>115000</v>
      </c>
      <c r="S2354" s="275">
        <f t="shared" si="294"/>
        <v>0</v>
      </c>
      <c r="T2354" s="575"/>
      <c r="U2354" s="487"/>
      <c r="V2354" s="576"/>
      <c r="W2354" s="573"/>
      <c r="X2354" s="574">
        <f t="shared" si="298"/>
        <v>0</v>
      </c>
      <c r="Y2354" s="487"/>
      <c r="Z2354" s="487"/>
      <c r="AA2354" s="276">
        <f t="shared" si="299"/>
        <v>0</v>
      </c>
      <c r="AB2354" s="573"/>
      <c r="AC2354" s="487"/>
      <c r="AD2354" s="573"/>
      <c r="AE2354" s="487"/>
      <c r="AF2354" s="577">
        <f t="shared" si="295"/>
        <v>115000</v>
      </c>
      <c r="AG2354" s="275">
        <f t="shared" si="296"/>
        <v>0</v>
      </c>
    </row>
    <row r="2355" spans="1:33" ht="12" customHeight="1">
      <c r="A2355" s="744" t="s">
        <v>1274</v>
      </c>
      <c r="B2355" s="703" t="s">
        <v>1784</v>
      </c>
      <c r="C2355" s="747" t="s">
        <v>2000</v>
      </c>
      <c r="D2355" s="746">
        <v>218964</v>
      </c>
      <c r="E2355" s="697">
        <v>3</v>
      </c>
      <c r="F2355" s="518"/>
      <c r="G2355" s="487"/>
      <c r="H2355" s="958">
        <v>1200000</v>
      </c>
      <c r="I2355" s="487"/>
      <c r="J2355" s="573"/>
      <c r="K2355" s="487"/>
      <c r="L2355" s="573"/>
      <c r="M2355" s="573"/>
      <c r="N2355" s="456">
        <f t="shared" si="297"/>
        <v>0</v>
      </c>
      <c r="O2355" s="487"/>
      <c r="P2355" s="487"/>
      <c r="Q2355" s="274">
        <f t="shared" si="292"/>
        <v>0</v>
      </c>
      <c r="R2355" s="574">
        <f t="shared" si="293"/>
        <v>1200000</v>
      </c>
      <c r="S2355" s="275">
        <f t="shared" si="294"/>
        <v>0</v>
      </c>
      <c r="T2355" s="575"/>
      <c r="U2355" s="487"/>
      <c r="V2355" s="576"/>
      <c r="W2355" s="573"/>
      <c r="X2355" s="574">
        <f t="shared" si="298"/>
        <v>0</v>
      </c>
      <c r="Y2355" s="487"/>
      <c r="Z2355" s="487"/>
      <c r="AA2355" s="276">
        <f t="shared" si="299"/>
        <v>0</v>
      </c>
      <c r="AB2355" s="573"/>
      <c r="AC2355" s="487"/>
      <c r="AD2355" s="573"/>
      <c r="AE2355" s="487"/>
      <c r="AF2355" s="577">
        <f t="shared" si="295"/>
        <v>1200000</v>
      </c>
      <c r="AG2355" s="275">
        <f t="shared" si="296"/>
        <v>0</v>
      </c>
    </row>
    <row r="2356" spans="1:33" ht="12" customHeight="1">
      <c r="A2356" s="744" t="s">
        <v>1274</v>
      </c>
      <c r="B2356" s="703" t="s">
        <v>1776</v>
      </c>
      <c r="C2356" s="745" t="s">
        <v>1705</v>
      </c>
      <c r="D2356" s="746">
        <v>217819</v>
      </c>
      <c r="E2356" s="697">
        <v>3</v>
      </c>
      <c r="F2356" s="573">
        <v>29369759</v>
      </c>
      <c r="G2356" s="949">
        <f>26398964-4649191+300955</f>
        <v>22050728</v>
      </c>
      <c r="H2356" s="573"/>
      <c r="I2356" s="487"/>
      <c r="J2356" s="573"/>
      <c r="K2356" s="487"/>
      <c r="L2356" s="573">
        <v>96414145</v>
      </c>
      <c r="M2356" s="573">
        <v>3586998</v>
      </c>
      <c r="N2356" s="456">
        <f t="shared" si="297"/>
        <v>100001143</v>
      </c>
      <c r="O2356" s="487">
        <v>104947380</v>
      </c>
      <c r="P2356" s="487">
        <v>5113470</v>
      </c>
      <c r="Q2356" s="274">
        <f t="shared" si="292"/>
        <v>110060850</v>
      </c>
      <c r="R2356" s="574">
        <f t="shared" si="293"/>
        <v>125783904</v>
      </c>
      <c r="S2356" s="275">
        <f t="shared" si="294"/>
        <v>126998108</v>
      </c>
      <c r="T2356" s="575"/>
      <c r="U2356" s="487"/>
      <c r="V2356" s="576"/>
      <c r="W2356" s="573"/>
      <c r="X2356" s="574">
        <f t="shared" si="298"/>
        <v>0</v>
      </c>
      <c r="Y2356" s="487"/>
      <c r="Z2356" s="487"/>
      <c r="AA2356" s="276">
        <f t="shared" si="299"/>
        <v>0</v>
      </c>
      <c r="AB2356" s="573"/>
      <c r="AC2356" s="487"/>
      <c r="AD2356" s="573"/>
      <c r="AE2356" s="487"/>
      <c r="AF2356" s="577">
        <f t="shared" si="295"/>
        <v>125783904</v>
      </c>
      <c r="AG2356" s="275">
        <f t="shared" si="296"/>
        <v>126998108</v>
      </c>
    </row>
    <row r="2357" spans="1:33" ht="12" customHeight="1">
      <c r="A2357" s="744" t="s">
        <v>1274</v>
      </c>
      <c r="B2357" s="703" t="s">
        <v>1776</v>
      </c>
      <c r="C2357" s="747" t="s">
        <v>1704</v>
      </c>
      <c r="D2357" s="746">
        <v>217819</v>
      </c>
      <c r="E2357" s="697">
        <v>3</v>
      </c>
      <c r="F2357" s="573">
        <v>1033014</v>
      </c>
      <c r="G2357" s="487"/>
      <c r="H2357" s="573"/>
      <c r="I2357" s="487"/>
      <c r="J2357" s="573"/>
      <c r="K2357" s="487"/>
      <c r="L2357" s="573"/>
      <c r="M2357" s="573"/>
      <c r="N2357" s="456">
        <f t="shared" si="297"/>
        <v>0</v>
      </c>
      <c r="O2357" s="487"/>
      <c r="P2357" s="487"/>
      <c r="Q2357" s="274">
        <f t="shared" si="292"/>
        <v>0</v>
      </c>
      <c r="R2357" s="574">
        <f t="shared" si="293"/>
        <v>1033014</v>
      </c>
      <c r="S2357" s="275">
        <f t="shared" si="294"/>
        <v>0</v>
      </c>
      <c r="T2357" s="575"/>
      <c r="U2357" s="487"/>
      <c r="V2357" s="576"/>
      <c r="W2357" s="573"/>
      <c r="X2357" s="574">
        <f t="shared" si="298"/>
        <v>0</v>
      </c>
      <c r="Y2357" s="487"/>
      <c r="Z2357" s="487"/>
      <c r="AA2357" s="276">
        <f t="shared" si="299"/>
        <v>0</v>
      </c>
      <c r="AB2357" s="573"/>
      <c r="AC2357" s="487"/>
      <c r="AD2357" s="573"/>
      <c r="AE2357" s="487"/>
      <c r="AF2357" s="577">
        <f t="shared" si="295"/>
        <v>1033014</v>
      </c>
      <c r="AG2357" s="275">
        <f t="shared" si="296"/>
        <v>0</v>
      </c>
    </row>
    <row r="2358" spans="1:33" ht="12" customHeight="1">
      <c r="A2358" s="744" t="s">
        <v>1274</v>
      </c>
      <c r="B2358" s="703" t="s">
        <v>1776</v>
      </c>
      <c r="C2358" s="747" t="s">
        <v>1988</v>
      </c>
      <c r="D2358" s="746">
        <v>217819</v>
      </c>
      <c r="E2358" s="697">
        <v>3</v>
      </c>
      <c r="F2358" s="518"/>
      <c r="G2358" s="949">
        <v>4003809</v>
      </c>
      <c r="H2358" s="573"/>
      <c r="I2358" s="487"/>
      <c r="J2358" s="573"/>
      <c r="K2358" s="487"/>
      <c r="L2358" s="573"/>
      <c r="M2358" s="573"/>
      <c r="N2358" s="456">
        <f t="shared" si="297"/>
        <v>0</v>
      </c>
      <c r="O2358" s="487"/>
      <c r="P2358" s="487"/>
      <c r="Q2358" s="274">
        <f t="shared" si="292"/>
        <v>0</v>
      </c>
      <c r="R2358" s="574">
        <f t="shared" si="293"/>
        <v>0</v>
      </c>
      <c r="S2358" s="275">
        <f t="shared" si="294"/>
        <v>4003809</v>
      </c>
      <c r="T2358" s="575"/>
      <c r="U2358" s="487"/>
      <c r="V2358" s="576"/>
      <c r="W2358" s="573"/>
      <c r="X2358" s="574">
        <f t="shared" si="298"/>
        <v>0</v>
      </c>
      <c r="Y2358" s="487"/>
      <c r="Z2358" s="487"/>
      <c r="AA2358" s="276">
        <f t="shared" si="299"/>
        <v>0</v>
      </c>
      <c r="AB2358" s="573"/>
      <c r="AC2358" s="487"/>
      <c r="AD2358" s="573"/>
      <c r="AE2358" s="487"/>
      <c r="AF2358" s="577">
        <f t="shared" si="295"/>
        <v>0</v>
      </c>
      <c r="AG2358" s="275">
        <f t="shared" si="296"/>
        <v>4003809</v>
      </c>
    </row>
    <row r="2359" spans="1:33" ht="12" customHeight="1">
      <c r="A2359" s="744" t="s">
        <v>1274</v>
      </c>
      <c r="B2359" s="703" t="s">
        <v>1778</v>
      </c>
      <c r="C2359" s="298" t="s">
        <v>1891</v>
      </c>
      <c r="D2359" s="746">
        <v>217819</v>
      </c>
      <c r="E2359" s="697">
        <v>3</v>
      </c>
      <c r="F2359" s="573"/>
      <c r="G2359" s="487"/>
      <c r="H2359" s="573"/>
      <c r="I2359" s="487"/>
      <c r="J2359" s="573"/>
      <c r="K2359" s="487"/>
      <c r="L2359" s="573"/>
      <c r="M2359" s="573"/>
      <c r="N2359" s="456">
        <f t="shared" si="297"/>
        <v>0</v>
      </c>
      <c r="O2359" s="487"/>
      <c r="P2359" s="487"/>
      <c r="Q2359" s="274">
        <f t="shared" si="292"/>
        <v>0</v>
      </c>
      <c r="R2359" s="574">
        <f t="shared" si="293"/>
        <v>0</v>
      </c>
      <c r="S2359" s="275">
        <f t="shared" si="294"/>
        <v>0</v>
      </c>
      <c r="T2359" s="575"/>
      <c r="U2359" s="487"/>
      <c r="V2359" s="576"/>
      <c r="W2359" s="573"/>
      <c r="X2359" s="574">
        <f t="shared" si="298"/>
        <v>0</v>
      </c>
      <c r="Y2359" s="487"/>
      <c r="Z2359" s="487"/>
      <c r="AA2359" s="276">
        <f t="shared" si="299"/>
        <v>0</v>
      </c>
      <c r="AB2359" s="573"/>
      <c r="AC2359" s="487"/>
      <c r="AD2359" s="573"/>
      <c r="AE2359" s="487"/>
      <c r="AF2359" s="577">
        <f t="shared" si="295"/>
        <v>0</v>
      </c>
      <c r="AG2359" s="275">
        <f t="shared" si="296"/>
        <v>0</v>
      </c>
    </row>
    <row r="2360" spans="1:33" ht="12" customHeight="1">
      <c r="A2360" s="744" t="s">
        <v>1274</v>
      </c>
      <c r="B2360" s="703" t="s">
        <v>1778</v>
      </c>
      <c r="C2360" s="747" t="s">
        <v>1713</v>
      </c>
      <c r="D2360" s="746">
        <v>217819</v>
      </c>
      <c r="E2360" s="697">
        <v>3</v>
      </c>
      <c r="F2360" s="518"/>
      <c r="G2360" s="487"/>
      <c r="H2360" s="573">
        <v>1204314</v>
      </c>
      <c r="I2360" s="487">
        <v>0</v>
      </c>
      <c r="J2360" s="573"/>
      <c r="K2360" s="487"/>
      <c r="L2360" s="573"/>
      <c r="M2360" s="573"/>
      <c r="N2360" s="456">
        <f t="shared" si="297"/>
        <v>0</v>
      </c>
      <c r="O2360" s="487"/>
      <c r="P2360" s="487"/>
      <c r="Q2360" s="274">
        <f t="shared" si="292"/>
        <v>0</v>
      </c>
      <c r="R2360" s="574">
        <f t="shared" si="293"/>
        <v>1204314</v>
      </c>
      <c r="S2360" s="275">
        <f t="shared" si="294"/>
        <v>0</v>
      </c>
      <c r="T2360" s="575"/>
      <c r="U2360" s="487"/>
      <c r="V2360" s="576"/>
      <c r="W2360" s="573"/>
      <c r="X2360" s="574">
        <f t="shared" si="298"/>
        <v>0</v>
      </c>
      <c r="Y2360" s="487"/>
      <c r="Z2360" s="487"/>
      <c r="AA2360" s="276">
        <f t="shared" si="299"/>
        <v>0</v>
      </c>
      <c r="AB2360" s="573"/>
      <c r="AC2360" s="487"/>
      <c r="AD2360" s="573"/>
      <c r="AE2360" s="487"/>
      <c r="AF2360" s="577">
        <f t="shared" si="295"/>
        <v>1204314</v>
      </c>
      <c r="AG2360" s="275">
        <f t="shared" si="296"/>
        <v>0</v>
      </c>
    </row>
    <row r="2361" spans="1:33" ht="12" customHeight="1">
      <c r="A2361" s="744" t="s">
        <v>1274</v>
      </c>
      <c r="B2361" s="703" t="s">
        <v>1783</v>
      </c>
      <c r="C2361" s="298" t="s">
        <v>1881</v>
      </c>
      <c r="D2361" s="746">
        <v>217819</v>
      </c>
      <c r="E2361" s="697">
        <v>3</v>
      </c>
      <c r="F2361" s="573"/>
      <c r="G2361" s="487"/>
      <c r="H2361" s="573"/>
      <c r="I2361" s="487"/>
      <c r="J2361" s="573"/>
      <c r="K2361" s="487"/>
      <c r="L2361" s="573"/>
      <c r="M2361" s="573"/>
      <c r="N2361" s="456">
        <f t="shared" si="297"/>
        <v>0</v>
      </c>
      <c r="O2361" s="487"/>
      <c r="P2361" s="487"/>
      <c r="Q2361" s="274">
        <f t="shared" si="292"/>
        <v>0</v>
      </c>
      <c r="R2361" s="574">
        <f t="shared" si="293"/>
        <v>0</v>
      </c>
      <c r="S2361" s="275">
        <f t="shared" si="294"/>
        <v>0</v>
      </c>
      <c r="T2361" s="575"/>
      <c r="U2361" s="487"/>
      <c r="V2361" s="576"/>
      <c r="W2361" s="573"/>
      <c r="X2361" s="574">
        <f t="shared" si="298"/>
        <v>0</v>
      </c>
      <c r="Y2361" s="487"/>
      <c r="Z2361" s="487"/>
      <c r="AA2361" s="276">
        <f t="shared" si="299"/>
        <v>0</v>
      </c>
      <c r="AB2361" s="573"/>
      <c r="AC2361" s="487"/>
      <c r="AD2361" s="573"/>
      <c r="AE2361" s="487"/>
      <c r="AF2361" s="577">
        <f t="shared" si="295"/>
        <v>0</v>
      </c>
      <c r="AG2361" s="275">
        <f t="shared" si="296"/>
        <v>0</v>
      </c>
    </row>
    <row r="2362" spans="1:33" ht="12" customHeight="1">
      <c r="A2362" s="744" t="s">
        <v>1274</v>
      </c>
      <c r="B2362" s="703" t="s">
        <v>1783</v>
      </c>
      <c r="C2362" s="747" t="s">
        <v>1714</v>
      </c>
      <c r="D2362" s="746">
        <v>217819</v>
      </c>
      <c r="E2362" s="697">
        <v>3</v>
      </c>
      <c r="F2362" s="518"/>
      <c r="G2362" s="487"/>
      <c r="H2362" s="573">
        <v>300000</v>
      </c>
      <c r="I2362" s="487">
        <v>0</v>
      </c>
      <c r="J2362" s="573"/>
      <c r="K2362" s="487"/>
      <c r="L2362" s="573"/>
      <c r="M2362" s="573"/>
      <c r="N2362" s="456">
        <f t="shared" si="297"/>
        <v>0</v>
      </c>
      <c r="O2362" s="487"/>
      <c r="P2362" s="487"/>
      <c r="Q2362" s="274">
        <f t="shared" si="292"/>
        <v>0</v>
      </c>
      <c r="R2362" s="574">
        <f t="shared" si="293"/>
        <v>300000</v>
      </c>
      <c r="S2362" s="275">
        <f t="shared" si="294"/>
        <v>0</v>
      </c>
      <c r="T2362" s="575"/>
      <c r="U2362" s="487"/>
      <c r="V2362" s="576"/>
      <c r="W2362" s="573"/>
      <c r="X2362" s="574">
        <f t="shared" si="298"/>
        <v>0</v>
      </c>
      <c r="Y2362" s="487"/>
      <c r="Z2362" s="487"/>
      <c r="AA2362" s="276">
        <f t="shared" si="299"/>
        <v>0</v>
      </c>
      <c r="AB2362" s="573"/>
      <c r="AC2362" s="487"/>
      <c r="AD2362" s="573"/>
      <c r="AE2362" s="487"/>
      <c r="AF2362" s="577">
        <f t="shared" si="295"/>
        <v>300000</v>
      </c>
      <c r="AG2362" s="275">
        <f t="shared" si="296"/>
        <v>0</v>
      </c>
    </row>
    <row r="2363" spans="1:33" ht="12" customHeight="1">
      <c r="A2363" s="744" t="s">
        <v>1274</v>
      </c>
      <c r="B2363" s="703" t="s">
        <v>1783</v>
      </c>
      <c r="C2363" s="747" t="s">
        <v>1715</v>
      </c>
      <c r="D2363" s="746">
        <v>217819</v>
      </c>
      <c r="E2363" s="697">
        <v>3</v>
      </c>
      <c r="F2363" s="518"/>
      <c r="G2363" s="487"/>
      <c r="H2363" s="573">
        <v>350000</v>
      </c>
      <c r="I2363" s="487">
        <v>0</v>
      </c>
      <c r="J2363" s="573"/>
      <c r="K2363" s="487"/>
      <c r="L2363" s="573"/>
      <c r="M2363" s="573"/>
      <c r="N2363" s="456">
        <f t="shared" si="297"/>
        <v>0</v>
      </c>
      <c r="O2363" s="487"/>
      <c r="P2363" s="487"/>
      <c r="Q2363" s="274">
        <f t="shared" si="292"/>
        <v>0</v>
      </c>
      <c r="R2363" s="574">
        <f t="shared" si="293"/>
        <v>350000</v>
      </c>
      <c r="S2363" s="275">
        <f t="shared" si="294"/>
        <v>0</v>
      </c>
      <c r="T2363" s="575"/>
      <c r="U2363" s="487"/>
      <c r="V2363" s="576"/>
      <c r="W2363" s="573"/>
      <c r="X2363" s="574">
        <f t="shared" si="298"/>
        <v>0</v>
      </c>
      <c r="Y2363" s="487"/>
      <c r="Z2363" s="487"/>
      <c r="AA2363" s="276">
        <f t="shared" si="299"/>
        <v>0</v>
      </c>
      <c r="AB2363" s="573"/>
      <c r="AC2363" s="487"/>
      <c r="AD2363" s="573"/>
      <c r="AE2363" s="487"/>
      <c r="AF2363" s="577">
        <f t="shared" si="295"/>
        <v>350000</v>
      </c>
      <c r="AG2363" s="275">
        <f t="shared" si="296"/>
        <v>0</v>
      </c>
    </row>
    <row r="2364" spans="1:33" ht="12" customHeight="1">
      <c r="A2364" s="744" t="s">
        <v>1274</v>
      </c>
      <c r="B2364" s="703" t="s">
        <v>1784</v>
      </c>
      <c r="C2364" s="299" t="s">
        <v>2037</v>
      </c>
      <c r="D2364" s="746">
        <v>217819</v>
      </c>
      <c r="E2364" s="697">
        <v>3</v>
      </c>
      <c r="F2364" s="518"/>
      <c r="G2364" s="487"/>
      <c r="H2364" s="573"/>
      <c r="I2364" s="487"/>
      <c r="J2364" s="573"/>
      <c r="K2364" s="487"/>
      <c r="L2364" s="573"/>
      <c r="M2364" s="573"/>
      <c r="N2364" s="456">
        <f t="shared" si="297"/>
        <v>0</v>
      </c>
      <c r="O2364" s="487"/>
      <c r="P2364" s="487"/>
      <c r="Q2364" s="274">
        <f t="shared" si="292"/>
        <v>0</v>
      </c>
      <c r="R2364" s="574">
        <f t="shared" si="293"/>
        <v>0</v>
      </c>
      <c r="S2364" s="275">
        <f t="shared" si="294"/>
        <v>0</v>
      </c>
      <c r="T2364" s="575"/>
      <c r="U2364" s="487"/>
      <c r="V2364" s="576"/>
      <c r="W2364" s="573"/>
      <c r="X2364" s="574">
        <f t="shared" si="298"/>
        <v>0</v>
      </c>
      <c r="Y2364" s="487"/>
      <c r="Z2364" s="487"/>
      <c r="AA2364" s="276">
        <f t="shared" si="299"/>
        <v>0</v>
      </c>
      <c r="AB2364" s="573"/>
      <c r="AC2364" s="487"/>
      <c r="AD2364" s="573"/>
      <c r="AE2364" s="487"/>
      <c r="AF2364" s="577">
        <f t="shared" si="295"/>
        <v>0</v>
      </c>
      <c r="AG2364" s="275">
        <f t="shared" si="296"/>
        <v>0</v>
      </c>
    </row>
    <row r="2365" spans="1:33" ht="12" customHeight="1">
      <c r="A2365" s="744" t="s">
        <v>1274</v>
      </c>
      <c r="B2365" s="703" t="s">
        <v>1784</v>
      </c>
      <c r="C2365" s="747" t="s">
        <v>1238</v>
      </c>
      <c r="D2365" s="746">
        <v>217819</v>
      </c>
      <c r="E2365" s="697">
        <v>3</v>
      </c>
      <c r="F2365" s="518"/>
      <c r="G2365" s="487"/>
      <c r="H2365" s="1096">
        <v>25564</v>
      </c>
      <c r="I2365" s="487">
        <v>20061</v>
      </c>
      <c r="J2365" s="573"/>
      <c r="K2365" s="487"/>
      <c r="L2365" s="573"/>
      <c r="M2365" s="573"/>
      <c r="N2365" s="456">
        <f t="shared" si="297"/>
        <v>0</v>
      </c>
      <c r="O2365" s="487"/>
      <c r="P2365" s="487"/>
      <c r="Q2365" s="274">
        <f t="shared" si="292"/>
        <v>0</v>
      </c>
      <c r="R2365" s="574">
        <f t="shared" si="293"/>
        <v>25564</v>
      </c>
      <c r="S2365" s="275">
        <f t="shared" si="294"/>
        <v>20061</v>
      </c>
      <c r="T2365" s="575"/>
      <c r="U2365" s="487"/>
      <c r="V2365" s="576"/>
      <c r="W2365" s="573"/>
      <c r="X2365" s="574">
        <f t="shared" si="298"/>
        <v>0</v>
      </c>
      <c r="Y2365" s="487"/>
      <c r="Z2365" s="487"/>
      <c r="AA2365" s="276">
        <f t="shared" si="299"/>
        <v>0</v>
      </c>
      <c r="AB2365" s="573"/>
      <c r="AC2365" s="487"/>
      <c r="AD2365" s="573"/>
      <c r="AE2365" s="487"/>
      <c r="AF2365" s="577">
        <f t="shared" si="295"/>
        <v>25564</v>
      </c>
      <c r="AG2365" s="275">
        <f t="shared" si="296"/>
        <v>20061</v>
      </c>
    </row>
    <row r="2366" spans="1:33" ht="12" customHeight="1">
      <c r="A2366" s="744" t="s">
        <v>1274</v>
      </c>
      <c r="B2366" s="703" t="s">
        <v>1784</v>
      </c>
      <c r="C2366" s="747" t="s">
        <v>1239</v>
      </c>
      <c r="D2366" s="746">
        <v>217819</v>
      </c>
      <c r="E2366" s="697">
        <v>3</v>
      </c>
      <c r="F2366" s="518"/>
      <c r="G2366" s="487"/>
      <c r="H2366" s="1096">
        <v>30000</v>
      </c>
      <c r="I2366" s="487"/>
      <c r="J2366" s="573"/>
      <c r="K2366" s="487"/>
      <c r="L2366" s="573"/>
      <c r="M2366" s="573"/>
      <c r="N2366" s="456">
        <f t="shared" si="297"/>
        <v>0</v>
      </c>
      <c r="O2366" s="487"/>
      <c r="P2366" s="487"/>
      <c r="Q2366" s="274">
        <f t="shared" si="292"/>
        <v>0</v>
      </c>
      <c r="R2366" s="574">
        <f t="shared" si="293"/>
        <v>30000</v>
      </c>
      <c r="S2366" s="275">
        <f t="shared" si="294"/>
        <v>0</v>
      </c>
      <c r="T2366" s="575"/>
      <c r="U2366" s="487"/>
      <c r="V2366" s="576"/>
      <c r="W2366" s="573"/>
      <c r="X2366" s="574">
        <f t="shared" si="298"/>
        <v>0</v>
      </c>
      <c r="Y2366" s="487"/>
      <c r="Z2366" s="487"/>
      <c r="AA2366" s="276">
        <f t="shared" si="299"/>
        <v>0</v>
      </c>
      <c r="AB2366" s="573"/>
      <c r="AC2366" s="487"/>
      <c r="AD2366" s="573"/>
      <c r="AE2366" s="487"/>
      <c r="AF2366" s="577">
        <f t="shared" si="295"/>
        <v>30000</v>
      </c>
      <c r="AG2366" s="275">
        <f t="shared" si="296"/>
        <v>0</v>
      </c>
    </row>
    <row r="2367" spans="1:33" ht="12" customHeight="1">
      <c r="A2367" s="744" t="s">
        <v>1274</v>
      </c>
      <c r="B2367" s="703" t="s">
        <v>1784</v>
      </c>
      <c r="C2367" s="747" t="s">
        <v>45</v>
      </c>
      <c r="D2367" s="746">
        <v>217819</v>
      </c>
      <c r="E2367" s="697">
        <v>3</v>
      </c>
      <c r="F2367" s="518"/>
      <c r="G2367" s="487"/>
      <c r="H2367" s="1096">
        <v>33855</v>
      </c>
      <c r="I2367" s="487">
        <v>22932</v>
      </c>
      <c r="J2367" s="573"/>
      <c r="K2367" s="487"/>
      <c r="L2367" s="573"/>
      <c r="M2367" s="573"/>
      <c r="N2367" s="456">
        <f t="shared" si="297"/>
        <v>0</v>
      </c>
      <c r="O2367" s="487"/>
      <c r="P2367" s="487"/>
      <c r="Q2367" s="274">
        <f t="shared" si="292"/>
        <v>0</v>
      </c>
      <c r="R2367" s="574">
        <f t="shared" si="293"/>
        <v>33855</v>
      </c>
      <c r="S2367" s="275">
        <f t="shared" si="294"/>
        <v>22932</v>
      </c>
      <c r="T2367" s="575"/>
      <c r="U2367" s="487"/>
      <c r="V2367" s="576"/>
      <c r="W2367" s="573"/>
      <c r="X2367" s="574">
        <f t="shared" si="298"/>
        <v>0</v>
      </c>
      <c r="Y2367" s="487"/>
      <c r="Z2367" s="487"/>
      <c r="AA2367" s="276">
        <f t="shared" si="299"/>
        <v>0</v>
      </c>
      <c r="AB2367" s="573"/>
      <c r="AC2367" s="487"/>
      <c r="AD2367" s="573"/>
      <c r="AE2367" s="487"/>
      <c r="AF2367" s="577">
        <f t="shared" si="295"/>
        <v>33855</v>
      </c>
      <c r="AG2367" s="275">
        <f t="shared" si="296"/>
        <v>22932</v>
      </c>
    </row>
    <row r="2368" spans="1:33" ht="12" customHeight="1">
      <c r="A2368" s="744" t="s">
        <v>1274</v>
      </c>
      <c r="B2368" s="703" t="s">
        <v>1784</v>
      </c>
      <c r="C2368" s="747" t="s">
        <v>1706</v>
      </c>
      <c r="D2368" s="746">
        <v>217819</v>
      </c>
      <c r="E2368" s="697">
        <v>3</v>
      </c>
      <c r="F2368" s="573"/>
      <c r="G2368" s="487"/>
      <c r="H2368" s="952">
        <v>603000</v>
      </c>
      <c r="I2368" s="487">
        <v>0</v>
      </c>
      <c r="J2368" s="573"/>
      <c r="K2368" s="487"/>
      <c r="L2368" s="573"/>
      <c r="M2368" s="573"/>
      <c r="N2368" s="456">
        <f t="shared" si="297"/>
        <v>0</v>
      </c>
      <c r="O2368" s="487"/>
      <c r="P2368" s="487"/>
      <c r="Q2368" s="274">
        <f t="shared" si="292"/>
        <v>0</v>
      </c>
      <c r="R2368" s="574">
        <f t="shared" si="293"/>
        <v>603000</v>
      </c>
      <c r="S2368" s="275">
        <f t="shared" si="294"/>
        <v>0</v>
      </c>
      <c r="T2368" s="575"/>
      <c r="U2368" s="487"/>
      <c r="V2368" s="576"/>
      <c r="W2368" s="573"/>
      <c r="X2368" s="574">
        <f t="shared" si="298"/>
        <v>0</v>
      </c>
      <c r="Y2368" s="487"/>
      <c r="Z2368" s="487"/>
      <c r="AA2368" s="276">
        <f t="shared" si="299"/>
        <v>0</v>
      </c>
      <c r="AB2368" s="573"/>
      <c r="AC2368" s="487"/>
      <c r="AD2368" s="573"/>
      <c r="AE2368" s="487"/>
      <c r="AF2368" s="577">
        <f t="shared" si="295"/>
        <v>603000</v>
      </c>
      <c r="AG2368" s="275">
        <f t="shared" si="296"/>
        <v>0</v>
      </c>
    </row>
    <row r="2369" spans="1:33" ht="12" customHeight="1">
      <c r="A2369" s="744" t="s">
        <v>1274</v>
      </c>
      <c r="B2369" s="703" t="s">
        <v>1784</v>
      </c>
      <c r="C2369" s="747" t="s">
        <v>1707</v>
      </c>
      <c r="D2369" s="746">
        <v>217819</v>
      </c>
      <c r="E2369" s="697">
        <v>3</v>
      </c>
      <c r="F2369" s="573"/>
      <c r="G2369" s="487"/>
      <c r="H2369" s="952">
        <v>545000</v>
      </c>
      <c r="I2369" s="487">
        <v>0</v>
      </c>
      <c r="J2369" s="573"/>
      <c r="K2369" s="487"/>
      <c r="L2369" s="573"/>
      <c r="M2369" s="573"/>
      <c r="N2369" s="456">
        <f t="shared" si="297"/>
        <v>0</v>
      </c>
      <c r="O2369" s="487"/>
      <c r="P2369" s="487"/>
      <c r="Q2369" s="274">
        <f t="shared" si="292"/>
        <v>0</v>
      </c>
      <c r="R2369" s="574">
        <f t="shared" si="293"/>
        <v>545000</v>
      </c>
      <c r="S2369" s="275">
        <f t="shared" si="294"/>
        <v>0</v>
      </c>
      <c r="T2369" s="575"/>
      <c r="U2369" s="487"/>
      <c r="V2369" s="576"/>
      <c r="W2369" s="573"/>
      <c r="X2369" s="574">
        <f t="shared" si="298"/>
        <v>0</v>
      </c>
      <c r="Y2369" s="487"/>
      <c r="Z2369" s="487"/>
      <c r="AA2369" s="276">
        <f t="shared" si="299"/>
        <v>0</v>
      </c>
      <c r="AB2369" s="573"/>
      <c r="AC2369" s="487"/>
      <c r="AD2369" s="573"/>
      <c r="AE2369" s="487"/>
      <c r="AF2369" s="577">
        <f t="shared" si="295"/>
        <v>545000</v>
      </c>
      <c r="AG2369" s="275">
        <f t="shared" si="296"/>
        <v>0</v>
      </c>
    </row>
    <row r="2370" spans="1:33" ht="12" customHeight="1">
      <c r="A2370" s="744" t="s">
        <v>1274</v>
      </c>
      <c r="B2370" s="703" t="s">
        <v>1784</v>
      </c>
      <c r="C2370" s="747" t="s">
        <v>1708</v>
      </c>
      <c r="D2370" s="746">
        <v>217819</v>
      </c>
      <c r="E2370" s="697">
        <v>3</v>
      </c>
      <c r="F2370" s="573"/>
      <c r="G2370" s="487"/>
      <c r="H2370" s="952">
        <v>901800</v>
      </c>
      <c r="I2370" s="487">
        <v>0</v>
      </c>
      <c r="J2370" s="573"/>
      <c r="K2370" s="487"/>
      <c r="L2370" s="573"/>
      <c r="M2370" s="573"/>
      <c r="N2370" s="456">
        <f t="shared" si="297"/>
        <v>0</v>
      </c>
      <c r="O2370" s="487"/>
      <c r="P2370" s="487"/>
      <c r="Q2370" s="274">
        <f t="shared" si="292"/>
        <v>0</v>
      </c>
      <c r="R2370" s="574">
        <f t="shared" si="293"/>
        <v>901800</v>
      </c>
      <c r="S2370" s="275">
        <f t="shared" si="294"/>
        <v>0</v>
      </c>
      <c r="T2370" s="575"/>
      <c r="U2370" s="487"/>
      <c r="V2370" s="576"/>
      <c r="W2370" s="573"/>
      <c r="X2370" s="574">
        <f t="shared" si="298"/>
        <v>0</v>
      </c>
      <c r="Y2370" s="487"/>
      <c r="Z2370" s="487"/>
      <c r="AA2370" s="276">
        <f t="shared" si="299"/>
        <v>0</v>
      </c>
      <c r="AB2370" s="573"/>
      <c r="AC2370" s="487"/>
      <c r="AD2370" s="573"/>
      <c r="AE2370" s="487"/>
      <c r="AF2370" s="577">
        <f t="shared" si="295"/>
        <v>901800</v>
      </c>
      <c r="AG2370" s="275">
        <f t="shared" si="296"/>
        <v>0</v>
      </c>
    </row>
    <row r="2371" spans="1:33" ht="12" customHeight="1">
      <c r="A2371" s="744" t="s">
        <v>1274</v>
      </c>
      <c r="B2371" s="703" t="s">
        <v>1784</v>
      </c>
      <c r="C2371" s="747" t="s">
        <v>1709</v>
      </c>
      <c r="D2371" s="746">
        <v>217819</v>
      </c>
      <c r="E2371" s="697">
        <v>3</v>
      </c>
      <c r="F2371" s="518"/>
      <c r="G2371" s="487"/>
      <c r="H2371" s="1096">
        <v>288017</v>
      </c>
      <c r="I2371" s="487">
        <v>0</v>
      </c>
      <c r="J2371" s="573"/>
      <c r="K2371" s="487"/>
      <c r="L2371" s="573"/>
      <c r="M2371" s="573"/>
      <c r="N2371" s="456">
        <f t="shared" si="297"/>
        <v>0</v>
      </c>
      <c r="O2371" s="487"/>
      <c r="P2371" s="487"/>
      <c r="Q2371" s="274">
        <f t="shared" si="292"/>
        <v>0</v>
      </c>
      <c r="R2371" s="574">
        <f t="shared" si="293"/>
        <v>288017</v>
      </c>
      <c r="S2371" s="275">
        <f t="shared" si="294"/>
        <v>0</v>
      </c>
      <c r="T2371" s="575"/>
      <c r="U2371" s="487"/>
      <c r="V2371" s="576"/>
      <c r="W2371" s="573"/>
      <c r="X2371" s="574">
        <f t="shared" si="298"/>
        <v>0</v>
      </c>
      <c r="Y2371" s="487"/>
      <c r="Z2371" s="487"/>
      <c r="AA2371" s="276">
        <f t="shared" si="299"/>
        <v>0</v>
      </c>
      <c r="AB2371" s="573"/>
      <c r="AC2371" s="487"/>
      <c r="AD2371" s="573"/>
      <c r="AE2371" s="487"/>
      <c r="AF2371" s="577">
        <f t="shared" si="295"/>
        <v>288017</v>
      </c>
      <c r="AG2371" s="275">
        <f t="shared" si="296"/>
        <v>0</v>
      </c>
    </row>
    <row r="2372" spans="1:33" ht="12" customHeight="1">
      <c r="A2372" s="744" t="s">
        <v>1274</v>
      </c>
      <c r="B2372" s="703" t="s">
        <v>1784</v>
      </c>
      <c r="C2372" s="747" t="s">
        <v>1998</v>
      </c>
      <c r="D2372" s="746">
        <v>217819</v>
      </c>
      <c r="E2372" s="697">
        <v>3</v>
      </c>
      <c r="F2372" s="518"/>
      <c r="G2372" s="487"/>
      <c r="H2372" s="958">
        <v>1122190</v>
      </c>
      <c r="I2372" s="949">
        <v>1122244</v>
      </c>
      <c r="J2372" s="573"/>
      <c r="K2372" s="487"/>
      <c r="L2372" s="573"/>
      <c r="M2372" s="573"/>
      <c r="N2372" s="456">
        <f t="shared" si="297"/>
        <v>0</v>
      </c>
      <c r="O2372" s="487"/>
      <c r="P2372" s="487"/>
      <c r="Q2372" s="274">
        <f t="shared" si="292"/>
        <v>0</v>
      </c>
      <c r="R2372" s="574">
        <f t="shared" si="293"/>
        <v>1122190</v>
      </c>
      <c r="S2372" s="275">
        <f t="shared" si="294"/>
        <v>1122244</v>
      </c>
      <c r="T2372" s="575"/>
      <c r="U2372" s="487"/>
      <c r="V2372" s="576"/>
      <c r="W2372" s="573"/>
      <c r="X2372" s="574">
        <f t="shared" si="298"/>
        <v>0</v>
      </c>
      <c r="Y2372" s="487"/>
      <c r="Z2372" s="487"/>
      <c r="AA2372" s="276">
        <f t="shared" si="299"/>
        <v>0</v>
      </c>
      <c r="AB2372" s="573"/>
      <c r="AC2372" s="487"/>
      <c r="AD2372" s="573"/>
      <c r="AE2372" s="487"/>
      <c r="AF2372" s="577">
        <f t="shared" si="295"/>
        <v>1122190</v>
      </c>
      <c r="AG2372" s="275">
        <f t="shared" si="296"/>
        <v>1122244</v>
      </c>
    </row>
    <row r="2373" spans="1:33" ht="12" customHeight="1">
      <c r="A2373" s="744" t="s">
        <v>1274</v>
      </c>
      <c r="B2373" s="703" t="s">
        <v>1784</v>
      </c>
      <c r="C2373" s="747" t="s">
        <v>1710</v>
      </c>
      <c r="D2373" s="746">
        <v>217819</v>
      </c>
      <c r="E2373" s="697">
        <v>3</v>
      </c>
      <c r="F2373" s="573"/>
      <c r="G2373" s="487"/>
      <c r="H2373" s="573"/>
      <c r="I2373" s="487"/>
      <c r="J2373" s="573"/>
      <c r="K2373" s="487"/>
      <c r="L2373" s="573"/>
      <c r="M2373" s="573"/>
      <c r="N2373" s="456">
        <f t="shared" si="297"/>
        <v>0</v>
      </c>
      <c r="O2373" s="487"/>
      <c r="P2373" s="487"/>
      <c r="Q2373" s="274">
        <f t="shared" si="292"/>
        <v>0</v>
      </c>
      <c r="R2373" s="574">
        <f t="shared" si="293"/>
        <v>0</v>
      </c>
      <c r="S2373" s="275">
        <f t="shared" si="294"/>
        <v>0</v>
      </c>
      <c r="T2373" s="575"/>
      <c r="U2373" s="487"/>
      <c r="V2373" s="576"/>
      <c r="W2373" s="573"/>
      <c r="X2373" s="574">
        <f t="shared" si="298"/>
        <v>0</v>
      </c>
      <c r="Y2373" s="487"/>
      <c r="Z2373" s="487"/>
      <c r="AA2373" s="276">
        <f t="shared" si="299"/>
        <v>0</v>
      </c>
      <c r="AB2373" s="573"/>
      <c r="AC2373" s="487"/>
      <c r="AD2373" s="573"/>
      <c r="AE2373" s="487"/>
      <c r="AF2373" s="577">
        <f t="shared" si="295"/>
        <v>0</v>
      </c>
      <c r="AG2373" s="275">
        <f t="shared" si="296"/>
        <v>0</v>
      </c>
    </row>
    <row r="2374" spans="1:33" ht="12" customHeight="1">
      <c r="A2374" s="744" t="s">
        <v>1274</v>
      </c>
      <c r="B2374" s="703" t="s">
        <v>1784</v>
      </c>
      <c r="C2374" s="747" t="s">
        <v>1711</v>
      </c>
      <c r="D2374" s="746">
        <v>217819</v>
      </c>
      <c r="E2374" s="697">
        <v>3</v>
      </c>
      <c r="F2374" s="573"/>
      <c r="G2374" s="487"/>
      <c r="H2374" s="573"/>
      <c r="I2374" s="487"/>
      <c r="J2374" s="573"/>
      <c r="K2374" s="487"/>
      <c r="L2374" s="573"/>
      <c r="M2374" s="573"/>
      <c r="N2374" s="456">
        <f t="shared" si="297"/>
        <v>0</v>
      </c>
      <c r="O2374" s="487"/>
      <c r="P2374" s="487"/>
      <c r="Q2374" s="274">
        <f t="shared" si="292"/>
        <v>0</v>
      </c>
      <c r="R2374" s="574">
        <f t="shared" si="293"/>
        <v>0</v>
      </c>
      <c r="S2374" s="275">
        <f t="shared" si="294"/>
        <v>0</v>
      </c>
      <c r="T2374" s="575"/>
      <c r="U2374" s="487"/>
      <c r="V2374" s="576"/>
      <c r="W2374" s="573"/>
      <c r="X2374" s="574">
        <f t="shared" si="298"/>
        <v>0</v>
      </c>
      <c r="Y2374" s="487"/>
      <c r="Z2374" s="487"/>
      <c r="AA2374" s="276">
        <f t="shared" si="299"/>
        <v>0</v>
      </c>
      <c r="AB2374" s="573"/>
      <c r="AC2374" s="487"/>
      <c r="AD2374" s="573"/>
      <c r="AE2374" s="487"/>
      <c r="AF2374" s="577">
        <f t="shared" si="295"/>
        <v>0</v>
      </c>
      <c r="AG2374" s="275">
        <f t="shared" si="296"/>
        <v>0</v>
      </c>
    </row>
    <row r="2375" spans="1:33" ht="12" customHeight="1">
      <c r="A2375" s="744" t="s">
        <v>1274</v>
      </c>
      <c r="B2375" s="703" t="s">
        <v>1784</v>
      </c>
      <c r="C2375" s="747" t="s">
        <v>1712</v>
      </c>
      <c r="D2375" s="746">
        <v>217819</v>
      </c>
      <c r="E2375" s="697">
        <v>3</v>
      </c>
      <c r="F2375" s="573"/>
      <c r="G2375" s="487"/>
      <c r="H2375" s="573"/>
      <c r="I2375" s="487"/>
      <c r="J2375" s="573"/>
      <c r="K2375" s="487"/>
      <c r="L2375" s="573"/>
      <c r="M2375" s="573"/>
      <c r="N2375" s="456">
        <f t="shared" si="297"/>
        <v>0</v>
      </c>
      <c r="O2375" s="487"/>
      <c r="P2375" s="487"/>
      <c r="Q2375" s="274">
        <f t="shared" si="292"/>
        <v>0</v>
      </c>
      <c r="R2375" s="574">
        <f t="shared" si="293"/>
        <v>0</v>
      </c>
      <c r="S2375" s="275">
        <f t="shared" si="294"/>
        <v>0</v>
      </c>
      <c r="T2375" s="575"/>
      <c r="U2375" s="487"/>
      <c r="V2375" s="576"/>
      <c r="W2375" s="573"/>
      <c r="X2375" s="574">
        <f t="shared" si="298"/>
        <v>0</v>
      </c>
      <c r="Y2375" s="487"/>
      <c r="Z2375" s="487"/>
      <c r="AA2375" s="276">
        <f t="shared" si="299"/>
        <v>0</v>
      </c>
      <c r="AB2375" s="573"/>
      <c r="AC2375" s="487"/>
      <c r="AD2375" s="573"/>
      <c r="AE2375" s="487"/>
      <c r="AF2375" s="577">
        <f t="shared" si="295"/>
        <v>0</v>
      </c>
      <c r="AG2375" s="275">
        <f t="shared" si="296"/>
        <v>0</v>
      </c>
    </row>
    <row r="2376" spans="1:33" ht="12" customHeight="1">
      <c r="A2376" s="744" t="s">
        <v>1274</v>
      </c>
      <c r="B2376" s="703" t="s">
        <v>1784</v>
      </c>
      <c r="C2376" s="747" t="s">
        <v>2001</v>
      </c>
      <c r="D2376" s="746">
        <v>217819</v>
      </c>
      <c r="E2376" s="697">
        <v>3</v>
      </c>
      <c r="F2376" s="518"/>
      <c r="G2376" s="487"/>
      <c r="H2376" s="958">
        <v>3700000</v>
      </c>
      <c r="I2376" s="487"/>
      <c r="J2376" s="573"/>
      <c r="K2376" s="487"/>
      <c r="L2376" s="573"/>
      <c r="M2376" s="573"/>
      <c r="N2376" s="456">
        <f t="shared" si="297"/>
        <v>0</v>
      </c>
      <c r="O2376" s="487"/>
      <c r="P2376" s="487"/>
      <c r="Q2376" s="274">
        <f t="shared" si="292"/>
        <v>0</v>
      </c>
      <c r="R2376" s="574">
        <f t="shared" si="293"/>
        <v>3700000</v>
      </c>
      <c r="S2376" s="275">
        <f t="shared" si="294"/>
        <v>0</v>
      </c>
      <c r="T2376" s="575"/>
      <c r="U2376" s="487"/>
      <c r="V2376" s="576"/>
      <c r="W2376" s="573"/>
      <c r="X2376" s="574">
        <f t="shared" si="298"/>
        <v>0</v>
      </c>
      <c r="Y2376" s="487"/>
      <c r="Z2376" s="487"/>
      <c r="AA2376" s="276">
        <f t="shared" si="299"/>
        <v>0</v>
      </c>
      <c r="AB2376" s="573"/>
      <c r="AC2376" s="487"/>
      <c r="AD2376" s="573"/>
      <c r="AE2376" s="487"/>
      <c r="AF2376" s="577">
        <f t="shared" si="295"/>
        <v>3700000</v>
      </c>
      <c r="AG2376" s="275">
        <f t="shared" si="296"/>
        <v>0</v>
      </c>
    </row>
    <row r="2377" spans="1:33" ht="12" customHeight="1">
      <c r="A2377" s="744" t="s">
        <v>1274</v>
      </c>
      <c r="B2377" s="703" t="s">
        <v>1776</v>
      </c>
      <c r="C2377" s="745" t="s">
        <v>1716</v>
      </c>
      <c r="D2377" s="746">
        <v>217864</v>
      </c>
      <c r="E2377" s="697">
        <v>4</v>
      </c>
      <c r="F2377" s="573">
        <v>15862608</v>
      </c>
      <c r="G2377" s="949">
        <f>14286113-4095858+155266</f>
        <v>10345521</v>
      </c>
      <c r="H2377" s="573"/>
      <c r="I2377" s="487"/>
      <c r="J2377" s="573"/>
      <c r="K2377" s="487"/>
      <c r="L2377" s="573">
        <v>28039428</v>
      </c>
      <c r="M2377" s="573">
        <v>585525</v>
      </c>
      <c r="N2377" s="456">
        <f t="shared" si="297"/>
        <v>28624953</v>
      </c>
      <c r="O2377" s="487">
        <v>31139673</v>
      </c>
      <c r="P2377" s="487">
        <v>648659</v>
      </c>
      <c r="Q2377" s="274">
        <f t="shared" si="292"/>
        <v>31788332</v>
      </c>
      <c r="R2377" s="574">
        <f t="shared" si="293"/>
        <v>43902036</v>
      </c>
      <c r="S2377" s="275">
        <f t="shared" si="294"/>
        <v>41485194</v>
      </c>
      <c r="T2377" s="575"/>
      <c r="U2377" s="487"/>
      <c r="V2377" s="576"/>
      <c r="W2377" s="573"/>
      <c r="X2377" s="574">
        <f t="shared" si="298"/>
        <v>0</v>
      </c>
      <c r="Y2377" s="487"/>
      <c r="Z2377" s="487"/>
      <c r="AA2377" s="276">
        <f t="shared" si="299"/>
        <v>0</v>
      </c>
      <c r="AB2377" s="573"/>
      <c r="AC2377" s="487"/>
      <c r="AD2377" s="573"/>
      <c r="AE2377" s="487"/>
      <c r="AF2377" s="577">
        <f t="shared" si="295"/>
        <v>43902036</v>
      </c>
      <c r="AG2377" s="275">
        <f t="shared" si="296"/>
        <v>41485194</v>
      </c>
    </row>
    <row r="2378" spans="1:33" ht="12" customHeight="1">
      <c r="A2378" s="744" t="s">
        <v>1274</v>
      </c>
      <c r="B2378" s="703" t="s">
        <v>1776</v>
      </c>
      <c r="C2378" s="747" t="s">
        <v>1704</v>
      </c>
      <c r="D2378" s="746">
        <v>217864</v>
      </c>
      <c r="E2378" s="697">
        <v>4</v>
      </c>
      <c r="F2378" s="573">
        <v>425132</v>
      </c>
      <c r="G2378" s="487"/>
      <c r="H2378" s="573"/>
      <c r="I2378" s="487"/>
      <c r="J2378" s="573"/>
      <c r="K2378" s="487"/>
      <c r="L2378" s="573"/>
      <c r="M2378" s="573"/>
      <c r="N2378" s="456">
        <f t="shared" si="297"/>
        <v>0</v>
      </c>
      <c r="O2378" s="487"/>
      <c r="P2378" s="487"/>
      <c r="Q2378" s="274">
        <f t="shared" ref="Q2378:Q2441" si="300">SUM(O2378:P2378)</f>
        <v>0</v>
      </c>
      <c r="R2378" s="574">
        <f t="shared" ref="R2378:R2441" si="301">SUM(F2378,H2378,J2378,L2378)</f>
        <v>425132</v>
      </c>
      <c r="S2378" s="275">
        <f t="shared" ref="S2378:S2441" si="302">SUM(G2378,I2378,K2378,O2378)</f>
        <v>0</v>
      </c>
      <c r="T2378" s="575"/>
      <c r="U2378" s="487"/>
      <c r="V2378" s="576"/>
      <c r="W2378" s="573"/>
      <c r="X2378" s="574">
        <f t="shared" si="298"/>
        <v>0</v>
      </c>
      <c r="Y2378" s="487"/>
      <c r="Z2378" s="487"/>
      <c r="AA2378" s="276">
        <f t="shared" si="299"/>
        <v>0</v>
      </c>
      <c r="AB2378" s="573"/>
      <c r="AC2378" s="487"/>
      <c r="AD2378" s="573"/>
      <c r="AE2378" s="487"/>
      <c r="AF2378" s="577">
        <f t="shared" ref="AF2378:AF2441" si="303">SUM(R2378,T2378,V2378,AB2378,AD2378)</f>
        <v>425132</v>
      </c>
      <c r="AG2378" s="275">
        <f t="shared" ref="AG2378:AG2441" si="304">SUM(S2378,U2378,Y2378,AC2378,AE2378)</f>
        <v>0</v>
      </c>
    </row>
    <row r="2379" spans="1:33" ht="12" customHeight="1">
      <c r="A2379" s="744" t="s">
        <v>1274</v>
      </c>
      <c r="B2379" s="703" t="s">
        <v>1776</v>
      </c>
      <c r="C2379" s="747" t="s">
        <v>1988</v>
      </c>
      <c r="D2379" s="746" t="s">
        <v>1240</v>
      </c>
      <c r="E2379" s="697">
        <v>4</v>
      </c>
      <c r="F2379" s="518"/>
      <c r="G2379" s="949">
        <v>2001627</v>
      </c>
      <c r="H2379" s="573"/>
      <c r="I2379" s="487"/>
      <c r="J2379" s="573"/>
      <c r="K2379" s="487"/>
      <c r="L2379" s="573"/>
      <c r="M2379" s="573"/>
      <c r="N2379" s="456">
        <f t="shared" si="297"/>
        <v>0</v>
      </c>
      <c r="O2379" s="487"/>
      <c r="P2379" s="487"/>
      <c r="Q2379" s="274">
        <f t="shared" si="300"/>
        <v>0</v>
      </c>
      <c r="R2379" s="574">
        <f t="shared" si="301"/>
        <v>0</v>
      </c>
      <c r="S2379" s="275">
        <f t="shared" si="302"/>
        <v>2001627</v>
      </c>
      <c r="T2379" s="575"/>
      <c r="U2379" s="487"/>
      <c r="V2379" s="576"/>
      <c r="W2379" s="573"/>
      <c r="X2379" s="574">
        <f t="shared" si="298"/>
        <v>0</v>
      </c>
      <c r="Y2379" s="487"/>
      <c r="Z2379" s="487"/>
      <c r="AA2379" s="276">
        <f t="shared" si="299"/>
        <v>0</v>
      </c>
      <c r="AB2379" s="573"/>
      <c r="AC2379" s="487"/>
      <c r="AD2379" s="573"/>
      <c r="AE2379" s="487"/>
      <c r="AF2379" s="577">
        <f t="shared" si="303"/>
        <v>0</v>
      </c>
      <c r="AG2379" s="275">
        <f t="shared" si="304"/>
        <v>2001627</v>
      </c>
    </row>
    <row r="2380" spans="1:33" ht="12" customHeight="1">
      <c r="A2380" s="744" t="s">
        <v>1274</v>
      </c>
      <c r="B2380" s="703" t="s">
        <v>1784</v>
      </c>
      <c r="C2380" s="299" t="s">
        <v>2037</v>
      </c>
      <c r="D2380" s="746" t="s">
        <v>1240</v>
      </c>
      <c r="E2380" s="697">
        <v>4</v>
      </c>
      <c r="F2380" s="518"/>
      <c r="G2380" s="487"/>
      <c r="H2380" s="573"/>
      <c r="I2380" s="487"/>
      <c r="J2380" s="573"/>
      <c r="K2380" s="487"/>
      <c r="L2380" s="573"/>
      <c r="M2380" s="573"/>
      <c r="N2380" s="456">
        <f t="shared" si="297"/>
        <v>0</v>
      </c>
      <c r="O2380" s="487"/>
      <c r="P2380" s="487"/>
      <c r="Q2380" s="274">
        <f t="shared" si="300"/>
        <v>0</v>
      </c>
      <c r="R2380" s="574">
        <f t="shared" si="301"/>
        <v>0</v>
      </c>
      <c r="S2380" s="275">
        <f t="shared" si="302"/>
        <v>0</v>
      </c>
      <c r="T2380" s="575"/>
      <c r="U2380" s="487"/>
      <c r="V2380" s="576"/>
      <c r="W2380" s="573"/>
      <c r="X2380" s="574">
        <f t="shared" si="298"/>
        <v>0</v>
      </c>
      <c r="Y2380" s="487"/>
      <c r="Z2380" s="487"/>
      <c r="AA2380" s="276">
        <f t="shared" si="299"/>
        <v>0</v>
      </c>
      <c r="AB2380" s="573"/>
      <c r="AC2380" s="487"/>
      <c r="AD2380" s="573"/>
      <c r="AE2380" s="487"/>
      <c r="AF2380" s="577">
        <f t="shared" si="303"/>
        <v>0</v>
      </c>
      <c r="AG2380" s="275">
        <f t="shared" si="304"/>
        <v>0</v>
      </c>
    </row>
    <row r="2381" spans="1:33" ht="12" customHeight="1">
      <c r="A2381" s="744" t="s">
        <v>1274</v>
      </c>
      <c r="B2381" s="703" t="s">
        <v>1784</v>
      </c>
      <c r="C2381" s="747" t="s">
        <v>1238</v>
      </c>
      <c r="D2381" s="746" t="s">
        <v>1240</v>
      </c>
      <c r="E2381" s="697">
        <v>4</v>
      </c>
      <c r="F2381" s="518"/>
      <c r="G2381" s="487"/>
      <c r="H2381" s="1096">
        <v>9605</v>
      </c>
      <c r="I2381" s="487">
        <v>7510</v>
      </c>
      <c r="J2381" s="573"/>
      <c r="K2381" s="487"/>
      <c r="L2381" s="573"/>
      <c r="M2381" s="573"/>
      <c r="N2381" s="456">
        <f t="shared" si="297"/>
        <v>0</v>
      </c>
      <c r="O2381" s="487"/>
      <c r="P2381" s="487"/>
      <c r="Q2381" s="274">
        <f t="shared" si="300"/>
        <v>0</v>
      </c>
      <c r="R2381" s="574">
        <f t="shared" si="301"/>
        <v>9605</v>
      </c>
      <c r="S2381" s="275">
        <f t="shared" si="302"/>
        <v>7510</v>
      </c>
      <c r="T2381" s="575"/>
      <c r="U2381" s="487"/>
      <c r="V2381" s="576"/>
      <c r="W2381" s="573"/>
      <c r="X2381" s="574">
        <f t="shared" si="298"/>
        <v>0</v>
      </c>
      <c r="Y2381" s="487"/>
      <c r="Z2381" s="487"/>
      <c r="AA2381" s="276">
        <f t="shared" si="299"/>
        <v>0</v>
      </c>
      <c r="AB2381" s="573"/>
      <c r="AC2381" s="487"/>
      <c r="AD2381" s="573"/>
      <c r="AE2381" s="487"/>
      <c r="AF2381" s="577">
        <f t="shared" si="303"/>
        <v>9605</v>
      </c>
      <c r="AG2381" s="275">
        <f t="shared" si="304"/>
        <v>7510</v>
      </c>
    </row>
    <row r="2382" spans="1:33" ht="12" customHeight="1">
      <c r="A2382" s="744" t="s">
        <v>1274</v>
      </c>
      <c r="B2382" s="703" t="s">
        <v>1784</v>
      </c>
      <c r="C2382" s="747" t="s">
        <v>1239</v>
      </c>
      <c r="D2382" s="746" t="s">
        <v>1240</v>
      </c>
      <c r="E2382" s="697">
        <v>4</v>
      </c>
      <c r="F2382" s="518"/>
      <c r="G2382" s="487"/>
      <c r="H2382" s="1096">
        <v>30000</v>
      </c>
      <c r="I2382" s="487">
        <v>19129</v>
      </c>
      <c r="J2382" s="573"/>
      <c r="K2382" s="487"/>
      <c r="L2382" s="573"/>
      <c r="M2382" s="573"/>
      <c r="N2382" s="456">
        <f t="shared" si="297"/>
        <v>0</v>
      </c>
      <c r="O2382" s="487"/>
      <c r="P2382" s="487"/>
      <c r="Q2382" s="274">
        <f t="shared" si="300"/>
        <v>0</v>
      </c>
      <c r="R2382" s="574">
        <f t="shared" si="301"/>
        <v>30000</v>
      </c>
      <c r="S2382" s="275">
        <f t="shared" si="302"/>
        <v>19129</v>
      </c>
      <c r="T2382" s="575"/>
      <c r="U2382" s="487"/>
      <c r="V2382" s="576"/>
      <c r="W2382" s="573"/>
      <c r="X2382" s="574">
        <f t="shared" si="298"/>
        <v>0</v>
      </c>
      <c r="Y2382" s="487"/>
      <c r="Z2382" s="487"/>
      <c r="AA2382" s="276">
        <f t="shared" si="299"/>
        <v>0</v>
      </c>
      <c r="AB2382" s="573"/>
      <c r="AC2382" s="487"/>
      <c r="AD2382" s="573"/>
      <c r="AE2382" s="487"/>
      <c r="AF2382" s="577">
        <f t="shared" si="303"/>
        <v>30000</v>
      </c>
      <c r="AG2382" s="275">
        <f t="shared" si="304"/>
        <v>19129</v>
      </c>
    </row>
    <row r="2383" spans="1:33" ht="12" customHeight="1">
      <c r="A2383" s="744" t="s">
        <v>1274</v>
      </c>
      <c r="B2383" s="703" t="s">
        <v>1784</v>
      </c>
      <c r="C2383" s="747" t="s">
        <v>45</v>
      </c>
      <c r="D2383" s="746" t="s">
        <v>1240</v>
      </c>
      <c r="E2383" s="697">
        <v>4</v>
      </c>
      <c r="F2383" s="518"/>
      <c r="G2383" s="487"/>
      <c r="H2383" s="1096">
        <v>22829</v>
      </c>
      <c r="I2383" s="487">
        <v>0</v>
      </c>
      <c r="J2383" s="573"/>
      <c r="K2383" s="487"/>
      <c r="L2383" s="573"/>
      <c r="M2383" s="573"/>
      <c r="N2383" s="456">
        <f t="shared" si="297"/>
        <v>0</v>
      </c>
      <c r="O2383" s="487"/>
      <c r="P2383" s="487"/>
      <c r="Q2383" s="274">
        <f t="shared" si="300"/>
        <v>0</v>
      </c>
      <c r="R2383" s="574">
        <f t="shared" si="301"/>
        <v>22829</v>
      </c>
      <c r="S2383" s="275">
        <f t="shared" si="302"/>
        <v>0</v>
      </c>
      <c r="T2383" s="575"/>
      <c r="U2383" s="487"/>
      <c r="V2383" s="576"/>
      <c r="W2383" s="573"/>
      <c r="X2383" s="574">
        <f t="shared" si="298"/>
        <v>0</v>
      </c>
      <c r="Y2383" s="487"/>
      <c r="Z2383" s="487"/>
      <c r="AA2383" s="276">
        <f t="shared" si="299"/>
        <v>0</v>
      </c>
      <c r="AB2383" s="573"/>
      <c r="AC2383" s="487"/>
      <c r="AD2383" s="573"/>
      <c r="AE2383" s="487"/>
      <c r="AF2383" s="577">
        <f t="shared" si="303"/>
        <v>22829</v>
      </c>
      <c r="AG2383" s="275">
        <f t="shared" si="304"/>
        <v>0</v>
      </c>
    </row>
    <row r="2384" spans="1:33" ht="12" customHeight="1">
      <c r="A2384" s="744" t="s">
        <v>1274</v>
      </c>
      <c r="B2384" s="703" t="s">
        <v>1784</v>
      </c>
      <c r="C2384" s="747" t="s">
        <v>1998</v>
      </c>
      <c r="D2384" s="746" t="s">
        <v>1240</v>
      </c>
      <c r="E2384" s="697">
        <v>4</v>
      </c>
      <c r="F2384" s="518"/>
      <c r="G2384" s="487"/>
      <c r="H2384" s="958">
        <v>495555</v>
      </c>
      <c r="I2384" s="949">
        <v>510434</v>
      </c>
      <c r="J2384" s="573"/>
      <c r="K2384" s="487"/>
      <c r="L2384" s="573"/>
      <c r="M2384" s="573"/>
      <c r="N2384" s="456">
        <f t="shared" si="297"/>
        <v>0</v>
      </c>
      <c r="O2384" s="487"/>
      <c r="P2384" s="487"/>
      <c r="Q2384" s="274">
        <f t="shared" si="300"/>
        <v>0</v>
      </c>
      <c r="R2384" s="574">
        <f t="shared" si="301"/>
        <v>495555</v>
      </c>
      <c r="S2384" s="275">
        <f t="shared" si="302"/>
        <v>510434</v>
      </c>
      <c r="T2384" s="575"/>
      <c r="U2384" s="487"/>
      <c r="V2384" s="576"/>
      <c r="W2384" s="573"/>
      <c r="X2384" s="574">
        <f t="shared" si="298"/>
        <v>0</v>
      </c>
      <c r="Y2384" s="487"/>
      <c r="Z2384" s="487"/>
      <c r="AA2384" s="276">
        <f t="shared" si="299"/>
        <v>0</v>
      </c>
      <c r="AB2384" s="573"/>
      <c r="AC2384" s="487"/>
      <c r="AD2384" s="573"/>
      <c r="AE2384" s="487"/>
      <c r="AF2384" s="577">
        <f t="shared" si="303"/>
        <v>495555</v>
      </c>
      <c r="AG2384" s="275">
        <f t="shared" si="304"/>
        <v>510434</v>
      </c>
    </row>
    <row r="2385" spans="1:33" ht="12" customHeight="1">
      <c r="A2385" s="744" t="s">
        <v>1274</v>
      </c>
      <c r="B2385" s="703" t="s">
        <v>1776</v>
      </c>
      <c r="C2385" s="744" t="s">
        <v>1717</v>
      </c>
      <c r="D2385" s="746">
        <v>218061</v>
      </c>
      <c r="E2385" s="697">
        <v>5</v>
      </c>
      <c r="F2385" s="573">
        <v>14462067</v>
      </c>
      <c r="G2385" s="949">
        <f>12409447-412555+143559</f>
        <v>12140451</v>
      </c>
      <c r="H2385" s="573"/>
      <c r="I2385" s="487"/>
      <c r="J2385" s="573"/>
      <c r="K2385" s="487"/>
      <c r="L2385" s="573">
        <v>22936857</v>
      </c>
      <c r="M2385" s="573">
        <v>219788</v>
      </c>
      <c r="N2385" s="456">
        <f t="shared" si="297"/>
        <v>23156645</v>
      </c>
      <c r="O2385" s="487">
        <v>24520264</v>
      </c>
      <c r="P2385" s="487">
        <v>438531</v>
      </c>
      <c r="Q2385" s="274">
        <f t="shared" si="300"/>
        <v>24958795</v>
      </c>
      <c r="R2385" s="574">
        <f t="shared" si="301"/>
        <v>37398924</v>
      </c>
      <c r="S2385" s="275">
        <f t="shared" si="302"/>
        <v>36660715</v>
      </c>
      <c r="T2385" s="575"/>
      <c r="U2385" s="487"/>
      <c r="V2385" s="576"/>
      <c r="W2385" s="573"/>
      <c r="X2385" s="574">
        <f t="shared" si="298"/>
        <v>0</v>
      </c>
      <c r="Y2385" s="487"/>
      <c r="Z2385" s="487"/>
      <c r="AA2385" s="276">
        <f t="shared" si="299"/>
        <v>0</v>
      </c>
      <c r="AB2385" s="573"/>
      <c r="AC2385" s="487"/>
      <c r="AD2385" s="573"/>
      <c r="AE2385" s="487"/>
      <c r="AF2385" s="577">
        <f t="shared" si="303"/>
        <v>37398924</v>
      </c>
      <c r="AG2385" s="275">
        <f t="shared" si="304"/>
        <v>36660715</v>
      </c>
    </row>
    <row r="2386" spans="1:33" ht="12" customHeight="1">
      <c r="A2386" s="744" t="s">
        <v>1274</v>
      </c>
      <c r="B2386" s="703" t="s">
        <v>1776</v>
      </c>
      <c r="C2386" s="700" t="s">
        <v>1704</v>
      </c>
      <c r="D2386" s="746">
        <v>218061</v>
      </c>
      <c r="E2386" s="697">
        <v>5</v>
      </c>
      <c r="F2386" s="573">
        <v>487362</v>
      </c>
      <c r="G2386" s="487"/>
      <c r="H2386" s="573"/>
      <c r="I2386" s="487"/>
      <c r="J2386" s="573"/>
      <c r="K2386" s="487"/>
      <c r="L2386" s="573"/>
      <c r="M2386" s="573"/>
      <c r="N2386" s="456">
        <f t="shared" si="297"/>
        <v>0</v>
      </c>
      <c r="O2386" s="487"/>
      <c r="P2386" s="487"/>
      <c r="Q2386" s="274">
        <f t="shared" si="300"/>
        <v>0</v>
      </c>
      <c r="R2386" s="574">
        <f t="shared" si="301"/>
        <v>487362</v>
      </c>
      <c r="S2386" s="275">
        <f t="shared" si="302"/>
        <v>0</v>
      </c>
      <c r="T2386" s="575"/>
      <c r="U2386" s="487"/>
      <c r="V2386" s="576"/>
      <c r="W2386" s="573"/>
      <c r="X2386" s="574">
        <f t="shared" si="298"/>
        <v>0</v>
      </c>
      <c r="Y2386" s="487"/>
      <c r="Z2386" s="487"/>
      <c r="AA2386" s="276">
        <f t="shared" si="299"/>
        <v>0</v>
      </c>
      <c r="AB2386" s="573"/>
      <c r="AC2386" s="487"/>
      <c r="AD2386" s="573"/>
      <c r="AE2386" s="487"/>
      <c r="AF2386" s="577">
        <f t="shared" si="303"/>
        <v>487362</v>
      </c>
      <c r="AG2386" s="275">
        <f t="shared" si="304"/>
        <v>0</v>
      </c>
    </row>
    <row r="2387" spans="1:33" ht="12" customHeight="1">
      <c r="A2387" s="744" t="s">
        <v>1274</v>
      </c>
      <c r="B2387" s="703" t="s">
        <v>1776</v>
      </c>
      <c r="C2387" s="700" t="s">
        <v>1988</v>
      </c>
      <c r="D2387" s="746">
        <v>218061</v>
      </c>
      <c r="E2387" s="697">
        <v>5</v>
      </c>
      <c r="F2387" s="518"/>
      <c r="G2387" s="949">
        <v>2539982</v>
      </c>
      <c r="H2387" s="573"/>
      <c r="I2387" s="487"/>
      <c r="J2387" s="573"/>
      <c r="K2387" s="487"/>
      <c r="L2387" s="573"/>
      <c r="M2387" s="573"/>
      <c r="N2387" s="456">
        <f t="shared" ref="N2387:N2450" si="305">SUM(L2387:M2387)</f>
        <v>0</v>
      </c>
      <c r="O2387" s="487"/>
      <c r="P2387" s="487"/>
      <c r="Q2387" s="274">
        <f t="shared" si="300"/>
        <v>0</v>
      </c>
      <c r="R2387" s="574">
        <f t="shared" si="301"/>
        <v>0</v>
      </c>
      <c r="S2387" s="275">
        <f t="shared" si="302"/>
        <v>2539982</v>
      </c>
      <c r="T2387" s="575"/>
      <c r="U2387" s="487"/>
      <c r="V2387" s="576"/>
      <c r="W2387" s="573"/>
      <c r="X2387" s="574">
        <f t="shared" ref="X2387:X2450" si="306">SUM(V2387:W2387)</f>
        <v>0</v>
      </c>
      <c r="Y2387" s="487"/>
      <c r="Z2387" s="487"/>
      <c r="AA2387" s="276">
        <f t="shared" ref="AA2387:AA2450" si="307">SUM(Y2387:Z2387)</f>
        <v>0</v>
      </c>
      <c r="AB2387" s="573"/>
      <c r="AC2387" s="487"/>
      <c r="AD2387" s="573"/>
      <c r="AE2387" s="487"/>
      <c r="AF2387" s="577">
        <f t="shared" si="303"/>
        <v>0</v>
      </c>
      <c r="AG2387" s="275">
        <f t="shared" si="304"/>
        <v>2539982</v>
      </c>
    </row>
    <row r="2388" spans="1:33" ht="12" customHeight="1">
      <c r="A2388" s="744" t="s">
        <v>1274</v>
      </c>
      <c r="B2388" s="703" t="s">
        <v>1778</v>
      </c>
      <c r="C2388" s="298" t="s">
        <v>1891</v>
      </c>
      <c r="D2388" s="746">
        <v>218061</v>
      </c>
      <c r="E2388" s="697">
        <v>5</v>
      </c>
      <c r="F2388" s="573"/>
      <c r="G2388" s="487"/>
      <c r="H2388" s="573"/>
      <c r="I2388" s="487"/>
      <c r="J2388" s="573"/>
      <c r="K2388" s="487"/>
      <c r="L2388" s="573"/>
      <c r="M2388" s="573"/>
      <c r="N2388" s="456">
        <f t="shared" si="305"/>
        <v>0</v>
      </c>
      <c r="O2388" s="487"/>
      <c r="P2388" s="487"/>
      <c r="Q2388" s="274">
        <f t="shared" si="300"/>
        <v>0</v>
      </c>
      <c r="R2388" s="574">
        <f t="shared" si="301"/>
        <v>0</v>
      </c>
      <c r="S2388" s="275">
        <f t="shared" si="302"/>
        <v>0</v>
      </c>
      <c r="T2388" s="575"/>
      <c r="U2388" s="487"/>
      <c r="V2388" s="576"/>
      <c r="W2388" s="573"/>
      <c r="X2388" s="574">
        <f t="shared" si="306"/>
        <v>0</v>
      </c>
      <c r="Y2388" s="487"/>
      <c r="Z2388" s="487"/>
      <c r="AA2388" s="276">
        <f t="shared" si="307"/>
        <v>0</v>
      </c>
      <c r="AB2388" s="573"/>
      <c r="AC2388" s="487"/>
      <c r="AD2388" s="573"/>
      <c r="AE2388" s="487"/>
      <c r="AF2388" s="577">
        <f t="shared" si="303"/>
        <v>0</v>
      </c>
      <c r="AG2388" s="275">
        <f t="shared" si="304"/>
        <v>0</v>
      </c>
    </row>
    <row r="2389" spans="1:33" ht="12" customHeight="1">
      <c r="A2389" s="744" t="s">
        <v>1274</v>
      </c>
      <c r="B2389" s="703" t="s">
        <v>1778</v>
      </c>
      <c r="C2389" s="747" t="s">
        <v>1723</v>
      </c>
      <c r="D2389" s="746">
        <v>218061</v>
      </c>
      <c r="E2389" s="697">
        <v>5</v>
      </c>
      <c r="F2389" s="518"/>
      <c r="G2389" s="487"/>
      <c r="H2389" s="573">
        <v>75000</v>
      </c>
      <c r="I2389" s="487">
        <v>0</v>
      </c>
      <c r="J2389" s="573"/>
      <c r="K2389" s="487"/>
      <c r="L2389" s="573"/>
      <c r="M2389" s="573"/>
      <c r="N2389" s="456">
        <f t="shared" si="305"/>
        <v>0</v>
      </c>
      <c r="O2389" s="487"/>
      <c r="P2389" s="487"/>
      <c r="Q2389" s="274">
        <f t="shared" si="300"/>
        <v>0</v>
      </c>
      <c r="R2389" s="574">
        <f t="shared" si="301"/>
        <v>75000</v>
      </c>
      <c r="S2389" s="275">
        <f t="shared" si="302"/>
        <v>0</v>
      </c>
      <c r="T2389" s="575"/>
      <c r="U2389" s="487"/>
      <c r="V2389" s="576"/>
      <c r="W2389" s="573"/>
      <c r="X2389" s="574">
        <f t="shared" si="306"/>
        <v>0</v>
      </c>
      <c r="Y2389" s="487"/>
      <c r="Z2389" s="487"/>
      <c r="AA2389" s="276">
        <f t="shared" si="307"/>
        <v>0</v>
      </c>
      <c r="AB2389" s="573"/>
      <c r="AC2389" s="487"/>
      <c r="AD2389" s="573"/>
      <c r="AE2389" s="487"/>
      <c r="AF2389" s="577">
        <f t="shared" si="303"/>
        <v>75000</v>
      </c>
      <c r="AG2389" s="275">
        <f t="shared" si="304"/>
        <v>0</v>
      </c>
    </row>
    <row r="2390" spans="1:33" ht="12" customHeight="1">
      <c r="A2390" s="744" t="s">
        <v>1274</v>
      </c>
      <c r="B2390" s="703" t="s">
        <v>1778</v>
      </c>
      <c r="C2390" s="747" t="s">
        <v>1724</v>
      </c>
      <c r="D2390" s="746">
        <v>218061</v>
      </c>
      <c r="E2390" s="697">
        <v>5</v>
      </c>
      <c r="F2390" s="518"/>
      <c r="G2390" s="487"/>
      <c r="H2390" s="573">
        <v>500000</v>
      </c>
      <c r="I2390" s="487">
        <v>0</v>
      </c>
      <c r="J2390" s="573"/>
      <c r="K2390" s="487"/>
      <c r="L2390" s="573"/>
      <c r="M2390" s="573"/>
      <c r="N2390" s="456">
        <f t="shared" si="305"/>
        <v>0</v>
      </c>
      <c r="O2390" s="487"/>
      <c r="P2390" s="487"/>
      <c r="Q2390" s="274">
        <f t="shared" si="300"/>
        <v>0</v>
      </c>
      <c r="R2390" s="574">
        <f t="shared" si="301"/>
        <v>500000</v>
      </c>
      <c r="S2390" s="275">
        <f t="shared" si="302"/>
        <v>0</v>
      </c>
      <c r="T2390" s="575"/>
      <c r="U2390" s="487"/>
      <c r="V2390" s="576"/>
      <c r="W2390" s="573"/>
      <c r="X2390" s="574">
        <f t="shared" si="306"/>
        <v>0</v>
      </c>
      <c r="Y2390" s="487"/>
      <c r="Z2390" s="487"/>
      <c r="AA2390" s="276">
        <f t="shared" si="307"/>
        <v>0</v>
      </c>
      <c r="AB2390" s="573"/>
      <c r="AC2390" s="487"/>
      <c r="AD2390" s="573"/>
      <c r="AE2390" s="487"/>
      <c r="AF2390" s="577">
        <f t="shared" si="303"/>
        <v>500000</v>
      </c>
      <c r="AG2390" s="275">
        <f t="shared" si="304"/>
        <v>0</v>
      </c>
    </row>
    <row r="2391" spans="1:33" ht="12" customHeight="1">
      <c r="A2391" s="744" t="s">
        <v>1274</v>
      </c>
      <c r="B2391" s="703" t="s">
        <v>1778</v>
      </c>
      <c r="C2391" s="747" t="s">
        <v>1725</v>
      </c>
      <c r="D2391" s="746">
        <v>218061</v>
      </c>
      <c r="E2391" s="697">
        <v>5</v>
      </c>
      <c r="F2391" s="518"/>
      <c r="G2391" s="487"/>
      <c r="H2391" s="573">
        <v>600000</v>
      </c>
      <c r="I2391" s="487">
        <v>0</v>
      </c>
      <c r="J2391" s="573"/>
      <c r="K2391" s="487"/>
      <c r="L2391" s="573"/>
      <c r="M2391" s="573"/>
      <c r="N2391" s="456">
        <f t="shared" si="305"/>
        <v>0</v>
      </c>
      <c r="O2391" s="487"/>
      <c r="P2391" s="487"/>
      <c r="Q2391" s="274">
        <f t="shared" si="300"/>
        <v>0</v>
      </c>
      <c r="R2391" s="574">
        <f t="shared" si="301"/>
        <v>600000</v>
      </c>
      <c r="S2391" s="275">
        <f t="shared" si="302"/>
        <v>0</v>
      </c>
      <c r="T2391" s="575"/>
      <c r="U2391" s="487"/>
      <c r="V2391" s="576"/>
      <c r="W2391" s="573"/>
      <c r="X2391" s="574">
        <f t="shared" si="306"/>
        <v>0</v>
      </c>
      <c r="Y2391" s="487"/>
      <c r="Z2391" s="487"/>
      <c r="AA2391" s="276">
        <f t="shared" si="307"/>
        <v>0</v>
      </c>
      <c r="AB2391" s="573"/>
      <c r="AC2391" s="487"/>
      <c r="AD2391" s="573"/>
      <c r="AE2391" s="487"/>
      <c r="AF2391" s="577">
        <f t="shared" si="303"/>
        <v>600000</v>
      </c>
      <c r="AG2391" s="275">
        <f t="shared" si="304"/>
        <v>0</v>
      </c>
    </row>
    <row r="2392" spans="1:33" ht="12" customHeight="1">
      <c r="A2392" s="744" t="s">
        <v>1274</v>
      </c>
      <c r="B2392" s="703" t="s">
        <v>1778</v>
      </c>
      <c r="C2392" s="700" t="s">
        <v>2002</v>
      </c>
      <c r="D2392" s="746">
        <v>218061</v>
      </c>
      <c r="E2392" s="697">
        <v>5</v>
      </c>
      <c r="F2392" s="518"/>
      <c r="G2392" s="487"/>
      <c r="H2392" s="958">
        <v>4000000</v>
      </c>
      <c r="I2392" s="487"/>
      <c r="J2392" s="573"/>
      <c r="K2392" s="487"/>
      <c r="L2392" s="573"/>
      <c r="M2392" s="573"/>
      <c r="N2392" s="456">
        <f t="shared" si="305"/>
        <v>0</v>
      </c>
      <c r="O2392" s="487"/>
      <c r="P2392" s="487"/>
      <c r="Q2392" s="274">
        <f t="shared" si="300"/>
        <v>0</v>
      </c>
      <c r="R2392" s="574">
        <f t="shared" si="301"/>
        <v>4000000</v>
      </c>
      <c r="S2392" s="275">
        <f t="shared" si="302"/>
        <v>0</v>
      </c>
      <c r="T2392" s="575"/>
      <c r="U2392" s="487"/>
      <c r="V2392" s="576"/>
      <c r="W2392" s="573"/>
      <c r="X2392" s="574">
        <f t="shared" si="306"/>
        <v>0</v>
      </c>
      <c r="Y2392" s="487"/>
      <c r="Z2392" s="487"/>
      <c r="AA2392" s="276">
        <f t="shared" si="307"/>
        <v>0</v>
      </c>
      <c r="AB2392" s="573"/>
      <c r="AC2392" s="487"/>
      <c r="AD2392" s="573"/>
      <c r="AE2392" s="487"/>
      <c r="AF2392" s="577">
        <f t="shared" si="303"/>
        <v>4000000</v>
      </c>
      <c r="AG2392" s="275">
        <f t="shared" si="304"/>
        <v>0</v>
      </c>
    </row>
    <row r="2393" spans="1:33" ht="12" customHeight="1">
      <c r="A2393" s="744" t="s">
        <v>1274</v>
      </c>
      <c r="B2393" s="703" t="s">
        <v>1783</v>
      </c>
      <c r="C2393" s="298" t="s">
        <v>1881</v>
      </c>
      <c r="D2393" s="746">
        <v>218061</v>
      </c>
      <c r="E2393" s="697">
        <v>5</v>
      </c>
      <c r="F2393" s="573"/>
      <c r="G2393" s="487"/>
      <c r="H2393" s="573"/>
      <c r="I2393" s="487"/>
      <c r="J2393" s="573"/>
      <c r="K2393" s="487"/>
      <c r="L2393" s="573"/>
      <c r="M2393" s="573"/>
      <c r="N2393" s="456">
        <f t="shared" si="305"/>
        <v>0</v>
      </c>
      <c r="O2393" s="487"/>
      <c r="P2393" s="487"/>
      <c r="Q2393" s="274">
        <f t="shared" si="300"/>
        <v>0</v>
      </c>
      <c r="R2393" s="574">
        <f t="shared" si="301"/>
        <v>0</v>
      </c>
      <c r="S2393" s="275">
        <f t="shared" si="302"/>
        <v>0</v>
      </c>
      <c r="T2393" s="575"/>
      <c r="U2393" s="487"/>
      <c r="V2393" s="576"/>
      <c r="W2393" s="573"/>
      <c r="X2393" s="574">
        <f t="shared" si="306"/>
        <v>0</v>
      </c>
      <c r="Y2393" s="487"/>
      <c r="Z2393" s="487"/>
      <c r="AA2393" s="276">
        <f t="shared" si="307"/>
        <v>0</v>
      </c>
      <c r="AB2393" s="573"/>
      <c r="AC2393" s="487"/>
      <c r="AD2393" s="573"/>
      <c r="AE2393" s="487"/>
      <c r="AF2393" s="577">
        <f t="shared" si="303"/>
        <v>0</v>
      </c>
      <c r="AG2393" s="275">
        <f t="shared" si="304"/>
        <v>0</v>
      </c>
    </row>
    <row r="2394" spans="1:33" ht="12" customHeight="1">
      <c r="A2394" s="744" t="s">
        <v>1274</v>
      </c>
      <c r="B2394" s="703" t="s">
        <v>1783</v>
      </c>
      <c r="C2394" s="700" t="s">
        <v>2003</v>
      </c>
      <c r="D2394" s="746">
        <v>218061</v>
      </c>
      <c r="E2394" s="697">
        <v>5</v>
      </c>
      <c r="F2394" s="518"/>
      <c r="G2394" s="487"/>
      <c r="H2394" s="958">
        <v>250000</v>
      </c>
      <c r="I2394" s="487"/>
      <c r="J2394" s="573"/>
      <c r="K2394" s="487"/>
      <c r="L2394" s="573"/>
      <c r="M2394" s="573"/>
      <c r="N2394" s="456">
        <f t="shared" si="305"/>
        <v>0</v>
      </c>
      <c r="O2394" s="487"/>
      <c r="P2394" s="487"/>
      <c r="Q2394" s="274">
        <f t="shared" si="300"/>
        <v>0</v>
      </c>
      <c r="R2394" s="574">
        <f t="shared" si="301"/>
        <v>250000</v>
      </c>
      <c r="S2394" s="275">
        <f t="shared" si="302"/>
        <v>0</v>
      </c>
      <c r="T2394" s="575"/>
      <c r="U2394" s="487"/>
      <c r="V2394" s="576"/>
      <c r="W2394" s="573"/>
      <c r="X2394" s="574">
        <f t="shared" si="306"/>
        <v>0</v>
      </c>
      <c r="Y2394" s="487"/>
      <c r="Z2394" s="487"/>
      <c r="AA2394" s="276">
        <f t="shared" si="307"/>
        <v>0</v>
      </c>
      <c r="AB2394" s="573"/>
      <c r="AC2394" s="487"/>
      <c r="AD2394" s="573"/>
      <c r="AE2394" s="487"/>
      <c r="AF2394" s="577">
        <f t="shared" si="303"/>
        <v>250000</v>
      </c>
      <c r="AG2394" s="275">
        <f t="shared" si="304"/>
        <v>0</v>
      </c>
    </row>
    <row r="2395" spans="1:33" ht="12" customHeight="1">
      <c r="A2395" s="744" t="s">
        <v>1274</v>
      </c>
      <c r="B2395" s="703" t="s">
        <v>1784</v>
      </c>
      <c r="C2395" s="299" t="s">
        <v>2037</v>
      </c>
      <c r="D2395" s="746">
        <v>218061</v>
      </c>
      <c r="E2395" s="697">
        <v>5</v>
      </c>
      <c r="F2395" s="518"/>
      <c r="G2395" s="487"/>
      <c r="H2395" s="573"/>
      <c r="I2395" s="487"/>
      <c r="J2395" s="573"/>
      <c r="K2395" s="487"/>
      <c r="L2395" s="573"/>
      <c r="M2395" s="573"/>
      <c r="N2395" s="456">
        <f t="shared" si="305"/>
        <v>0</v>
      </c>
      <c r="O2395" s="487"/>
      <c r="P2395" s="487"/>
      <c r="Q2395" s="274">
        <f t="shared" si="300"/>
        <v>0</v>
      </c>
      <c r="R2395" s="574">
        <f t="shared" si="301"/>
        <v>0</v>
      </c>
      <c r="S2395" s="275">
        <f t="shared" si="302"/>
        <v>0</v>
      </c>
      <c r="T2395" s="575"/>
      <c r="U2395" s="487"/>
      <c r="V2395" s="576"/>
      <c r="W2395" s="573"/>
      <c r="X2395" s="574">
        <f t="shared" si="306"/>
        <v>0</v>
      </c>
      <c r="Y2395" s="487"/>
      <c r="Z2395" s="487"/>
      <c r="AA2395" s="276">
        <f t="shared" si="307"/>
        <v>0</v>
      </c>
      <c r="AB2395" s="573"/>
      <c r="AC2395" s="487"/>
      <c r="AD2395" s="573"/>
      <c r="AE2395" s="487"/>
      <c r="AF2395" s="577">
        <f t="shared" si="303"/>
        <v>0</v>
      </c>
      <c r="AG2395" s="275">
        <f t="shared" si="304"/>
        <v>0</v>
      </c>
    </row>
    <row r="2396" spans="1:33" ht="12" customHeight="1">
      <c r="A2396" s="744" t="s">
        <v>1274</v>
      </c>
      <c r="B2396" s="703" t="s">
        <v>1784</v>
      </c>
      <c r="C2396" s="747" t="s">
        <v>1238</v>
      </c>
      <c r="D2396" s="746">
        <v>218061</v>
      </c>
      <c r="E2396" s="697">
        <v>5</v>
      </c>
      <c r="F2396" s="518"/>
      <c r="G2396" s="487"/>
      <c r="H2396" s="1096">
        <v>12571</v>
      </c>
      <c r="I2396" s="487">
        <v>9582</v>
      </c>
      <c r="J2396" s="573"/>
      <c r="K2396" s="487"/>
      <c r="L2396" s="573"/>
      <c r="M2396" s="573"/>
      <c r="N2396" s="456">
        <f t="shared" si="305"/>
        <v>0</v>
      </c>
      <c r="O2396" s="487"/>
      <c r="P2396" s="487"/>
      <c r="Q2396" s="274">
        <f t="shared" si="300"/>
        <v>0</v>
      </c>
      <c r="R2396" s="574">
        <f t="shared" si="301"/>
        <v>12571</v>
      </c>
      <c r="S2396" s="275">
        <f t="shared" si="302"/>
        <v>9582</v>
      </c>
      <c r="T2396" s="575"/>
      <c r="U2396" s="487"/>
      <c r="V2396" s="576"/>
      <c r="W2396" s="573"/>
      <c r="X2396" s="574">
        <f t="shared" si="306"/>
        <v>0</v>
      </c>
      <c r="Y2396" s="487"/>
      <c r="Z2396" s="487"/>
      <c r="AA2396" s="276">
        <f t="shared" si="307"/>
        <v>0</v>
      </c>
      <c r="AB2396" s="573"/>
      <c r="AC2396" s="487"/>
      <c r="AD2396" s="573"/>
      <c r="AE2396" s="487"/>
      <c r="AF2396" s="577">
        <f t="shared" si="303"/>
        <v>12571</v>
      </c>
      <c r="AG2396" s="275">
        <f t="shared" si="304"/>
        <v>9582</v>
      </c>
    </row>
    <row r="2397" spans="1:33" ht="12" customHeight="1">
      <c r="A2397" s="744" t="s">
        <v>1274</v>
      </c>
      <c r="B2397" s="703" t="s">
        <v>1784</v>
      </c>
      <c r="C2397" s="747" t="s">
        <v>1239</v>
      </c>
      <c r="D2397" s="746">
        <v>218061</v>
      </c>
      <c r="E2397" s="697">
        <v>5</v>
      </c>
      <c r="F2397" s="518"/>
      <c r="G2397" s="487"/>
      <c r="H2397" s="1096">
        <v>30000</v>
      </c>
      <c r="I2397" s="487">
        <v>8191</v>
      </c>
      <c r="J2397" s="573"/>
      <c r="K2397" s="487"/>
      <c r="L2397" s="573"/>
      <c r="M2397" s="573"/>
      <c r="N2397" s="456">
        <f t="shared" si="305"/>
        <v>0</v>
      </c>
      <c r="O2397" s="487"/>
      <c r="P2397" s="487"/>
      <c r="Q2397" s="274">
        <f t="shared" si="300"/>
        <v>0</v>
      </c>
      <c r="R2397" s="574">
        <f t="shared" si="301"/>
        <v>30000</v>
      </c>
      <c r="S2397" s="275">
        <f t="shared" si="302"/>
        <v>8191</v>
      </c>
      <c r="T2397" s="575"/>
      <c r="U2397" s="487"/>
      <c r="V2397" s="576"/>
      <c r="W2397" s="573"/>
      <c r="X2397" s="574">
        <f t="shared" si="306"/>
        <v>0</v>
      </c>
      <c r="Y2397" s="487"/>
      <c r="Z2397" s="487"/>
      <c r="AA2397" s="276">
        <f t="shared" si="307"/>
        <v>0</v>
      </c>
      <c r="AB2397" s="573"/>
      <c r="AC2397" s="487"/>
      <c r="AD2397" s="573"/>
      <c r="AE2397" s="487"/>
      <c r="AF2397" s="577">
        <f t="shared" si="303"/>
        <v>30000</v>
      </c>
      <c r="AG2397" s="275">
        <f t="shared" si="304"/>
        <v>8191</v>
      </c>
    </row>
    <row r="2398" spans="1:33" ht="12" customHeight="1">
      <c r="A2398" s="744" t="s">
        <v>1274</v>
      </c>
      <c r="B2398" s="703" t="s">
        <v>1784</v>
      </c>
      <c r="C2398" s="747" t="s">
        <v>45</v>
      </c>
      <c r="D2398" s="746">
        <v>218061</v>
      </c>
      <c r="E2398" s="697">
        <v>5</v>
      </c>
      <c r="F2398" s="518"/>
      <c r="G2398" s="487"/>
      <c r="H2398" s="1096">
        <v>11270</v>
      </c>
      <c r="I2398" s="487">
        <v>5183</v>
      </c>
      <c r="J2398" s="573"/>
      <c r="K2398" s="487"/>
      <c r="L2398" s="573"/>
      <c r="M2398" s="573"/>
      <c r="N2398" s="456">
        <f t="shared" si="305"/>
        <v>0</v>
      </c>
      <c r="O2398" s="487"/>
      <c r="P2398" s="487"/>
      <c r="Q2398" s="274">
        <f t="shared" si="300"/>
        <v>0</v>
      </c>
      <c r="R2398" s="574">
        <f t="shared" si="301"/>
        <v>11270</v>
      </c>
      <c r="S2398" s="275">
        <f t="shared" si="302"/>
        <v>5183</v>
      </c>
      <c r="T2398" s="575"/>
      <c r="U2398" s="487"/>
      <c r="V2398" s="576"/>
      <c r="W2398" s="573"/>
      <c r="X2398" s="574">
        <f t="shared" si="306"/>
        <v>0</v>
      </c>
      <c r="Y2398" s="487"/>
      <c r="Z2398" s="487"/>
      <c r="AA2398" s="276">
        <f t="shared" si="307"/>
        <v>0</v>
      </c>
      <c r="AB2398" s="573"/>
      <c r="AC2398" s="487"/>
      <c r="AD2398" s="573"/>
      <c r="AE2398" s="487"/>
      <c r="AF2398" s="577">
        <f t="shared" si="303"/>
        <v>11270</v>
      </c>
      <c r="AG2398" s="275">
        <f t="shared" si="304"/>
        <v>5183</v>
      </c>
    </row>
    <row r="2399" spans="1:33" ht="12" customHeight="1">
      <c r="A2399" s="744" t="s">
        <v>1274</v>
      </c>
      <c r="B2399" s="703" t="s">
        <v>1784</v>
      </c>
      <c r="C2399" s="700" t="s">
        <v>1676</v>
      </c>
      <c r="D2399" s="746">
        <v>218061</v>
      </c>
      <c r="E2399" s="697">
        <v>5</v>
      </c>
      <c r="F2399" s="573"/>
      <c r="G2399" s="487"/>
      <c r="H2399" s="952">
        <v>22038</v>
      </c>
      <c r="I2399" s="487"/>
      <c r="J2399" s="573"/>
      <c r="K2399" s="487"/>
      <c r="L2399" s="573"/>
      <c r="M2399" s="573"/>
      <c r="N2399" s="456">
        <f t="shared" si="305"/>
        <v>0</v>
      </c>
      <c r="O2399" s="487"/>
      <c r="P2399" s="487"/>
      <c r="Q2399" s="274">
        <f t="shared" si="300"/>
        <v>0</v>
      </c>
      <c r="R2399" s="574">
        <f t="shared" si="301"/>
        <v>22038</v>
      </c>
      <c r="S2399" s="275">
        <f t="shared" si="302"/>
        <v>0</v>
      </c>
      <c r="T2399" s="575"/>
      <c r="U2399" s="487"/>
      <c r="V2399" s="576"/>
      <c r="W2399" s="573"/>
      <c r="X2399" s="574">
        <f t="shared" si="306"/>
        <v>0</v>
      </c>
      <c r="Y2399" s="487"/>
      <c r="Z2399" s="487"/>
      <c r="AA2399" s="276">
        <f t="shared" si="307"/>
        <v>0</v>
      </c>
      <c r="AB2399" s="573"/>
      <c r="AC2399" s="487"/>
      <c r="AD2399" s="573"/>
      <c r="AE2399" s="487"/>
      <c r="AF2399" s="577">
        <f t="shared" si="303"/>
        <v>22038</v>
      </c>
      <c r="AG2399" s="275">
        <f t="shared" si="304"/>
        <v>0</v>
      </c>
    </row>
    <row r="2400" spans="1:33" ht="12" customHeight="1">
      <c r="A2400" s="744" t="s">
        <v>1274</v>
      </c>
      <c r="B2400" s="703" t="s">
        <v>1784</v>
      </c>
      <c r="C2400" s="747" t="s">
        <v>1718</v>
      </c>
      <c r="D2400" s="746">
        <v>218061</v>
      </c>
      <c r="E2400" s="697">
        <v>5</v>
      </c>
      <c r="F2400" s="573"/>
      <c r="G2400" s="487"/>
      <c r="H2400" s="952">
        <v>1238031</v>
      </c>
      <c r="I2400" s="487">
        <v>1238031</v>
      </c>
      <c r="J2400" s="573"/>
      <c r="K2400" s="487"/>
      <c r="L2400" s="573"/>
      <c r="M2400" s="573"/>
      <c r="N2400" s="456">
        <f t="shared" si="305"/>
        <v>0</v>
      </c>
      <c r="O2400" s="487"/>
      <c r="P2400" s="487"/>
      <c r="Q2400" s="274">
        <f t="shared" si="300"/>
        <v>0</v>
      </c>
      <c r="R2400" s="574">
        <f t="shared" si="301"/>
        <v>1238031</v>
      </c>
      <c r="S2400" s="275">
        <f t="shared" si="302"/>
        <v>1238031</v>
      </c>
      <c r="T2400" s="575"/>
      <c r="U2400" s="487"/>
      <c r="V2400" s="576"/>
      <c r="W2400" s="573"/>
      <c r="X2400" s="574">
        <f t="shared" si="306"/>
        <v>0</v>
      </c>
      <c r="Y2400" s="487"/>
      <c r="Z2400" s="487"/>
      <c r="AA2400" s="276">
        <f t="shared" si="307"/>
        <v>0</v>
      </c>
      <c r="AB2400" s="573"/>
      <c r="AC2400" s="487"/>
      <c r="AD2400" s="573"/>
      <c r="AE2400" s="487"/>
      <c r="AF2400" s="577">
        <f t="shared" si="303"/>
        <v>1238031</v>
      </c>
      <c r="AG2400" s="275">
        <f t="shared" si="304"/>
        <v>1238031</v>
      </c>
    </row>
    <row r="2401" spans="1:33" ht="12" customHeight="1">
      <c r="A2401" s="744" t="s">
        <v>1274</v>
      </c>
      <c r="B2401" s="703" t="s">
        <v>1784</v>
      </c>
      <c r="C2401" s="747" t="s">
        <v>1719</v>
      </c>
      <c r="D2401" s="746">
        <v>218061</v>
      </c>
      <c r="E2401" s="697">
        <v>5</v>
      </c>
      <c r="F2401" s="573"/>
      <c r="G2401" s="487"/>
      <c r="H2401" s="952">
        <v>500000</v>
      </c>
      <c r="I2401" s="487">
        <v>0</v>
      </c>
      <c r="J2401" s="573"/>
      <c r="K2401" s="487"/>
      <c r="L2401" s="573"/>
      <c r="M2401" s="573"/>
      <c r="N2401" s="456">
        <f t="shared" si="305"/>
        <v>0</v>
      </c>
      <c r="O2401" s="487"/>
      <c r="P2401" s="487"/>
      <c r="Q2401" s="274">
        <f t="shared" si="300"/>
        <v>0</v>
      </c>
      <c r="R2401" s="574">
        <f t="shared" si="301"/>
        <v>500000</v>
      </c>
      <c r="S2401" s="275">
        <f t="shared" si="302"/>
        <v>0</v>
      </c>
      <c r="T2401" s="575"/>
      <c r="U2401" s="487"/>
      <c r="V2401" s="576"/>
      <c r="W2401" s="573"/>
      <c r="X2401" s="574">
        <f t="shared" si="306"/>
        <v>0</v>
      </c>
      <c r="Y2401" s="487"/>
      <c r="Z2401" s="487"/>
      <c r="AA2401" s="276">
        <f t="shared" si="307"/>
        <v>0</v>
      </c>
      <c r="AB2401" s="573"/>
      <c r="AC2401" s="487"/>
      <c r="AD2401" s="573"/>
      <c r="AE2401" s="487"/>
      <c r="AF2401" s="577">
        <f t="shared" si="303"/>
        <v>500000</v>
      </c>
      <c r="AG2401" s="275">
        <f t="shared" si="304"/>
        <v>0</v>
      </c>
    </row>
    <row r="2402" spans="1:33" ht="12" customHeight="1">
      <c r="A2402" s="744" t="s">
        <v>1274</v>
      </c>
      <c r="B2402" s="703" t="s">
        <v>1784</v>
      </c>
      <c r="C2402" s="747" t="s">
        <v>1720</v>
      </c>
      <c r="D2402" s="746">
        <v>218061</v>
      </c>
      <c r="E2402" s="697">
        <v>5</v>
      </c>
      <c r="F2402" s="573"/>
      <c r="G2402" s="487"/>
      <c r="H2402" s="952">
        <v>585000</v>
      </c>
      <c r="I2402" s="487">
        <v>0</v>
      </c>
      <c r="J2402" s="573"/>
      <c r="K2402" s="487"/>
      <c r="L2402" s="573"/>
      <c r="M2402" s="573"/>
      <c r="N2402" s="456">
        <f t="shared" si="305"/>
        <v>0</v>
      </c>
      <c r="O2402" s="487"/>
      <c r="P2402" s="487"/>
      <c r="Q2402" s="274">
        <f t="shared" si="300"/>
        <v>0</v>
      </c>
      <c r="R2402" s="574">
        <f t="shared" si="301"/>
        <v>585000</v>
      </c>
      <c r="S2402" s="275">
        <f t="shared" si="302"/>
        <v>0</v>
      </c>
      <c r="T2402" s="575"/>
      <c r="U2402" s="487"/>
      <c r="V2402" s="576"/>
      <c r="W2402" s="573"/>
      <c r="X2402" s="574">
        <f t="shared" si="306"/>
        <v>0</v>
      </c>
      <c r="Y2402" s="487"/>
      <c r="Z2402" s="487"/>
      <c r="AA2402" s="276">
        <f t="shared" si="307"/>
        <v>0</v>
      </c>
      <c r="AB2402" s="573"/>
      <c r="AC2402" s="487"/>
      <c r="AD2402" s="573"/>
      <c r="AE2402" s="487"/>
      <c r="AF2402" s="577">
        <f t="shared" si="303"/>
        <v>585000</v>
      </c>
      <c r="AG2402" s="275">
        <f t="shared" si="304"/>
        <v>0</v>
      </c>
    </row>
    <row r="2403" spans="1:33" ht="12" customHeight="1">
      <c r="A2403" s="744" t="s">
        <v>1274</v>
      </c>
      <c r="B2403" s="703" t="s">
        <v>1784</v>
      </c>
      <c r="C2403" s="747" t="s">
        <v>1721</v>
      </c>
      <c r="D2403" s="746">
        <v>218061</v>
      </c>
      <c r="E2403" s="697">
        <v>5</v>
      </c>
      <c r="F2403" s="573"/>
      <c r="G2403" s="487"/>
      <c r="H2403" s="952">
        <v>100000</v>
      </c>
      <c r="I2403" s="487">
        <v>0</v>
      </c>
      <c r="J2403" s="573"/>
      <c r="K2403" s="487"/>
      <c r="L2403" s="573"/>
      <c r="M2403" s="573"/>
      <c r="N2403" s="456">
        <f t="shared" si="305"/>
        <v>0</v>
      </c>
      <c r="O2403" s="487"/>
      <c r="P2403" s="487"/>
      <c r="Q2403" s="274">
        <f t="shared" si="300"/>
        <v>0</v>
      </c>
      <c r="R2403" s="574">
        <f t="shared" si="301"/>
        <v>100000</v>
      </c>
      <c r="S2403" s="275">
        <f t="shared" si="302"/>
        <v>0</v>
      </c>
      <c r="T2403" s="575"/>
      <c r="U2403" s="487"/>
      <c r="V2403" s="576"/>
      <c r="W2403" s="573"/>
      <c r="X2403" s="574">
        <f t="shared" si="306"/>
        <v>0</v>
      </c>
      <c r="Y2403" s="487"/>
      <c r="Z2403" s="487"/>
      <c r="AA2403" s="276">
        <f t="shared" si="307"/>
        <v>0</v>
      </c>
      <c r="AB2403" s="573"/>
      <c r="AC2403" s="487"/>
      <c r="AD2403" s="573"/>
      <c r="AE2403" s="487"/>
      <c r="AF2403" s="577">
        <f t="shared" si="303"/>
        <v>100000</v>
      </c>
      <c r="AG2403" s="275">
        <f t="shared" si="304"/>
        <v>0</v>
      </c>
    </row>
    <row r="2404" spans="1:33" ht="12" customHeight="1">
      <c r="A2404" s="744" t="s">
        <v>1274</v>
      </c>
      <c r="B2404" s="703" t="s">
        <v>1784</v>
      </c>
      <c r="C2404" s="747" t="s">
        <v>1722</v>
      </c>
      <c r="D2404" s="746">
        <v>218061</v>
      </c>
      <c r="E2404" s="697">
        <v>5</v>
      </c>
      <c r="F2404" s="573"/>
      <c r="G2404" s="487"/>
      <c r="H2404" s="952">
        <v>850000</v>
      </c>
      <c r="I2404" s="487">
        <v>336973</v>
      </c>
      <c r="J2404" s="573"/>
      <c r="K2404" s="487"/>
      <c r="L2404" s="573"/>
      <c r="M2404" s="573"/>
      <c r="N2404" s="456">
        <f t="shared" si="305"/>
        <v>0</v>
      </c>
      <c r="O2404" s="487"/>
      <c r="P2404" s="487"/>
      <c r="Q2404" s="274">
        <f t="shared" si="300"/>
        <v>0</v>
      </c>
      <c r="R2404" s="574">
        <f t="shared" si="301"/>
        <v>850000</v>
      </c>
      <c r="S2404" s="275">
        <f t="shared" si="302"/>
        <v>336973</v>
      </c>
      <c r="T2404" s="575"/>
      <c r="U2404" s="487"/>
      <c r="V2404" s="576"/>
      <c r="W2404" s="573"/>
      <c r="X2404" s="574">
        <f t="shared" si="306"/>
        <v>0</v>
      </c>
      <c r="Y2404" s="487"/>
      <c r="Z2404" s="487"/>
      <c r="AA2404" s="276">
        <f t="shared" si="307"/>
        <v>0</v>
      </c>
      <c r="AB2404" s="573"/>
      <c r="AC2404" s="487"/>
      <c r="AD2404" s="573"/>
      <c r="AE2404" s="487"/>
      <c r="AF2404" s="577">
        <f t="shared" si="303"/>
        <v>850000</v>
      </c>
      <c r="AG2404" s="275">
        <f t="shared" si="304"/>
        <v>336973</v>
      </c>
    </row>
    <row r="2405" spans="1:33" ht="12" customHeight="1">
      <c r="A2405" s="744" t="s">
        <v>1274</v>
      </c>
      <c r="B2405" s="703" t="s">
        <v>1784</v>
      </c>
      <c r="C2405" s="747" t="s">
        <v>1998</v>
      </c>
      <c r="D2405" s="746">
        <v>218061</v>
      </c>
      <c r="E2405" s="697">
        <v>5</v>
      </c>
      <c r="F2405" s="573"/>
      <c r="G2405" s="487"/>
      <c r="H2405" s="958">
        <v>523895</v>
      </c>
      <c r="I2405" s="949">
        <v>516014</v>
      </c>
      <c r="J2405" s="573"/>
      <c r="K2405" s="487"/>
      <c r="L2405" s="573"/>
      <c r="M2405" s="573"/>
      <c r="N2405" s="456">
        <f t="shared" si="305"/>
        <v>0</v>
      </c>
      <c r="O2405" s="487"/>
      <c r="P2405" s="487"/>
      <c r="Q2405" s="274">
        <f t="shared" si="300"/>
        <v>0</v>
      </c>
      <c r="R2405" s="574">
        <f t="shared" si="301"/>
        <v>523895</v>
      </c>
      <c r="S2405" s="275">
        <f t="shared" si="302"/>
        <v>516014</v>
      </c>
      <c r="T2405" s="575"/>
      <c r="U2405" s="487"/>
      <c r="V2405" s="576"/>
      <c r="W2405" s="573"/>
      <c r="X2405" s="574">
        <f t="shared" si="306"/>
        <v>0</v>
      </c>
      <c r="Y2405" s="487"/>
      <c r="Z2405" s="487"/>
      <c r="AA2405" s="276">
        <f t="shared" si="307"/>
        <v>0</v>
      </c>
      <c r="AB2405" s="573"/>
      <c r="AC2405" s="487"/>
      <c r="AD2405" s="573"/>
      <c r="AE2405" s="487"/>
      <c r="AF2405" s="577">
        <f t="shared" si="303"/>
        <v>523895</v>
      </c>
      <c r="AG2405" s="275">
        <f t="shared" si="304"/>
        <v>516014</v>
      </c>
    </row>
    <row r="2406" spans="1:33" ht="12" customHeight="1">
      <c r="A2406" s="744" t="s">
        <v>1274</v>
      </c>
      <c r="B2406" s="703" t="s">
        <v>1776</v>
      </c>
      <c r="C2406" s="745" t="s">
        <v>1726</v>
      </c>
      <c r="D2406" s="746">
        <v>218229</v>
      </c>
      <c r="E2406" s="697">
        <v>5</v>
      </c>
      <c r="F2406" s="573">
        <v>10553822</v>
      </c>
      <c r="G2406" s="949">
        <f>9184232-2730722+102873</f>
        <v>6556383</v>
      </c>
      <c r="H2406" s="573"/>
      <c r="I2406" s="487"/>
      <c r="J2406" s="573"/>
      <c r="K2406" s="487"/>
      <c r="L2406" s="573">
        <v>18896718</v>
      </c>
      <c r="M2406" s="573">
        <v>0</v>
      </c>
      <c r="N2406" s="456">
        <f t="shared" si="305"/>
        <v>18896718</v>
      </c>
      <c r="O2406" s="487">
        <v>19273262</v>
      </c>
      <c r="P2406" s="487">
        <v>0</v>
      </c>
      <c r="Q2406" s="274">
        <f t="shared" si="300"/>
        <v>19273262</v>
      </c>
      <c r="R2406" s="574">
        <f t="shared" si="301"/>
        <v>29450540</v>
      </c>
      <c r="S2406" s="275">
        <f t="shared" si="302"/>
        <v>25829645</v>
      </c>
      <c r="T2406" s="575"/>
      <c r="U2406" s="487"/>
      <c r="V2406" s="576"/>
      <c r="W2406" s="573"/>
      <c r="X2406" s="574">
        <f t="shared" si="306"/>
        <v>0</v>
      </c>
      <c r="Y2406" s="487"/>
      <c r="Z2406" s="487"/>
      <c r="AA2406" s="276">
        <f t="shared" si="307"/>
        <v>0</v>
      </c>
      <c r="AB2406" s="573"/>
      <c r="AC2406" s="487"/>
      <c r="AD2406" s="573"/>
      <c r="AE2406" s="487"/>
      <c r="AF2406" s="577">
        <f t="shared" si="303"/>
        <v>29450540</v>
      </c>
      <c r="AG2406" s="275">
        <f t="shared" si="304"/>
        <v>25829645</v>
      </c>
    </row>
    <row r="2407" spans="1:33" ht="12" customHeight="1">
      <c r="A2407" s="744" t="s">
        <v>1274</v>
      </c>
      <c r="B2407" s="703" t="s">
        <v>1776</v>
      </c>
      <c r="C2407" s="747" t="s">
        <v>1704</v>
      </c>
      <c r="D2407" s="746">
        <v>218229</v>
      </c>
      <c r="E2407" s="697">
        <v>5</v>
      </c>
      <c r="F2407" s="573">
        <v>384115</v>
      </c>
      <c r="G2407" s="487"/>
      <c r="H2407" s="573"/>
      <c r="I2407" s="487"/>
      <c r="J2407" s="573"/>
      <c r="K2407" s="487"/>
      <c r="L2407" s="573"/>
      <c r="M2407" s="573"/>
      <c r="N2407" s="456">
        <f t="shared" si="305"/>
        <v>0</v>
      </c>
      <c r="O2407" s="487"/>
      <c r="P2407" s="487"/>
      <c r="Q2407" s="274">
        <f t="shared" si="300"/>
        <v>0</v>
      </c>
      <c r="R2407" s="574">
        <f t="shared" si="301"/>
        <v>384115</v>
      </c>
      <c r="S2407" s="275">
        <f t="shared" si="302"/>
        <v>0</v>
      </c>
      <c r="T2407" s="575"/>
      <c r="U2407" s="487"/>
      <c r="V2407" s="576"/>
      <c r="W2407" s="573"/>
      <c r="X2407" s="574">
        <f t="shared" si="306"/>
        <v>0</v>
      </c>
      <c r="Y2407" s="487"/>
      <c r="Z2407" s="487"/>
      <c r="AA2407" s="276">
        <f t="shared" si="307"/>
        <v>0</v>
      </c>
      <c r="AB2407" s="573"/>
      <c r="AC2407" s="487"/>
      <c r="AD2407" s="573"/>
      <c r="AE2407" s="487"/>
      <c r="AF2407" s="577">
        <f t="shared" si="303"/>
        <v>384115</v>
      </c>
      <c r="AG2407" s="275">
        <f t="shared" si="304"/>
        <v>0</v>
      </c>
    </row>
    <row r="2408" spans="1:33" ht="12" customHeight="1">
      <c r="A2408" s="744" t="s">
        <v>1274</v>
      </c>
      <c r="B2408" s="703" t="s">
        <v>1776</v>
      </c>
      <c r="C2408" s="747" t="s">
        <v>1988</v>
      </c>
      <c r="D2408" s="746">
        <v>218229</v>
      </c>
      <c r="E2408" s="697">
        <v>5</v>
      </c>
      <c r="F2408" s="518"/>
      <c r="G2408" s="949">
        <v>1753705</v>
      </c>
      <c r="H2408" s="573"/>
      <c r="I2408" s="487"/>
      <c r="J2408" s="573"/>
      <c r="K2408" s="487"/>
      <c r="L2408" s="573"/>
      <c r="M2408" s="573"/>
      <c r="N2408" s="456">
        <f t="shared" si="305"/>
        <v>0</v>
      </c>
      <c r="O2408" s="487"/>
      <c r="P2408" s="487"/>
      <c r="Q2408" s="274">
        <f t="shared" si="300"/>
        <v>0</v>
      </c>
      <c r="R2408" s="574">
        <f t="shared" si="301"/>
        <v>0</v>
      </c>
      <c r="S2408" s="275">
        <f t="shared" si="302"/>
        <v>1753705</v>
      </c>
      <c r="T2408" s="575"/>
      <c r="U2408" s="487"/>
      <c r="V2408" s="576"/>
      <c r="W2408" s="573"/>
      <c r="X2408" s="574">
        <f t="shared" si="306"/>
        <v>0</v>
      </c>
      <c r="Y2408" s="487"/>
      <c r="Z2408" s="487"/>
      <c r="AA2408" s="276">
        <f t="shared" si="307"/>
        <v>0</v>
      </c>
      <c r="AB2408" s="573"/>
      <c r="AC2408" s="487"/>
      <c r="AD2408" s="573"/>
      <c r="AE2408" s="487"/>
      <c r="AF2408" s="577">
        <f t="shared" si="303"/>
        <v>0</v>
      </c>
      <c r="AG2408" s="275">
        <f t="shared" si="304"/>
        <v>1753705</v>
      </c>
    </row>
    <row r="2409" spans="1:33" ht="12" customHeight="1">
      <c r="A2409" s="744" t="s">
        <v>1274</v>
      </c>
      <c r="B2409" s="703" t="s">
        <v>1784</v>
      </c>
      <c r="C2409" s="299" t="s">
        <v>2037</v>
      </c>
      <c r="D2409" s="746">
        <v>218229</v>
      </c>
      <c r="E2409" s="697">
        <v>5</v>
      </c>
      <c r="F2409" s="518"/>
      <c r="G2409" s="487"/>
      <c r="H2409" s="573"/>
      <c r="I2409" s="487"/>
      <c r="J2409" s="573"/>
      <c r="K2409" s="487"/>
      <c r="L2409" s="573"/>
      <c r="M2409" s="573"/>
      <c r="N2409" s="456">
        <f t="shared" si="305"/>
        <v>0</v>
      </c>
      <c r="O2409" s="487"/>
      <c r="P2409" s="487"/>
      <c r="Q2409" s="274">
        <f t="shared" si="300"/>
        <v>0</v>
      </c>
      <c r="R2409" s="574">
        <f t="shared" si="301"/>
        <v>0</v>
      </c>
      <c r="S2409" s="275">
        <f t="shared" si="302"/>
        <v>0</v>
      </c>
      <c r="T2409" s="575"/>
      <c r="U2409" s="487"/>
      <c r="V2409" s="576"/>
      <c r="W2409" s="573"/>
      <c r="X2409" s="574">
        <f t="shared" si="306"/>
        <v>0</v>
      </c>
      <c r="Y2409" s="487"/>
      <c r="Z2409" s="487"/>
      <c r="AA2409" s="276">
        <f t="shared" si="307"/>
        <v>0</v>
      </c>
      <c r="AB2409" s="573"/>
      <c r="AC2409" s="487"/>
      <c r="AD2409" s="573"/>
      <c r="AE2409" s="487"/>
      <c r="AF2409" s="577">
        <f t="shared" si="303"/>
        <v>0</v>
      </c>
      <c r="AG2409" s="275">
        <f t="shared" si="304"/>
        <v>0</v>
      </c>
    </row>
    <row r="2410" spans="1:33" ht="12" customHeight="1">
      <c r="A2410" s="744" t="s">
        <v>1274</v>
      </c>
      <c r="B2410" s="703" t="s">
        <v>1784</v>
      </c>
      <c r="C2410" s="747" t="s">
        <v>1238</v>
      </c>
      <c r="D2410" s="746">
        <v>218229</v>
      </c>
      <c r="E2410" s="697">
        <v>5</v>
      </c>
      <c r="F2410" s="518"/>
      <c r="G2410" s="487"/>
      <c r="H2410" s="1096">
        <v>8739</v>
      </c>
      <c r="I2410" s="487">
        <v>6507</v>
      </c>
      <c r="J2410" s="573"/>
      <c r="K2410" s="487"/>
      <c r="L2410" s="573"/>
      <c r="M2410" s="573"/>
      <c r="N2410" s="456">
        <f t="shared" si="305"/>
        <v>0</v>
      </c>
      <c r="O2410" s="487"/>
      <c r="P2410" s="487"/>
      <c r="Q2410" s="274">
        <f t="shared" si="300"/>
        <v>0</v>
      </c>
      <c r="R2410" s="574">
        <f t="shared" si="301"/>
        <v>8739</v>
      </c>
      <c r="S2410" s="275">
        <f t="shared" si="302"/>
        <v>6507</v>
      </c>
      <c r="T2410" s="575"/>
      <c r="U2410" s="487"/>
      <c r="V2410" s="576"/>
      <c r="W2410" s="573"/>
      <c r="X2410" s="574">
        <f t="shared" si="306"/>
        <v>0</v>
      </c>
      <c r="Y2410" s="487"/>
      <c r="Z2410" s="487"/>
      <c r="AA2410" s="276">
        <f t="shared" si="307"/>
        <v>0</v>
      </c>
      <c r="AB2410" s="573"/>
      <c r="AC2410" s="487"/>
      <c r="AD2410" s="573"/>
      <c r="AE2410" s="487"/>
      <c r="AF2410" s="577">
        <f t="shared" si="303"/>
        <v>8739</v>
      </c>
      <c r="AG2410" s="275">
        <f t="shared" si="304"/>
        <v>6507</v>
      </c>
    </row>
    <row r="2411" spans="1:33" ht="12" customHeight="1">
      <c r="A2411" s="744" t="s">
        <v>1274</v>
      </c>
      <c r="B2411" s="703" t="s">
        <v>1784</v>
      </c>
      <c r="C2411" s="747" t="s">
        <v>1239</v>
      </c>
      <c r="D2411" s="746">
        <v>218229</v>
      </c>
      <c r="E2411" s="697">
        <v>5</v>
      </c>
      <c r="F2411" s="518"/>
      <c r="G2411" s="487"/>
      <c r="H2411" s="1096">
        <v>30000</v>
      </c>
      <c r="I2411" s="487"/>
      <c r="J2411" s="573"/>
      <c r="K2411" s="487"/>
      <c r="L2411" s="573"/>
      <c r="M2411" s="573"/>
      <c r="N2411" s="456">
        <f t="shared" si="305"/>
        <v>0</v>
      </c>
      <c r="O2411" s="487"/>
      <c r="P2411" s="487"/>
      <c r="Q2411" s="274">
        <f t="shared" si="300"/>
        <v>0</v>
      </c>
      <c r="R2411" s="574">
        <f t="shared" si="301"/>
        <v>30000</v>
      </c>
      <c r="S2411" s="275">
        <f t="shared" si="302"/>
        <v>0</v>
      </c>
      <c r="T2411" s="575"/>
      <c r="U2411" s="487"/>
      <c r="V2411" s="576"/>
      <c r="W2411" s="573"/>
      <c r="X2411" s="574">
        <f t="shared" si="306"/>
        <v>0</v>
      </c>
      <c r="Y2411" s="487"/>
      <c r="Z2411" s="487"/>
      <c r="AA2411" s="276">
        <f t="shared" si="307"/>
        <v>0</v>
      </c>
      <c r="AB2411" s="573"/>
      <c r="AC2411" s="487"/>
      <c r="AD2411" s="573"/>
      <c r="AE2411" s="487"/>
      <c r="AF2411" s="577">
        <f t="shared" si="303"/>
        <v>30000</v>
      </c>
      <c r="AG2411" s="275">
        <f t="shared" si="304"/>
        <v>0</v>
      </c>
    </row>
    <row r="2412" spans="1:33" ht="12" customHeight="1">
      <c r="A2412" s="744" t="s">
        <v>1274</v>
      </c>
      <c r="B2412" s="703" t="s">
        <v>1784</v>
      </c>
      <c r="C2412" s="747" t="s">
        <v>45</v>
      </c>
      <c r="D2412" s="746">
        <v>218229</v>
      </c>
      <c r="E2412" s="697">
        <v>5</v>
      </c>
      <c r="F2412" s="518"/>
      <c r="G2412" s="487"/>
      <c r="H2412" s="1096">
        <v>13350</v>
      </c>
      <c r="I2412" s="487">
        <v>8204</v>
      </c>
      <c r="J2412" s="573"/>
      <c r="K2412" s="487"/>
      <c r="L2412" s="573"/>
      <c r="M2412" s="573"/>
      <c r="N2412" s="456">
        <f t="shared" si="305"/>
        <v>0</v>
      </c>
      <c r="O2412" s="487"/>
      <c r="P2412" s="487"/>
      <c r="Q2412" s="274">
        <f t="shared" si="300"/>
        <v>0</v>
      </c>
      <c r="R2412" s="574">
        <f t="shared" si="301"/>
        <v>13350</v>
      </c>
      <c r="S2412" s="275">
        <f t="shared" si="302"/>
        <v>8204</v>
      </c>
      <c r="T2412" s="575"/>
      <c r="U2412" s="487"/>
      <c r="V2412" s="576"/>
      <c r="W2412" s="573"/>
      <c r="X2412" s="574">
        <f t="shared" si="306"/>
        <v>0</v>
      </c>
      <c r="Y2412" s="487"/>
      <c r="Z2412" s="487"/>
      <c r="AA2412" s="276">
        <f t="shared" si="307"/>
        <v>0</v>
      </c>
      <c r="AB2412" s="573"/>
      <c r="AC2412" s="487"/>
      <c r="AD2412" s="573"/>
      <c r="AE2412" s="487"/>
      <c r="AF2412" s="577">
        <f t="shared" si="303"/>
        <v>13350</v>
      </c>
      <c r="AG2412" s="275">
        <f t="shared" si="304"/>
        <v>8204</v>
      </c>
    </row>
    <row r="2413" spans="1:33" ht="12" customHeight="1">
      <c r="A2413" s="744" t="s">
        <v>1274</v>
      </c>
      <c r="B2413" s="703" t="s">
        <v>1784</v>
      </c>
      <c r="C2413" s="747" t="s">
        <v>1676</v>
      </c>
      <c r="D2413" s="746">
        <v>218229</v>
      </c>
      <c r="E2413" s="697">
        <v>5</v>
      </c>
      <c r="F2413" s="573"/>
      <c r="G2413" s="487"/>
      <c r="H2413" s="952">
        <v>23801</v>
      </c>
      <c r="I2413" s="487">
        <v>17972</v>
      </c>
      <c r="J2413" s="573"/>
      <c r="K2413" s="487"/>
      <c r="L2413" s="573"/>
      <c r="M2413" s="573"/>
      <c r="N2413" s="456">
        <f t="shared" si="305"/>
        <v>0</v>
      </c>
      <c r="O2413" s="487"/>
      <c r="P2413" s="487"/>
      <c r="Q2413" s="274">
        <f t="shared" si="300"/>
        <v>0</v>
      </c>
      <c r="R2413" s="574">
        <f t="shared" si="301"/>
        <v>23801</v>
      </c>
      <c r="S2413" s="275">
        <f t="shared" si="302"/>
        <v>17972</v>
      </c>
      <c r="T2413" s="575"/>
      <c r="U2413" s="487"/>
      <c r="V2413" s="576"/>
      <c r="W2413" s="573"/>
      <c r="X2413" s="574">
        <f t="shared" si="306"/>
        <v>0</v>
      </c>
      <c r="Y2413" s="487"/>
      <c r="Z2413" s="487"/>
      <c r="AA2413" s="276">
        <f t="shared" si="307"/>
        <v>0</v>
      </c>
      <c r="AB2413" s="573"/>
      <c r="AC2413" s="487"/>
      <c r="AD2413" s="573"/>
      <c r="AE2413" s="487"/>
      <c r="AF2413" s="577">
        <f t="shared" si="303"/>
        <v>23801</v>
      </c>
      <c r="AG2413" s="275">
        <f t="shared" si="304"/>
        <v>17972</v>
      </c>
    </row>
    <row r="2414" spans="1:33" ht="12" customHeight="1">
      <c r="A2414" s="744" t="s">
        <v>1274</v>
      </c>
      <c r="B2414" s="703" t="s">
        <v>1784</v>
      </c>
      <c r="C2414" s="700" t="s">
        <v>1998</v>
      </c>
      <c r="D2414" s="746">
        <v>218229</v>
      </c>
      <c r="E2414" s="697">
        <v>5</v>
      </c>
      <c r="F2414" s="573"/>
      <c r="G2414" s="487"/>
      <c r="H2414" s="958">
        <v>436652</v>
      </c>
      <c r="I2414" s="949">
        <v>419784</v>
      </c>
      <c r="J2414" s="573"/>
      <c r="K2414" s="487"/>
      <c r="L2414" s="573"/>
      <c r="M2414" s="573"/>
      <c r="N2414" s="456">
        <f t="shared" si="305"/>
        <v>0</v>
      </c>
      <c r="O2414" s="487"/>
      <c r="P2414" s="487"/>
      <c r="Q2414" s="274">
        <f t="shared" si="300"/>
        <v>0</v>
      </c>
      <c r="R2414" s="574">
        <f t="shared" si="301"/>
        <v>436652</v>
      </c>
      <c r="S2414" s="275">
        <f t="shared" si="302"/>
        <v>419784</v>
      </c>
      <c r="T2414" s="575"/>
      <c r="U2414" s="487"/>
      <c r="V2414" s="576"/>
      <c r="W2414" s="573"/>
      <c r="X2414" s="574">
        <f t="shared" si="306"/>
        <v>0</v>
      </c>
      <c r="Y2414" s="487"/>
      <c r="Z2414" s="487"/>
      <c r="AA2414" s="276">
        <f t="shared" si="307"/>
        <v>0</v>
      </c>
      <c r="AB2414" s="573"/>
      <c r="AC2414" s="487"/>
      <c r="AD2414" s="573"/>
      <c r="AE2414" s="487"/>
      <c r="AF2414" s="577">
        <f t="shared" si="303"/>
        <v>436652</v>
      </c>
      <c r="AG2414" s="275">
        <f t="shared" si="304"/>
        <v>419784</v>
      </c>
    </row>
    <row r="2415" spans="1:33" ht="12" customHeight="1">
      <c r="A2415" s="744" t="s">
        <v>1274</v>
      </c>
      <c r="B2415" s="703" t="s">
        <v>1784</v>
      </c>
      <c r="C2415" s="700" t="s">
        <v>2004</v>
      </c>
      <c r="D2415" s="746">
        <v>218229</v>
      </c>
      <c r="E2415" s="697">
        <v>5</v>
      </c>
      <c r="F2415" s="573"/>
      <c r="G2415" s="487"/>
      <c r="H2415" s="958">
        <v>425000</v>
      </c>
      <c r="I2415" s="487"/>
      <c r="J2415" s="573"/>
      <c r="K2415" s="487"/>
      <c r="L2415" s="573"/>
      <c r="M2415" s="573"/>
      <c r="N2415" s="456">
        <f t="shared" si="305"/>
        <v>0</v>
      </c>
      <c r="O2415" s="487"/>
      <c r="P2415" s="487"/>
      <c r="Q2415" s="274">
        <f t="shared" si="300"/>
        <v>0</v>
      </c>
      <c r="R2415" s="574">
        <f t="shared" si="301"/>
        <v>425000</v>
      </c>
      <c r="S2415" s="275">
        <f t="shared" si="302"/>
        <v>0</v>
      </c>
      <c r="T2415" s="575"/>
      <c r="U2415" s="487"/>
      <c r="V2415" s="576"/>
      <c r="W2415" s="573"/>
      <c r="X2415" s="574">
        <f t="shared" si="306"/>
        <v>0</v>
      </c>
      <c r="Y2415" s="487"/>
      <c r="Z2415" s="487"/>
      <c r="AA2415" s="276">
        <f t="shared" si="307"/>
        <v>0</v>
      </c>
      <c r="AB2415" s="573"/>
      <c r="AC2415" s="487"/>
      <c r="AD2415" s="573"/>
      <c r="AE2415" s="487"/>
      <c r="AF2415" s="577">
        <f t="shared" si="303"/>
        <v>425000</v>
      </c>
      <c r="AG2415" s="275">
        <f t="shared" si="304"/>
        <v>0</v>
      </c>
    </row>
    <row r="2416" spans="1:33" ht="12" customHeight="1">
      <c r="A2416" s="744" t="s">
        <v>1274</v>
      </c>
      <c r="B2416" s="703" t="s">
        <v>1784</v>
      </c>
      <c r="C2416" s="700" t="s">
        <v>2005</v>
      </c>
      <c r="D2416" s="746">
        <v>218229</v>
      </c>
      <c r="E2416" s="697">
        <v>5</v>
      </c>
      <c r="F2416" s="573"/>
      <c r="G2416" s="487"/>
      <c r="H2416" s="958">
        <v>20000</v>
      </c>
      <c r="I2416" s="487"/>
      <c r="J2416" s="573"/>
      <c r="K2416" s="487"/>
      <c r="L2416" s="573"/>
      <c r="M2416" s="573"/>
      <c r="N2416" s="456">
        <f t="shared" si="305"/>
        <v>0</v>
      </c>
      <c r="O2416" s="487"/>
      <c r="P2416" s="487"/>
      <c r="Q2416" s="274">
        <f t="shared" si="300"/>
        <v>0</v>
      </c>
      <c r="R2416" s="574">
        <f t="shared" si="301"/>
        <v>20000</v>
      </c>
      <c r="S2416" s="275">
        <f t="shared" si="302"/>
        <v>0</v>
      </c>
      <c r="T2416" s="575"/>
      <c r="U2416" s="487"/>
      <c r="V2416" s="576"/>
      <c r="W2416" s="573"/>
      <c r="X2416" s="574">
        <f t="shared" si="306"/>
        <v>0</v>
      </c>
      <c r="Y2416" s="487"/>
      <c r="Z2416" s="487"/>
      <c r="AA2416" s="276">
        <f t="shared" si="307"/>
        <v>0</v>
      </c>
      <c r="AB2416" s="573"/>
      <c r="AC2416" s="487"/>
      <c r="AD2416" s="573"/>
      <c r="AE2416" s="487"/>
      <c r="AF2416" s="577">
        <f t="shared" si="303"/>
        <v>20000</v>
      </c>
      <c r="AG2416" s="275">
        <f t="shared" si="304"/>
        <v>0</v>
      </c>
    </row>
    <row r="2417" spans="1:33" ht="12" customHeight="1">
      <c r="A2417" s="744" t="s">
        <v>1274</v>
      </c>
      <c r="B2417" s="703" t="s">
        <v>1776</v>
      </c>
      <c r="C2417" s="745" t="s">
        <v>199</v>
      </c>
      <c r="D2417" s="746">
        <v>218733</v>
      </c>
      <c r="E2417" s="697">
        <v>5</v>
      </c>
      <c r="F2417" s="573">
        <v>21907364</v>
      </c>
      <c r="G2417" s="949">
        <f>18949354-6044015+207531</f>
        <v>13112870</v>
      </c>
      <c r="H2417" s="573"/>
      <c r="I2417" s="487"/>
      <c r="J2417" s="573"/>
      <c r="K2417" s="487"/>
      <c r="L2417" s="573">
        <v>34003743</v>
      </c>
      <c r="M2417" s="573">
        <v>2445521</v>
      </c>
      <c r="N2417" s="456">
        <f t="shared" si="305"/>
        <v>36449264</v>
      </c>
      <c r="O2417" s="487">
        <v>37580260</v>
      </c>
      <c r="P2417" s="487">
        <v>2976046</v>
      </c>
      <c r="Q2417" s="274">
        <f t="shared" si="300"/>
        <v>40556306</v>
      </c>
      <c r="R2417" s="574">
        <f t="shared" si="301"/>
        <v>55911107</v>
      </c>
      <c r="S2417" s="275">
        <f t="shared" si="302"/>
        <v>50693130</v>
      </c>
      <c r="T2417" s="575"/>
      <c r="U2417" s="487"/>
      <c r="V2417" s="576"/>
      <c r="W2417" s="573"/>
      <c r="X2417" s="574">
        <f t="shared" si="306"/>
        <v>0</v>
      </c>
      <c r="Y2417" s="487"/>
      <c r="Z2417" s="487"/>
      <c r="AA2417" s="276">
        <f t="shared" si="307"/>
        <v>0</v>
      </c>
      <c r="AB2417" s="573"/>
      <c r="AC2417" s="487"/>
      <c r="AD2417" s="573"/>
      <c r="AE2417" s="487"/>
      <c r="AF2417" s="577">
        <f t="shared" si="303"/>
        <v>55911107</v>
      </c>
      <c r="AG2417" s="275">
        <f t="shared" si="304"/>
        <v>50693130</v>
      </c>
    </row>
    <row r="2418" spans="1:33" ht="12" customHeight="1">
      <c r="A2418" s="744" t="s">
        <v>1274</v>
      </c>
      <c r="B2418" s="703" t="s">
        <v>1776</v>
      </c>
      <c r="C2418" s="747" t="s">
        <v>1704</v>
      </c>
      <c r="D2418" s="746">
        <v>218733</v>
      </c>
      <c r="E2418" s="697">
        <v>5</v>
      </c>
      <c r="F2418" s="573">
        <v>672864</v>
      </c>
      <c r="G2418" s="487"/>
      <c r="H2418" s="573"/>
      <c r="I2418" s="487"/>
      <c r="J2418" s="573"/>
      <c r="K2418" s="487"/>
      <c r="L2418" s="573"/>
      <c r="M2418" s="573"/>
      <c r="N2418" s="456">
        <f t="shared" si="305"/>
        <v>0</v>
      </c>
      <c r="O2418" s="487"/>
      <c r="P2418" s="487"/>
      <c r="Q2418" s="274">
        <f t="shared" si="300"/>
        <v>0</v>
      </c>
      <c r="R2418" s="574">
        <f t="shared" si="301"/>
        <v>672864</v>
      </c>
      <c r="S2418" s="275">
        <f t="shared" si="302"/>
        <v>0</v>
      </c>
      <c r="T2418" s="575"/>
      <c r="U2418" s="487"/>
      <c r="V2418" s="576"/>
      <c r="W2418" s="573"/>
      <c r="X2418" s="574">
        <f t="shared" si="306"/>
        <v>0</v>
      </c>
      <c r="Y2418" s="487"/>
      <c r="Z2418" s="487"/>
      <c r="AA2418" s="276">
        <f t="shared" si="307"/>
        <v>0</v>
      </c>
      <c r="AB2418" s="573"/>
      <c r="AC2418" s="487"/>
      <c r="AD2418" s="573"/>
      <c r="AE2418" s="487"/>
      <c r="AF2418" s="577">
        <f t="shared" si="303"/>
        <v>672864</v>
      </c>
      <c r="AG2418" s="275">
        <f t="shared" si="304"/>
        <v>0</v>
      </c>
    </row>
    <row r="2419" spans="1:33" ht="12" customHeight="1">
      <c r="A2419" s="744" t="s">
        <v>1274</v>
      </c>
      <c r="B2419" s="703" t="s">
        <v>1776</v>
      </c>
      <c r="C2419" s="747" t="s">
        <v>1988</v>
      </c>
      <c r="D2419" s="746">
        <v>218733</v>
      </c>
      <c r="E2419" s="697">
        <v>5</v>
      </c>
      <c r="F2419" s="518"/>
      <c r="G2419" s="949">
        <v>3630874</v>
      </c>
      <c r="H2419" s="573"/>
      <c r="I2419" s="487"/>
      <c r="J2419" s="573"/>
      <c r="K2419" s="487"/>
      <c r="L2419" s="573"/>
      <c r="M2419" s="573"/>
      <c r="N2419" s="456">
        <f t="shared" si="305"/>
        <v>0</v>
      </c>
      <c r="O2419" s="487"/>
      <c r="P2419" s="487"/>
      <c r="Q2419" s="274">
        <f t="shared" si="300"/>
        <v>0</v>
      </c>
      <c r="R2419" s="574">
        <f t="shared" si="301"/>
        <v>0</v>
      </c>
      <c r="S2419" s="275">
        <f t="shared" si="302"/>
        <v>3630874</v>
      </c>
      <c r="T2419" s="575"/>
      <c r="U2419" s="487"/>
      <c r="V2419" s="576"/>
      <c r="W2419" s="573"/>
      <c r="X2419" s="574">
        <f t="shared" si="306"/>
        <v>0</v>
      </c>
      <c r="Y2419" s="487"/>
      <c r="Z2419" s="487"/>
      <c r="AA2419" s="276">
        <f t="shared" si="307"/>
        <v>0</v>
      </c>
      <c r="AB2419" s="573"/>
      <c r="AC2419" s="487"/>
      <c r="AD2419" s="573"/>
      <c r="AE2419" s="487"/>
      <c r="AF2419" s="577">
        <f t="shared" si="303"/>
        <v>0</v>
      </c>
      <c r="AG2419" s="275">
        <f t="shared" si="304"/>
        <v>3630874</v>
      </c>
    </row>
    <row r="2420" spans="1:33" ht="12" customHeight="1">
      <c r="A2420" s="744" t="s">
        <v>1274</v>
      </c>
      <c r="B2420" s="703" t="s">
        <v>1778</v>
      </c>
      <c r="C2420" s="298" t="s">
        <v>1891</v>
      </c>
      <c r="D2420" s="746">
        <v>218733</v>
      </c>
      <c r="E2420" s="697">
        <v>5</v>
      </c>
      <c r="F2420" s="573"/>
      <c r="G2420" s="487"/>
      <c r="H2420" s="573"/>
      <c r="I2420" s="487"/>
      <c r="J2420" s="573"/>
      <c r="K2420" s="487"/>
      <c r="L2420" s="573"/>
      <c r="M2420" s="573"/>
      <c r="N2420" s="456">
        <f t="shared" si="305"/>
        <v>0</v>
      </c>
      <c r="O2420" s="487"/>
      <c r="P2420" s="487"/>
      <c r="Q2420" s="274">
        <f t="shared" si="300"/>
        <v>0</v>
      </c>
      <c r="R2420" s="574">
        <f t="shared" si="301"/>
        <v>0</v>
      </c>
      <c r="S2420" s="275">
        <f t="shared" si="302"/>
        <v>0</v>
      </c>
      <c r="T2420" s="575"/>
      <c r="U2420" s="487"/>
      <c r="V2420" s="576"/>
      <c r="W2420" s="573"/>
      <c r="X2420" s="574">
        <f t="shared" si="306"/>
        <v>0</v>
      </c>
      <c r="Y2420" s="487"/>
      <c r="Z2420" s="487"/>
      <c r="AA2420" s="276">
        <f t="shared" si="307"/>
        <v>0</v>
      </c>
      <c r="AB2420" s="573"/>
      <c r="AC2420" s="487"/>
      <c r="AD2420" s="573"/>
      <c r="AE2420" s="487"/>
      <c r="AF2420" s="577">
        <f t="shared" si="303"/>
        <v>0</v>
      </c>
      <c r="AG2420" s="275">
        <f t="shared" si="304"/>
        <v>0</v>
      </c>
    </row>
    <row r="2421" spans="1:33" ht="12" customHeight="1">
      <c r="A2421" s="744" t="s">
        <v>1274</v>
      </c>
      <c r="B2421" s="703" t="s">
        <v>1778</v>
      </c>
      <c r="C2421" s="747" t="s">
        <v>203</v>
      </c>
      <c r="D2421" s="746">
        <v>218733</v>
      </c>
      <c r="E2421" s="697">
        <v>5</v>
      </c>
      <c r="F2421" s="518"/>
      <c r="G2421" s="487"/>
      <c r="H2421" s="573">
        <v>400000</v>
      </c>
      <c r="I2421" s="487">
        <v>0</v>
      </c>
      <c r="J2421" s="573"/>
      <c r="K2421" s="487"/>
      <c r="L2421" s="573"/>
      <c r="M2421" s="573"/>
      <c r="N2421" s="456">
        <f t="shared" si="305"/>
        <v>0</v>
      </c>
      <c r="O2421" s="487"/>
      <c r="P2421" s="487"/>
      <c r="Q2421" s="274">
        <f t="shared" si="300"/>
        <v>0</v>
      </c>
      <c r="R2421" s="574">
        <f t="shared" si="301"/>
        <v>400000</v>
      </c>
      <c r="S2421" s="275">
        <f t="shared" si="302"/>
        <v>0</v>
      </c>
      <c r="T2421" s="575"/>
      <c r="U2421" s="487"/>
      <c r="V2421" s="576"/>
      <c r="W2421" s="573"/>
      <c r="X2421" s="574">
        <f t="shared" si="306"/>
        <v>0</v>
      </c>
      <c r="Y2421" s="487"/>
      <c r="Z2421" s="487"/>
      <c r="AA2421" s="276">
        <f t="shared" si="307"/>
        <v>0</v>
      </c>
      <c r="AB2421" s="573"/>
      <c r="AC2421" s="487"/>
      <c r="AD2421" s="573"/>
      <c r="AE2421" s="487"/>
      <c r="AF2421" s="577">
        <f t="shared" si="303"/>
        <v>400000</v>
      </c>
      <c r="AG2421" s="275">
        <f t="shared" si="304"/>
        <v>0</v>
      </c>
    </row>
    <row r="2422" spans="1:33" ht="12" customHeight="1">
      <c r="A2422" s="744" t="s">
        <v>1274</v>
      </c>
      <c r="B2422" s="703" t="s">
        <v>1780</v>
      </c>
      <c r="C2422" s="747" t="s">
        <v>1244</v>
      </c>
      <c r="D2422" s="746">
        <v>218733</v>
      </c>
      <c r="E2422" s="697">
        <v>5</v>
      </c>
      <c r="F2422" s="518"/>
      <c r="G2422" s="487"/>
      <c r="H2422" s="1096">
        <v>3903938</v>
      </c>
      <c r="I2422" s="487">
        <v>3025764</v>
      </c>
      <c r="J2422" s="573"/>
      <c r="K2422" s="487"/>
      <c r="L2422" s="573"/>
      <c r="M2422" s="573"/>
      <c r="N2422" s="456">
        <f t="shared" si="305"/>
        <v>0</v>
      </c>
      <c r="O2422" s="487"/>
      <c r="P2422" s="487"/>
      <c r="Q2422" s="274">
        <f t="shared" si="300"/>
        <v>0</v>
      </c>
      <c r="R2422" s="574">
        <f t="shared" si="301"/>
        <v>3903938</v>
      </c>
      <c r="S2422" s="275">
        <f t="shared" si="302"/>
        <v>3025764</v>
      </c>
      <c r="T2422" s="575"/>
      <c r="U2422" s="487"/>
      <c r="V2422" s="576"/>
      <c r="W2422" s="573"/>
      <c r="X2422" s="574">
        <f t="shared" si="306"/>
        <v>0</v>
      </c>
      <c r="Y2422" s="487"/>
      <c r="Z2422" s="487"/>
      <c r="AA2422" s="276">
        <f t="shared" si="307"/>
        <v>0</v>
      </c>
      <c r="AB2422" s="573"/>
      <c r="AC2422" s="487"/>
      <c r="AD2422" s="573"/>
      <c r="AE2422" s="487"/>
      <c r="AF2422" s="577">
        <f t="shared" si="303"/>
        <v>3903938</v>
      </c>
      <c r="AG2422" s="275">
        <f t="shared" si="304"/>
        <v>3025764</v>
      </c>
    </row>
    <row r="2423" spans="1:33" ht="12" customHeight="1">
      <c r="A2423" s="744" t="s">
        <v>1274</v>
      </c>
      <c r="B2423" s="703" t="s">
        <v>1783</v>
      </c>
      <c r="C2423" s="298" t="s">
        <v>1881</v>
      </c>
      <c r="D2423" s="746">
        <v>218733</v>
      </c>
      <c r="E2423" s="697">
        <v>5</v>
      </c>
      <c r="F2423" s="573"/>
      <c r="G2423" s="487"/>
      <c r="H2423" s="573"/>
      <c r="I2423" s="487"/>
      <c r="J2423" s="573"/>
      <c r="K2423" s="487"/>
      <c r="L2423" s="573"/>
      <c r="M2423" s="573"/>
      <c r="N2423" s="456">
        <f t="shared" si="305"/>
        <v>0</v>
      </c>
      <c r="O2423" s="487"/>
      <c r="P2423" s="487"/>
      <c r="Q2423" s="274">
        <f t="shared" si="300"/>
        <v>0</v>
      </c>
      <c r="R2423" s="574">
        <f t="shared" si="301"/>
        <v>0</v>
      </c>
      <c r="S2423" s="275">
        <f t="shared" si="302"/>
        <v>0</v>
      </c>
      <c r="T2423" s="575"/>
      <c r="U2423" s="487"/>
      <c r="V2423" s="576"/>
      <c r="W2423" s="573"/>
      <c r="X2423" s="574">
        <f t="shared" si="306"/>
        <v>0</v>
      </c>
      <c r="Y2423" s="487"/>
      <c r="Z2423" s="487"/>
      <c r="AA2423" s="276">
        <f t="shared" si="307"/>
        <v>0</v>
      </c>
      <c r="AB2423" s="573"/>
      <c r="AC2423" s="487"/>
      <c r="AD2423" s="573"/>
      <c r="AE2423" s="487"/>
      <c r="AF2423" s="577">
        <f t="shared" si="303"/>
        <v>0</v>
      </c>
      <c r="AG2423" s="275">
        <f t="shared" si="304"/>
        <v>0</v>
      </c>
    </row>
    <row r="2424" spans="1:33" ht="12" customHeight="1">
      <c r="A2424" s="744" t="s">
        <v>1274</v>
      </c>
      <c r="B2424" s="703" t="s">
        <v>1783</v>
      </c>
      <c r="C2424" s="747" t="s">
        <v>204</v>
      </c>
      <c r="D2424" s="746">
        <v>218733</v>
      </c>
      <c r="E2424" s="697">
        <v>5</v>
      </c>
      <c r="F2424" s="518"/>
      <c r="G2424" s="487"/>
      <c r="H2424" s="1096">
        <v>870977</v>
      </c>
      <c r="I2424" s="949">
        <v>818268</v>
      </c>
      <c r="J2424" s="573"/>
      <c r="K2424" s="487"/>
      <c r="L2424" s="573"/>
      <c r="M2424" s="573"/>
      <c r="N2424" s="456">
        <f t="shared" si="305"/>
        <v>0</v>
      </c>
      <c r="O2424" s="487"/>
      <c r="P2424" s="487"/>
      <c r="Q2424" s="274">
        <f t="shared" si="300"/>
        <v>0</v>
      </c>
      <c r="R2424" s="574">
        <f t="shared" si="301"/>
        <v>870977</v>
      </c>
      <c r="S2424" s="275">
        <f t="shared" si="302"/>
        <v>818268</v>
      </c>
      <c r="T2424" s="575"/>
      <c r="U2424" s="487"/>
      <c r="V2424" s="576"/>
      <c r="W2424" s="573"/>
      <c r="X2424" s="574">
        <f t="shared" si="306"/>
        <v>0</v>
      </c>
      <c r="Y2424" s="487"/>
      <c r="Z2424" s="487"/>
      <c r="AA2424" s="276">
        <f t="shared" si="307"/>
        <v>0</v>
      </c>
      <c r="AB2424" s="573"/>
      <c r="AC2424" s="487"/>
      <c r="AD2424" s="573"/>
      <c r="AE2424" s="487"/>
      <c r="AF2424" s="577">
        <f t="shared" si="303"/>
        <v>870977</v>
      </c>
      <c r="AG2424" s="275">
        <f t="shared" si="304"/>
        <v>818268</v>
      </c>
    </row>
    <row r="2425" spans="1:33" ht="12" customHeight="1">
      <c r="A2425" s="744" t="s">
        <v>1274</v>
      </c>
      <c r="B2425" s="703" t="s">
        <v>1784</v>
      </c>
      <c r="C2425" s="299" t="s">
        <v>2037</v>
      </c>
      <c r="D2425" s="746">
        <v>218733</v>
      </c>
      <c r="E2425" s="697">
        <v>5</v>
      </c>
      <c r="F2425" s="518"/>
      <c r="G2425" s="487"/>
      <c r="H2425" s="573"/>
      <c r="I2425" s="487"/>
      <c r="J2425" s="573"/>
      <c r="K2425" s="487"/>
      <c r="L2425" s="573"/>
      <c r="M2425" s="573"/>
      <c r="N2425" s="456">
        <f t="shared" si="305"/>
        <v>0</v>
      </c>
      <c r="O2425" s="487"/>
      <c r="P2425" s="487"/>
      <c r="Q2425" s="274">
        <f t="shared" si="300"/>
        <v>0</v>
      </c>
      <c r="R2425" s="574">
        <f t="shared" si="301"/>
        <v>0</v>
      </c>
      <c r="S2425" s="275">
        <f t="shared" si="302"/>
        <v>0</v>
      </c>
      <c r="T2425" s="575"/>
      <c r="U2425" s="487"/>
      <c r="V2425" s="576"/>
      <c r="W2425" s="573"/>
      <c r="X2425" s="574">
        <f t="shared" si="306"/>
        <v>0</v>
      </c>
      <c r="Y2425" s="487"/>
      <c r="Z2425" s="487"/>
      <c r="AA2425" s="276">
        <f t="shared" si="307"/>
        <v>0</v>
      </c>
      <c r="AB2425" s="573"/>
      <c r="AC2425" s="487"/>
      <c r="AD2425" s="573"/>
      <c r="AE2425" s="487"/>
      <c r="AF2425" s="577">
        <f t="shared" si="303"/>
        <v>0</v>
      </c>
      <c r="AG2425" s="275">
        <f t="shared" si="304"/>
        <v>0</v>
      </c>
    </row>
    <row r="2426" spans="1:33" ht="12" customHeight="1">
      <c r="A2426" s="744" t="s">
        <v>1274</v>
      </c>
      <c r="B2426" s="703" t="s">
        <v>1784</v>
      </c>
      <c r="C2426" s="747" t="s">
        <v>1238</v>
      </c>
      <c r="D2426" s="746">
        <v>218733</v>
      </c>
      <c r="E2426" s="697">
        <v>5</v>
      </c>
      <c r="F2426" s="518"/>
      <c r="G2426" s="487"/>
      <c r="H2426" s="1096">
        <v>112371</v>
      </c>
      <c r="I2426" s="487">
        <v>89606</v>
      </c>
      <c r="J2426" s="573"/>
      <c r="K2426" s="487"/>
      <c r="L2426" s="573"/>
      <c r="M2426" s="573"/>
      <c r="N2426" s="456">
        <f t="shared" si="305"/>
        <v>0</v>
      </c>
      <c r="O2426" s="487"/>
      <c r="P2426" s="487"/>
      <c r="Q2426" s="274">
        <f t="shared" si="300"/>
        <v>0</v>
      </c>
      <c r="R2426" s="574">
        <f t="shared" si="301"/>
        <v>112371</v>
      </c>
      <c r="S2426" s="275">
        <f t="shared" si="302"/>
        <v>89606</v>
      </c>
      <c r="T2426" s="575"/>
      <c r="U2426" s="487"/>
      <c r="V2426" s="576"/>
      <c r="W2426" s="573"/>
      <c r="X2426" s="574">
        <f t="shared" si="306"/>
        <v>0</v>
      </c>
      <c r="Y2426" s="487"/>
      <c r="Z2426" s="487"/>
      <c r="AA2426" s="276">
        <f t="shared" si="307"/>
        <v>0</v>
      </c>
      <c r="AB2426" s="573"/>
      <c r="AC2426" s="487"/>
      <c r="AD2426" s="573"/>
      <c r="AE2426" s="487"/>
      <c r="AF2426" s="577">
        <f t="shared" si="303"/>
        <v>112371</v>
      </c>
      <c r="AG2426" s="275">
        <f t="shared" si="304"/>
        <v>89606</v>
      </c>
    </row>
    <row r="2427" spans="1:33" ht="12" customHeight="1">
      <c r="A2427" s="744" t="s">
        <v>1274</v>
      </c>
      <c r="B2427" s="703" t="s">
        <v>1784</v>
      </c>
      <c r="C2427" s="747" t="s">
        <v>1239</v>
      </c>
      <c r="D2427" s="746">
        <v>218733</v>
      </c>
      <c r="E2427" s="697">
        <v>5</v>
      </c>
      <c r="F2427" s="518"/>
      <c r="G2427" s="487"/>
      <c r="H2427" s="1096">
        <v>30000</v>
      </c>
      <c r="I2427" s="487">
        <v>0</v>
      </c>
      <c r="J2427" s="573"/>
      <c r="K2427" s="487"/>
      <c r="L2427" s="573"/>
      <c r="M2427" s="573"/>
      <c r="N2427" s="456">
        <f t="shared" si="305"/>
        <v>0</v>
      </c>
      <c r="O2427" s="487"/>
      <c r="P2427" s="487"/>
      <c r="Q2427" s="274">
        <f t="shared" si="300"/>
        <v>0</v>
      </c>
      <c r="R2427" s="574">
        <f t="shared" si="301"/>
        <v>30000</v>
      </c>
      <c r="S2427" s="275">
        <f t="shared" si="302"/>
        <v>0</v>
      </c>
      <c r="T2427" s="575"/>
      <c r="U2427" s="487"/>
      <c r="V2427" s="576"/>
      <c r="W2427" s="573"/>
      <c r="X2427" s="574">
        <f t="shared" si="306"/>
        <v>0</v>
      </c>
      <c r="Y2427" s="487"/>
      <c r="Z2427" s="487"/>
      <c r="AA2427" s="276">
        <f t="shared" si="307"/>
        <v>0</v>
      </c>
      <c r="AB2427" s="573"/>
      <c r="AC2427" s="487"/>
      <c r="AD2427" s="573"/>
      <c r="AE2427" s="487"/>
      <c r="AF2427" s="577">
        <f t="shared" si="303"/>
        <v>30000</v>
      </c>
      <c r="AG2427" s="275">
        <f t="shared" si="304"/>
        <v>0</v>
      </c>
    </row>
    <row r="2428" spans="1:33" ht="12" customHeight="1">
      <c r="A2428" s="744" t="s">
        <v>1274</v>
      </c>
      <c r="B2428" s="703" t="s">
        <v>1784</v>
      </c>
      <c r="C2428" s="747" t="s">
        <v>45</v>
      </c>
      <c r="D2428" s="746">
        <v>218733</v>
      </c>
      <c r="E2428" s="697">
        <v>5</v>
      </c>
      <c r="F2428" s="518"/>
      <c r="G2428" s="487"/>
      <c r="H2428" s="1096">
        <v>3929</v>
      </c>
      <c r="I2428" s="487">
        <v>3284</v>
      </c>
      <c r="J2428" s="573"/>
      <c r="K2428" s="487"/>
      <c r="L2428" s="573"/>
      <c r="M2428" s="573"/>
      <c r="N2428" s="456">
        <f t="shared" si="305"/>
        <v>0</v>
      </c>
      <c r="O2428" s="487"/>
      <c r="P2428" s="487"/>
      <c r="Q2428" s="274">
        <f t="shared" si="300"/>
        <v>0</v>
      </c>
      <c r="R2428" s="574">
        <f t="shared" si="301"/>
        <v>3929</v>
      </c>
      <c r="S2428" s="275">
        <f t="shared" si="302"/>
        <v>3284</v>
      </c>
      <c r="T2428" s="575"/>
      <c r="U2428" s="487"/>
      <c r="V2428" s="576"/>
      <c r="W2428" s="573"/>
      <c r="X2428" s="574">
        <f t="shared" si="306"/>
        <v>0</v>
      </c>
      <c r="Y2428" s="487"/>
      <c r="Z2428" s="487"/>
      <c r="AA2428" s="276">
        <f t="shared" si="307"/>
        <v>0</v>
      </c>
      <c r="AB2428" s="573"/>
      <c r="AC2428" s="487"/>
      <c r="AD2428" s="573"/>
      <c r="AE2428" s="487"/>
      <c r="AF2428" s="577">
        <f t="shared" si="303"/>
        <v>3929</v>
      </c>
      <c r="AG2428" s="275">
        <f t="shared" si="304"/>
        <v>3284</v>
      </c>
    </row>
    <row r="2429" spans="1:33" ht="12" customHeight="1">
      <c r="A2429" s="744" t="s">
        <v>1274</v>
      </c>
      <c r="B2429" s="703" t="s">
        <v>1784</v>
      </c>
      <c r="C2429" s="747" t="s">
        <v>1676</v>
      </c>
      <c r="D2429" s="746">
        <v>218733</v>
      </c>
      <c r="E2429" s="697">
        <v>5</v>
      </c>
      <c r="F2429" s="573"/>
      <c r="G2429" s="487"/>
      <c r="H2429" s="952">
        <v>22038</v>
      </c>
      <c r="I2429" s="487">
        <v>2502</v>
      </c>
      <c r="J2429" s="573"/>
      <c r="K2429" s="487"/>
      <c r="L2429" s="573"/>
      <c r="M2429" s="573"/>
      <c r="N2429" s="456">
        <f t="shared" si="305"/>
        <v>0</v>
      </c>
      <c r="O2429" s="487"/>
      <c r="P2429" s="487"/>
      <c r="Q2429" s="274">
        <f t="shared" si="300"/>
        <v>0</v>
      </c>
      <c r="R2429" s="574">
        <f t="shared" si="301"/>
        <v>22038</v>
      </c>
      <c r="S2429" s="275">
        <f t="shared" si="302"/>
        <v>2502</v>
      </c>
      <c r="T2429" s="575"/>
      <c r="U2429" s="487"/>
      <c r="V2429" s="576"/>
      <c r="W2429" s="573"/>
      <c r="X2429" s="574">
        <f t="shared" si="306"/>
        <v>0</v>
      </c>
      <c r="Y2429" s="487"/>
      <c r="Z2429" s="487"/>
      <c r="AA2429" s="276">
        <f t="shared" si="307"/>
        <v>0</v>
      </c>
      <c r="AB2429" s="573"/>
      <c r="AC2429" s="487"/>
      <c r="AD2429" s="573"/>
      <c r="AE2429" s="487"/>
      <c r="AF2429" s="577">
        <f t="shared" si="303"/>
        <v>22038</v>
      </c>
      <c r="AG2429" s="275">
        <f t="shared" si="304"/>
        <v>2502</v>
      </c>
    </row>
    <row r="2430" spans="1:33" ht="12" customHeight="1">
      <c r="A2430" s="744" t="s">
        <v>1274</v>
      </c>
      <c r="B2430" s="703" t="s">
        <v>1784</v>
      </c>
      <c r="C2430" s="747" t="s">
        <v>200</v>
      </c>
      <c r="D2430" s="746">
        <v>218733</v>
      </c>
      <c r="E2430" s="697">
        <v>5</v>
      </c>
      <c r="F2430" s="573"/>
      <c r="G2430" s="487"/>
      <c r="H2430" s="952">
        <v>535534</v>
      </c>
      <c r="I2430" s="949">
        <f>535534-32409</f>
        <v>503125</v>
      </c>
      <c r="J2430" s="573"/>
      <c r="K2430" s="487"/>
      <c r="L2430" s="573"/>
      <c r="M2430" s="573"/>
      <c r="N2430" s="456">
        <f t="shared" si="305"/>
        <v>0</v>
      </c>
      <c r="O2430" s="487"/>
      <c r="P2430" s="487"/>
      <c r="Q2430" s="274">
        <f t="shared" si="300"/>
        <v>0</v>
      </c>
      <c r="R2430" s="574">
        <f t="shared" si="301"/>
        <v>535534</v>
      </c>
      <c r="S2430" s="275">
        <f t="shared" si="302"/>
        <v>503125</v>
      </c>
      <c r="T2430" s="575"/>
      <c r="U2430" s="487"/>
      <c r="V2430" s="576"/>
      <c r="W2430" s="573"/>
      <c r="X2430" s="574">
        <f t="shared" si="306"/>
        <v>0</v>
      </c>
      <c r="Y2430" s="487"/>
      <c r="Z2430" s="487"/>
      <c r="AA2430" s="276">
        <f t="shared" si="307"/>
        <v>0</v>
      </c>
      <c r="AB2430" s="573"/>
      <c r="AC2430" s="487"/>
      <c r="AD2430" s="573"/>
      <c r="AE2430" s="487"/>
      <c r="AF2430" s="577">
        <f t="shared" si="303"/>
        <v>535534</v>
      </c>
      <c r="AG2430" s="275">
        <f t="shared" si="304"/>
        <v>503125</v>
      </c>
    </row>
    <row r="2431" spans="1:33" ht="12" customHeight="1">
      <c r="A2431" s="744" t="s">
        <v>1274</v>
      </c>
      <c r="B2431" s="703" t="s">
        <v>1784</v>
      </c>
      <c r="C2431" s="747" t="s">
        <v>201</v>
      </c>
      <c r="D2431" s="746">
        <v>218733</v>
      </c>
      <c r="E2431" s="697">
        <v>5</v>
      </c>
      <c r="F2431" s="573"/>
      <c r="G2431" s="487"/>
      <c r="H2431" s="952">
        <v>410635</v>
      </c>
      <c r="I2431" s="487">
        <v>312505</v>
      </c>
      <c r="J2431" s="573"/>
      <c r="K2431" s="487"/>
      <c r="L2431" s="573"/>
      <c r="M2431" s="573"/>
      <c r="N2431" s="456">
        <f t="shared" si="305"/>
        <v>0</v>
      </c>
      <c r="O2431" s="487"/>
      <c r="P2431" s="487"/>
      <c r="Q2431" s="274">
        <f t="shared" si="300"/>
        <v>0</v>
      </c>
      <c r="R2431" s="574">
        <f t="shared" si="301"/>
        <v>410635</v>
      </c>
      <c r="S2431" s="275">
        <f t="shared" si="302"/>
        <v>312505</v>
      </c>
      <c r="T2431" s="575"/>
      <c r="U2431" s="487"/>
      <c r="V2431" s="576"/>
      <c r="W2431" s="573"/>
      <c r="X2431" s="574">
        <f t="shared" si="306"/>
        <v>0</v>
      </c>
      <c r="Y2431" s="487"/>
      <c r="Z2431" s="487"/>
      <c r="AA2431" s="276">
        <f t="shared" si="307"/>
        <v>0</v>
      </c>
      <c r="AB2431" s="573"/>
      <c r="AC2431" s="487"/>
      <c r="AD2431" s="573"/>
      <c r="AE2431" s="487"/>
      <c r="AF2431" s="577">
        <f t="shared" si="303"/>
        <v>410635</v>
      </c>
      <c r="AG2431" s="275">
        <f t="shared" si="304"/>
        <v>312505</v>
      </c>
    </row>
    <row r="2432" spans="1:33" ht="12" customHeight="1">
      <c r="A2432" s="744" t="s">
        <v>1274</v>
      </c>
      <c r="B2432" s="703" t="s">
        <v>1784</v>
      </c>
      <c r="C2432" s="747" t="s">
        <v>1241</v>
      </c>
      <c r="D2432" s="746">
        <v>218733</v>
      </c>
      <c r="E2432" s="697">
        <v>5</v>
      </c>
      <c r="F2432" s="518"/>
      <c r="G2432" s="487"/>
      <c r="H2432" s="1096">
        <v>410635</v>
      </c>
      <c r="I2432" s="487">
        <v>312505</v>
      </c>
      <c r="J2432" s="573"/>
      <c r="K2432" s="487"/>
      <c r="L2432" s="573"/>
      <c r="M2432" s="573"/>
      <c r="N2432" s="456">
        <f t="shared" si="305"/>
        <v>0</v>
      </c>
      <c r="O2432" s="487"/>
      <c r="P2432" s="487"/>
      <c r="Q2432" s="274">
        <f t="shared" si="300"/>
        <v>0</v>
      </c>
      <c r="R2432" s="574">
        <f t="shared" si="301"/>
        <v>410635</v>
      </c>
      <c r="S2432" s="275">
        <f t="shared" si="302"/>
        <v>312505</v>
      </c>
      <c r="T2432" s="575"/>
      <c r="U2432" s="487"/>
      <c r="V2432" s="576"/>
      <c r="W2432" s="573"/>
      <c r="X2432" s="574">
        <f t="shared" si="306"/>
        <v>0</v>
      </c>
      <c r="Y2432" s="487"/>
      <c r="Z2432" s="487"/>
      <c r="AA2432" s="276">
        <f t="shared" si="307"/>
        <v>0</v>
      </c>
      <c r="AB2432" s="573"/>
      <c r="AC2432" s="487"/>
      <c r="AD2432" s="573"/>
      <c r="AE2432" s="487"/>
      <c r="AF2432" s="577">
        <f t="shared" si="303"/>
        <v>410635</v>
      </c>
      <c r="AG2432" s="275">
        <f t="shared" si="304"/>
        <v>312505</v>
      </c>
    </row>
    <row r="2433" spans="1:33" ht="12" customHeight="1">
      <c r="A2433" s="744" t="s">
        <v>1274</v>
      </c>
      <c r="B2433" s="703" t="s">
        <v>1784</v>
      </c>
      <c r="C2433" s="747" t="s">
        <v>1242</v>
      </c>
      <c r="D2433" s="746">
        <v>218733</v>
      </c>
      <c r="E2433" s="697">
        <v>5</v>
      </c>
      <c r="F2433" s="518"/>
      <c r="G2433" s="487"/>
      <c r="H2433" s="1096">
        <v>320327</v>
      </c>
      <c r="I2433" s="487">
        <v>248278</v>
      </c>
      <c r="J2433" s="573"/>
      <c r="K2433" s="487"/>
      <c r="L2433" s="573"/>
      <c r="M2433" s="573"/>
      <c r="N2433" s="456">
        <f t="shared" si="305"/>
        <v>0</v>
      </c>
      <c r="O2433" s="487"/>
      <c r="P2433" s="487"/>
      <c r="Q2433" s="274">
        <f t="shared" si="300"/>
        <v>0</v>
      </c>
      <c r="R2433" s="574">
        <f t="shared" si="301"/>
        <v>320327</v>
      </c>
      <c r="S2433" s="275">
        <f t="shared" si="302"/>
        <v>248278</v>
      </c>
      <c r="T2433" s="575"/>
      <c r="U2433" s="487"/>
      <c r="V2433" s="576"/>
      <c r="W2433" s="573"/>
      <c r="X2433" s="574">
        <f t="shared" si="306"/>
        <v>0</v>
      </c>
      <c r="Y2433" s="487"/>
      <c r="Z2433" s="487"/>
      <c r="AA2433" s="276">
        <f t="shared" si="307"/>
        <v>0</v>
      </c>
      <c r="AB2433" s="573"/>
      <c r="AC2433" s="487"/>
      <c r="AD2433" s="573"/>
      <c r="AE2433" s="487"/>
      <c r="AF2433" s="577">
        <f t="shared" si="303"/>
        <v>320327</v>
      </c>
      <c r="AG2433" s="275">
        <f t="shared" si="304"/>
        <v>248278</v>
      </c>
    </row>
    <row r="2434" spans="1:33" ht="12" customHeight="1">
      <c r="A2434" s="744" t="s">
        <v>1274</v>
      </c>
      <c r="B2434" s="703" t="s">
        <v>1784</v>
      </c>
      <c r="C2434" s="747" t="s">
        <v>2006</v>
      </c>
      <c r="D2434" s="746">
        <v>218733</v>
      </c>
      <c r="E2434" s="697">
        <v>5</v>
      </c>
      <c r="F2434" s="518"/>
      <c r="G2434" s="487"/>
      <c r="H2434" s="958">
        <v>200000</v>
      </c>
      <c r="I2434" s="487"/>
      <c r="J2434" s="573"/>
      <c r="K2434" s="487"/>
      <c r="L2434" s="573"/>
      <c r="M2434" s="573"/>
      <c r="N2434" s="456">
        <f t="shared" si="305"/>
        <v>0</v>
      </c>
      <c r="O2434" s="487"/>
      <c r="P2434" s="487"/>
      <c r="Q2434" s="274">
        <f t="shared" si="300"/>
        <v>0</v>
      </c>
      <c r="R2434" s="574">
        <f t="shared" si="301"/>
        <v>200000</v>
      </c>
      <c r="S2434" s="275">
        <f t="shared" si="302"/>
        <v>0</v>
      </c>
      <c r="T2434" s="575"/>
      <c r="U2434" s="487"/>
      <c r="V2434" s="576"/>
      <c r="W2434" s="573"/>
      <c r="X2434" s="574">
        <f t="shared" si="306"/>
        <v>0</v>
      </c>
      <c r="Y2434" s="487"/>
      <c r="Z2434" s="487"/>
      <c r="AA2434" s="276">
        <f t="shared" si="307"/>
        <v>0</v>
      </c>
      <c r="AB2434" s="573"/>
      <c r="AC2434" s="487"/>
      <c r="AD2434" s="573"/>
      <c r="AE2434" s="487"/>
      <c r="AF2434" s="577">
        <f t="shared" si="303"/>
        <v>200000</v>
      </c>
      <c r="AG2434" s="275">
        <f t="shared" si="304"/>
        <v>0</v>
      </c>
    </row>
    <row r="2435" spans="1:33" ht="12" customHeight="1">
      <c r="A2435" s="744" t="s">
        <v>1274</v>
      </c>
      <c r="B2435" s="703" t="s">
        <v>1784</v>
      </c>
      <c r="C2435" s="747" t="s">
        <v>1243</v>
      </c>
      <c r="D2435" s="746">
        <v>218733</v>
      </c>
      <c r="E2435" s="697">
        <v>5</v>
      </c>
      <c r="F2435" s="518"/>
      <c r="G2435" s="487"/>
      <c r="H2435" s="1096">
        <v>149485</v>
      </c>
      <c r="I2435" s="487">
        <v>129974</v>
      </c>
      <c r="J2435" s="573"/>
      <c r="K2435" s="487"/>
      <c r="L2435" s="573"/>
      <c r="M2435" s="573"/>
      <c r="N2435" s="456">
        <f t="shared" si="305"/>
        <v>0</v>
      </c>
      <c r="O2435" s="487"/>
      <c r="P2435" s="487"/>
      <c r="Q2435" s="274">
        <f t="shared" si="300"/>
        <v>0</v>
      </c>
      <c r="R2435" s="574">
        <f t="shared" si="301"/>
        <v>149485</v>
      </c>
      <c r="S2435" s="275">
        <f t="shared" si="302"/>
        <v>129974</v>
      </c>
      <c r="T2435" s="575"/>
      <c r="U2435" s="487"/>
      <c r="V2435" s="576"/>
      <c r="W2435" s="573"/>
      <c r="X2435" s="574">
        <f t="shared" si="306"/>
        <v>0</v>
      </c>
      <c r="Y2435" s="487"/>
      <c r="Z2435" s="487"/>
      <c r="AA2435" s="276">
        <f t="shared" si="307"/>
        <v>0</v>
      </c>
      <c r="AB2435" s="573"/>
      <c r="AC2435" s="487"/>
      <c r="AD2435" s="573"/>
      <c r="AE2435" s="487"/>
      <c r="AF2435" s="577">
        <f t="shared" si="303"/>
        <v>149485</v>
      </c>
      <c r="AG2435" s="275">
        <f t="shared" si="304"/>
        <v>129974</v>
      </c>
    </row>
    <row r="2436" spans="1:33" ht="12" customHeight="1">
      <c r="A2436" s="744" t="s">
        <v>1274</v>
      </c>
      <c r="B2436" s="703" t="s">
        <v>1784</v>
      </c>
      <c r="C2436" s="747" t="s">
        <v>2007</v>
      </c>
      <c r="D2436" s="746">
        <v>218733</v>
      </c>
      <c r="E2436" s="697">
        <v>5</v>
      </c>
      <c r="F2436" s="518"/>
      <c r="G2436" s="487"/>
      <c r="H2436" s="1096"/>
      <c r="I2436" s="949">
        <v>2500000</v>
      </c>
      <c r="J2436" s="573"/>
      <c r="K2436" s="487"/>
      <c r="L2436" s="573"/>
      <c r="M2436" s="573"/>
      <c r="N2436" s="456">
        <f t="shared" si="305"/>
        <v>0</v>
      </c>
      <c r="O2436" s="487"/>
      <c r="P2436" s="487"/>
      <c r="Q2436" s="274">
        <f t="shared" si="300"/>
        <v>0</v>
      </c>
      <c r="R2436" s="574">
        <f t="shared" si="301"/>
        <v>0</v>
      </c>
      <c r="S2436" s="275">
        <f t="shared" si="302"/>
        <v>2500000</v>
      </c>
      <c r="T2436" s="575"/>
      <c r="U2436" s="487"/>
      <c r="V2436" s="576"/>
      <c r="W2436" s="573"/>
      <c r="X2436" s="574">
        <f t="shared" si="306"/>
        <v>0</v>
      </c>
      <c r="Y2436" s="487"/>
      <c r="Z2436" s="487"/>
      <c r="AA2436" s="276">
        <f t="shared" si="307"/>
        <v>0</v>
      </c>
      <c r="AB2436" s="573"/>
      <c r="AC2436" s="487"/>
      <c r="AD2436" s="573"/>
      <c r="AE2436" s="487"/>
      <c r="AF2436" s="577">
        <f t="shared" si="303"/>
        <v>0</v>
      </c>
      <c r="AG2436" s="275">
        <f t="shared" si="304"/>
        <v>2500000</v>
      </c>
    </row>
    <row r="2437" spans="1:33" ht="12" customHeight="1">
      <c r="A2437" s="744" t="s">
        <v>1274</v>
      </c>
      <c r="B2437" s="703" t="s">
        <v>1784</v>
      </c>
      <c r="C2437" s="700" t="s">
        <v>2008</v>
      </c>
      <c r="D2437" s="746">
        <v>218733</v>
      </c>
      <c r="E2437" s="697">
        <v>5</v>
      </c>
      <c r="F2437" s="518"/>
      <c r="G2437" s="487"/>
      <c r="H2437" s="1096"/>
      <c r="I2437" s="949">
        <v>587500</v>
      </c>
      <c r="J2437" s="573"/>
      <c r="K2437" s="487"/>
      <c r="L2437" s="573"/>
      <c r="M2437" s="573"/>
      <c r="N2437" s="456">
        <f t="shared" si="305"/>
        <v>0</v>
      </c>
      <c r="O2437" s="487"/>
      <c r="P2437" s="487"/>
      <c r="Q2437" s="274">
        <f t="shared" si="300"/>
        <v>0</v>
      </c>
      <c r="R2437" s="574">
        <f t="shared" si="301"/>
        <v>0</v>
      </c>
      <c r="S2437" s="275">
        <f t="shared" si="302"/>
        <v>587500</v>
      </c>
      <c r="T2437" s="575"/>
      <c r="U2437" s="487"/>
      <c r="V2437" s="576"/>
      <c r="W2437" s="573"/>
      <c r="X2437" s="574">
        <f t="shared" si="306"/>
        <v>0</v>
      </c>
      <c r="Y2437" s="487"/>
      <c r="Z2437" s="487"/>
      <c r="AA2437" s="276">
        <f t="shared" si="307"/>
        <v>0</v>
      </c>
      <c r="AB2437" s="573"/>
      <c r="AC2437" s="487"/>
      <c r="AD2437" s="573"/>
      <c r="AE2437" s="487"/>
      <c r="AF2437" s="577">
        <f t="shared" si="303"/>
        <v>0</v>
      </c>
      <c r="AG2437" s="275">
        <f t="shared" si="304"/>
        <v>587500</v>
      </c>
    </row>
    <row r="2438" spans="1:33" ht="12" customHeight="1">
      <c r="A2438" s="744" t="s">
        <v>1274</v>
      </c>
      <c r="B2438" s="703" t="s">
        <v>1784</v>
      </c>
      <c r="C2438" s="747" t="s">
        <v>1998</v>
      </c>
      <c r="D2438" s="746">
        <v>218733</v>
      </c>
      <c r="E2438" s="697">
        <v>5</v>
      </c>
      <c r="F2438" s="573"/>
      <c r="G2438" s="487"/>
      <c r="H2438" s="958">
        <v>594560</v>
      </c>
      <c r="I2438" s="949">
        <v>626364</v>
      </c>
      <c r="J2438" s="573"/>
      <c r="K2438" s="487"/>
      <c r="L2438" s="573"/>
      <c r="M2438" s="573"/>
      <c r="N2438" s="456">
        <f t="shared" si="305"/>
        <v>0</v>
      </c>
      <c r="O2438" s="487"/>
      <c r="P2438" s="487"/>
      <c r="Q2438" s="274">
        <f t="shared" si="300"/>
        <v>0</v>
      </c>
      <c r="R2438" s="574">
        <f t="shared" si="301"/>
        <v>594560</v>
      </c>
      <c r="S2438" s="275">
        <f t="shared" si="302"/>
        <v>626364</v>
      </c>
      <c r="T2438" s="575"/>
      <c r="U2438" s="487"/>
      <c r="V2438" s="576"/>
      <c r="W2438" s="573"/>
      <c r="X2438" s="574">
        <f t="shared" si="306"/>
        <v>0</v>
      </c>
      <c r="Y2438" s="487"/>
      <c r="Z2438" s="487"/>
      <c r="AA2438" s="276">
        <f t="shared" si="307"/>
        <v>0</v>
      </c>
      <c r="AB2438" s="573"/>
      <c r="AC2438" s="487"/>
      <c r="AD2438" s="573"/>
      <c r="AE2438" s="487"/>
      <c r="AF2438" s="577">
        <f t="shared" si="303"/>
        <v>594560</v>
      </c>
      <c r="AG2438" s="275">
        <f t="shared" si="304"/>
        <v>626364</v>
      </c>
    </row>
    <row r="2439" spans="1:33" ht="12" customHeight="1">
      <c r="A2439" s="744" t="s">
        <v>1274</v>
      </c>
      <c r="B2439" s="703" t="s">
        <v>1784</v>
      </c>
      <c r="C2439" s="747" t="s">
        <v>1993</v>
      </c>
      <c r="D2439" s="746">
        <v>218733</v>
      </c>
      <c r="E2439" s="697">
        <v>5</v>
      </c>
      <c r="F2439" s="573"/>
      <c r="G2439" s="487"/>
      <c r="H2439" s="958">
        <v>1500000</v>
      </c>
      <c r="I2439" s="949"/>
      <c r="J2439" s="573"/>
      <c r="K2439" s="487"/>
      <c r="L2439" s="573"/>
      <c r="M2439" s="573"/>
      <c r="N2439" s="456">
        <f t="shared" si="305"/>
        <v>0</v>
      </c>
      <c r="O2439" s="487"/>
      <c r="P2439" s="487"/>
      <c r="Q2439" s="274">
        <f t="shared" si="300"/>
        <v>0</v>
      </c>
      <c r="R2439" s="574">
        <f t="shared" si="301"/>
        <v>1500000</v>
      </c>
      <c r="S2439" s="275">
        <f t="shared" si="302"/>
        <v>0</v>
      </c>
      <c r="T2439" s="575"/>
      <c r="U2439" s="487"/>
      <c r="V2439" s="576"/>
      <c r="W2439" s="573"/>
      <c r="X2439" s="574">
        <f t="shared" si="306"/>
        <v>0</v>
      </c>
      <c r="Y2439" s="487"/>
      <c r="Z2439" s="487"/>
      <c r="AA2439" s="276">
        <f t="shared" si="307"/>
        <v>0</v>
      </c>
      <c r="AB2439" s="573"/>
      <c r="AC2439" s="487"/>
      <c r="AD2439" s="573"/>
      <c r="AE2439" s="487"/>
      <c r="AF2439" s="577">
        <f t="shared" si="303"/>
        <v>1500000</v>
      </c>
      <c r="AG2439" s="275">
        <f t="shared" si="304"/>
        <v>0</v>
      </c>
    </row>
    <row r="2440" spans="1:33" ht="12" customHeight="1">
      <c r="A2440" s="744" t="s">
        <v>1274</v>
      </c>
      <c r="B2440" s="703" t="s">
        <v>1784</v>
      </c>
      <c r="C2440" s="747" t="s">
        <v>2003</v>
      </c>
      <c r="D2440" s="746">
        <v>218733</v>
      </c>
      <c r="E2440" s="697">
        <v>5</v>
      </c>
      <c r="F2440" s="573"/>
      <c r="G2440" s="487"/>
      <c r="H2440" s="958">
        <v>250000</v>
      </c>
      <c r="I2440" s="949"/>
      <c r="J2440" s="573"/>
      <c r="K2440" s="487"/>
      <c r="L2440" s="573"/>
      <c r="M2440" s="573"/>
      <c r="N2440" s="456">
        <f t="shared" si="305"/>
        <v>0</v>
      </c>
      <c r="O2440" s="487"/>
      <c r="P2440" s="487"/>
      <c r="Q2440" s="274">
        <f t="shared" si="300"/>
        <v>0</v>
      </c>
      <c r="R2440" s="574">
        <f t="shared" si="301"/>
        <v>250000</v>
      </c>
      <c r="S2440" s="275">
        <f t="shared" si="302"/>
        <v>0</v>
      </c>
      <c r="T2440" s="575"/>
      <c r="U2440" s="487"/>
      <c r="V2440" s="576"/>
      <c r="W2440" s="573"/>
      <c r="X2440" s="574">
        <f t="shared" si="306"/>
        <v>0</v>
      </c>
      <c r="Y2440" s="487"/>
      <c r="Z2440" s="487"/>
      <c r="AA2440" s="276">
        <f t="shared" si="307"/>
        <v>0</v>
      </c>
      <c r="AB2440" s="573"/>
      <c r="AC2440" s="487"/>
      <c r="AD2440" s="573"/>
      <c r="AE2440" s="487"/>
      <c r="AF2440" s="577">
        <f t="shared" si="303"/>
        <v>250000</v>
      </c>
      <c r="AG2440" s="275">
        <f t="shared" si="304"/>
        <v>0</v>
      </c>
    </row>
    <row r="2441" spans="1:33" ht="12" customHeight="1">
      <c r="A2441" s="744" t="s">
        <v>1274</v>
      </c>
      <c r="B2441" s="703" t="s">
        <v>1784</v>
      </c>
      <c r="C2441" s="747" t="s">
        <v>2009</v>
      </c>
      <c r="D2441" s="746">
        <v>218733</v>
      </c>
      <c r="E2441" s="697">
        <v>5</v>
      </c>
      <c r="F2441" s="573"/>
      <c r="G2441" s="487"/>
      <c r="H2441" s="958">
        <v>250000</v>
      </c>
      <c r="I2441" s="949">
        <v>250000</v>
      </c>
      <c r="J2441" s="573"/>
      <c r="K2441" s="487"/>
      <c r="L2441" s="573"/>
      <c r="M2441" s="573"/>
      <c r="N2441" s="456">
        <f t="shared" si="305"/>
        <v>0</v>
      </c>
      <c r="O2441" s="487"/>
      <c r="P2441" s="487"/>
      <c r="Q2441" s="274">
        <f t="shared" si="300"/>
        <v>0</v>
      </c>
      <c r="R2441" s="574">
        <f t="shared" si="301"/>
        <v>250000</v>
      </c>
      <c r="S2441" s="275">
        <f t="shared" si="302"/>
        <v>250000</v>
      </c>
      <c r="T2441" s="575"/>
      <c r="U2441" s="487"/>
      <c r="V2441" s="576"/>
      <c r="W2441" s="573"/>
      <c r="X2441" s="574">
        <f t="shared" si="306"/>
        <v>0</v>
      </c>
      <c r="Y2441" s="487"/>
      <c r="Z2441" s="487"/>
      <c r="AA2441" s="276">
        <f t="shared" si="307"/>
        <v>0</v>
      </c>
      <c r="AB2441" s="573"/>
      <c r="AC2441" s="487"/>
      <c r="AD2441" s="573"/>
      <c r="AE2441" s="487"/>
      <c r="AF2441" s="577">
        <f t="shared" si="303"/>
        <v>250000</v>
      </c>
      <c r="AG2441" s="275">
        <f t="shared" si="304"/>
        <v>250000</v>
      </c>
    </row>
    <row r="2442" spans="1:33" ht="12" customHeight="1">
      <c r="A2442" s="744" t="s">
        <v>1274</v>
      </c>
      <c r="B2442" s="703" t="s">
        <v>1784</v>
      </c>
      <c r="C2442" s="747" t="s">
        <v>2008</v>
      </c>
      <c r="D2442" s="746">
        <v>218733</v>
      </c>
      <c r="E2442" s="697">
        <v>5</v>
      </c>
      <c r="F2442" s="573"/>
      <c r="G2442" s="487"/>
      <c r="H2442" s="958">
        <v>587500</v>
      </c>
      <c r="I2442" s="949">
        <v>587500</v>
      </c>
      <c r="J2442" s="573"/>
      <c r="K2442" s="487"/>
      <c r="L2442" s="573"/>
      <c r="M2442" s="573"/>
      <c r="N2442" s="456">
        <f t="shared" si="305"/>
        <v>0</v>
      </c>
      <c r="O2442" s="487"/>
      <c r="P2442" s="487"/>
      <c r="Q2442" s="274">
        <f t="shared" ref="Q2442:Q2505" si="308">SUM(O2442:P2442)</f>
        <v>0</v>
      </c>
      <c r="R2442" s="574">
        <f t="shared" ref="R2442:R2505" si="309">SUM(F2442,H2442,J2442,L2442)</f>
        <v>587500</v>
      </c>
      <c r="S2442" s="275">
        <f t="shared" ref="S2442:S2505" si="310">SUM(G2442,I2442,K2442,O2442)</f>
        <v>587500</v>
      </c>
      <c r="T2442" s="575"/>
      <c r="U2442" s="487"/>
      <c r="V2442" s="576"/>
      <c r="W2442" s="573"/>
      <c r="X2442" s="574">
        <f t="shared" si="306"/>
        <v>0</v>
      </c>
      <c r="Y2442" s="487"/>
      <c r="Z2442" s="487"/>
      <c r="AA2442" s="276">
        <f t="shared" si="307"/>
        <v>0</v>
      </c>
      <c r="AB2442" s="573"/>
      <c r="AC2442" s="487"/>
      <c r="AD2442" s="573"/>
      <c r="AE2442" s="487"/>
      <c r="AF2442" s="577">
        <f t="shared" ref="AF2442:AF2505" si="311">SUM(R2442,T2442,V2442,AB2442,AD2442)</f>
        <v>587500</v>
      </c>
      <c r="AG2442" s="275">
        <f t="shared" ref="AG2442:AG2505" si="312">SUM(S2442,U2442,Y2442,AC2442,AE2442)</f>
        <v>587500</v>
      </c>
    </row>
    <row r="2443" spans="1:33" ht="12" customHeight="1">
      <c r="A2443" s="744" t="s">
        <v>1274</v>
      </c>
      <c r="B2443" s="703" t="s">
        <v>1784</v>
      </c>
      <c r="C2443" s="747" t="s">
        <v>2038</v>
      </c>
      <c r="D2443" s="746">
        <v>218733</v>
      </c>
      <c r="E2443" s="697">
        <v>5</v>
      </c>
      <c r="F2443" s="573"/>
      <c r="G2443" s="487"/>
      <c r="H2443" s="958">
        <v>2500000</v>
      </c>
      <c r="I2443" s="949">
        <v>2500000</v>
      </c>
      <c r="J2443" s="573"/>
      <c r="K2443" s="487"/>
      <c r="L2443" s="573"/>
      <c r="M2443" s="573"/>
      <c r="N2443" s="456">
        <f t="shared" si="305"/>
        <v>0</v>
      </c>
      <c r="O2443" s="487"/>
      <c r="P2443" s="487"/>
      <c r="Q2443" s="274">
        <f t="shared" si="308"/>
        <v>0</v>
      </c>
      <c r="R2443" s="574">
        <f t="shared" si="309"/>
        <v>2500000</v>
      </c>
      <c r="S2443" s="275">
        <f t="shared" si="310"/>
        <v>2500000</v>
      </c>
      <c r="T2443" s="575"/>
      <c r="U2443" s="487"/>
      <c r="V2443" s="576"/>
      <c r="W2443" s="573"/>
      <c r="X2443" s="574">
        <f t="shared" si="306"/>
        <v>0</v>
      </c>
      <c r="Y2443" s="487"/>
      <c r="Z2443" s="487"/>
      <c r="AA2443" s="276">
        <f t="shared" si="307"/>
        <v>0</v>
      </c>
      <c r="AB2443" s="573"/>
      <c r="AC2443" s="487"/>
      <c r="AD2443" s="573"/>
      <c r="AE2443" s="487"/>
      <c r="AF2443" s="577">
        <f t="shared" si="311"/>
        <v>2500000</v>
      </c>
      <c r="AG2443" s="275">
        <f t="shared" si="312"/>
        <v>2500000</v>
      </c>
    </row>
    <row r="2444" spans="1:33" ht="12" customHeight="1">
      <c r="A2444" s="744" t="s">
        <v>1274</v>
      </c>
      <c r="B2444" s="703" t="s">
        <v>1776</v>
      </c>
      <c r="C2444" s="744" t="s">
        <v>205</v>
      </c>
      <c r="D2444" s="746">
        <v>218724</v>
      </c>
      <c r="E2444" s="697">
        <v>5</v>
      </c>
      <c r="F2444" s="573">
        <v>12616764</v>
      </c>
      <c r="G2444" s="949">
        <f>11177335-794410+161336</f>
        <v>10544261</v>
      </c>
      <c r="H2444" s="573"/>
      <c r="I2444" s="487"/>
      <c r="J2444" s="573"/>
      <c r="K2444" s="487">
        <v>233670</v>
      </c>
      <c r="L2444" s="573">
        <v>70466607</v>
      </c>
      <c r="M2444" s="573">
        <v>2020067</v>
      </c>
      <c r="N2444" s="456">
        <f t="shared" si="305"/>
        <v>72486674</v>
      </c>
      <c r="O2444" s="487">
        <v>72209586</v>
      </c>
      <c r="P2444" s="487">
        <v>6392583</v>
      </c>
      <c r="Q2444" s="274">
        <f t="shared" si="308"/>
        <v>78602169</v>
      </c>
      <c r="R2444" s="574">
        <f t="shared" si="309"/>
        <v>83083371</v>
      </c>
      <c r="S2444" s="275">
        <f t="shared" si="310"/>
        <v>82987517</v>
      </c>
      <c r="T2444" s="575"/>
      <c r="U2444" s="487"/>
      <c r="V2444" s="576"/>
      <c r="W2444" s="573"/>
      <c r="X2444" s="574">
        <f t="shared" si="306"/>
        <v>0</v>
      </c>
      <c r="Y2444" s="487"/>
      <c r="Z2444" s="487"/>
      <c r="AA2444" s="276">
        <f t="shared" si="307"/>
        <v>0</v>
      </c>
      <c r="AB2444" s="573"/>
      <c r="AC2444" s="487"/>
      <c r="AD2444" s="573"/>
      <c r="AE2444" s="487"/>
      <c r="AF2444" s="577">
        <f t="shared" si="311"/>
        <v>83083371</v>
      </c>
      <c r="AG2444" s="275">
        <f t="shared" si="312"/>
        <v>82987517</v>
      </c>
    </row>
    <row r="2445" spans="1:33" ht="12" customHeight="1">
      <c r="A2445" s="744" t="s">
        <v>1274</v>
      </c>
      <c r="B2445" s="703" t="s">
        <v>1776</v>
      </c>
      <c r="C2445" s="700" t="s">
        <v>206</v>
      </c>
      <c r="D2445" s="746">
        <v>218724</v>
      </c>
      <c r="E2445" s="697">
        <v>5</v>
      </c>
      <c r="F2445" s="573">
        <v>3500000</v>
      </c>
      <c r="G2445" s="487">
        <v>3500000</v>
      </c>
      <c r="H2445" s="573"/>
      <c r="I2445" s="487"/>
      <c r="J2445" s="573"/>
      <c r="K2445" s="487"/>
      <c r="L2445" s="573"/>
      <c r="M2445" s="573"/>
      <c r="N2445" s="456">
        <f t="shared" si="305"/>
        <v>0</v>
      </c>
      <c r="O2445" s="487"/>
      <c r="P2445" s="487"/>
      <c r="Q2445" s="274">
        <f t="shared" si="308"/>
        <v>0</v>
      </c>
      <c r="R2445" s="574">
        <f t="shared" si="309"/>
        <v>3500000</v>
      </c>
      <c r="S2445" s="275">
        <f t="shared" si="310"/>
        <v>3500000</v>
      </c>
      <c r="T2445" s="575"/>
      <c r="U2445" s="487"/>
      <c r="V2445" s="576"/>
      <c r="W2445" s="573"/>
      <c r="X2445" s="574">
        <f t="shared" si="306"/>
        <v>0</v>
      </c>
      <c r="Y2445" s="487"/>
      <c r="Z2445" s="487"/>
      <c r="AA2445" s="276">
        <f t="shared" si="307"/>
        <v>0</v>
      </c>
      <c r="AB2445" s="573"/>
      <c r="AC2445" s="487"/>
      <c r="AD2445" s="573"/>
      <c r="AE2445" s="487"/>
      <c r="AF2445" s="577">
        <f t="shared" si="311"/>
        <v>3500000</v>
      </c>
      <c r="AG2445" s="275">
        <f t="shared" si="312"/>
        <v>3500000</v>
      </c>
    </row>
    <row r="2446" spans="1:33" ht="12" customHeight="1">
      <c r="A2446" s="744" t="s">
        <v>1274</v>
      </c>
      <c r="B2446" s="703" t="s">
        <v>1776</v>
      </c>
      <c r="C2446" s="700" t="s">
        <v>1704</v>
      </c>
      <c r="D2446" s="746" t="s">
        <v>1245</v>
      </c>
      <c r="E2446" s="697">
        <v>5</v>
      </c>
      <c r="F2446" s="573">
        <v>691551</v>
      </c>
      <c r="G2446" s="487"/>
      <c r="H2446" s="573"/>
      <c r="I2446" s="487"/>
      <c r="J2446" s="573"/>
      <c r="K2446" s="487"/>
      <c r="L2446" s="573"/>
      <c r="M2446" s="573"/>
      <c r="N2446" s="456">
        <f t="shared" si="305"/>
        <v>0</v>
      </c>
      <c r="O2446" s="487"/>
      <c r="P2446" s="487"/>
      <c r="Q2446" s="274">
        <f t="shared" si="308"/>
        <v>0</v>
      </c>
      <c r="R2446" s="574">
        <f t="shared" si="309"/>
        <v>691551</v>
      </c>
      <c r="S2446" s="275">
        <f t="shared" si="310"/>
        <v>0</v>
      </c>
      <c r="T2446" s="575"/>
      <c r="U2446" s="487"/>
      <c r="V2446" s="576"/>
      <c r="W2446" s="573"/>
      <c r="X2446" s="574">
        <f t="shared" si="306"/>
        <v>0</v>
      </c>
      <c r="Y2446" s="487"/>
      <c r="Z2446" s="487"/>
      <c r="AA2446" s="276">
        <f t="shared" si="307"/>
        <v>0</v>
      </c>
      <c r="AB2446" s="573"/>
      <c r="AC2446" s="487"/>
      <c r="AD2446" s="573"/>
      <c r="AE2446" s="487"/>
      <c r="AF2446" s="577">
        <f t="shared" si="311"/>
        <v>691551</v>
      </c>
      <c r="AG2446" s="275">
        <f t="shared" si="312"/>
        <v>0</v>
      </c>
    </row>
    <row r="2447" spans="1:33" ht="12" customHeight="1">
      <c r="A2447" s="744" t="s">
        <v>1274</v>
      </c>
      <c r="B2447" s="703" t="s">
        <v>1776</v>
      </c>
      <c r="C2447" s="700" t="s">
        <v>1988</v>
      </c>
      <c r="D2447" s="746" t="s">
        <v>1245</v>
      </c>
      <c r="E2447" s="697">
        <v>5</v>
      </c>
      <c r="F2447" s="518"/>
      <c r="G2447" s="949">
        <v>2130980</v>
      </c>
      <c r="H2447" s="573"/>
      <c r="I2447" s="487"/>
      <c r="J2447" s="573"/>
      <c r="K2447" s="487"/>
      <c r="L2447" s="573"/>
      <c r="M2447" s="573"/>
      <c r="N2447" s="456">
        <f t="shared" si="305"/>
        <v>0</v>
      </c>
      <c r="O2447" s="487"/>
      <c r="P2447" s="487"/>
      <c r="Q2447" s="274">
        <f t="shared" si="308"/>
        <v>0</v>
      </c>
      <c r="R2447" s="574">
        <f t="shared" si="309"/>
        <v>0</v>
      </c>
      <c r="S2447" s="275">
        <f t="shared" si="310"/>
        <v>2130980</v>
      </c>
      <c r="T2447" s="575"/>
      <c r="U2447" s="487"/>
      <c r="V2447" s="576"/>
      <c r="W2447" s="573"/>
      <c r="X2447" s="574">
        <f t="shared" si="306"/>
        <v>0</v>
      </c>
      <c r="Y2447" s="487"/>
      <c r="Z2447" s="487"/>
      <c r="AA2447" s="276">
        <f t="shared" si="307"/>
        <v>0</v>
      </c>
      <c r="AB2447" s="573"/>
      <c r="AC2447" s="487"/>
      <c r="AD2447" s="573"/>
      <c r="AE2447" s="487"/>
      <c r="AF2447" s="577">
        <f t="shared" si="311"/>
        <v>0</v>
      </c>
      <c r="AG2447" s="275">
        <f t="shared" si="312"/>
        <v>2130980</v>
      </c>
    </row>
    <row r="2448" spans="1:33" ht="12" customHeight="1">
      <c r="A2448" s="744" t="s">
        <v>1274</v>
      </c>
      <c r="B2448" s="703" t="s">
        <v>1784</v>
      </c>
      <c r="C2448" s="299" t="s">
        <v>2037</v>
      </c>
      <c r="D2448" s="746" t="s">
        <v>1245</v>
      </c>
      <c r="E2448" s="697">
        <v>5</v>
      </c>
      <c r="F2448" s="518"/>
      <c r="G2448" s="487"/>
      <c r="H2448" s="573"/>
      <c r="I2448" s="487"/>
      <c r="J2448" s="573"/>
      <c r="K2448" s="487"/>
      <c r="L2448" s="573"/>
      <c r="M2448" s="573"/>
      <c r="N2448" s="456">
        <f t="shared" si="305"/>
        <v>0</v>
      </c>
      <c r="O2448" s="487"/>
      <c r="P2448" s="487"/>
      <c r="Q2448" s="274">
        <f t="shared" si="308"/>
        <v>0</v>
      </c>
      <c r="R2448" s="574">
        <f t="shared" si="309"/>
        <v>0</v>
      </c>
      <c r="S2448" s="275">
        <f t="shared" si="310"/>
        <v>0</v>
      </c>
      <c r="T2448" s="575"/>
      <c r="U2448" s="487"/>
      <c r="V2448" s="576"/>
      <c r="W2448" s="573"/>
      <c r="X2448" s="574">
        <f t="shared" si="306"/>
        <v>0</v>
      </c>
      <c r="Y2448" s="487"/>
      <c r="Z2448" s="487"/>
      <c r="AA2448" s="276">
        <f t="shared" si="307"/>
        <v>0</v>
      </c>
      <c r="AB2448" s="573"/>
      <c r="AC2448" s="487"/>
      <c r="AD2448" s="573"/>
      <c r="AE2448" s="487"/>
      <c r="AF2448" s="577">
        <f t="shared" si="311"/>
        <v>0</v>
      </c>
      <c r="AG2448" s="275">
        <f t="shared" si="312"/>
        <v>0</v>
      </c>
    </row>
    <row r="2449" spans="1:33" ht="12" customHeight="1">
      <c r="A2449" s="744" t="s">
        <v>1274</v>
      </c>
      <c r="B2449" s="703" t="s">
        <v>1784</v>
      </c>
      <c r="C2449" s="747" t="s">
        <v>1238</v>
      </c>
      <c r="D2449" s="746">
        <v>218724</v>
      </c>
      <c r="E2449" s="697">
        <v>5</v>
      </c>
      <c r="F2449" s="518"/>
      <c r="G2449" s="487"/>
      <c r="H2449" s="1096">
        <v>17234</v>
      </c>
      <c r="I2449" s="487">
        <v>13207</v>
      </c>
      <c r="J2449" s="573"/>
      <c r="K2449" s="487"/>
      <c r="L2449" s="573"/>
      <c r="M2449" s="573"/>
      <c r="N2449" s="456">
        <f t="shared" si="305"/>
        <v>0</v>
      </c>
      <c r="O2449" s="487"/>
      <c r="P2449" s="487"/>
      <c r="Q2449" s="274">
        <f t="shared" si="308"/>
        <v>0</v>
      </c>
      <c r="R2449" s="574">
        <f t="shared" si="309"/>
        <v>17234</v>
      </c>
      <c r="S2449" s="275">
        <f t="shared" si="310"/>
        <v>13207</v>
      </c>
      <c r="T2449" s="575"/>
      <c r="U2449" s="487"/>
      <c r="V2449" s="576"/>
      <c r="W2449" s="573"/>
      <c r="X2449" s="574">
        <f t="shared" si="306"/>
        <v>0</v>
      </c>
      <c r="Y2449" s="487"/>
      <c r="Z2449" s="487"/>
      <c r="AA2449" s="276">
        <f t="shared" si="307"/>
        <v>0</v>
      </c>
      <c r="AB2449" s="573"/>
      <c r="AC2449" s="487"/>
      <c r="AD2449" s="573"/>
      <c r="AE2449" s="487"/>
      <c r="AF2449" s="577">
        <f t="shared" si="311"/>
        <v>17234</v>
      </c>
      <c r="AG2449" s="275">
        <f t="shared" si="312"/>
        <v>13207</v>
      </c>
    </row>
    <row r="2450" spans="1:33" ht="12" customHeight="1">
      <c r="A2450" s="744" t="s">
        <v>1274</v>
      </c>
      <c r="B2450" s="703" t="s">
        <v>1784</v>
      </c>
      <c r="C2450" s="747" t="s">
        <v>1239</v>
      </c>
      <c r="D2450" s="746">
        <v>218724</v>
      </c>
      <c r="E2450" s="697">
        <v>5</v>
      </c>
      <c r="F2450" s="518"/>
      <c r="G2450" s="487"/>
      <c r="H2450" s="1096">
        <v>30000</v>
      </c>
      <c r="I2450" s="487">
        <v>0</v>
      </c>
      <c r="J2450" s="573"/>
      <c r="K2450" s="487"/>
      <c r="L2450" s="573"/>
      <c r="M2450" s="573"/>
      <c r="N2450" s="456">
        <f t="shared" si="305"/>
        <v>0</v>
      </c>
      <c r="O2450" s="487"/>
      <c r="P2450" s="487"/>
      <c r="Q2450" s="274">
        <f t="shared" si="308"/>
        <v>0</v>
      </c>
      <c r="R2450" s="574">
        <f t="shared" si="309"/>
        <v>30000</v>
      </c>
      <c r="S2450" s="275">
        <f t="shared" si="310"/>
        <v>0</v>
      </c>
      <c r="T2450" s="575"/>
      <c r="U2450" s="487"/>
      <c r="V2450" s="576"/>
      <c r="W2450" s="573"/>
      <c r="X2450" s="574">
        <f t="shared" si="306"/>
        <v>0</v>
      </c>
      <c r="Y2450" s="487"/>
      <c r="Z2450" s="487"/>
      <c r="AA2450" s="276">
        <f t="shared" si="307"/>
        <v>0</v>
      </c>
      <c r="AB2450" s="573"/>
      <c r="AC2450" s="487"/>
      <c r="AD2450" s="573"/>
      <c r="AE2450" s="487"/>
      <c r="AF2450" s="577">
        <f t="shared" si="311"/>
        <v>30000</v>
      </c>
      <c r="AG2450" s="275">
        <f t="shared" si="312"/>
        <v>0</v>
      </c>
    </row>
    <row r="2451" spans="1:33" ht="12" customHeight="1">
      <c r="A2451" s="744" t="s">
        <v>1274</v>
      </c>
      <c r="B2451" s="703" t="s">
        <v>1784</v>
      </c>
      <c r="C2451" s="747" t="s">
        <v>45</v>
      </c>
      <c r="D2451" s="746">
        <v>218724</v>
      </c>
      <c r="E2451" s="697">
        <v>5</v>
      </c>
      <c r="F2451" s="518"/>
      <c r="G2451" s="487"/>
      <c r="H2451" s="1096">
        <v>6167</v>
      </c>
      <c r="I2451" s="487">
        <v>8511</v>
      </c>
      <c r="J2451" s="573"/>
      <c r="K2451" s="487"/>
      <c r="L2451" s="573"/>
      <c r="M2451" s="573"/>
      <c r="N2451" s="456">
        <f t="shared" ref="N2451:N2514" si="313">SUM(L2451:M2451)</f>
        <v>0</v>
      </c>
      <c r="O2451" s="487"/>
      <c r="P2451" s="487"/>
      <c r="Q2451" s="274">
        <f t="shared" si="308"/>
        <v>0</v>
      </c>
      <c r="R2451" s="574">
        <f t="shared" si="309"/>
        <v>6167</v>
      </c>
      <c r="S2451" s="275">
        <f t="shared" si="310"/>
        <v>8511</v>
      </c>
      <c r="T2451" s="575"/>
      <c r="U2451" s="487"/>
      <c r="V2451" s="576"/>
      <c r="W2451" s="573"/>
      <c r="X2451" s="574">
        <f t="shared" ref="X2451:X2514" si="314">SUM(V2451:W2451)</f>
        <v>0</v>
      </c>
      <c r="Y2451" s="487"/>
      <c r="Z2451" s="487"/>
      <c r="AA2451" s="276">
        <f t="shared" ref="AA2451:AA2514" si="315">SUM(Y2451:Z2451)</f>
        <v>0</v>
      </c>
      <c r="AB2451" s="573"/>
      <c r="AC2451" s="487"/>
      <c r="AD2451" s="573"/>
      <c r="AE2451" s="487"/>
      <c r="AF2451" s="577">
        <f t="shared" si="311"/>
        <v>6167</v>
      </c>
      <c r="AG2451" s="275">
        <f t="shared" si="312"/>
        <v>8511</v>
      </c>
    </row>
    <row r="2452" spans="1:33" ht="12" customHeight="1">
      <c r="A2452" s="744" t="s">
        <v>1274</v>
      </c>
      <c r="B2452" s="703" t="s">
        <v>1784</v>
      </c>
      <c r="C2452" s="747" t="s">
        <v>1998</v>
      </c>
      <c r="D2452" s="746" t="s">
        <v>1245</v>
      </c>
      <c r="E2452" s="697">
        <v>5</v>
      </c>
      <c r="F2452" s="518"/>
      <c r="G2452" s="487"/>
      <c r="H2452" s="958">
        <v>857495</v>
      </c>
      <c r="I2452" s="949">
        <v>845062</v>
      </c>
      <c r="J2452" s="573"/>
      <c r="K2452" s="487"/>
      <c r="L2452" s="573"/>
      <c r="M2452" s="573"/>
      <c r="N2452" s="456">
        <f t="shared" si="313"/>
        <v>0</v>
      </c>
      <c r="O2452" s="487"/>
      <c r="P2452" s="487"/>
      <c r="Q2452" s="274">
        <f t="shared" si="308"/>
        <v>0</v>
      </c>
      <c r="R2452" s="574">
        <f t="shared" si="309"/>
        <v>857495</v>
      </c>
      <c r="S2452" s="275">
        <f t="shared" si="310"/>
        <v>845062</v>
      </c>
      <c r="T2452" s="575"/>
      <c r="U2452" s="487"/>
      <c r="V2452" s="576"/>
      <c r="W2452" s="573"/>
      <c r="X2452" s="574">
        <f t="shared" si="314"/>
        <v>0</v>
      </c>
      <c r="Y2452" s="487"/>
      <c r="Z2452" s="487"/>
      <c r="AA2452" s="276">
        <f t="shared" si="315"/>
        <v>0</v>
      </c>
      <c r="AB2452" s="573"/>
      <c r="AC2452" s="487"/>
      <c r="AD2452" s="573"/>
      <c r="AE2452" s="487"/>
      <c r="AF2452" s="577">
        <f t="shared" si="311"/>
        <v>857495</v>
      </c>
      <c r="AG2452" s="275">
        <f t="shared" si="312"/>
        <v>845062</v>
      </c>
    </row>
    <row r="2453" spans="1:33" ht="12" customHeight="1">
      <c r="A2453" s="744" t="s">
        <v>1274</v>
      </c>
      <c r="B2453" s="703" t="s">
        <v>1776</v>
      </c>
      <c r="C2453" s="745" t="s">
        <v>207</v>
      </c>
      <c r="D2453" s="746">
        <v>218645</v>
      </c>
      <c r="E2453" s="697">
        <v>6</v>
      </c>
      <c r="F2453" s="573">
        <v>10768973</v>
      </c>
      <c r="G2453" s="949">
        <f>9782283-2789301+107018</f>
        <v>7100000</v>
      </c>
      <c r="H2453" s="573"/>
      <c r="I2453" s="487"/>
      <c r="J2453" s="573"/>
      <c r="K2453" s="487"/>
      <c r="L2453" s="518">
        <v>19384197</v>
      </c>
      <c r="M2453" s="518">
        <v>1158099</v>
      </c>
      <c r="N2453" s="456">
        <f t="shared" si="313"/>
        <v>20542296</v>
      </c>
      <c r="O2453" s="487">
        <v>20407283</v>
      </c>
      <c r="P2453" s="487">
        <v>1157405</v>
      </c>
      <c r="Q2453" s="274">
        <f t="shared" si="308"/>
        <v>21564688</v>
      </c>
      <c r="R2453" s="574">
        <f t="shared" si="309"/>
        <v>30153170</v>
      </c>
      <c r="S2453" s="275">
        <f t="shared" si="310"/>
        <v>27507283</v>
      </c>
      <c r="T2453" s="575"/>
      <c r="U2453" s="487"/>
      <c r="V2453" s="576"/>
      <c r="W2453" s="573"/>
      <c r="X2453" s="574">
        <f t="shared" si="314"/>
        <v>0</v>
      </c>
      <c r="Y2453" s="487"/>
      <c r="Z2453" s="487"/>
      <c r="AA2453" s="276">
        <f t="shared" si="315"/>
        <v>0</v>
      </c>
      <c r="AB2453" s="573"/>
      <c r="AC2453" s="487"/>
      <c r="AD2453" s="573"/>
      <c r="AE2453" s="487"/>
      <c r="AF2453" s="577">
        <f t="shared" si="311"/>
        <v>30153170</v>
      </c>
      <c r="AG2453" s="275">
        <f t="shared" si="312"/>
        <v>27507283</v>
      </c>
    </row>
    <row r="2454" spans="1:33" ht="12" customHeight="1">
      <c r="A2454" s="744" t="s">
        <v>1274</v>
      </c>
      <c r="B2454" s="703" t="s">
        <v>1776</v>
      </c>
      <c r="C2454" s="747" t="s">
        <v>1704</v>
      </c>
      <c r="D2454" s="746">
        <v>218645</v>
      </c>
      <c r="E2454" s="697">
        <v>6</v>
      </c>
      <c r="F2454" s="573">
        <v>427107</v>
      </c>
      <c r="G2454" s="487"/>
      <c r="H2454" s="573"/>
      <c r="I2454" s="487"/>
      <c r="J2454" s="573"/>
      <c r="K2454" s="487"/>
      <c r="L2454" s="573"/>
      <c r="M2454" s="573"/>
      <c r="N2454" s="456">
        <f t="shared" si="313"/>
        <v>0</v>
      </c>
      <c r="O2454" s="487"/>
      <c r="P2454" s="487"/>
      <c r="Q2454" s="274">
        <f t="shared" si="308"/>
        <v>0</v>
      </c>
      <c r="R2454" s="574">
        <f t="shared" si="309"/>
        <v>427107</v>
      </c>
      <c r="S2454" s="275">
        <f t="shared" si="310"/>
        <v>0</v>
      </c>
      <c r="T2454" s="575"/>
      <c r="U2454" s="487"/>
      <c r="V2454" s="576"/>
      <c r="W2454" s="573"/>
      <c r="X2454" s="574">
        <f t="shared" si="314"/>
        <v>0</v>
      </c>
      <c r="Y2454" s="487"/>
      <c r="Z2454" s="487"/>
      <c r="AA2454" s="276">
        <f t="shared" si="315"/>
        <v>0</v>
      </c>
      <c r="AB2454" s="573"/>
      <c r="AC2454" s="487"/>
      <c r="AD2454" s="573"/>
      <c r="AE2454" s="487"/>
      <c r="AF2454" s="577">
        <f t="shared" si="311"/>
        <v>427107</v>
      </c>
      <c r="AG2454" s="275">
        <f t="shared" si="312"/>
        <v>0</v>
      </c>
    </row>
    <row r="2455" spans="1:33" ht="12" customHeight="1">
      <c r="A2455" s="744" t="s">
        <v>1274</v>
      </c>
      <c r="B2455" s="703" t="s">
        <v>1776</v>
      </c>
      <c r="C2455" s="747" t="s">
        <v>1988</v>
      </c>
      <c r="D2455" s="746">
        <v>218645</v>
      </c>
      <c r="E2455" s="697">
        <v>6</v>
      </c>
      <c r="F2455" s="518"/>
      <c r="G2455" s="949">
        <v>1413797</v>
      </c>
      <c r="H2455" s="573"/>
      <c r="I2455" s="487"/>
      <c r="J2455" s="573"/>
      <c r="K2455" s="487"/>
      <c r="L2455" s="573"/>
      <c r="M2455" s="573"/>
      <c r="N2455" s="456">
        <f t="shared" si="313"/>
        <v>0</v>
      </c>
      <c r="O2455" s="487"/>
      <c r="P2455" s="487"/>
      <c r="Q2455" s="274">
        <f t="shared" si="308"/>
        <v>0</v>
      </c>
      <c r="R2455" s="574">
        <f t="shared" si="309"/>
        <v>0</v>
      </c>
      <c r="S2455" s="275">
        <f t="shared" si="310"/>
        <v>1413797</v>
      </c>
      <c r="T2455" s="575"/>
      <c r="U2455" s="487"/>
      <c r="V2455" s="576"/>
      <c r="W2455" s="573"/>
      <c r="X2455" s="574">
        <f t="shared" si="314"/>
        <v>0</v>
      </c>
      <c r="Y2455" s="487"/>
      <c r="Z2455" s="487"/>
      <c r="AA2455" s="276">
        <f t="shared" si="315"/>
        <v>0</v>
      </c>
      <c r="AB2455" s="573"/>
      <c r="AC2455" s="487"/>
      <c r="AD2455" s="573"/>
      <c r="AE2455" s="487"/>
      <c r="AF2455" s="577">
        <f t="shared" si="311"/>
        <v>0</v>
      </c>
      <c r="AG2455" s="275">
        <f t="shared" si="312"/>
        <v>1413797</v>
      </c>
    </row>
    <row r="2456" spans="1:33" ht="12" customHeight="1">
      <c r="A2456" s="744" t="s">
        <v>1274</v>
      </c>
      <c r="B2456" s="703" t="s">
        <v>1784</v>
      </c>
      <c r="C2456" s="299" t="s">
        <v>2037</v>
      </c>
      <c r="D2456" s="746">
        <v>218645</v>
      </c>
      <c r="E2456" s="697">
        <v>6</v>
      </c>
      <c r="F2456" s="518"/>
      <c r="G2456" s="487"/>
      <c r="H2456" s="573"/>
      <c r="I2456" s="487"/>
      <c r="J2456" s="573"/>
      <c r="K2456" s="487"/>
      <c r="L2456" s="573"/>
      <c r="M2456" s="573"/>
      <c r="N2456" s="456">
        <f t="shared" si="313"/>
        <v>0</v>
      </c>
      <c r="O2456" s="487"/>
      <c r="P2456" s="487"/>
      <c r="Q2456" s="274">
        <f t="shared" si="308"/>
        <v>0</v>
      </c>
      <c r="R2456" s="574">
        <f t="shared" si="309"/>
        <v>0</v>
      </c>
      <c r="S2456" s="275">
        <f t="shared" si="310"/>
        <v>0</v>
      </c>
      <c r="T2456" s="575"/>
      <c r="U2456" s="487"/>
      <c r="V2456" s="576"/>
      <c r="W2456" s="573"/>
      <c r="X2456" s="574">
        <f t="shared" si="314"/>
        <v>0</v>
      </c>
      <c r="Y2456" s="487"/>
      <c r="Z2456" s="487"/>
      <c r="AA2456" s="276">
        <f t="shared" si="315"/>
        <v>0</v>
      </c>
      <c r="AB2456" s="573"/>
      <c r="AC2456" s="487"/>
      <c r="AD2456" s="573"/>
      <c r="AE2456" s="487"/>
      <c r="AF2456" s="577">
        <f t="shared" si="311"/>
        <v>0</v>
      </c>
      <c r="AG2456" s="275">
        <f t="shared" si="312"/>
        <v>0</v>
      </c>
    </row>
    <row r="2457" spans="1:33" ht="12" customHeight="1">
      <c r="A2457" s="744" t="s">
        <v>1274</v>
      </c>
      <c r="B2457" s="703" t="s">
        <v>1784</v>
      </c>
      <c r="C2457" s="747" t="s">
        <v>1238</v>
      </c>
      <c r="D2457" s="746">
        <v>218645</v>
      </c>
      <c r="E2457" s="697">
        <v>6</v>
      </c>
      <c r="F2457" s="518"/>
      <c r="G2457" s="487"/>
      <c r="H2457" s="518">
        <v>9724</v>
      </c>
      <c r="I2457" s="487">
        <v>7468</v>
      </c>
      <c r="J2457" s="573"/>
      <c r="K2457" s="487"/>
      <c r="L2457" s="573"/>
      <c r="M2457" s="573"/>
      <c r="N2457" s="456">
        <f t="shared" si="313"/>
        <v>0</v>
      </c>
      <c r="O2457" s="487"/>
      <c r="P2457" s="487"/>
      <c r="Q2457" s="274">
        <f t="shared" si="308"/>
        <v>0</v>
      </c>
      <c r="R2457" s="574">
        <f t="shared" si="309"/>
        <v>9724</v>
      </c>
      <c r="S2457" s="275">
        <f t="shared" si="310"/>
        <v>7468</v>
      </c>
      <c r="T2457" s="575"/>
      <c r="U2457" s="487"/>
      <c r="V2457" s="576"/>
      <c r="W2457" s="573"/>
      <c r="X2457" s="574">
        <f t="shared" si="314"/>
        <v>0</v>
      </c>
      <c r="Y2457" s="487"/>
      <c r="Z2457" s="487"/>
      <c r="AA2457" s="276">
        <f t="shared" si="315"/>
        <v>0</v>
      </c>
      <c r="AB2457" s="573"/>
      <c r="AC2457" s="487"/>
      <c r="AD2457" s="573"/>
      <c r="AE2457" s="487"/>
      <c r="AF2457" s="577">
        <f t="shared" si="311"/>
        <v>9724</v>
      </c>
      <c r="AG2457" s="275">
        <f t="shared" si="312"/>
        <v>7468</v>
      </c>
    </row>
    <row r="2458" spans="1:33" ht="12" customHeight="1">
      <c r="A2458" s="744" t="s">
        <v>1274</v>
      </c>
      <c r="B2458" s="703" t="s">
        <v>1784</v>
      </c>
      <c r="C2458" s="747" t="s">
        <v>1239</v>
      </c>
      <c r="D2458" s="746">
        <v>218645</v>
      </c>
      <c r="E2458" s="697">
        <v>6</v>
      </c>
      <c r="F2458" s="518"/>
      <c r="G2458" s="487"/>
      <c r="H2458" s="518">
        <v>30000</v>
      </c>
      <c r="I2458" s="487"/>
      <c r="J2458" s="573"/>
      <c r="K2458" s="487"/>
      <c r="L2458" s="573"/>
      <c r="M2458" s="573"/>
      <c r="N2458" s="456">
        <f t="shared" si="313"/>
        <v>0</v>
      </c>
      <c r="O2458" s="487"/>
      <c r="P2458" s="487"/>
      <c r="Q2458" s="274">
        <f t="shared" si="308"/>
        <v>0</v>
      </c>
      <c r="R2458" s="574">
        <f t="shared" si="309"/>
        <v>30000</v>
      </c>
      <c r="S2458" s="275">
        <f t="shared" si="310"/>
        <v>0</v>
      </c>
      <c r="T2458" s="575"/>
      <c r="U2458" s="487"/>
      <c r="V2458" s="576"/>
      <c r="W2458" s="573"/>
      <c r="X2458" s="574">
        <f t="shared" si="314"/>
        <v>0</v>
      </c>
      <c r="Y2458" s="487"/>
      <c r="Z2458" s="487"/>
      <c r="AA2458" s="276">
        <f t="shared" si="315"/>
        <v>0</v>
      </c>
      <c r="AB2458" s="573"/>
      <c r="AC2458" s="487"/>
      <c r="AD2458" s="573"/>
      <c r="AE2458" s="487"/>
      <c r="AF2458" s="577">
        <f t="shared" si="311"/>
        <v>30000</v>
      </c>
      <c r="AG2458" s="275">
        <f t="shared" si="312"/>
        <v>0</v>
      </c>
    </row>
    <row r="2459" spans="1:33" ht="12" customHeight="1">
      <c r="A2459" s="744" t="s">
        <v>1274</v>
      </c>
      <c r="B2459" s="703" t="s">
        <v>1784</v>
      </c>
      <c r="C2459" s="747" t="s">
        <v>45</v>
      </c>
      <c r="D2459" s="746">
        <v>218645</v>
      </c>
      <c r="E2459" s="697">
        <v>6</v>
      </c>
      <c r="F2459" s="518"/>
      <c r="G2459" s="487"/>
      <c r="H2459" s="518">
        <v>12371</v>
      </c>
      <c r="I2459" s="487">
        <v>8303</v>
      </c>
      <c r="J2459" s="573"/>
      <c r="K2459" s="487"/>
      <c r="L2459" s="573"/>
      <c r="M2459" s="573"/>
      <c r="N2459" s="456">
        <f t="shared" si="313"/>
        <v>0</v>
      </c>
      <c r="O2459" s="487"/>
      <c r="P2459" s="487"/>
      <c r="Q2459" s="274">
        <f t="shared" si="308"/>
        <v>0</v>
      </c>
      <c r="R2459" s="574">
        <f t="shared" si="309"/>
        <v>12371</v>
      </c>
      <c r="S2459" s="275">
        <f t="shared" si="310"/>
        <v>8303</v>
      </c>
      <c r="T2459" s="575"/>
      <c r="U2459" s="487"/>
      <c r="V2459" s="576"/>
      <c r="W2459" s="573"/>
      <c r="X2459" s="574">
        <f t="shared" si="314"/>
        <v>0</v>
      </c>
      <c r="Y2459" s="487"/>
      <c r="Z2459" s="487"/>
      <c r="AA2459" s="276">
        <f t="shared" si="315"/>
        <v>0</v>
      </c>
      <c r="AB2459" s="573"/>
      <c r="AC2459" s="487"/>
      <c r="AD2459" s="573"/>
      <c r="AE2459" s="487"/>
      <c r="AF2459" s="577">
        <f t="shared" si="311"/>
        <v>12371</v>
      </c>
      <c r="AG2459" s="275">
        <f t="shared" si="312"/>
        <v>8303</v>
      </c>
    </row>
    <row r="2460" spans="1:33" ht="12" customHeight="1">
      <c r="A2460" s="744" t="s">
        <v>1274</v>
      </c>
      <c r="B2460" s="703" t="s">
        <v>1784</v>
      </c>
      <c r="C2460" s="747" t="s">
        <v>1676</v>
      </c>
      <c r="D2460" s="746">
        <v>218645</v>
      </c>
      <c r="E2460" s="697">
        <v>6</v>
      </c>
      <c r="F2460" s="573"/>
      <c r="G2460" s="487"/>
      <c r="H2460" s="573">
        <v>39669</v>
      </c>
      <c r="I2460" s="487">
        <v>11893</v>
      </c>
      <c r="J2460" s="573"/>
      <c r="K2460" s="487"/>
      <c r="L2460" s="573"/>
      <c r="M2460" s="573"/>
      <c r="N2460" s="456">
        <f t="shared" si="313"/>
        <v>0</v>
      </c>
      <c r="O2460" s="487"/>
      <c r="P2460" s="487"/>
      <c r="Q2460" s="274">
        <f t="shared" si="308"/>
        <v>0</v>
      </c>
      <c r="R2460" s="574">
        <f t="shared" si="309"/>
        <v>39669</v>
      </c>
      <c r="S2460" s="275">
        <f t="shared" si="310"/>
        <v>11893</v>
      </c>
      <c r="T2460" s="575"/>
      <c r="U2460" s="487"/>
      <c r="V2460" s="576"/>
      <c r="W2460" s="573"/>
      <c r="X2460" s="574">
        <f t="shared" si="314"/>
        <v>0</v>
      </c>
      <c r="Y2460" s="487"/>
      <c r="Z2460" s="487"/>
      <c r="AA2460" s="276">
        <f t="shared" si="315"/>
        <v>0</v>
      </c>
      <c r="AB2460" s="573"/>
      <c r="AC2460" s="487"/>
      <c r="AD2460" s="573"/>
      <c r="AE2460" s="487"/>
      <c r="AF2460" s="577">
        <f t="shared" si="311"/>
        <v>39669</v>
      </c>
      <c r="AG2460" s="275">
        <f t="shared" si="312"/>
        <v>11893</v>
      </c>
    </row>
    <row r="2461" spans="1:33" ht="12" customHeight="1">
      <c r="A2461" s="744" t="s">
        <v>1274</v>
      </c>
      <c r="B2461" s="703" t="s">
        <v>1784</v>
      </c>
      <c r="C2461" s="747" t="s">
        <v>1998</v>
      </c>
      <c r="D2461" s="746">
        <v>218645</v>
      </c>
      <c r="E2461" s="697">
        <v>6</v>
      </c>
      <c r="F2461" s="573"/>
      <c r="G2461" s="487"/>
      <c r="H2461" s="958">
        <v>468974</v>
      </c>
      <c r="I2461" s="949">
        <v>458550</v>
      </c>
      <c r="J2461" s="573"/>
      <c r="K2461" s="487"/>
      <c r="L2461" s="573"/>
      <c r="M2461" s="573"/>
      <c r="N2461" s="456">
        <f t="shared" si="313"/>
        <v>0</v>
      </c>
      <c r="O2461" s="487"/>
      <c r="P2461" s="487"/>
      <c r="Q2461" s="274">
        <f t="shared" si="308"/>
        <v>0</v>
      </c>
      <c r="R2461" s="574">
        <f t="shared" si="309"/>
        <v>468974</v>
      </c>
      <c r="S2461" s="275">
        <f t="shared" si="310"/>
        <v>458550</v>
      </c>
      <c r="T2461" s="575"/>
      <c r="U2461" s="487"/>
      <c r="V2461" s="576"/>
      <c r="W2461" s="573"/>
      <c r="X2461" s="574">
        <f t="shared" si="314"/>
        <v>0</v>
      </c>
      <c r="Y2461" s="487"/>
      <c r="Z2461" s="487"/>
      <c r="AA2461" s="276">
        <f t="shared" si="315"/>
        <v>0</v>
      </c>
      <c r="AB2461" s="573"/>
      <c r="AC2461" s="487"/>
      <c r="AD2461" s="573"/>
      <c r="AE2461" s="487"/>
      <c r="AF2461" s="577">
        <f t="shared" si="311"/>
        <v>468974</v>
      </c>
      <c r="AG2461" s="275">
        <f t="shared" si="312"/>
        <v>458550</v>
      </c>
    </row>
    <row r="2462" spans="1:33" ht="12" customHeight="1">
      <c r="A2462" s="744" t="s">
        <v>1274</v>
      </c>
      <c r="B2462" s="703" t="s">
        <v>1776</v>
      </c>
      <c r="C2462" s="745" t="s">
        <v>208</v>
      </c>
      <c r="D2462" s="746">
        <v>218742</v>
      </c>
      <c r="E2462" s="697">
        <v>6</v>
      </c>
      <c r="F2462" s="518">
        <v>12042186</v>
      </c>
      <c r="G2462" s="949">
        <f>11845686-2706998+136312</f>
        <v>9275000</v>
      </c>
      <c r="H2462" s="573"/>
      <c r="I2462" s="487"/>
      <c r="J2462" s="573"/>
      <c r="K2462" s="487"/>
      <c r="L2462" s="518">
        <v>32442829</v>
      </c>
      <c r="M2462" s="518">
        <v>2337597</v>
      </c>
      <c r="N2462" s="456">
        <f t="shared" si="313"/>
        <v>34780426</v>
      </c>
      <c r="O2462" s="487">
        <v>36568673</v>
      </c>
      <c r="P2462" s="487">
        <v>2438754</v>
      </c>
      <c r="Q2462" s="274">
        <f t="shared" si="308"/>
        <v>39007427</v>
      </c>
      <c r="R2462" s="574">
        <f t="shared" si="309"/>
        <v>44485015</v>
      </c>
      <c r="S2462" s="275">
        <f t="shared" si="310"/>
        <v>45843673</v>
      </c>
      <c r="T2462" s="575"/>
      <c r="U2462" s="487"/>
      <c r="V2462" s="576"/>
      <c r="W2462" s="573"/>
      <c r="X2462" s="574">
        <f t="shared" si="314"/>
        <v>0</v>
      </c>
      <c r="Y2462" s="487"/>
      <c r="Z2462" s="487"/>
      <c r="AA2462" s="276">
        <f t="shared" si="315"/>
        <v>0</v>
      </c>
      <c r="AB2462" s="573"/>
      <c r="AC2462" s="487"/>
      <c r="AD2462" s="573"/>
      <c r="AE2462" s="487"/>
      <c r="AF2462" s="577">
        <f t="shared" si="311"/>
        <v>44485015</v>
      </c>
      <c r="AG2462" s="275">
        <f t="shared" si="312"/>
        <v>45843673</v>
      </c>
    </row>
    <row r="2463" spans="1:33" ht="12" customHeight="1">
      <c r="A2463" s="744" t="s">
        <v>1274</v>
      </c>
      <c r="B2463" s="703" t="s">
        <v>1776</v>
      </c>
      <c r="C2463" s="747" t="s">
        <v>1704</v>
      </c>
      <c r="D2463" s="746">
        <v>218742</v>
      </c>
      <c r="E2463" s="697">
        <v>6</v>
      </c>
      <c r="F2463" s="518">
        <v>582300</v>
      </c>
      <c r="G2463" s="487">
        <v>0</v>
      </c>
      <c r="H2463" s="573"/>
      <c r="I2463" s="487"/>
      <c r="J2463" s="573"/>
      <c r="K2463" s="487"/>
      <c r="L2463" s="573"/>
      <c r="M2463" s="573"/>
      <c r="N2463" s="456">
        <f t="shared" si="313"/>
        <v>0</v>
      </c>
      <c r="O2463" s="487"/>
      <c r="P2463" s="487"/>
      <c r="Q2463" s="274">
        <f t="shared" si="308"/>
        <v>0</v>
      </c>
      <c r="R2463" s="574">
        <f t="shared" si="309"/>
        <v>582300</v>
      </c>
      <c r="S2463" s="275">
        <f t="shared" si="310"/>
        <v>0</v>
      </c>
      <c r="T2463" s="575"/>
      <c r="U2463" s="487"/>
      <c r="V2463" s="576"/>
      <c r="W2463" s="573"/>
      <c r="X2463" s="574">
        <f t="shared" si="314"/>
        <v>0</v>
      </c>
      <c r="Y2463" s="487"/>
      <c r="Z2463" s="487"/>
      <c r="AA2463" s="276">
        <f t="shared" si="315"/>
        <v>0</v>
      </c>
      <c r="AB2463" s="573"/>
      <c r="AC2463" s="487"/>
      <c r="AD2463" s="573"/>
      <c r="AE2463" s="487"/>
      <c r="AF2463" s="577">
        <f t="shared" si="311"/>
        <v>582300</v>
      </c>
      <c r="AG2463" s="275">
        <f t="shared" si="312"/>
        <v>0</v>
      </c>
    </row>
    <row r="2464" spans="1:33" ht="12" customHeight="1">
      <c r="A2464" s="744" t="s">
        <v>1274</v>
      </c>
      <c r="B2464" s="703" t="s">
        <v>1776</v>
      </c>
      <c r="C2464" s="747" t="s">
        <v>1246</v>
      </c>
      <c r="D2464" s="746">
        <v>218742</v>
      </c>
      <c r="E2464" s="697">
        <v>6</v>
      </c>
      <c r="F2464" s="518">
        <v>1000000</v>
      </c>
      <c r="G2464" s="487">
        <v>0</v>
      </c>
      <c r="H2464" s="573"/>
      <c r="I2464" s="487"/>
      <c r="J2464" s="573"/>
      <c r="K2464" s="487"/>
      <c r="L2464" s="573"/>
      <c r="M2464" s="573"/>
      <c r="N2464" s="456">
        <f t="shared" si="313"/>
        <v>0</v>
      </c>
      <c r="O2464" s="487"/>
      <c r="P2464" s="487"/>
      <c r="Q2464" s="274">
        <f t="shared" si="308"/>
        <v>0</v>
      </c>
      <c r="R2464" s="574">
        <f t="shared" si="309"/>
        <v>1000000</v>
      </c>
      <c r="S2464" s="275">
        <f t="shared" si="310"/>
        <v>0</v>
      </c>
      <c r="T2464" s="575"/>
      <c r="U2464" s="487"/>
      <c r="V2464" s="576"/>
      <c r="W2464" s="573"/>
      <c r="X2464" s="574">
        <f t="shared" si="314"/>
        <v>0</v>
      </c>
      <c r="Y2464" s="487"/>
      <c r="Z2464" s="487"/>
      <c r="AA2464" s="276">
        <f t="shared" si="315"/>
        <v>0</v>
      </c>
      <c r="AB2464" s="573"/>
      <c r="AC2464" s="487"/>
      <c r="AD2464" s="573"/>
      <c r="AE2464" s="487"/>
      <c r="AF2464" s="577">
        <f t="shared" si="311"/>
        <v>1000000</v>
      </c>
      <c r="AG2464" s="275">
        <f t="shared" si="312"/>
        <v>0</v>
      </c>
    </row>
    <row r="2465" spans="1:33" ht="12" customHeight="1">
      <c r="A2465" s="744" t="s">
        <v>1274</v>
      </c>
      <c r="B2465" s="703" t="s">
        <v>1776</v>
      </c>
      <c r="C2465" s="747" t="s">
        <v>1988</v>
      </c>
      <c r="D2465" s="746">
        <v>218742</v>
      </c>
      <c r="E2465" s="697">
        <v>6</v>
      </c>
      <c r="F2465" s="518"/>
      <c r="G2465" s="949">
        <v>1812479</v>
      </c>
      <c r="H2465" s="573"/>
      <c r="I2465" s="487"/>
      <c r="J2465" s="573"/>
      <c r="K2465" s="487"/>
      <c r="L2465" s="573"/>
      <c r="M2465" s="573"/>
      <c r="N2465" s="456">
        <f t="shared" si="313"/>
        <v>0</v>
      </c>
      <c r="O2465" s="487"/>
      <c r="P2465" s="487"/>
      <c r="Q2465" s="274">
        <f t="shared" si="308"/>
        <v>0</v>
      </c>
      <c r="R2465" s="574">
        <f t="shared" si="309"/>
        <v>0</v>
      </c>
      <c r="S2465" s="275">
        <f t="shared" si="310"/>
        <v>1812479</v>
      </c>
      <c r="T2465" s="575"/>
      <c r="U2465" s="487"/>
      <c r="V2465" s="576"/>
      <c r="W2465" s="573"/>
      <c r="X2465" s="574">
        <f t="shared" si="314"/>
        <v>0</v>
      </c>
      <c r="Y2465" s="487"/>
      <c r="Z2465" s="487"/>
      <c r="AA2465" s="276">
        <f t="shared" si="315"/>
        <v>0</v>
      </c>
      <c r="AB2465" s="573"/>
      <c r="AC2465" s="487"/>
      <c r="AD2465" s="573"/>
      <c r="AE2465" s="487"/>
      <c r="AF2465" s="577">
        <f t="shared" si="311"/>
        <v>0</v>
      </c>
      <c r="AG2465" s="275">
        <f t="shared" si="312"/>
        <v>1812479</v>
      </c>
    </row>
    <row r="2466" spans="1:33" ht="12" customHeight="1">
      <c r="A2466" s="744" t="s">
        <v>1274</v>
      </c>
      <c r="B2466" s="703" t="s">
        <v>1784</v>
      </c>
      <c r="C2466" s="299" t="s">
        <v>2037</v>
      </c>
      <c r="D2466" s="746">
        <v>218742</v>
      </c>
      <c r="E2466" s="697">
        <v>6</v>
      </c>
      <c r="F2466" s="518"/>
      <c r="G2466" s="487"/>
      <c r="H2466" s="573"/>
      <c r="I2466" s="487"/>
      <c r="J2466" s="573"/>
      <c r="K2466" s="487"/>
      <c r="L2466" s="573"/>
      <c r="M2466" s="573"/>
      <c r="N2466" s="456">
        <f t="shared" si="313"/>
        <v>0</v>
      </c>
      <c r="O2466" s="487"/>
      <c r="P2466" s="487"/>
      <c r="Q2466" s="274">
        <f t="shared" si="308"/>
        <v>0</v>
      </c>
      <c r="R2466" s="574">
        <f t="shared" si="309"/>
        <v>0</v>
      </c>
      <c r="S2466" s="275">
        <f t="shared" si="310"/>
        <v>0</v>
      </c>
      <c r="T2466" s="575"/>
      <c r="U2466" s="487"/>
      <c r="V2466" s="576"/>
      <c r="W2466" s="573"/>
      <c r="X2466" s="574">
        <f t="shared" si="314"/>
        <v>0</v>
      </c>
      <c r="Y2466" s="487"/>
      <c r="Z2466" s="487"/>
      <c r="AA2466" s="276">
        <f t="shared" si="315"/>
        <v>0</v>
      </c>
      <c r="AB2466" s="573"/>
      <c r="AC2466" s="487"/>
      <c r="AD2466" s="573"/>
      <c r="AE2466" s="487"/>
      <c r="AF2466" s="577">
        <f t="shared" si="311"/>
        <v>0</v>
      </c>
      <c r="AG2466" s="275">
        <f t="shared" si="312"/>
        <v>0</v>
      </c>
    </row>
    <row r="2467" spans="1:33" ht="12" customHeight="1">
      <c r="A2467" s="744" t="s">
        <v>1274</v>
      </c>
      <c r="B2467" s="703" t="s">
        <v>1784</v>
      </c>
      <c r="C2467" s="747" t="s">
        <v>1238</v>
      </c>
      <c r="D2467" s="746">
        <v>218742</v>
      </c>
      <c r="E2467" s="697">
        <v>6</v>
      </c>
      <c r="F2467" s="518"/>
      <c r="G2467" s="487"/>
      <c r="H2467" s="518">
        <v>11699</v>
      </c>
      <c r="I2467" s="949">
        <v>9523</v>
      </c>
      <c r="J2467" s="573"/>
      <c r="K2467" s="487"/>
      <c r="L2467" s="573"/>
      <c r="M2467" s="573"/>
      <c r="N2467" s="456">
        <f t="shared" si="313"/>
        <v>0</v>
      </c>
      <c r="O2467" s="487"/>
      <c r="P2467" s="487"/>
      <c r="Q2467" s="274">
        <f t="shared" si="308"/>
        <v>0</v>
      </c>
      <c r="R2467" s="574">
        <f t="shared" si="309"/>
        <v>11699</v>
      </c>
      <c r="S2467" s="275">
        <f t="shared" si="310"/>
        <v>9523</v>
      </c>
      <c r="T2467" s="575"/>
      <c r="U2467" s="487"/>
      <c r="V2467" s="576"/>
      <c r="W2467" s="573"/>
      <c r="X2467" s="574">
        <f t="shared" si="314"/>
        <v>0</v>
      </c>
      <c r="Y2467" s="487"/>
      <c r="Z2467" s="487"/>
      <c r="AA2467" s="276">
        <f t="shared" si="315"/>
        <v>0</v>
      </c>
      <c r="AB2467" s="573"/>
      <c r="AC2467" s="487"/>
      <c r="AD2467" s="573"/>
      <c r="AE2467" s="487"/>
      <c r="AF2467" s="577">
        <f t="shared" si="311"/>
        <v>11699</v>
      </c>
      <c r="AG2467" s="275">
        <f t="shared" si="312"/>
        <v>9523</v>
      </c>
    </row>
    <row r="2468" spans="1:33" ht="12" customHeight="1">
      <c r="A2468" s="744" t="s">
        <v>1274</v>
      </c>
      <c r="B2468" s="703" t="s">
        <v>1784</v>
      </c>
      <c r="C2468" s="747" t="s">
        <v>1239</v>
      </c>
      <c r="D2468" s="746">
        <v>218742</v>
      </c>
      <c r="E2468" s="697">
        <v>6</v>
      </c>
      <c r="F2468" s="518"/>
      <c r="G2468" s="487"/>
      <c r="H2468" s="518">
        <v>30000</v>
      </c>
      <c r="I2468" s="487"/>
      <c r="J2468" s="573"/>
      <c r="K2468" s="487"/>
      <c r="L2468" s="573"/>
      <c r="M2468" s="573"/>
      <c r="N2468" s="456">
        <f t="shared" si="313"/>
        <v>0</v>
      </c>
      <c r="O2468" s="487"/>
      <c r="P2468" s="487"/>
      <c r="Q2468" s="274">
        <f t="shared" si="308"/>
        <v>0</v>
      </c>
      <c r="R2468" s="574">
        <f t="shared" si="309"/>
        <v>30000</v>
      </c>
      <c r="S2468" s="275">
        <f t="shared" si="310"/>
        <v>0</v>
      </c>
      <c r="T2468" s="575"/>
      <c r="U2468" s="487"/>
      <c r="V2468" s="576"/>
      <c r="W2468" s="573"/>
      <c r="X2468" s="574">
        <f t="shared" si="314"/>
        <v>0</v>
      </c>
      <c r="Y2468" s="487"/>
      <c r="Z2468" s="487"/>
      <c r="AA2468" s="276">
        <f t="shared" si="315"/>
        <v>0</v>
      </c>
      <c r="AB2468" s="573"/>
      <c r="AC2468" s="487"/>
      <c r="AD2468" s="573"/>
      <c r="AE2468" s="487"/>
      <c r="AF2468" s="577">
        <f t="shared" si="311"/>
        <v>30000</v>
      </c>
      <c r="AG2468" s="275">
        <f t="shared" si="312"/>
        <v>0</v>
      </c>
    </row>
    <row r="2469" spans="1:33" ht="12" customHeight="1">
      <c r="A2469" s="744" t="s">
        <v>1274</v>
      </c>
      <c r="B2469" s="703" t="s">
        <v>1784</v>
      </c>
      <c r="C2469" s="747" t="s">
        <v>45</v>
      </c>
      <c r="D2469" s="746">
        <v>218742</v>
      </c>
      <c r="E2469" s="697">
        <v>6</v>
      </c>
      <c r="F2469" s="518"/>
      <c r="G2469" s="487"/>
      <c r="H2469" s="518">
        <v>0</v>
      </c>
      <c r="I2469" s="487">
        <v>185</v>
      </c>
      <c r="J2469" s="573"/>
      <c r="K2469" s="487"/>
      <c r="L2469" s="573"/>
      <c r="M2469" s="573"/>
      <c r="N2469" s="456">
        <f t="shared" si="313"/>
        <v>0</v>
      </c>
      <c r="O2469" s="487"/>
      <c r="P2469" s="487"/>
      <c r="Q2469" s="274">
        <f t="shared" si="308"/>
        <v>0</v>
      </c>
      <c r="R2469" s="574">
        <f t="shared" si="309"/>
        <v>0</v>
      </c>
      <c r="S2469" s="275">
        <f t="shared" si="310"/>
        <v>185</v>
      </c>
      <c r="T2469" s="575"/>
      <c r="U2469" s="487"/>
      <c r="V2469" s="576"/>
      <c r="W2469" s="573"/>
      <c r="X2469" s="574">
        <f t="shared" si="314"/>
        <v>0</v>
      </c>
      <c r="Y2469" s="487"/>
      <c r="Z2469" s="487"/>
      <c r="AA2469" s="276">
        <f t="shared" si="315"/>
        <v>0</v>
      </c>
      <c r="AB2469" s="573"/>
      <c r="AC2469" s="487"/>
      <c r="AD2469" s="573"/>
      <c r="AE2469" s="487"/>
      <c r="AF2469" s="577">
        <f t="shared" si="311"/>
        <v>0</v>
      </c>
      <c r="AG2469" s="275">
        <f t="shared" si="312"/>
        <v>185</v>
      </c>
    </row>
    <row r="2470" spans="1:33" ht="12" customHeight="1">
      <c r="A2470" s="744" t="s">
        <v>1274</v>
      </c>
      <c r="B2470" s="703" t="s">
        <v>1784</v>
      </c>
      <c r="C2470" s="747" t="s">
        <v>1676</v>
      </c>
      <c r="D2470" s="746">
        <v>218742</v>
      </c>
      <c r="E2470" s="697">
        <v>6</v>
      </c>
      <c r="F2470" s="518"/>
      <c r="G2470" s="487"/>
      <c r="H2470" s="518">
        <v>101374</v>
      </c>
      <c r="I2470" s="487">
        <v>33745</v>
      </c>
      <c r="J2470" s="573"/>
      <c r="K2470" s="487"/>
      <c r="L2470" s="573"/>
      <c r="M2470" s="573"/>
      <c r="N2470" s="456">
        <f t="shared" si="313"/>
        <v>0</v>
      </c>
      <c r="O2470" s="487"/>
      <c r="P2470" s="487"/>
      <c r="Q2470" s="274">
        <f t="shared" si="308"/>
        <v>0</v>
      </c>
      <c r="R2470" s="574">
        <f t="shared" si="309"/>
        <v>101374</v>
      </c>
      <c r="S2470" s="275">
        <f t="shared" si="310"/>
        <v>33745</v>
      </c>
      <c r="T2470" s="575"/>
      <c r="U2470" s="487"/>
      <c r="V2470" s="576"/>
      <c r="W2470" s="573"/>
      <c r="X2470" s="574">
        <f t="shared" si="314"/>
        <v>0</v>
      </c>
      <c r="Y2470" s="487"/>
      <c r="Z2470" s="487"/>
      <c r="AA2470" s="276">
        <f t="shared" si="315"/>
        <v>0</v>
      </c>
      <c r="AB2470" s="573"/>
      <c r="AC2470" s="487"/>
      <c r="AD2470" s="573"/>
      <c r="AE2470" s="487"/>
      <c r="AF2470" s="577">
        <f t="shared" si="311"/>
        <v>101374</v>
      </c>
      <c r="AG2470" s="275">
        <f t="shared" si="312"/>
        <v>33745</v>
      </c>
    </row>
    <row r="2471" spans="1:33" ht="12" customHeight="1">
      <c r="A2471" s="744" t="s">
        <v>1274</v>
      </c>
      <c r="B2471" s="703" t="s">
        <v>1784</v>
      </c>
      <c r="C2471" s="747" t="s">
        <v>209</v>
      </c>
      <c r="D2471" s="746">
        <v>218742</v>
      </c>
      <c r="E2471" s="697">
        <v>6</v>
      </c>
      <c r="F2471" s="573"/>
      <c r="G2471" s="487"/>
      <c r="H2471" s="573">
        <v>933679</v>
      </c>
      <c r="I2471" s="487">
        <v>0</v>
      </c>
      <c r="J2471" s="573"/>
      <c r="K2471" s="487"/>
      <c r="L2471" s="573"/>
      <c r="M2471" s="573"/>
      <c r="N2471" s="456">
        <f t="shared" si="313"/>
        <v>0</v>
      </c>
      <c r="O2471" s="487"/>
      <c r="P2471" s="487"/>
      <c r="Q2471" s="274">
        <f t="shared" si="308"/>
        <v>0</v>
      </c>
      <c r="R2471" s="574">
        <f t="shared" si="309"/>
        <v>933679</v>
      </c>
      <c r="S2471" s="275">
        <f t="shared" si="310"/>
        <v>0</v>
      </c>
      <c r="T2471" s="575"/>
      <c r="U2471" s="487"/>
      <c r="V2471" s="576"/>
      <c r="W2471" s="573"/>
      <c r="X2471" s="574">
        <f t="shared" si="314"/>
        <v>0</v>
      </c>
      <c r="Y2471" s="487"/>
      <c r="Z2471" s="487"/>
      <c r="AA2471" s="276">
        <f t="shared" si="315"/>
        <v>0</v>
      </c>
      <c r="AB2471" s="573"/>
      <c r="AC2471" s="487"/>
      <c r="AD2471" s="573"/>
      <c r="AE2471" s="487"/>
      <c r="AF2471" s="577">
        <f t="shared" si="311"/>
        <v>933679</v>
      </c>
      <c r="AG2471" s="275">
        <f t="shared" si="312"/>
        <v>0</v>
      </c>
    </row>
    <row r="2472" spans="1:33" ht="12" customHeight="1">
      <c r="A2472" s="744" t="s">
        <v>1274</v>
      </c>
      <c r="B2472" s="703" t="s">
        <v>1784</v>
      </c>
      <c r="C2472" s="747" t="s">
        <v>1998</v>
      </c>
      <c r="D2472" s="746">
        <v>218742</v>
      </c>
      <c r="E2472" s="697">
        <v>6</v>
      </c>
      <c r="F2472" s="573"/>
      <c r="G2472" s="487"/>
      <c r="H2472" s="958">
        <v>603266</v>
      </c>
      <c r="I2472" s="949">
        <v>614568</v>
      </c>
      <c r="J2472" s="573"/>
      <c r="K2472" s="487"/>
      <c r="L2472" s="573"/>
      <c r="M2472" s="573"/>
      <c r="N2472" s="456">
        <f t="shared" si="313"/>
        <v>0</v>
      </c>
      <c r="O2472" s="487"/>
      <c r="P2472" s="487"/>
      <c r="Q2472" s="274">
        <f t="shared" si="308"/>
        <v>0</v>
      </c>
      <c r="R2472" s="574">
        <f t="shared" si="309"/>
        <v>603266</v>
      </c>
      <c r="S2472" s="275">
        <f t="shared" si="310"/>
        <v>614568</v>
      </c>
      <c r="T2472" s="575"/>
      <c r="U2472" s="487"/>
      <c r="V2472" s="576"/>
      <c r="W2472" s="573"/>
      <c r="X2472" s="574">
        <f t="shared" si="314"/>
        <v>0</v>
      </c>
      <c r="Y2472" s="487"/>
      <c r="Z2472" s="487"/>
      <c r="AA2472" s="276">
        <f t="shared" si="315"/>
        <v>0</v>
      </c>
      <c r="AB2472" s="573"/>
      <c r="AC2472" s="487"/>
      <c r="AD2472" s="573"/>
      <c r="AE2472" s="487"/>
      <c r="AF2472" s="577">
        <f t="shared" si="311"/>
        <v>603266</v>
      </c>
      <c r="AG2472" s="275">
        <f t="shared" si="312"/>
        <v>614568</v>
      </c>
    </row>
    <row r="2473" spans="1:33" ht="12" customHeight="1">
      <c r="A2473" s="744" t="s">
        <v>1274</v>
      </c>
      <c r="B2473" s="703" t="s">
        <v>1776</v>
      </c>
      <c r="C2473" s="745" t="s">
        <v>210</v>
      </c>
      <c r="D2473" s="746">
        <v>218654</v>
      </c>
      <c r="E2473" s="697">
        <v>7</v>
      </c>
      <c r="F2473" s="518">
        <v>2069054</v>
      </c>
      <c r="G2473" s="949">
        <f>1858075-204697+21622</f>
        <v>1675000</v>
      </c>
      <c r="H2473" s="573"/>
      <c r="I2473" s="487"/>
      <c r="J2473" s="573"/>
      <c r="K2473" s="487"/>
      <c r="L2473" s="518">
        <v>6967769</v>
      </c>
      <c r="M2473" s="518">
        <v>85571</v>
      </c>
      <c r="N2473" s="456">
        <f t="shared" si="313"/>
        <v>7053340</v>
      </c>
      <c r="O2473" s="487">
        <v>8368902</v>
      </c>
      <c r="P2473" s="487">
        <v>98705</v>
      </c>
      <c r="Q2473" s="274">
        <f t="shared" si="308"/>
        <v>8467607</v>
      </c>
      <c r="R2473" s="574">
        <f t="shared" si="309"/>
        <v>9036823</v>
      </c>
      <c r="S2473" s="275">
        <f t="shared" si="310"/>
        <v>10043902</v>
      </c>
      <c r="T2473" s="575"/>
      <c r="U2473" s="487"/>
      <c r="V2473" s="576"/>
      <c r="W2473" s="573"/>
      <c r="X2473" s="574">
        <f t="shared" si="314"/>
        <v>0</v>
      </c>
      <c r="Y2473" s="487"/>
      <c r="Z2473" s="487"/>
      <c r="AA2473" s="276">
        <f t="shared" si="315"/>
        <v>0</v>
      </c>
      <c r="AB2473" s="573"/>
      <c r="AC2473" s="487"/>
      <c r="AD2473" s="573"/>
      <c r="AE2473" s="487"/>
      <c r="AF2473" s="577">
        <f t="shared" si="311"/>
        <v>9036823</v>
      </c>
      <c r="AG2473" s="275">
        <f t="shared" si="312"/>
        <v>10043902</v>
      </c>
    </row>
    <row r="2474" spans="1:33" ht="12" customHeight="1">
      <c r="A2474" s="744" t="s">
        <v>1274</v>
      </c>
      <c r="B2474" s="703" t="s">
        <v>1776</v>
      </c>
      <c r="C2474" s="747" t="s">
        <v>1704</v>
      </c>
      <c r="D2474" s="746">
        <v>218654</v>
      </c>
      <c r="E2474" s="697">
        <v>7</v>
      </c>
      <c r="F2474" s="573">
        <v>126034</v>
      </c>
      <c r="G2474" s="487"/>
      <c r="H2474" s="573"/>
      <c r="I2474" s="487"/>
      <c r="J2474" s="573"/>
      <c r="K2474" s="487"/>
      <c r="L2474" s="573"/>
      <c r="M2474" s="573"/>
      <c r="N2474" s="456">
        <f t="shared" si="313"/>
        <v>0</v>
      </c>
      <c r="O2474" s="487"/>
      <c r="P2474" s="487"/>
      <c r="Q2474" s="274">
        <f t="shared" si="308"/>
        <v>0</v>
      </c>
      <c r="R2474" s="574">
        <f t="shared" si="309"/>
        <v>126034</v>
      </c>
      <c r="S2474" s="275">
        <f t="shared" si="310"/>
        <v>0</v>
      </c>
      <c r="T2474" s="575"/>
      <c r="U2474" s="487"/>
      <c r="V2474" s="576"/>
      <c r="W2474" s="573"/>
      <c r="X2474" s="574">
        <f t="shared" si="314"/>
        <v>0</v>
      </c>
      <c r="Y2474" s="487"/>
      <c r="Z2474" s="487"/>
      <c r="AA2474" s="276">
        <f t="shared" si="315"/>
        <v>0</v>
      </c>
      <c r="AB2474" s="573"/>
      <c r="AC2474" s="487"/>
      <c r="AD2474" s="573"/>
      <c r="AE2474" s="487"/>
      <c r="AF2474" s="577">
        <f t="shared" si="311"/>
        <v>126034</v>
      </c>
      <c r="AG2474" s="275">
        <f t="shared" si="312"/>
        <v>0</v>
      </c>
    </row>
    <row r="2475" spans="1:33" ht="12" customHeight="1">
      <c r="A2475" s="744" t="s">
        <v>1274</v>
      </c>
      <c r="B2475" s="703" t="s">
        <v>1776</v>
      </c>
      <c r="C2475" s="747" t="s">
        <v>1237</v>
      </c>
      <c r="D2475" s="746">
        <v>218654</v>
      </c>
      <c r="E2475" s="697">
        <v>7</v>
      </c>
      <c r="F2475" s="518">
        <v>500000</v>
      </c>
      <c r="G2475" s="487">
        <v>0</v>
      </c>
      <c r="H2475" s="573"/>
      <c r="I2475" s="487"/>
      <c r="J2475" s="573"/>
      <c r="K2475" s="487"/>
      <c r="L2475" s="573"/>
      <c r="M2475" s="573"/>
      <c r="N2475" s="456">
        <f t="shared" si="313"/>
        <v>0</v>
      </c>
      <c r="O2475" s="487"/>
      <c r="P2475" s="487"/>
      <c r="Q2475" s="274">
        <f t="shared" si="308"/>
        <v>0</v>
      </c>
      <c r="R2475" s="574">
        <f t="shared" si="309"/>
        <v>500000</v>
      </c>
      <c r="S2475" s="275">
        <f t="shared" si="310"/>
        <v>0</v>
      </c>
      <c r="T2475" s="575"/>
      <c r="U2475" s="487"/>
      <c r="V2475" s="576"/>
      <c r="W2475" s="573"/>
      <c r="X2475" s="574">
        <f t="shared" si="314"/>
        <v>0</v>
      </c>
      <c r="Y2475" s="487"/>
      <c r="Z2475" s="487"/>
      <c r="AA2475" s="276">
        <f t="shared" si="315"/>
        <v>0</v>
      </c>
      <c r="AB2475" s="573"/>
      <c r="AC2475" s="487"/>
      <c r="AD2475" s="573"/>
      <c r="AE2475" s="487"/>
      <c r="AF2475" s="577">
        <f t="shared" si="311"/>
        <v>500000</v>
      </c>
      <c r="AG2475" s="275">
        <f t="shared" si="312"/>
        <v>0</v>
      </c>
    </row>
    <row r="2476" spans="1:33" ht="12" customHeight="1">
      <c r="A2476" s="744" t="s">
        <v>1274</v>
      </c>
      <c r="B2476" s="703" t="s">
        <v>1776</v>
      </c>
      <c r="C2476" s="747" t="s">
        <v>1988</v>
      </c>
      <c r="D2476" s="746">
        <v>218654</v>
      </c>
      <c r="E2476" s="697">
        <v>7</v>
      </c>
      <c r="F2476" s="518"/>
      <c r="G2476" s="949">
        <v>337013</v>
      </c>
      <c r="H2476" s="573"/>
      <c r="I2476" s="487"/>
      <c r="J2476" s="573"/>
      <c r="K2476" s="487"/>
      <c r="L2476" s="573"/>
      <c r="M2476" s="573"/>
      <c r="N2476" s="456">
        <f t="shared" si="313"/>
        <v>0</v>
      </c>
      <c r="O2476" s="487"/>
      <c r="P2476" s="487"/>
      <c r="Q2476" s="274">
        <f t="shared" si="308"/>
        <v>0</v>
      </c>
      <c r="R2476" s="574">
        <f t="shared" si="309"/>
        <v>0</v>
      </c>
      <c r="S2476" s="275">
        <f t="shared" si="310"/>
        <v>337013</v>
      </c>
      <c r="T2476" s="575"/>
      <c r="U2476" s="487"/>
      <c r="V2476" s="576"/>
      <c r="W2476" s="573"/>
      <c r="X2476" s="574">
        <f t="shared" si="314"/>
        <v>0</v>
      </c>
      <c r="Y2476" s="487"/>
      <c r="Z2476" s="487"/>
      <c r="AA2476" s="276">
        <f t="shared" si="315"/>
        <v>0</v>
      </c>
      <c r="AB2476" s="573"/>
      <c r="AC2476" s="487"/>
      <c r="AD2476" s="573"/>
      <c r="AE2476" s="487"/>
      <c r="AF2476" s="577">
        <f t="shared" si="311"/>
        <v>0</v>
      </c>
      <c r="AG2476" s="275">
        <f t="shared" si="312"/>
        <v>337013</v>
      </c>
    </row>
    <row r="2477" spans="1:33" ht="12" customHeight="1">
      <c r="A2477" s="744" t="s">
        <v>1274</v>
      </c>
      <c r="B2477" s="703" t="s">
        <v>1778</v>
      </c>
      <c r="C2477" s="298" t="s">
        <v>1891</v>
      </c>
      <c r="D2477" s="746">
        <v>218654</v>
      </c>
      <c r="E2477" s="697">
        <v>7</v>
      </c>
      <c r="F2477" s="573"/>
      <c r="G2477" s="487"/>
      <c r="H2477" s="573"/>
      <c r="I2477" s="487"/>
      <c r="J2477" s="573"/>
      <c r="K2477" s="487"/>
      <c r="L2477" s="573"/>
      <c r="M2477" s="573"/>
      <c r="N2477" s="456">
        <f t="shared" si="313"/>
        <v>0</v>
      </c>
      <c r="O2477" s="487"/>
      <c r="P2477" s="487"/>
      <c r="Q2477" s="274">
        <f t="shared" si="308"/>
        <v>0</v>
      </c>
      <c r="R2477" s="574">
        <f t="shared" si="309"/>
        <v>0</v>
      </c>
      <c r="S2477" s="275">
        <f t="shared" si="310"/>
        <v>0</v>
      </c>
      <c r="T2477" s="575"/>
      <c r="U2477" s="487"/>
      <c r="V2477" s="576"/>
      <c r="W2477" s="573"/>
      <c r="X2477" s="574">
        <f t="shared" si="314"/>
        <v>0</v>
      </c>
      <c r="Y2477" s="487"/>
      <c r="Z2477" s="487"/>
      <c r="AA2477" s="276">
        <f t="shared" si="315"/>
        <v>0</v>
      </c>
      <c r="AB2477" s="573"/>
      <c r="AC2477" s="487"/>
      <c r="AD2477" s="573"/>
      <c r="AE2477" s="487"/>
      <c r="AF2477" s="577">
        <f t="shared" si="311"/>
        <v>0</v>
      </c>
      <c r="AG2477" s="275">
        <f t="shared" si="312"/>
        <v>0</v>
      </c>
    </row>
    <row r="2478" spans="1:33" ht="12" customHeight="1">
      <c r="A2478" s="744" t="s">
        <v>1274</v>
      </c>
      <c r="B2478" s="703" t="s">
        <v>1778</v>
      </c>
      <c r="C2478" s="747" t="s">
        <v>211</v>
      </c>
      <c r="D2478" s="746">
        <v>218654</v>
      </c>
      <c r="E2478" s="697">
        <v>7</v>
      </c>
      <c r="F2478" s="518"/>
      <c r="G2478" s="487"/>
      <c r="H2478" s="518">
        <v>180240</v>
      </c>
      <c r="I2478" s="487">
        <v>0</v>
      </c>
      <c r="J2478" s="573"/>
      <c r="K2478" s="487"/>
      <c r="L2478" s="573"/>
      <c r="M2478" s="573"/>
      <c r="N2478" s="456">
        <f t="shared" si="313"/>
        <v>0</v>
      </c>
      <c r="O2478" s="487"/>
      <c r="P2478" s="487"/>
      <c r="Q2478" s="274">
        <f t="shared" si="308"/>
        <v>0</v>
      </c>
      <c r="R2478" s="574">
        <f t="shared" si="309"/>
        <v>180240</v>
      </c>
      <c r="S2478" s="275">
        <f t="shared" si="310"/>
        <v>0</v>
      </c>
      <c r="T2478" s="575"/>
      <c r="U2478" s="487"/>
      <c r="V2478" s="576"/>
      <c r="W2478" s="573"/>
      <c r="X2478" s="574">
        <f t="shared" si="314"/>
        <v>0</v>
      </c>
      <c r="Y2478" s="487"/>
      <c r="Z2478" s="487"/>
      <c r="AA2478" s="276">
        <f t="shared" si="315"/>
        <v>0</v>
      </c>
      <c r="AB2478" s="573"/>
      <c r="AC2478" s="487"/>
      <c r="AD2478" s="573"/>
      <c r="AE2478" s="487"/>
      <c r="AF2478" s="577">
        <f t="shared" si="311"/>
        <v>180240</v>
      </c>
      <c r="AG2478" s="275">
        <f t="shared" si="312"/>
        <v>0</v>
      </c>
    </row>
    <row r="2479" spans="1:33" ht="12" customHeight="1">
      <c r="A2479" s="744" t="s">
        <v>1274</v>
      </c>
      <c r="B2479" s="703" t="s">
        <v>1784</v>
      </c>
      <c r="C2479" s="299" t="s">
        <v>2037</v>
      </c>
      <c r="D2479" s="746">
        <v>218654</v>
      </c>
      <c r="E2479" s="697">
        <v>7</v>
      </c>
      <c r="F2479" s="518"/>
      <c r="G2479" s="487"/>
      <c r="H2479" s="573"/>
      <c r="I2479" s="487"/>
      <c r="J2479" s="573"/>
      <c r="K2479" s="487"/>
      <c r="L2479" s="573"/>
      <c r="M2479" s="573"/>
      <c r="N2479" s="456">
        <f t="shared" si="313"/>
        <v>0</v>
      </c>
      <c r="O2479" s="487"/>
      <c r="P2479" s="487"/>
      <c r="Q2479" s="274">
        <f t="shared" si="308"/>
        <v>0</v>
      </c>
      <c r="R2479" s="574">
        <f t="shared" si="309"/>
        <v>0</v>
      </c>
      <c r="S2479" s="275">
        <f t="shared" si="310"/>
        <v>0</v>
      </c>
      <c r="T2479" s="575"/>
      <c r="U2479" s="487"/>
      <c r="V2479" s="576"/>
      <c r="W2479" s="573"/>
      <c r="X2479" s="574">
        <f t="shared" si="314"/>
        <v>0</v>
      </c>
      <c r="Y2479" s="487"/>
      <c r="Z2479" s="487"/>
      <c r="AA2479" s="276">
        <f t="shared" si="315"/>
        <v>0</v>
      </c>
      <c r="AB2479" s="573"/>
      <c r="AC2479" s="487"/>
      <c r="AD2479" s="573"/>
      <c r="AE2479" s="487"/>
      <c r="AF2479" s="577">
        <f t="shared" si="311"/>
        <v>0</v>
      </c>
      <c r="AG2479" s="275">
        <f t="shared" si="312"/>
        <v>0</v>
      </c>
    </row>
    <row r="2480" spans="1:33" ht="12" customHeight="1">
      <c r="A2480" s="744" t="s">
        <v>1274</v>
      </c>
      <c r="B2480" s="703" t="s">
        <v>1784</v>
      </c>
      <c r="C2480" s="747" t="s">
        <v>1238</v>
      </c>
      <c r="D2480" s="746">
        <v>218654</v>
      </c>
      <c r="E2480" s="697">
        <v>7</v>
      </c>
      <c r="F2480" s="518"/>
      <c r="G2480" s="487"/>
      <c r="H2480" s="518">
        <v>6516</v>
      </c>
      <c r="I2480" s="487">
        <v>5218</v>
      </c>
      <c r="J2480" s="573"/>
      <c r="K2480" s="487"/>
      <c r="L2480" s="573"/>
      <c r="M2480" s="573"/>
      <c r="N2480" s="456">
        <f t="shared" si="313"/>
        <v>0</v>
      </c>
      <c r="O2480" s="487"/>
      <c r="P2480" s="487"/>
      <c r="Q2480" s="274">
        <f t="shared" si="308"/>
        <v>0</v>
      </c>
      <c r="R2480" s="574">
        <f t="shared" si="309"/>
        <v>6516</v>
      </c>
      <c r="S2480" s="275">
        <f t="shared" si="310"/>
        <v>5218</v>
      </c>
      <c r="T2480" s="575"/>
      <c r="U2480" s="487"/>
      <c r="V2480" s="576"/>
      <c r="W2480" s="573"/>
      <c r="X2480" s="574">
        <f t="shared" si="314"/>
        <v>0</v>
      </c>
      <c r="Y2480" s="487"/>
      <c r="Z2480" s="487"/>
      <c r="AA2480" s="276">
        <f t="shared" si="315"/>
        <v>0</v>
      </c>
      <c r="AB2480" s="573"/>
      <c r="AC2480" s="487"/>
      <c r="AD2480" s="573"/>
      <c r="AE2480" s="487"/>
      <c r="AF2480" s="577">
        <f t="shared" si="311"/>
        <v>6516</v>
      </c>
      <c r="AG2480" s="275">
        <f t="shared" si="312"/>
        <v>5218</v>
      </c>
    </row>
    <row r="2481" spans="1:33" ht="12" customHeight="1">
      <c r="A2481" s="744" t="s">
        <v>1274</v>
      </c>
      <c r="B2481" s="703" t="s">
        <v>1784</v>
      </c>
      <c r="C2481" s="747" t="s">
        <v>1239</v>
      </c>
      <c r="D2481" s="746">
        <v>218654</v>
      </c>
      <c r="E2481" s="697">
        <v>7</v>
      </c>
      <c r="F2481" s="518"/>
      <c r="G2481" s="487"/>
      <c r="H2481" s="518">
        <v>30000</v>
      </c>
      <c r="I2481" s="487"/>
      <c r="J2481" s="573"/>
      <c r="K2481" s="487"/>
      <c r="L2481" s="573"/>
      <c r="M2481" s="573"/>
      <c r="N2481" s="456">
        <f t="shared" si="313"/>
        <v>0</v>
      </c>
      <c r="O2481" s="487"/>
      <c r="P2481" s="487"/>
      <c r="Q2481" s="274">
        <f t="shared" si="308"/>
        <v>0</v>
      </c>
      <c r="R2481" s="574">
        <f t="shared" si="309"/>
        <v>30000</v>
      </c>
      <c r="S2481" s="275">
        <f t="shared" si="310"/>
        <v>0</v>
      </c>
      <c r="T2481" s="575"/>
      <c r="U2481" s="487"/>
      <c r="V2481" s="576"/>
      <c r="W2481" s="573"/>
      <c r="X2481" s="574">
        <f t="shared" si="314"/>
        <v>0</v>
      </c>
      <c r="Y2481" s="487"/>
      <c r="Z2481" s="487"/>
      <c r="AA2481" s="276">
        <f t="shared" si="315"/>
        <v>0</v>
      </c>
      <c r="AB2481" s="573"/>
      <c r="AC2481" s="487"/>
      <c r="AD2481" s="573"/>
      <c r="AE2481" s="487"/>
      <c r="AF2481" s="577">
        <f t="shared" si="311"/>
        <v>30000</v>
      </c>
      <c r="AG2481" s="275">
        <f t="shared" si="312"/>
        <v>0</v>
      </c>
    </row>
    <row r="2482" spans="1:33" ht="12" customHeight="1">
      <c r="A2482" s="744" t="s">
        <v>1274</v>
      </c>
      <c r="B2482" s="703" t="s">
        <v>1784</v>
      </c>
      <c r="C2482" s="747" t="s">
        <v>45</v>
      </c>
      <c r="D2482" s="746">
        <v>218654</v>
      </c>
      <c r="E2482" s="697">
        <v>7</v>
      </c>
      <c r="F2482" s="518"/>
      <c r="G2482" s="487"/>
      <c r="H2482" s="518">
        <v>887</v>
      </c>
      <c r="I2482" s="487">
        <v>1935</v>
      </c>
      <c r="J2482" s="573"/>
      <c r="K2482" s="487"/>
      <c r="L2482" s="573"/>
      <c r="M2482" s="573"/>
      <c r="N2482" s="456">
        <f t="shared" si="313"/>
        <v>0</v>
      </c>
      <c r="O2482" s="487"/>
      <c r="P2482" s="487"/>
      <c r="Q2482" s="274">
        <f t="shared" si="308"/>
        <v>0</v>
      </c>
      <c r="R2482" s="574">
        <f t="shared" si="309"/>
        <v>887</v>
      </c>
      <c r="S2482" s="275">
        <f t="shared" si="310"/>
        <v>1935</v>
      </c>
      <c r="T2482" s="575"/>
      <c r="U2482" s="487"/>
      <c r="V2482" s="576"/>
      <c r="W2482" s="573"/>
      <c r="X2482" s="574">
        <f t="shared" si="314"/>
        <v>0</v>
      </c>
      <c r="Y2482" s="487"/>
      <c r="Z2482" s="487"/>
      <c r="AA2482" s="276">
        <f t="shared" si="315"/>
        <v>0</v>
      </c>
      <c r="AB2482" s="573"/>
      <c r="AC2482" s="487"/>
      <c r="AD2482" s="573"/>
      <c r="AE2482" s="487"/>
      <c r="AF2482" s="577">
        <f t="shared" si="311"/>
        <v>887</v>
      </c>
      <c r="AG2482" s="275">
        <f t="shared" si="312"/>
        <v>1935</v>
      </c>
    </row>
    <row r="2483" spans="1:33" ht="12" customHeight="1">
      <c r="A2483" s="744" t="s">
        <v>1274</v>
      </c>
      <c r="B2483" s="703" t="s">
        <v>1784</v>
      </c>
      <c r="C2483" s="747" t="s">
        <v>1998</v>
      </c>
      <c r="D2483" s="746">
        <v>218654</v>
      </c>
      <c r="E2483" s="697">
        <v>7</v>
      </c>
      <c r="F2483" s="518"/>
      <c r="G2483" s="487"/>
      <c r="H2483" s="958">
        <v>306712</v>
      </c>
      <c r="I2483" s="949">
        <v>311454</v>
      </c>
      <c r="J2483" s="573"/>
      <c r="K2483" s="487"/>
      <c r="L2483" s="573"/>
      <c r="M2483" s="573"/>
      <c r="N2483" s="456">
        <f t="shared" si="313"/>
        <v>0</v>
      </c>
      <c r="O2483" s="487"/>
      <c r="P2483" s="487"/>
      <c r="Q2483" s="274">
        <f t="shared" si="308"/>
        <v>0</v>
      </c>
      <c r="R2483" s="574">
        <f t="shared" si="309"/>
        <v>306712</v>
      </c>
      <c r="S2483" s="275">
        <f t="shared" si="310"/>
        <v>311454</v>
      </c>
      <c r="T2483" s="575"/>
      <c r="U2483" s="487"/>
      <c r="V2483" s="576"/>
      <c r="W2483" s="573"/>
      <c r="X2483" s="574">
        <f t="shared" si="314"/>
        <v>0</v>
      </c>
      <c r="Y2483" s="487"/>
      <c r="Z2483" s="487"/>
      <c r="AA2483" s="276">
        <f t="shared" si="315"/>
        <v>0</v>
      </c>
      <c r="AB2483" s="573"/>
      <c r="AC2483" s="487"/>
      <c r="AD2483" s="573"/>
      <c r="AE2483" s="487"/>
      <c r="AF2483" s="577">
        <f t="shared" si="311"/>
        <v>306712</v>
      </c>
      <c r="AG2483" s="275">
        <f t="shared" si="312"/>
        <v>311454</v>
      </c>
    </row>
    <row r="2484" spans="1:33" ht="12" customHeight="1">
      <c r="A2484" s="744" t="s">
        <v>1274</v>
      </c>
      <c r="B2484" s="703" t="s">
        <v>1776</v>
      </c>
      <c r="C2484" s="745" t="s">
        <v>212</v>
      </c>
      <c r="D2484" s="746">
        <v>218113</v>
      </c>
      <c r="E2484" s="697">
        <v>8</v>
      </c>
      <c r="F2484" s="573">
        <v>24334750</v>
      </c>
      <c r="G2484" s="949">
        <f>23755611-5267810</f>
        <v>18487801</v>
      </c>
      <c r="H2484" s="573" t="s">
        <v>648</v>
      </c>
      <c r="I2484" s="487"/>
      <c r="J2484" s="573">
        <v>9123346</v>
      </c>
      <c r="K2484" s="487">
        <v>9233396</v>
      </c>
      <c r="L2484" s="518">
        <v>57132991</v>
      </c>
      <c r="M2484" s="518">
        <v>1102997</v>
      </c>
      <c r="N2484" s="456">
        <f t="shared" si="313"/>
        <v>58235988</v>
      </c>
      <c r="O2484" s="487">
        <v>61121213</v>
      </c>
      <c r="P2484" s="487">
        <v>2228024</v>
      </c>
      <c r="Q2484" s="274">
        <f t="shared" si="308"/>
        <v>63349237</v>
      </c>
      <c r="R2484" s="574">
        <f t="shared" si="309"/>
        <v>90591087</v>
      </c>
      <c r="S2484" s="275">
        <f t="shared" si="310"/>
        <v>88842410</v>
      </c>
      <c r="T2484" s="575"/>
      <c r="U2484" s="487"/>
      <c r="V2484" s="576"/>
      <c r="W2484" s="573"/>
      <c r="X2484" s="574">
        <f t="shared" si="314"/>
        <v>0</v>
      </c>
      <c r="Y2484" s="487"/>
      <c r="Z2484" s="487"/>
      <c r="AA2484" s="276">
        <f t="shared" si="315"/>
        <v>0</v>
      </c>
      <c r="AB2484" s="573"/>
      <c r="AC2484" s="487"/>
      <c r="AD2484" s="573"/>
      <c r="AE2484" s="487"/>
      <c r="AF2484" s="577">
        <f t="shared" si="311"/>
        <v>90591087</v>
      </c>
      <c r="AG2484" s="275">
        <f t="shared" si="312"/>
        <v>88842410</v>
      </c>
    </row>
    <row r="2485" spans="1:33" ht="12" customHeight="1">
      <c r="A2485" s="744" t="s">
        <v>1274</v>
      </c>
      <c r="B2485" s="703" t="s">
        <v>1784</v>
      </c>
      <c r="C2485" s="299" t="s">
        <v>2037</v>
      </c>
      <c r="D2485" s="746">
        <v>218113</v>
      </c>
      <c r="E2485" s="697">
        <v>8</v>
      </c>
      <c r="F2485" s="518"/>
      <c r="G2485" s="487"/>
      <c r="H2485" s="573"/>
      <c r="I2485" s="487"/>
      <c r="J2485" s="573"/>
      <c r="K2485" s="487"/>
      <c r="L2485" s="573"/>
      <c r="M2485" s="573"/>
      <c r="N2485" s="456">
        <f t="shared" si="313"/>
        <v>0</v>
      </c>
      <c r="O2485" s="487"/>
      <c r="P2485" s="487"/>
      <c r="Q2485" s="274">
        <f t="shared" si="308"/>
        <v>0</v>
      </c>
      <c r="R2485" s="574">
        <f t="shared" si="309"/>
        <v>0</v>
      </c>
      <c r="S2485" s="275">
        <f t="shared" si="310"/>
        <v>0</v>
      </c>
      <c r="T2485" s="575"/>
      <c r="U2485" s="487"/>
      <c r="V2485" s="576"/>
      <c r="W2485" s="573"/>
      <c r="X2485" s="574">
        <f t="shared" si="314"/>
        <v>0</v>
      </c>
      <c r="Y2485" s="487"/>
      <c r="Z2485" s="487"/>
      <c r="AA2485" s="276">
        <f t="shared" si="315"/>
        <v>0</v>
      </c>
      <c r="AB2485" s="573"/>
      <c r="AC2485" s="487"/>
      <c r="AD2485" s="573"/>
      <c r="AE2485" s="487"/>
      <c r="AF2485" s="577">
        <f t="shared" si="311"/>
        <v>0</v>
      </c>
      <c r="AG2485" s="275">
        <f t="shared" si="312"/>
        <v>0</v>
      </c>
    </row>
    <row r="2486" spans="1:33" ht="12" customHeight="1">
      <c r="A2486" s="744" t="s">
        <v>1274</v>
      </c>
      <c r="B2486" s="703" t="s">
        <v>1784</v>
      </c>
      <c r="C2486" s="747" t="s">
        <v>213</v>
      </c>
      <c r="D2486" s="746">
        <v>218113</v>
      </c>
      <c r="E2486" s="697">
        <v>8</v>
      </c>
      <c r="F2486" s="518"/>
      <c r="G2486" s="487"/>
      <c r="H2486" s="518">
        <v>94050</v>
      </c>
      <c r="I2486" s="487">
        <v>74873</v>
      </c>
      <c r="J2486" s="573"/>
      <c r="K2486" s="487"/>
      <c r="L2486" s="573"/>
      <c r="M2486" s="573"/>
      <c r="N2486" s="456">
        <f t="shared" si="313"/>
        <v>0</v>
      </c>
      <c r="O2486" s="487"/>
      <c r="P2486" s="487"/>
      <c r="Q2486" s="274">
        <f t="shared" si="308"/>
        <v>0</v>
      </c>
      <c r="R2486" s="574">
        <f t="shared" si="309"/>
        <v>94050</v>
      </c>
      <c r="S2486" s="275">
        <f t="shared" si="310"/>
        <v>74873</v>
      </c>
      <c r="T2486" s="575"/>
      <c r="U2486" s="487"/>
      <c r="V2486" s="576"/>
      <c r="W2486" s="573"/>
      <c r="X2486" s="574">
        <f t="shared" si="314"/>
        <v>0</v>
      </c>
      <c r="Y2486" s="487"/>
      <c r="Z2486" s="487"/>
      <c r="AA2486" s="276">
        <f t="shared" si="315"/>
        <v>0</v>
      </c>
      <c r="AB2486" s="573"/>
      <c r="AC2486" s="487"/>
      <c r="AD2486" s="573"/>
      <c r="AE2486" s="487"/>
      <c r="AF2486" s="577">
        <f t="shared" si="311"/>
        <v>94050</v>
      </c>
      <c r="AG2486" s="275">
        <f t="shared" si="312"/>
        <v>74873</v>
      </c>
    </row>
    <row r="2487" spans="1:33" ht="12" customHeight="1">
      <c r="A2487" s="744" t="s">
        <v>1274</v>
      </c>
      <c r="B2487" s="703" t="s">
        <v>1784</v>
      </c>
      <c r="C2487" s="747" t="s">
        <v>47</v>
      </c>
      <c r="D2487" s="746">
        <v>218113</v>
      </c>
      <c r="E2487" s="697">
        <v>8</v>
      </c>
      <c r="F2487" s="518"/>
      <c r="G2487" s="487"/>
      <c r="H2487" s="518">
        <v>62500</v>
      </c>
      <c r="I2487" s="487">
        <v>49755</v>
      </c>
      <c r="J2487" s="573"/>
      <c r="K2487" s="487"/>
      <c r="L2487" s="573"/>
      <c r="M2487" s="573"/>
      <c r="N2487" s="456">
        <f t="shared" si="313"/>
        <v>0</v>
      </c>
      <c r="O2487" s="487"/>
      <c r="P2487" s="487"/>
      <c r="Q2487" s="274">
        <f t="shared" si="308"/>
        <v>0</v>
      </c>
      <c r="R2487" s="574">
        <f t="shared" si="309"/>
        <v>62500</v>
      </c>
      <c r="S2487" s="275">
        <f t="shared" si="310"/>
        <v>49755</v>
      </c>
      <c r="T2487" s="575"/>
      <c r="U2487" s="487"/>
      <c r="V2487" s="576"/>
      <c r="W2487" s="573"/>
      <c r="X2487" s="574">
        <f t="shared" si="314"/>
        <v>0</v>
      </c>
      <c r="Y2487" s="487"/>
      <c r="Z2487" s="487"/>
      <c r="AA2487" s="276">
        <f t="shared" si="315"/>
        <v>0</v>
      </c>
      <c r="AB2487" s="573"/>
      <c r="AC2487" s="487"/>
      <c r="AD2487" s="573"/>
      <c r="AE2487" s="487"/>
      <c r="AF2487" s="577">
        <f t="shared" si="311"/>
        <v>62500</v>
      </c>
      <c r="AG2487" s="275">
        <f t="shared" si="312"/>
        <v>49755</v>
      </c>
    </row>
    <row r="2488" spans="1:33" ht="12" customHeight="1">
      <c r="A2488" s="744" t="s">
        <v>1274</v>
      </c>
      <c r="B2488" s="703" t="s">
        <v>1784</v>
      </c>
      <c r="C2488" s="747" t="s">
        <v>1238</v>
      </c>
      <c r="D2488" s="746">
        <v>218113</v>
      </c>
      <c r="E2488" s="697">
        <v>8</v>
      </c>
      <c r="F2488" s="518"/>
      <c r="G2488" s="487"/>
      <c r="H2488" s="518">
        <v>4287</v>
      </c>
      <c r="I2488" s="487">
        <v>21217</v>
      </c>
      <c r="J2488" s="573"/>
      <c r="K2488" s="487"/>
      <c r="L2488" s="573"/>
      <c r="M2488" s="573"/>
      <c r="N2488" s="456">
        <f t="shared" si="313"/>
        <v>0</v>
      </c>
      <c r="O2488" s="487"/>
      <c r="P2488" s="487"/>
      <c r="Q2488" s="274">
        <f t="shared" si="308"/>
        <v>0</v>
      </c>
      <c r="R2488" s="574">
        <f t="shared" si="309"/>
        <v>4287</v>
      </c>
      <c r="S2488" s="275">
        <f t="shared" si="310"/>
        <v>21217</v>
      </c>
      <c r="T2488" s="575"/>
      <c r="U2488" s="487"/>
      <c r="V2488" s="576"/>
      <c r="W2488" s="573"/>
      <c r="X2488" s="574">
        <f t="shared" si="314"/>
        <v>0</v>
      </c>
      <c r="Y2488" s="487"/>
      <c r="Z2488" s="487"/>
      <c r="AA2488" s="276">
        <f t="shared" si="315"/>
        <v>0</v>
      </c>
      <c r="AB2488" s="573"/>
      <c r="AC2488" s="487"/>
      <c r="AD2488" s="573"/>
      <c r="AE2488" s="487"/>
      <c r="AF2488" s="577">
        <f t="shared" si="311"/>
        <v>4287</v>
      </c>
      <c r="AG2488" s="275">
        <f t="shared" si="312"/>
        <v>21217</v>
      </c>
    </row>
    <row r="2489" spans="1:33" ht="12" customHeight="1">
      <c r="A2489" s="744" t="s">
        <v>1274</v>
      </c>
      <c r="B2489" s="703" t="s">
        <v>1784</v>
      </c>
      <c r="C2489" s="747" t="s">
        <v>45</v>
      </c>
      <c r="D2489" s="746">
        <v>218113</v>
      </c>
      <c r="E2489" s="697">
        <v>8</v>
      </c>
      <c r="F2489" s="518"/>
      <c r="G2489" s="487"/>
      <c r="H2489" s="518">
        <v>5838</v>
      </c>
      <c r="I2489" s="487">
        <v>3917</v>
      </c>
      <c r="J2489" s="573"/>
      <c r="K2489" s="487"/>
      <c r="L2489" s="573"/>
      <c r="M2489" s="573"/>
      <c r="N2489" s="456">
        <f t="shared" si="313"/>
        <v>0</v>
      </c>
      <c r="O2489" s="487"/>
      <c r="P2489" s="487"/>
      <c r="Q2489" s="274">
        <f t="shared" si="308"/>
        <v>0</v>
      </c>
      <c r="R2489" s="574">
        <f t="shared" si="309"/>
        <v>5838</v>
      </c>
      <c r="S2489" s="275">
        <f t="shared" si="310"/>
        <v>3917</v>
      </c>
      <c r="T2489" s="575"/>
      <c r="U2489" s="487"/>
      <c r="V2489" s="576"/>
      <c r="W2489" s="573"/>
      <c r="X2489" s="574">
        <f t="shared" si="314"/>
        <v>0</v>
      </c>
      <c r="Y2489" s="487"/>
      <c r="Z2489" s="487"/>
      <c r="AA2489" s="276">
        <f t="shared" si="315"/>
        <v>0</v>
      </c>
      <c r="AB2489" s="573"/>
      <c r="AC2489" s="487"/>
      <c r="AD2489" s="573"/>
      <c r="AE2489" s="487"/>
      <c r="AF2489" s="577">
        <f t="shared" si="311"/>
        <v>5838</v>
      </c>
      <c r="AG2489" s="275">
        <f t="shared" si="312"/>
        <v>3917</v>
      </c>
    </row>
    <row r="2490" spans="1:33" ht="12" customHeight="1">
      <c r="A2490" s="744" t="s">
        <v>1274</v>
      </c>
      <c r="B2490" s="703" t="s">
        <v>1784</v>
      </c>
      <c r="C2490" s="747" t="s">
        <v>1676</v>
      </c>
      <c r="D2490" s="746">
        <v>218113</v>
      </c>
      <c r="E2490" s="697">
        <v>8</v>
      </c>
      <c r="F2490" s="518"/>
      <c r="G2490" s="487"/>
      <c r="H2490" s="518">
        <v>116239</v>
      </c>
      <c r="I2490" s="487">
        <v>70441</v>
      </c>
      <c r="J2490" s="573"/>
      <c r="K2490" s="487"/>
      <c r="L2490" s="573"/>
      <c r="M2490" s="573"/>
      <c r="N2490" s="456">
        <f t="shared" si="313"/>
        <v>0</v>
      </c>
      <c r="O2490" s="487"/>
      <c r="P2490" s="487"/>
      <c r="Q2490" s="274">
        <f t="shared" si="308"/>
        <v>0</v>
      </c>
      <c r="R2490" s="574">
        <f t="shared" si="309"/>
        <v>116239</v>
      </c>
      <c r="S2490" s="275">
        <f t="shared" si="310"/>
        <v>70441</v>
      </c>
      <c r="T2490" s="575"/>
      <c r="U2490" s="487"/>
      <c r="V2490" s="576"/>
      <c r="W2490" s="573"/>
      <c r="X2490" s="574">
        <f t="shared" si="314"/>
        <v>0</v>
      </c>
      <c r="Y2490" s="487"/>
      <c r="Z2490" s="487"/>
      <c r="AA2490" s="276">
        <f t="shared" si="315"/>
        <v>0</v>
      </c>
      <c r="AB2490" s="573"/>
      <c r="AC2490" s="487"/>
      <c r="AD2490" s="573"/>
      <c r="AE2490" s="487"/>
      <c r="AF2490" s="577">
        <f t="shared" si="311"/>
        <v>116239</v>
      </c>
      <c r="AG2490" s="275">
        <f t="shared" si="312"/>
        <v>70441</v>
      </c>
    </row>
    <row r="2491" spans="1:33" ht="12" customHeight="1">
      <c r="A2491" s="744" t="s">
        <v>1274</v>
      </c>
      <c r="B2491" s="703" t="s">
        <v>1784</v>
      </c>
      <c r="C2491" s="959" t="s">
        <v>2010</v>
      </c>
      <c r="D2491" s="746">
        <v>218113</v>
      </c>
      <c r="E2491" s="697">
        <v>8</v>
      </c>
      <c r="F2491" s="518"/>
      <c r="G2491" s="487"/>
      <c r="H2491" s="958">
        <v>1098649</v>
      </c>
      <c r="I2491" s="949">
        <v>442308</v>
      </c>
      <c r="J2491" s="573"/>
      <c r="K2491" s="487"/>
      <c r="L2491" s="573"/>
      <c r="M2491" s="573"/>
      <c r="N2491" s="456">
        <f t="shared" si="313"/>
        <v>0</v>
      </c>
      <c r="O2491" s="487"/>
      <c r="P2491" s="487"/>
      <c r="Q2491" s="274">
        <f t="shared" si="308"/>
        <v>0</v>
      </c>
      <c r="R2491" s="574">
        <f t="shared" si="309"/>
        <v>1098649</v>
      </c>
      <c r="S2491" s="275">
        <f t="shared" si="310"/>
        <v>442308</v>
      </c>
      <c r="T2491" s="575"/>
      <c r="U2491" s="487"/>
      <c r="V2491" s="576"/>
      <c r="W2491" s="573"/>
      <c r="X2491" s="574">
        <f t="shared" si="314"/>
        <v>0</v>
      </c>
      <c r="Y2491" s="487"/>
      <c r="Z2491" s="487"/>
      <c r="AA2491" s="276">
        <f t="shared" si="315"/>
        <v>0</v>
      </c>
      <c r="AB2491" s="573"/>
      <c r="AC2491" s="487"/>
      <c r="AD2491" s="573"/>
      <c r="AE2491" s="487"/>
      <c r="AF2491" s="577">
        <f t="shared" si="311"/>
        <v>1098649</v>
      </c>
      <c r="AG2491" s="275">
        <f t="shared" si="312"/>
        <v>442308</v>
      </c>
    </row>
    <row r="2492" spans="1:33" ht="12" customHeight="1">
      <c r="A2492" s="744" t="s">
        <v>1274</v>
      </c>
      <c r="B2492" s="703" t="s">
        <v>1784</v>
      </c>
      <c r="C2492" s="959" t="s">
        <v>2011</v>
      </c>
      <c r="D2492" s="746">
        <v>218113</v>
      </c>
      <c r="E2492" s="697">
        <v>8</v>
      </c>
      <c r="F2492" s="518"/>
      <c r="G2492" s="487"/>
      <c r="H2492" s="958">
        <v>400000</v>
      </c>
      <c r="I2492" s="949"/>
      <c r="J2492" s="573"/>
      <c r="K2492" s="487"/>
      <c r="L2492" s="573"/>
      <c r="M2492" s="573"/>
      <c r="N2492" s="456">
        <f t="shared" si="313"/>
        <v>0</v>
      </c>
      <c r="O2492" s="487"/>
      <c r="P2492" s="487"/>
      <c r="Q2492" s="274">
        <f t="shared" si="308"/>
        <v>0</v>
      </c>
      <c r="R2492" s="574">
        <f t="shared" si="309"/>
        <v>400000</v>
      </c>
      <c r="S2492" s="275">
        <f t="shared" si="310"/>
        <v>0</v>
      </c>
      <c r="T2492" s="575"/>
      <c r="U2492" s="487"/>
      <c r="V2492" s="576"/>
      <c r="W2492" s="573"/>
      <c r="X2492" s="574">
        <f t="shared" si="314"/>
        <v>0</v>
      </c>
      <c r="Y2492" s="487"/>
      <c r="Z2492" s="487"/>
      <c r="AA2492" s="276">
        <f t="shared" si="315"/>
        <v>0</v>
      </c>
      <c r="AB2492" s="573"/>
      <c r="AC2492" s="487"/>
      <c r="AD2492" s="573"/>
      <c r="AE2492" s="487"/>
      <c r="AF2492" s="577">
        <f t="shared" si="311"/>
        <v>400000</v>
      </c>
      <c r="AG2492" s="275">
        <f t="shared" si="312"/>
        <v>0</v>
      </c>
    </row>
    <row r="2493" spans="1:33" ht="12" customHeight="1">
      <c r="A2493" s="744" t="s">
        <v>1274</v>
      </c>
      <c r="B2493" s="703" t="s">
        <v>1784</v>
      </c>
      <c r="C2493" s="959" t="s">
        <v>1998</v>
      </c>
      <c r="D2493" s="746">
        <v>218113</v>
      </c>
      <c r="E2493" s="697">
        <v>8</v>
      </c>
      <c r="F2493" s="518"/>
      <c r="G2493" s="487"/>
      <c r="H2493" s="958">
        <v>733908</v>
      </c>
      <c r="I2493" s="949">
        <v>740075</v>
      </c>
      <c r="J2493" s="573"/>
      <c r="K2493" s="487"/>
      <c r="L2493" s="573"/>
      <c r="M2493" s="573"/>
      <c r="N2493" s="456">
        <f t="shared" si="313"/>
        <v>0</v>
      </c>
      <c r="O2493" s="487"/>
      <c r="P2493" s="487"/>
      <c r="Q2493" s="274">
        <f t="shared" si="308"/>
        <v>0</v>
      </c>
      <c r="R2493" s="574">
        <f t="shared" si="309"/>
        <v>733908</v>
      </c>
      <c r="S2493" s="275">
        <f t="shared" si="310"/>
        <v>740075</v>
      </c>
      <c r="T2493" s="575"/>
      <c r="U2493" s="487"/>
      <c r="V2493" s="576"/>
      <c r="W2493" s="573"/>
      <c r="X2493" s="574">
        <f t="shared" si="314"/>
        <v>0</v>
      </c>
      <c r="Y2493" s="487"/>
      <c r="Z2493" s="487"/>
      <c r="AA2493" s="276">
        <f t="shared" si="315"/>
        <v>0</v>
      </c>
      <c r="AB2493" s="573"/>
      <c r="AC2493" s="487"/>
      <c r="AD2493" s="573"/>
      <c r="AE2493" s="487"/>
      <c r="AF2493" s="577">
        <f t="shared" si="311"/>
        <v>733908</v>
      </c>
      <c r="AG2493" s="275">
        <f t="shared" si="312"/>
        <v>740075</v>
      </c>
    </row>
    <row r="2494" spans="1:33" ht="12" customHeight="1">
      <c r="A2494" s="744" t="s">
        <v>1274</v>
      </c>
      <c r="B2494" s="703" t="s">
        <v>1776</v>
      </c>
      <c r="C2494" s="745" t="s">
        <v>214</v>
      </c>
      <c r="D2494" s="746">
        <v>218353</v>
      </c>
      <c r="E2494" s="697">
        <v>8</v>
      </c>
      <c r="F2494" s="573">
        <v>20355141</v>
      </c>
      <c r="G2494" s="949">
        <v>15282206</v>
      </c>
      <c r="H2494" s="573"/>
      <c r="I2494" s="487"/>
      <c r="J2494" s="573">
        <v>7198337</v>
      </c>
      <c r="K2494" s="487">
        <v>7550862</v>
      </c>
      <c r="L2494" s="573">
        <v>34647424</v>
      </c>
      <c r="M2494" s="573">
        <v>1800000</v>
      </c>
      <c r="N2494" s="456">
        <f t="shared" si="313"/>
        <v>36447424</v>
      </c>
      <c r="O2494" s="487">
        <v>35933916</v>
      </c>
      <c r="P2494" s="487">
        <v>1800000</v>
      </c>
      <c r="Q2494" s="274">
        <f t="shared" si="308"/>
        <v>37733916</v>
      </c>
      <c r="R2494" s="574">
        <f t="shared" si="309"/>
        <v>62200902</v>
      </c>
      <c r="S2494" s="275">
        <f t="shared" si="310"/>
        <v>58766984</v>
      </c>
      <c r="T2494" s="575"/>
      <c r="U2494" s="487"/>
      <c r="V2494" s="576"/>
      <c r="W2494" s="573"/>
      <c r="X2494" s="574">
        <f t="shared" si="314"/>
        <v>0</v>
      </c>
      <c r="Y2494" s="487"/>
      <c r="Z2494" s="487"/>
      <c r="AA2494" s="276">
        <f t="shared" si="315"/>
        <v>0</v>
      </c>
      <c r="AB2494" s="573"/>
      <c r="AC2494" s="487"/>
      <c r="AD2494" s="573"/>
      <c r="AE2494" s="487"/>
      <c r="AF2494" s="577">
        <f t="shared" si="311"/>
        <v>62200902</v>
      </c>
      <c r="AG2494" s="275">
        <f t="shared" si="312"/>
        <v>58766984</v>
      </c>
    </row>
    <row r="2495" spans="1:33" ht="12" customHeight="1">
      <c r="A2495" s="744" t="s">
        <v>1274</v>
      </c>
      <c r="B2495" s="703" t="s">
        <v>1784</v>
      </c>
      <c r="C2495" s="299" t="s">
        <v>2037</v>
      </c>
      <c r="D2495" s="746">
        <v>218353</v>
      </c>
      <c r="E2495" s="697">
        <v>8</v>
      </c>
      <c r="F2495" s="518"/>
      <c r="G2495" s="487"/>
      <c r="H2495" s="573"/>
      <c r="I2495" s="487"/>
      <c r="J2495" s="573"/>
      <c r="K2495" s="487"/>
      <c r="L2495" s="573"/>
      <c r="M2495" s="573"/>
      <c r="N2495" s="456">
        <f t="shared" si="313"/>
        <v>0</v>
      </c>
      <c r="O2495" s="487"/>
      <c r="P2495" s="487"/>
      <c r="Q2495" s="274">
        <f t="shared" si="308"/>
        <v>0</v>
      </c>
      <c r="R2495" s="574">
        <f t="shared" si="309"/>
        <v>0</v>
      </c>
      <c r="S2495" s="275">
        <f t="shared" si="310"/>
        <v>0</v>
      </c>
      <c r="T2495" s="575"/>
      <c r="U2495" s="487"/>
      <c r="V2495" s="576"/>
      <c r="W2495" s="573"/>
      <c r="X2495" s="574">
        <f t="shared" si="314"/>
        <v>0</v>
      </c>
      <c r="Y2495" s="487"/>
      <c r="Z2495" s="487"/>
      <c r="AA2495" s="276">
        <f t="shared" si="315"/>
        <v>0</v>
      </c>
      <c r="AB2495" s="573"/>
      <c r="AC2495" s="487"/>
      <c r="AD2495" s="573"/>
      <c r="AE2495" s="487"/>
      <c r="AF2495" s="577">
        <f t="shared" si="311"/>
        <v>0</v>
      </c>
      <c r="AG2495" s="275">
        <f t="shared" si="312"/>
        <v>0</v>
      </c>
    </row>
    <row r="2496" spans="1:33" ht="12" customHeight="1">
      <c r="A2496" s="744" t="s">
        <v>1274</v>
      </c>
      <c r="B2496" s="703" t="s">
        <v>1784</v>
      </c>
      <c r="C2496" s="747" t="s">
        <v>1718</v>
      </c>
      <c r="D2496" s="746">
        <v>218353</v>
      </c>
      <c r="E2496" s="697">
        <v>8</v>
      </c>
      <c r="F2496" s="573">
        <v>613590</v>
      </c>
      <c r="G2496" s="949">
        <f>613590-134893</f>
        <v>478697</v>
      </c>
      <c r="H2496" s="573"/>
      <c r="I2496" s="487"/>
      <c r="J2496" s="573"/>
      <c r="K2496" s="487"/>
      <c r="L2496" s="573"/>
      <c r="M2496" s="573"/>
      <c r="N2496" s="456">
        <f t="shared" si="313"/>
        <v>0</v>
      </c>
      <c r="O2496" s="487"/>
      <c r="P2496" s="487"/>
      <c r="Q2496" s="274">
        <f t="shared" si="308"/>
        <v>0</v>
      </c>
      <c r="R2496" s="574">
        <f t="shared" si="309"/>
        <v>613590</v>
      </c>
      <c r="S2496" s="275">
        <f t="shared" si="310"/>
        <v>478697</v>
      </c>
      <c r="T2496" s="575"/>
      <c r="U2496" s="487"/>
      <c r="V2496" s="576"/>
      <c r="W2496" s="573"/>
      <c r="X2496" s="574">
        <f t="shared" si="314"/>
        <v>0</v>
      </c>
      <c r="Y2496" s="487"/>
      <c r="Z2496" s="487"/>
      <c r="AA2496" s="276">
        <f t="shared" si="315"/>
        <v>0</v>
      </c>
      <c r="AB2496" s="573"/>
      <c r="AC2496" s="487"/>
      <c r="AD2496" s="573"/>
      <c r="AE2496" s="487"/>
      <c r="AF2496" s="577">
        <f t="shared" si="311"/>
        <v>613590</v>
      </c>
      <c r="AG2496" s="275">
        <f t="shared" si="312"/>
        <v>478697</v>
      </c>
    </row>
    <row r="2497" spans="1:33" ht="12" customHeight="1">
      <c r="A2497" s="744" t="s">
        <v>1274</v>
      </c>
      <c r="B2497" s="703" t="s">
        <v>1784</v>
      </c>
      <c r="C2497" s="747" t="s">
        <v>47</v>
      </c>
      <c r="D2497" s="746">
        <v>218353</v>
      </c>
      <c r="E2497" s="697">
        <v>8</v>
      </c>
      <c r="F2497" s="518"/>
      <c r="G2497" s="487"/>
      <c r="H2497" s="518">
        <v>62500</v>
      </c>
      <c r="I2497" s="949">
        <v>48760</v>
      </c>
      <c r="J2497" s="573"/>
      <c r="K2497" s="487"/>
      <c r="L2497" s="573"/>
      <c r="M2497" s="573"/>
      <c r="N2497" s="456">
        <f t="shared" si="313"/>
        <v>0</v>
      </c>
      <c r="O2497" s="487"/>
      <c r="P2497" s="487"/>
      <c r="Q2497" s="274">
        <f t="shared" si="308"/>
        <v>0</v>
      </c>
      <c r="R2497" s="574">
        <f t="shared" si="309"/>
        <v>62500</v>
      </c>
      <c r="S2497" s="275">
        <f t="shared" si="310"/>
        <v>48760</v>
      </c>
      <c r="T2497" s="575"/>
      <c r="U2497" s="487"/>
      <c r="V2497" s="576"/>
      <c r="W2497" s="573"/>
      <c r="X2497" s="574">
        <f t="shared" si="314"/>
        <v>0</v>
      </c>
      <c r="Y2497" s="487"/>
      <c r="Z2497" s="487"/>
      <c r="AA2497" s="276">
        <f t="shared" si="315"/>
        <v>0</v>
      </c>
      <c r="AB2497" s="573"/>
      <c r="AC2497" s="487"/>
      <c r="AD2497" s="573"/>
      <c r="AE2497" s="487"/>
      <c r="AF2497" s="577">
        <f t="shared" si="311"/>
        <v>62500</v>
      </c>
      <c r="AG2497" s="275">
        <f t="shared" si="312"/>
        <v>48760</v>
      </c>
    </row>
    <row r="2498" spans="1:33" ht="12" customHeight="1">
      <c r="A2498" s="744" t="s">
        <v>1274</v>
      </c>
      <c r="B2498" s="703" t="s">
        <v>1784</v>
      </c>
      <c r="C2498" s="747" t="s">
        <v>1238</v>
      </c>
      <c r="D2498" s="746">
        <v>218353</v>
      </c>
      <c r="E2498" s="697">
        <v>8</v>
      </c>
      <c r="F2498" s="518"/>
      <c r="G2498" s="487"/>
      <c r="H2498" s="518">
        <v>4287</v>
      </c>
      <c r="I2498" s="487">
        <v>16739</v>
      </c>
      <c r="J2498" s="573"/>
      <c r="K2498" s="487"/>
      <c r="L2498" s="573"/>
      <c r="M2498" s="573"/>
      <c r="N2498" s="456">
        <f t="shared" si="313"/>
        <v>0</v>
      </c>
      <c r="O2498" s="487"/>
      <c r="P2498" s="487"/>
      <c r="Q2498" s="274">
        <f t="shared" si="308"/>
        <v>0</v>
      </c>
      <c r="R2498" s="574">
        <f t="shared" si="309"/>
        <v>4287</v>
      </c>
      <c r="S2498" s="275">
        <f t="shared" si="310"/>
        <v>16739</v>
      </c>
      <c r="T2498" s="575"/>
      <c r="U2498" s="487"/>
      <c r="V2498" s="576"/>
      <c r="W2498" s="573"/>
      <c r="X2498" s="574">
        <f t="shared" si="314"/>
        <v>0</v>
      </c>
      <c r="Y2498" s="487"/>
      <c r="Z2498" s="487"/>
      <c r="AA2498" s="276">
        <f t="shared" si="315"/>
        <v>0</v>
      </c>
      <c r="AB2498" s="573"/>
      <c r="AC2498" s="487"/>
      <c r="AD2498" s="573"/>
      <c r="AE2498" s="487"/>
      <c r="AF2498" s="577">
        <f t="shared" si="311"/>
        <v>4287</v>
      </c>
      <c r="AG2498" s="275">
        <f t="shared" si="312"/>
        <v>16739</v>
      </c>
    </row>
    <row r="2499" spans="1:33" ht="12" customHeight="1">
      <c r="A2499" s="744" t="s">
        <v>1274</v>
      </c>
      <c r="B2499" s="703" t="s">
        <v>1784</v>
      </c>
      <c r="C2499" s="747" t="s">
        <v>45</v>
      </c>
      <c r="D2499" s="746">
        <v>218353</v>
      </c>
      <c r="E2499" s="697">
        <v>8</v>
      </c>
      <c r="F2499" s="518"/>
      <c r="G2499" s="487"/>
      <c r="H2499" s="518">
        <v>795</v>
      </c>
      <c r="I2499" s="487">
        <v>347</v>
      </c>
      <c r="J2499" s="573"/>
      <c r="K2499" s="487"/>
      <c r="L2499" s="573"/>
      <c r="M2499" s="573"/>
      <c r="N2499" s="456">
        <f t="shared" si="313"/>
        <v>0</v>
      </c>
      <c r="O2499" s="487"/>
      <c r="P2499" s="487"/>
      <c r="Q2499" s="274">
        <f t="shared" si="308"/>
        <v>0</v>
      </c>
      <c r="R2499" s="574">
        <f t="shared" si="309"/>
        <v>795</v>
      </c>
      <c r="S2499" s="275">
        <f t="shared" si="310"/>
        <v>347</v>
      </c>
      <c r="T2499" s="575"/>
      <c r="U2499" s="487"/>
      <c r="V2499" s="576"/>
      <c r="W2499" s="573"/>
      <c r="X2499" s="574">
        <f t="shared" si="314"/>
        <v>0</v>
      </c>
      <c r="Y2499" s="487"/>
      <c r="Z2499" s="487"/>
      <c r="AA2499" s="276">
        <f t="shared" si="315"/>
        <v>0</v>
      </c>
      <c r="AB2499" s="573"/>
      <c r="AC2499" s="487"/>
      <c r="AD2499" s="573"/>
      <c r="AE2499" s="487"/>
      <c r="AF2499" s="577">
        <f t="shared" si="311"/>
        <v>795</v>
      </c>
      <c r="AG2499" s="275">
        <f t="shared" si="312"/>
        <v>347</v>
      </c>
    </row>
    <row r="2500" spans="1:33" ht="12" customHeight="1">
      <c r="A2500" s="744" t="s">
        <v>1274</v>
      </c>
      <c r="B2500" s="703" t="s">
        <v>1784</v>
      </c>
      <c r="C2500" s="747" t="s">
        <v>1676</v>
      </c>
      <c r="D2500" s="746">
        <v>218353</v>
      </c>
      <c r="E2500" s="697">
        <v>8</v>
      </c>
      <c r="F2500" s="518"/>
      <c r="G2500" s="487"/>
      <c r="H2500" s="518">
        <v>77493</v>
      </c>
      <c r="I2500" s="487">
        <v>67038</v>
      </c>
      <c r="J2500" s="573"/>
      <c r="K2500" s="487"/>
      <c r="L2500" s="573"/>
      <c r="M2500" s="573"/>
      <c r="N2500" s="456">
        <f t="shared" si="313"/>
        <v>0</v>
      </c>
      <c r="O2500" s="487"/>
      <c r="P2500" s="487"/>
      <c r="Q2500" s="274">
        <f t="shared" si="308"/>
        <v>0</v>
      </c>
      <c r="R2500" s="574">
        <f t="shared" si="309"/>
        <v>77493</v>
      </c>
      <c r="S2500" s="275">
        <f t="shared" si="310"/>
        <v>67038</v>
      </c>
      <c r="T2500" s="575"/>
      <c r="U2500" s="487"/>
      <c r="V2500" s="576"/>
      <c r="W2500" s="573"/>
      <c r="X2500" s="574">
        <f t="shared" si="314"/>
        <v>0</v>
      </c>
      <c r="Y2500" s="487"/>
      <c r="Z2500" s="487"/>
      <c r="AA2500" s="276">
        <f t="shared" si="315"/>
        <v>0</v>
      </c>
      <c r="AB2500" s="573"/>
      <c r="AC2500" s="487"/>
      <c r="AD2500" s="573"/>
      <c r="AE2500" s="487"/>
      <c r="AF2500" s="577">
        <f t="shared" si="311"/>
        <v>77493</v>
      </c>
      <c r="AG2500" s="275">
        <f t="shared" si="312"/>
        <v>67038</v>
      </c>
    </row>
    <row r="2501" spans="1:33" ht="12" customHeight="1">
      <c r="A2501" s="744" t="s">
        <v>1274</v>
      </c>
      <c r="B2501" s="703" t="s">
        <v>1784</v>
      </c>
      <c r="C2501" s="959" t="s">
        <v>2010</v>
      </c>
      <c r="D2501" s="746">
        <v>218353</v>
      </c>
      <c r="E2501" s="697">
        <v>8</v>
      </c>
      <c r="F2501" s="518"/>
      <c r="G2501" s="487"/>
      <c r="H2501" s="958">
        <v>970090</v>
      </c>
      <c r="I2501" s="949">
        <v>387290</v>
      </c>
      <c r="J2501" s="573"/>
      <c r="K2501" s="487"/>
      <c r="L2501" s="573"/>
      <c r="M2501" s="573"/>
      <c r="N2501" s="456">
        <f t="shared" si="313"/>
        <v>0</v>
      </c>
      <c r="O2501" s="487"/>
      <c r="P2501" s="487"/>
      <c r="Q2501" s="274">
        <f t="shared" si="308"/>
        <v>0</v>
      </c>
      <c r="R2501" s="574">
        <f t="shared" si="309"/>
        <v>970090</v>
      </c>
      <c r="S2501" s="275">
        <f t="shared" si="310"/>
        <v>387290</v>
      </c>
      <c r="T2501" s="575"/>
      <c r="U2501" s="487"/>
      <c r="V2501" s="576"/>
      <c r="W2501" s="573"/>
      <c r="X2501" s="574">
        <f t="shared" si="314"/>
        <v>0</v>
      </c>
      <c r="Y2501" s="487"/>
      <c r="Z2501" s="487"/>
      <c r="AA2501" s="276">
        <f t="shared" si="315"/>
        <v>0</v>
      </c>
      <c r="AB2501" s="573"/>
      <c r="AC2501" s="487"/>
      <c r="AD2501" s="573"/>
      <c r="AE2501" s="487"/>
      <c r="AF2501" s="577">
        <f t="shared" si="311"/>
        <v>970090</v>
      </c>
      <c r="AG2501" s="275">
        <f t="shared" si="312"/>
        <v>387290</v>
      </c>
    </row>
    <row r="2502" spans="1:33" ht="12" customHeight="1">
      <c r="A2502" s="744" t="s">
        <v>1274</v>
      </c>
      <c r="B2502" s="703" t="s">
        <v>1784</v>
      </c>
      <c r="C2502" s="959" t="s">
        <v>2012</v>
      </c>
      <c r="D2502" s="746">
        <v>218353</v>
      </c>
      <c r="E2502" s="697">
        <v>8</v>
      </c>
      <c r="F2502" s="518"/>
      <c r="G2502" s="487"/>
      <c r="H2502" s="958">
        <v>1000000</v>
      </c>
      <c r="I2502" s="949"/>
      <c r="J2502" s="573"/>
      <c r="K2502" s="487"/>
      <c r="L2502" s="573"/>
      <c r="M2502" s="573"/>
      <c r="N2502" s="456">
        <f t="shared" si="313"/>
        <v>0</v>
      </c>
      <c r="O2502" s="487"/>
      <c r="P2502" s="487"/>
      <c r="Q2502" s="274">
        <f t="shared" si="308"/>
        <v>0</v>
      </c>
      <c r="R2502" s="574">
        <f t="shared" si="309"/>
        <v>1000000</v>
      </c>
      <c r="S2502" s="275">
        <f t="shared" si="310"/>
        <v>0</v>
      </c>
      <c r="T2502" s="575"/>
      <c r="U2502" s="487"/>
      <c r="V2502" s="576"/>
      <c r="W2502" s="573"/>
      <c r="X2502" s="574">
        <f t="shared" si="314"/>
        <v>0</v>
      </c>
      <c r="Y2502" s="487"/>
      <c r="Z2502" s="487"/>
      <c r="AA2502" s="276">
        <f t="shared" si="315"/>
        <v>0</v>
      </c>
      <c r="AB2502" s="573"/>
      <c r="AC2502" s="487"/>
      <c r="AD2502" s="573"/>
      <c r="AE2502" s="487"/>
      <c r="AF2502" s="577">
        <f t="shared" si="311"/>
        <v>1000000</v>
      </c>
      <c r="AG2502" s="275">
        <f t="shared" si="312"/>
        <v>0</v>
      </c>
    </row>
    <row r="2503" spans="1:33" ht="12" customHeight="1">
      <c r="A2503" s="744" t="s">
        <v>1274</v>
      </c>
      <c r="B2503" s="703" t="s">
        <v>1784</v>
      </c>
      <c r="C2503" s="959" t="s">
        <v>1998</v>
      </c>
      <c r="D2503" s="746">
        <v>218353</v>
      </c>
      <c r="E2503" s="697">
        <v>8</v>
      </c>
      <c r="F2503" s="518"/>
      <c r="G2503" s="487"/>
      <c r="H2503" s="958">
        <v>613892</v>
      </c>
      <c r="I2503" s="949">
        <v>611755</v>
      </c>
      <c r="J2503" s="573"/>
      <c r="K2503" s="487"/>
      <c r="L2503" s="573"/>
      <c r="M2503" s="573"/>
      <c r="N2503" s="456">
        <f t="shared" si="313"/>
        <v>0</v>
      </c>
      <c r="O2503" s="487"/>
      <c r="P2503" s="487"/>
      <c r="Q2503" s="274">
        <f t="shared" si="308"/>
        <v>0</v>
      </c>
      <c r="R2503" s="574">
        <f t="shared" si="309"/>
        <v>613892</v>
      </c>
      <c r="S2503" s="275">
        <f t="shared" si="310"/>
        <v>611755</v>
      </c>
      <c r="T2503" s="575"/>
      <c r="U2503" s="487"/>
      <c r="V2503" s="576"/>
      <c r="W2503" s="573"/>
      <c r="X2503" s="574">
        <f t="shared" si="314"/>
        <v>0</v>
      </c>
      <c r="Y2503" s="487"/>
      <c r="Z2503" s="487"/>
      <c r="AA2503" s="276">
        <f t="shared" si="315"/>
        <v>0</v>
      </c>
      <c r="AB2503" s="573"/>
      <c r="AC2503" s="487"/>
      <c r="AD2503" s="573"/>
      <c r="AE2503" s="487"/>
      <c r="AF2503" s="577">
        <f t="shared" si="311"/>
        <v>613892</v>
      </c>
      <c r="AG2503" s="275">
        <f t="shared" si="312"/>
        <v>611755</v>
      </c>
    </row>
    <row r="2504" spans="1:33" ht="12" customHeight="1">
      <c r="A2504" s="744" t="s">
        <v>1274</v>
      </c>
      <c r="B2504" s="703" t="s">
        <v>1776</v>
      </c>
      <c r="C2504" s="745" t="s">
        <v>215</v>
      </c>
      <c r="D2504" s="746">
        <v>218894</v>
      </c>
      <c r="E2504" s="697">
        <v>8</v>
      </c>
      <c r="F2504" s="573">
        <v>21555780</v>
      </c>
      <c r="G2504" s="949">
        <v>16031159</v>
      </c>
      <c r="H2504" s="573"/>
      <c r="I2504" s="487"/>
      <c r="J2504" s="573">
        <v>8408442</v>
      </c>
      <c r="K2504" s="487">
        <v>8705553</v>
      </c>
      <c r="L2504" s="573">
        <v>31372993</v>
      </c>
      <c r="M2504" s="573">
        <v>4280780</v>
      </c>
      <c r="N2504" s="456">
        <f t="shared" si="313"/>
        <v>35653773</v>
      </c>
      <c r="O2504" s="487">
        <v>33998287</v>
      </c>
      <c r="P2504" s="487">
        <v>4583265</v>
      </c>
      <c r="Q2504" s="274">
        <f t="shared" si="308"/>
        <v>38581552</v>
      </c>
      <c r="R2504" s="574">
        <f t="shared" si="309"/>
        <v>61337215</v>
      </c>
      <c r="S2504" s="275">
        <f t="shared" si="310"/>
        <v>58734999</v>
      </c>
      <c r="T2504" s="575"/>
      <c r="U2504" s="487"/>
      <c r="V2504" s="576"/>
      <c r="W2504" s="573"/>
      <c r="X2504" s="574">
        <f t="shared" si="314"/>
        <v>0</v>
      </c>
      <c r="Y2504" s="487"/>
      <c r="Z2504" s="487"/>
      <c r="AA2504" s="276">
        <f t="shared" si="315"/>
        <v>0</v>
      </c>
      <c r="AB2504" s="573"/>
      <c r="AC2504" s="487"/>
      <c r="AD2504" s="573"/>
      <c r="AE2504" s="487"/>
      <c r="AF2504" s="577">
        <f t="shared" si="311"/>
        <v>61337215</v>
      </c>
      <c r="AG2504" s="275">
        <f t="shared" si="312"/>
        <v>58734999</v>
      </c>
    </row>
    <row r="2505" spans="1:33" ht="12" customHeight="1">
      <c r="A2505" s="744" t="s">
        <v>1274</v>
      </c>
      <c r="B2505" s="703" t="s">
        <v>1784</v>
      </c>
      <c r="C2505" s="299" t="s">
        <v>2037</v>
      </c>
      <c r="D2505" s="746">
        <v>218894</v>
      </c>
      <c r="E2505" s="697">
        <v>8</v>
      </c>
      <c r="F2505" s="518"/>
      <c r="G2505" s="487"/>
      <c r="H2505" s="573"/>
      <c r="I2505" s="487"/>
      <c r="J2505" s="573"/>
      <c r="K2505" s="487"/>
      <c r="L2505" s="573"/>
      <c r="M2505" s="573"/>
      <c r="N2505" s="456">
        <f t="shared" si="313"/>
        <v>0</v>
      </c>
      <c r="O2505" s="487"/>
      <c r="P2505" s="487"/>
      <c r="Q2505" s="274">
        <f t="shared" si="308"/>
        <v>0</v>
      </c>
      <c r="R2505" s="574">
        <f t="shared" si="309"/>
        <v>0</v>
      </c>
      <c r="S2505" s="275">
        <f t="shared" si="310"/>
        <v>0</v>
      </c>
      <c r="T2505" s="575"/>
      <c r="U2505" s="487"/>
      <c r="V2505" s="576"/>
      <c r="W2505" s="573"/>
      <c r="X2505" s="574">
        <f t="shared" si="314"/>
        <v>0</v>
      </c>
      <c r="Y2505" s="487"/>
      <c r="Z2505" s="487"/>
      <c r="AA2505" s="276">
        <f t="shared" si="315"/>
        <v>0</v>
      </c>
      <c r="AB2505" s="573"/>
      <c r="AC2505" s="487"/>
      <c r="AD2505" s="573"/>
      <c r="AE2505" s="487"/>
      <c r="AF2505" s="577">
        <f t="shared" si="311"/>
        <v>0</v>
      </c>
      <c r="AG2505" s="275">
        <f t="shared" si="312"/>
        <v>0</v>
      </c>
    </row>
    <row r="2506" spans="1:33" ht="12" customHeight="1">
      <c r="A2506" s="744" t="s">
        <v>1274</v>
      </c>
      <c r="B2506" s="703" t="s">
        <v>1784</v>
      </c>
      <c r="C2506" s="747" t="s">
        <v>216</v>
      </c>
      <c r="D2506" s="746">
        <v>218894</v>
      </c>
      <c r="E2506" s="697">
        <v>8</v>
      </c>
      <c r="F2506" s="573">
        <v>775000</v>
      </c>
      <c r="G2506" s="949">
        <f>775000-170377</f>
        <v>604623</v>
      </c>
      <c r="H2506" s="573"/>
      <c r="I2506" s="487"/>
      <c r="J2506" s="573"/>
      <c r="K2506" s="487"/>
      <c r="L2506" s="573"/>
      <c r="M2506" s="573"/>
      <c r="N2506" s="456">
        <f t="shared" si="313"/>
        <v>0</v>
      </c>
      <c r="O2506" s="487"/>
      <c r="P2506" s="487"/>
      <c r="Q2506" s="274">
        <f t="shared" ref="Q2506:Q2569" si="316">SUM(O2506:P2506)</f>
        <v>0</v>
      </c>
      <c r="R2506" s="574">
        <f t="shared" ref="R2506:R2569" si="317">SUM(F2506,H2506,J2506,L2506)</f>
        <v>775000</v>
      </c>
      <c r="S2506" s="275">
        <f t="shared" ref="S2506:S2569" si="318">SUM(G2506,I2506,K2506,O2506)</f>
        <v>604623</v>
      </c>
      <c r="T2506" s="575"/>
      <c r="U2506" s="487"/>
      <c r="V2506" s="576"/>
      <c r="W2506" s="573"/>
      <c r="X2506" s="574">
        <f t="shared" si="314"/>
        <v>0</v>
      </c>
      <c r="Y2506" s="487"/>
      <c r="Z2506" s="487"/>
      <c r="AA2506" s="276">
        <f t="shared" si="315"/>
        <v>0</v>
      </c>
      <c r="AB2506" s="573"/>
      <c r="AC2506" s="487"/>
      <c r="AD2506" s="573"/>
      <c r="AE2506" s="487"/>
      <c r="AF2506" s="577">
        <f t="shared" ref="AF2506:AF2569" si="319">SUM(R2506,T2506,V2506,AB2506,AD2506)</f>
        <v>775000</v>
      </c>
      <c r="AG2506" s="275">
        <f t="shared" ref="AG2506:AG2569" si="320">SUM(S2506,U2506,Y2506,AC2506,AE2506)</f>
        <v>604623</v>
      </c>
    </row>
    <row r="2507" spans="1:33" ht="12" customHeight="1">
      <c r="A2507" s="744" t="s">
        <v>1274</v>
      </c>
      <c r="B2507" s="703" t="s">
        <v>1784</v>
      </c>
      <c r="C2507" s="747" t="s">
        <v>47</v>
      </c>
      <c r="D2507" s="746">
        <v>218894</v>
      </c>
      <c r="E2507" s="697">
        <v>8</v>
      </c>
      <c r="F2507" s="518"/>
      <c r="G2507" s="487"/>
      <c r="H2507" s="518">
        <v>62500</v>
      </c>
      <c r="I2507" s="949">
        <v>48760</v>
      </c>
      <c r="J2507" s="573"/>
      <c r="K2507" s="487"/>
      <c r="L2507" s="573"/>
      <c r="M2507" s="573"/>
      <c r="N2507" s="456">
        <f t="shared" si="313"/>
        <v>0</v>
      </c>
      <c r="O2507" s="487"/>
      <c r="P2507" s="487"/>
      <c r="Q2507" s="274">
        <f t="shared" si="316"/>
        <v>0</v>
      </c>
      <c r="R2507" s="574">
        <f t="shared" si="317"/>
        <v>62500</v>
      </c>
      <c r="S2507" s="275">
        <f t="shared" si="318"/>
        <v>48760</v>
      </c>
      <c r="T2507" s="575"/>
      <c r="U2507" s="487"/>
      <c r="V2507" s="576"/>
      <c r="W2507" s="573"/>
      <c r="X2507" s="574">
        <f t="shared" si="314"/>
        <v>0</v>
      </c>
      <c r="Y2507" s="487"/>
      <c r="Z2507" s="487"/>
      <c r="AA2507" s="276">
        <f t="shared" si="315"/>
        <v>0</v>
      </c>
      <c r="AB2507" s="573"/>
      <c r="AC2507" s="487"/>
      <c r="AD2507" s="573"/>
      <c r="AE2507" s="487"/>
      <c r="AF2507" s="577">
        <f t="shared" si="319"/>
        <v>62500</v>
      </c>
      <c r="AG2507" s="275">
        <f t="shared" si="320"/>
        <v>48760</v>
      </c>
    </row>
    <row r="2508" spans="1:33" ht="12" customHeight="1">
      <c r="A2508" s="744" t="s">
        <v>1274</v>
      </c>
      <c r="B2508" s="703" t="s">
        <v>1784</v>
      </c>
      <c r="C2508" s="747" t="s">
        <v>1238</v>
      </c>
      <c r="D2508" s="746">
        <v>218894</v>
      </c>
      <c r="E2508" s="697">
        <v>8</v>
      </c>
      <c r="F2508" s="518"/>
      <c r="G2508" s="487"/>
      <c r="H2508" s="518">
        <v>4287</v>
      </c>
      <c r="I2508" s="487">
        <v>18446</v>
      </c>
      <c r="J2508" s="573"/>
      <c r="K2508" s="487"/>
      <c r="L2508" s="573"/>
      <c r="M2508" s="573"/>
      <c r="N2508" s="456">
        <f t="shared" si="313"/>
        <v>0</v>
      </c>
      <c r="O2508" s="487"/>
      <c r="P2508" s="487"/>
      <c r="Q2508" s="274">
        <f t="shared" si="316"/>
        <v>0</v>
      </c>
      <c r="R2508" s="574">
        <f t="shared" si="317"/>
        <v>4287</v>
      </c>
      <c r="S2508" s="275">
        <f t="shared" si="318"/>
        <v>18446</v>
      </c>
      <c r="T2508" s="575"/>
      <c r="U2508" s="487"/>
      <c r="V2508" s="576"/>
      <c r="W2508" s="573"/>
      <c r="X2508" s="574">
        <f t="shared" si="314"/>
        <v>0</v>
      </c>
      <c r="Y2508" s="487"/>
      <c r="Z2508" s="487"/>
      <c r="AA2508" s="276">
        <f t="shared" si="315"/>
        <v>0</v>
      </c>
      <c r="AB2508" s="573"/>
      <c r="AC2508" s="487"/>
      <c r="AD2508" s="573"/>
      <c r="AE2508" s="487"/>
      <c r="AF2508" s="577">
        <f t="shared" si="319"/>
        <v>4287</v>
      </c>
      <c r="AG2508" s="275">
        <f t="shared" si="320"/>
        <v>18446</v>
      </c>
    </row>
    <row r="2509" spans="1:33" ht="12" customHeight="1">
      <c r="A2509" s="744" t="s">
        <v>1274</v>
      </c>
      <c r="B2509" s="703" t="s">
        <v>1784</v>
      </c>
      <c r="C2509" s="747" t="s">
        <v>45</v>
      </c>
      <c r="D2509" s="746">
        <v>218894</v>
      </c>
      <c r="E2509" s="697">
        <v>8</v>
      </c>
      <c r="F2509" s="518"/>
      <c r="G2509" s="487"/>
      <c r="H2509" s="518">
        <v>1298</v>
      </c>
      <c r="I2509" s="487">
        <v>1140</v>
      </c>
      <c r="J2509" s="573"/>
      <c r="K2509" s="487"/>
      <c r="L2509" s="573"/>
      <c r="M2509" s="573"/>
      <c r="N2509" s="456">
        <f t="shared" si="313"/>
        <v>0</v>
      </c>
      <c r="O2509" s="487"/>
      <c r="P2509" s="487"/>
      <c r="Q2509" s="274">
        <f t="shared" si="316"/>
        <v>0</v>
      </c>
      <c r="R2509" s="574">
        <f t="shared" si="317"/>
        <v>1298</v>
      </c>
      <c r="S2509" s="275">
        <f t="shared" si="318"/>
        <v>1140</v>
      </c>
      <c r="T2509" s="575"/>
      <c r="U2509" s="487"/>
      <c r="V2509" s="576"/>
      <c r="W2509" s="573"/>
      <c r="X2509" s="574">
        <f t="shared" si="314"/>
        <v>0</v>
      </c>
      <c r="Y2509" s="487"/>
      <c r="Z2509" s="487"/>
      <c r="AA2509" s="276">
        <f t="shared" si="315"/>
        <v>0</v>
      </c>
      <c r="AB2509" s="573"/>
      <c r="AC2509" s="487"/>
      <c r="AD2509" s="573"/>
      <c r="AE2509" s="487"/>
      <c r="AF2509" s="577">
        <f t="shared" si="319"/>
        <v>1298</v>
      </c>
      <c r="AG2509" s="275">
        <f t="shared" si="320"/>
        <v>1140</v>
      </c>
    </row>
    <row r="2510" spans="1:33" ht="12" customHeight="1">
      <c r="A2510" s="744" t="s">
        <v>1274</v>
      </c>
      <c r="B2510" s="703" t="s">
        <v>1784</v>
      </c>
      <c r="C2510" s="747" t="s">
        <v>1676</v>
      </c>
      <c r="D2510" s="746">
        <v>218894</v>
      </c>
      <c r="E2510" s="697">
        <v>8</v>
      </c>
      <c r="F2510" s="518"/>
      <c r="G2510" s="487"/>
      <c r="H2510" s="518">
        <v>61994</v>
      </c>
      <c r="I2510" s="487">
        <v>48578</v>
      </c>
      <c r="J2510" s="573"/>
      <c r="K2510" s="487"/>
      <c r="L2510" s="573"/>
      <c r="M2510" s="573"/>
      <c r="N2510" s="456">
        <f t="shared" si="313"/>
        <v>0</v>
      </c>
      <c r="O2510" s="487"/>
      <c r="P2510" s="487"/>
      <c r="Q2510" s="274">
        <f t="shared" si="316"/>
        <v>0</v>
      </c>
      <c r="R2510" s="574">
        <f t="shared" si="317"/>
        <v>61994</v>
      </c>
      <c r="S2510" s="275">
        <f t="shared" si="318"/>
        <v>48578</v>
      </c>
      <c r="T2510" s="575"/>
      <c r="U2510" s="487"/>
      <c r="V2510" s="576"/>
      <c r="W2510" s="573"/>
      <c r="X2510" s="574">
        <f t="shared" si="314"/>
        <v>0</v>
      </c>
      <c r="Y2510" s="487"/>
      <c r="Z2510" s="487"/>
      <c r="AA2510" s="276">
        <f t="shared" si="315"/>
        <v>0</v>
      </c>
      <c r="AB2510" s="573"/>
      <c r="AC2510" s="487"/>
      <c r="AD2510" s="573"/>
      <c r="AE2510" s="487"/>
      <c r="AF2510" s="577">
        <f t="shared" si="319"/>
        <v>61994</v>
      </c>
      <c r="AG2510" s="275">
        <f t="shared" si="320"/>
        <v>48578</v>
      </c>
    </row>
    <row r="2511" spans="1:33" ht="12" customHeight="1">
      <c r="A2511" s="744" t="s">
        <v>1274</v>
      </c>
      <c r="B2511" s="703" t="s">
        <v>1784</v>
      </c>
      <c r="C2511" s="959" t="s">
        <v>2010</v>
      </c>
      <c r="D2511" s="746">
        <v>218894</v>
      </c>
      <c r="E2511" s="697">
        <v>8</v>
      </c>
      <c r="F2511" s="518"/>
      <c r="G2511" s="487"/>
      <c r="H2511" s="958">
        <v>1009353</v>
      </c>
      <c r="I2511" s="949">
        <v>400144</v>
      </c>
      <c r="J2511" s="573"/>
      <c r="K2511" s="487"/>
      <c r="L2511" s="573"/>
      <c r="M2511" s="573"/>
      <c r="N2511" s="456">
        <f t="shared" si="313"/>
        <v>0</v>
      </c>
      <c r="O2511" s="487"/>
      <c r="P2511" s="487"/>
      <c r="Q2511" s="274">
        <f t="shared" si="316"/>
        <v>0</v>
      </c>
      <c r="R2511" s="574">
        <f t="shared" si="317"/>
        <v>1009353</v>
      </c>
      <c r="S2511" s="275">
        <f t="shared" si="318"/>
        <v>400144</v>
      </c>
      <c r="T2511" s="575"/>
      <c r="U2511" s="487"/>
      <c r="V2511" s="576"/>
      <c r="W2511" s="573"/>
      <c r="X2511" s="574">
        <f t="shared" si="314"/>
        <v>0</v>
      </c>
      <c r="Y2511" s="487"/>
      <c r="Z2511" s="487"/>
      <c r="AA2511" s="276">
        <f t="shared" si="315"/>
        <v>0</v>
      </c>
      <c r="AB2511" s="573"/>
      <c r="AC2511" s="487"/>
      <c r="AD2511" s="573"/>
      <c r="AE2511" s="487"/>
      <c r="AF2511" s="577">
        <f t="shared" si="319"/>
        <v>1009353</v>
      </c>
      <c r="AG2511" s="275">
        <f t="shared" si="320"/>
        <v>400144</v>
      </c>
    </row>
    <row r="2512" spans="1:33" ht="12" customHeight="1">
      <c r="A2512" s="744" t="s">
        <v>1274</v>
      </c>
      <c r="B2512" s="703" t="s">
        <v>1784</v>
      </c>
      <c r="C2512" s="959" t="s">
        <v>1998</v>
      </c>
      <c r="D2512" s="746">
        <v>218894</v>
      </c>
      <c r="E2512" s="697">
        <v>8</v>
      </c>
      <c r="F2512" s="518"/>
      <c r="G2512" s="487"/>
      <c r="H2512" s="958">
        <v>650545</v>
      </c>
      <c r="I2512" s="949">
        <v>641735</v>
      </c>
      <c r="J2512" s="573"/>
      <c r="K2512" s="487"/>
      <c r="L2512" s="573"/>
      <c r="M2512" s="573"/>
      <c r="N2512" s="456">
        <f t="shared" si="313"/>
        <v>0</v>
      </c>
      <c r="O2512" s="487"/>
      <c r="P2512" s="487"/>
      <c r="Q2512" s="274">
        <f t="shared" si="316"/>
        <v>0</v>
      </c>
      <c r="R2512" s="574">
        <f t="shared" si="317"/>
        <v>650545</v>
      </c>
      <c r="S2512" s="275">
        <f t="shared" si="318"/>
        <v>641735</v>
      </c>
      <c r="T2512" s="575"/>
      <c r="U2512" s="487"/>
      <c r="V2512" s="576"/>
      <c r="W2512" s="573"/>
      <c r="X2512" s="574">
        <f t="shared" si="314"/>
        <v>0</v>
      </c>
      <c r="Y2512" s="487"/>
      <c r="Z2512" s="487"/>
      <c r="AA2512" s="276">
        <f t="shared" si="315"/>
        <v>0</v>
      </c>
      <c r="AB2512" s="573"/>
      <c r="AC2512" s="487"/>
      <c r="AD2512" s="573"/>
      <c r="AE2512" s="487"/>
      <c r="AF2512" s="577">
        <f t="shared" si="319"/>
        <v>650545</v>
      </c>
      <c r="AG2512" s="275">
        <f t="shared" si="320"/>
        <v>641735</v>
      </c>
    </row>
    <row r="2513" spans="1:33" ht="12" customHeight="1">
      <c r="A2513" s="744" t="s">
        <v>1274</v>
      </c>
      <c r="B2513" s="703" t="s">
        <v>1776</v>
      </c>
      <c r="C2513" s="745" t="s">
        <v>227</v>
      </c>
      <c r="D2513" s="746">
        <v>217615</v>
      </c>
      <c r="E2513" s="1030">
        <v>9</v>
      </c>
      <c r="F2513" s="573">
        <v>5668465</v>
      </c>
      <c r="G2513" s="949">
        <v>4269948</v>
      </c>
      <c r="H2513" s="573"/>
      <c r="I2513" s="487"/>
      <c r="J2513" s="573">
        <v>1506285</v>
      </c>
      <c r="K2513" s="487">
        <v>1627300</v>
      </c>
      <c r="L2513" s="573">
        <v>8547404</v>
      </c>
      <c r="M2513" s="573">
        <v>365043</v>
      </c>
      <c r="N2513" s="456">
        <f t="shared" si="313"/>
        <v>8912447</v>
      </c>
      <c r="O2513" s="487">
        <v>9110257</v>
      </c>
      <c r="P2513" s="487">
        <v>396007</v>
      </c>
      <c r="Q2513" s="274">
        <f t="shared" si="316"/>
        <v>9506264</v>
      </c>
      <c r="R2513" s="574">
        <f t="shared" si="317"/>
        <v>15722154</v>
      </c>
      <c r="S2513" s="275">
        <f t="shared" si="318"/>
        <v>15007505</v>
      </c>
      <c r="T2513" s="575"/>
      <c r="U2513" s="487"/>
      <c r="V2513" s="576"/>
      <c r="W2513" s="573"/>
      <c r="X2513" s="574">
        <f t="shared" si="314"/>
        <v>0</v>
      </c>
      <c r="Y2513" s="487"/>
      <c r="Z2513" s="487"/>
      <c r="AA2513" s="276">
        <f t="shared" si="315"/>
        <v>0</v>
      </c>
      <c r="AB2513" s="573"/>
      <c r="AC2513" s="487"/>
      <c r="AD2513" s="573"/>
      <c r="AE2513" s="487"/>
      <c r="AF2513" s="577">
        <f t="shared" si="319"/>
        <v>15722154</v>
      </c>
      <c r="AG2513" s="275">
        <f t="shared" si="320"/>
        <v>15007505</v>
      </c>
    </row>
    <row r="2514" spans="1:33" ht="12" customHeight="1">
      <c r="A2514" s="744" t="s">
        <v>1274</v>
      </c>
      <c r="B2514" s="703" t="s">
        <v>1784</v>
      </c>
      <c r="C2514" s="299" t="s">
        <v>2037</v>
      </c>
      <c r="D2514" s="746">
        <v>217615</v>
      </c>
      <c r="E2514" s="1030">
        <v>9</v>
      </c>
      <c r="F2514" s="518"/>
      <c r="G2514" s="487"/>
      <c r="H2514" s="573"/>
      <c r="I2514" s="487"/>
      <c r="J2514" s="573"/>
      <c r="K2514" s="487"/>
      <c r="L2514" s="573"/>
      <c r="M2514" s="573"/>
      <c r="N2514" s="456">
        <f t="shared" si="313"/>
        <v>0</v>
      </c>
      <c r="O2514" s="487"/>
      <c r="P2514" s="487"/>
      <c r="Q2514" s="274">
        <f t="shared" si="316"/>
        <v>0</v>
      </c>
      <c r="R2514" s="574">
        <f t="shared" si="317"/>
        <v>0</v>
      </c>
      <c r="S2514" s="275">
        <f t="shared" si="318"/>
        <v>0</v>
      </c>
      <c r="T2514" s="575"/>
      <c r="U2514" s="487"/>
      <c r="V2514" s="576"/>
      <c r="W2514" s="573"/>
      <c r="X2514" s="574">
        <f t="shared" si="314"/>
        <v>0</v>
      </c>
      <c r="Y2514" s="487"/>
      <c r="Z2514" s="487"/>
      <c r="AA2514" s="276">
        <f t="shared" si="315"/>
        <v>0</v>
      </c>
      <c r="AB2514" s="573"/>
      <c r="AC2514" s="487"/>
      <c r="AD2514" s="573"/>
      <c r="AE2514" s="487"/>
      <c r="AF2514" s="577">
        <f t="shared" si="319"/>
        <v>0</v>
      </c>
      <c r="AG2514" s="275">
        <f t="shared" si="320"/>
        <v>0</v>
      </c>
    </row>
    <row r="2515" spans="1:33" ht="12" customHeight="1">
      <c r="A2515" s="744" t="s">
        <v>1274</v>
      </c>
      <c r="B2515" s="703" t="s">
        <v>1784</v>
      </c>
      <c r="C2515" s="747" t="s">
        <v>47</v>
      </c>
      <c r="D2515" s="746">
        <v>217615</v>
      </c>
      <c r="E2515" s="1030">
        <v>9</v>
      </c>
      <c r="F2515" s="518"/>
      <c r="G2515" s="487"/>
      <c r="H2515" s="518">
        <v>62500</v>
      </c>
      <c r="I2515" s="949">
        <v>48760</v>
      </c>
      <c r="J2515" s="573"/>
      <c r="K2515" s="487"/>
      <c r="L2515" s="573"/>
      <c r="M2515" s="573"/>
      <c r="N2515" s="456">
        <f t="shared" ref="N2515:N2578" si="321">SUM(L2515:M2515)</f>
        <v>0</v>
      </c>
      <c r="O2515" s="487"/>
      <c r="P2515" s="487"/>
      <c r="Q2515" s="274">
        <f t="shared" si="316"/>
        <v>0</v>
      </c>
      <c r="R2515" s="574">
        <f t="shared" si="317"/>
        <v>62500</v>
      </c>
      <c r="S2515" s="275">
        <f t="shared" si="318"/>
        <v>48760</v>
      </c>
      <c r="T2515" s="575"/>
      <c r="U2515" s="487"/>
      <c r="V2515" s="576"/>
      <c r="W2515" s="573"/>
      <c r="X2515" s="574">
        <f t="shared" ref="X2515:X2578" si="322">SUM(V2515:W2515)</f>
        <v>0</v>
      </c>
      <c r="Y2515" s="487"/>
      <c r="Z2515" s="487"/>
      <c r="AA2515" s="276">
        <f t="shared" ref="AA2515:AA2578" si="323">SUM(Y2515:Z2515)</f>
        <v>0</v>
      </c>
      <c r="AB2515" s="573"/>
      <c r="AC2515" s="487"/>
      <c r="AD2515" s="573"/>
      <c r="AE2515" s="487"/>
      <c r="AF2515" s="577">
        <f t="shared" si="319"/>
        <v>62500</v>
      </c>
      <c r="AG2515" s="275">
        <f t="shared" si="320"/>
        <v>48760</v>
      </c>
    </row>
    <row r="2516" spans="1:33" ht="12" customHeight="1">
      <c r="A2516" s="744" t="s">
        <v>1274</v>
      </c>
      <c r="B2516" s="703" t="s">
        <v>1784</v>
      </c>
      <c r="C2516" s="747" t="s">
        <v>1238</v>
      </c>
      <c r="D2516" s="746">
        <v>217615</v>
      </c>
      <c r="E2516" s="1030">
        <v>9</v>
      </c>
      <c r="F2516" s="518"/>
      <c r="G2516" s="487"/>
      <c r="H2516" s="518">
        <v>4287</v>
      </c>
      <c r="I2516" s="487">
        <v>6549</v>
      </c>
      <c r="J2516" s="573"/>
      <c r="K2516" s="487"/>
      <c r="L2516" s="573"/>
      <c r="M2516" s="573"/>
      <c r="N2516" s="456">
        <f t="shared" si="321"/>
        <v>0</v>
      </c>
      <c r="O2516" s="487"/>
      <c r="P2516" s="487"/>
      <c r="Q2516" s="274">
        <f t="shared" si="316"/>
        <v>0</v>
      </c>
      <c r="R2516" s="574">
        <f t="shared" si="317"/>
        <v>4287</v>
      </c>
      <c r="S2516" s="275">
        <f t="shared" si="318"/>
        <v>6549</v>
      </c>
      <c r="T2516" s="575"/>
      <c r="U2516" s="487"/>
      <c r="V2516" s="576"/>
      <c r="W2516" s="573"/>
      <c r="X2516" s="574">
        <f t="shared" si="322"/>
        <v>0</v>
      </c>
      <c r="Y2516" s="487"/>
      <c r="Z2516" s="487"/>
      <c r="AA2516" s="276">
        <f t="shared" si="323"/>
        <v>0</v>
      </c>
      <c r="AB2516" s="573"/>
      <c r="AC2516" s="487"/>
      <c r="AD2516" s="573"/>
      <c r="AE2516" s="487"/>
      <c r="AF2516" s="577">
        <f t="shared" si="319"/>
        <v>4287</v>
      </c>
      <c r="AG2516" s="275">
        <f t="shared" si="320"/>
        <v>6549</v>
      </c>
    </row>
    <row r="2517" spans="1:33" ht="12" customHeight="1">
      <c r="A2517" s="744" t="s">
        <v>1274</v>
      </c>
      <c r="B2517" s="703" t="s">
        <v>1784</v>
      </c>
      <c r="C2517" s="747" t="s">
        <v>45</v>
      </c>
      <c r="D2517" s="746">
        <v>217615</v>
      </c>
      <c r="E2517" s="1030">
        <v>9</v>
      </c>
      <c r="F2517" s="518"/>
      <c r="G2517" s="487"/>
      <c r="H2517" s="518">
        <v>5075</v>
      </c>
      <c r="I2517" s="487">
        <v>2978</v>
      </c>
      <c r="J2517" s="573"/>
      <c r="K2517" s="487"/>
      <c r="L2517" s="573"/>
      <c r="M2517" s="573"/>
      <c r="N2517" s="456">
        <f t="shared" si="321"/>
        <v>0</v>
      </c>
      <c r="O2517" s="487"/>
      <c r="P2517" s="487"/>
      <c r="Q2517" s="274">
        <f t="shared" si="316"/>
        <v>0</v>
      </c>
      <c r="R2517" s="574">
        <f t="shared" si="317"/>
        <v>5075</v>
      </c>
      <c r="S2517" s="275">
        <f t="shared" si="318"/>
        <v>2978</v>
      </c>
      <c r="T2517" s="575"/>
      <c r="U2517" s="487"/>
      <c r="V2517" s="576"/>
      <c r="W2517" s="573"/>
      <c r="X2517" s="574">
        <f t="shared" si="322"/>
        <v>0</v>
      </c>
      <c r="Y2517" s="487"/>
      <c r="Z2517" s="487"/>
      <c r="AA2517" s="276">
        <f t="shared" si="323"/>
        <v>0</v>
      </c>
      <c r="AB2517" s="573"/>
      <c r="AC2517" s="487"/>
      <c r="AD2517" s="573"/>
      <c r="AE2517" s="487"/>
      <c r="AF2517" s="577">
        <f t="shared" si="319"/>
        <v>5075</v>
      </c>
      <c r="AG2517" s="275">
        <f t="shared" si="320"/>
        <v>2978</v>
      </c>
    </row>
    <row r="2518" spans="1:33" ht="12" customHeight="1">
      <c r="A2518" s="744" t="s">
        <v>1274</v>
      </c>
      <c r="B2518" s="703" t="s">
        <v>1784</v>
      </c>
      <c r="C2518" s="747" t="s">
        <v>1676</v>
      </c>
      <c r="D2518" s="746">
        <v>217615</v>
      </c>
      <c r="E2518" s="1030">
        <v>9</v>
      </c>
      <c r="F2518" s="518"/>
      <c r="G2518" s="487"/>
      <c r="H2518" s="518" t="s">
        <v>648</v>
      </c>
      <c r="I2518" s="487">
        <v>12412</v>
      </c>
      <c r="J2518" s="573"/>
      <c r="K2518" s="487"/>
      <c r="L2518" s="573"/>
      <c r="M2518" s="573"/>
      <c r="N2518" s="456">
        <f t="shared" si="321"/>
        <v>0</v>
      </c>
      <c r="O2518" s="487"/>
      <c r="P2518" s="487"/>
      <c r="Q2518" s="274">
        <f t="shared" si="316"/>
        <v>0</v>
      </c>
      <c r="R2518" s="574">
        <f t="shared" si="317"/>
        <v>0</v>
      </c>
      <c r="S2518" s="275">
        <f t="shared" si="318"/>
        <v>12412</v>
      </c>
      <c r="T2518" s="575"/>
      <c r="U2518" s="487"/>
      <c r="V2518" s="576"/>
      <c r="W2518" s="573"/>
      <c r="X2518" s="574">
        <f t="shared" si="322"/>
        <v>0</v>
      </c>
      <c r="Y2518" s="487"/>
      <c r="Z2518" s="487"/>
      <c r="AA2518" s="276">
        <f t="shared" si="323"/>
        <v>0</v>
      </c>
      <c r="AB2518" s="573"/>
      <c r="AC2518" s="487"/>
      <c r="AD2518" s="573"/>
      <c r="AE2518" s="487"/>
      <c r="AF2518" s="577">
        <f t="shared" si="319"/>
        <v>0</v>
      </c>
      <c r="AG2518" s="275">
        <f t="shared" si="320"/>
        <v>12412</v>
      </c>
    </row>
    <row r="2519" spans="1:33" ht="12" customHeight="1">
      <c r="A2519" s="744" t="s">
        <v>1274</v>
      </c>
      <c r="B2519" s="703" t="s">
        <v>1784</v>
      </c>
      <c r="C2519" s="959" t="s">
        <v>2010</v>
      </c>
      <c r="D2519" s="746">
        <v>217615</v>
      </c>
      <c r="E2519" s="1030">
        <v>9</v>
      </c>
      <c r="F2519" s="518"/>
      <c r="G2519" s="487"/>
      <c r="H2519" s="958">
        <v>495325</v>
      </c>
      <c r="I2519" s="949">
        <v>198285</v>
      </c>
      <c r="J2519" s="573"/>
      <c r="K2519" s="487"/>
      <c r="L2519" s="573"/>
      <c r="M2519" s="573"/>
      <c r="N2519" s="456">
        <f t="shared" si="321"/>
        <v>0</v>
      </c>
      <c r="O2519" s="487"/>
      <c r="P2519" s="487"/>
      <c r="Q2519" s="274">
        <f t="shared" si="316"/>
        <v>0</v>
      </c>
      <c r="R2519" s="574">
        <f t="shared" si="317"/>
        <v>495325</v>
      </c>
      <c r="S2519" s="275">
        <f t="shared" si="318"/>
        <v>198285</v>
      </c>
      <c r="T2519" s="575"/>
      <c r="U2519" s="487"/>
      <c r="V2519" s="576"/>
      <c r="W2519" s="573"/>
      <c r="X2519" s="574">
        <f t="shared" si="322"/>
        <v>0</v>
      </c>
      <c r="Y2519" s="487"/>
      <c r="Z2519" s="487"/>
      <c r="AA2519" s="276">
        <f t="shared" si="323"/>
        <v>0</v>
      </c>
      <c r="AB2519" s="573"/>
      <c r="AC2519" s="487"/>
      <c r="AD2519" s="573"/>
      <c r="AE2519" s="487"/>
      <c r="AF2519" s="577">
        <f t="shared" si="319"/>
        <v>495325</v>
      </c>
      <c r="AG2519" s="275">
        <f t="shared" si="320"/>
        <v>198285</v>
      </c>
    </row>
    <row r="2520" spans="1:33" ht="12" customHeight="1">
      <c r="A2520" s="744" t="s">
        <v>1274</v>
      </c>
      <c r="B2520" s="703" t="s">
        <v>1784</v>
      </c>
      <c r="C2520" s="959" t="s">
        <v>1998</v>
      </c>
      <c r="D2520" s="746">
        <v>217615</v>
      </c>
      <c r="E2520" s="1030">
        <v>9</v>
      </c>
      <c r="F2520" s="518"/>
      <c r="G2520" s="487"/>
      <c r="H2520" s="958">
        <v>170676</v>
      </c>
      <c r="I2520" s="949">
        <v>170929</v>
      </c>
      <c r="J2520" s="573"/>
      <c r="K2520" s="487"/>
      <c r="L2520" s="573"/>
      <c r="M2520" s="573"/>
      <c r="N2520" s="456">
        <f t="shared" si="321"/>
        <v>0</v>
      </c>
      <c r="O2520" s="487"/>
      <c r="P2520" s="487"/>
      <c r="Q2520" s="274">
        <f t="shared" si="316"/>
        <v>0</v>
      </c>
      <c r="R2520" s="574">
        <f t="shared" si="317"/>
        <v>170676</v>
      </c>
      <c r="S2520" s="275">
        <f t="shared" si="318"/>
        <v>170929</v>
      </c>
      <c r="T2520" s="575"/>
      <c r="U2520" s="487"/>
      <c r="V2520" s="576"/>
      <c r="W2520" s="573"/>
      <c r="X2520" s="574">
        <f t="shared" si="322"/>
        <v>0</v>
      </c>
      <c r="Y2520" s="487"/>
      <c r="Z2520" s="487"/>
      <c r="AA2520" s="276">
        <f t="shared" si="323"/>
        <v>0</v>
      </c>
      <c r="AB2520" s="573"/>
      <c r="AC2520" s="487"/>
      <c r="AD2520" s="573"/>
      <c r="AE2520" s="487"/>
      <c r="AF2520" s="577">
        <f t="shared" si="319"/>
        <v>170676</v>
      </c>
      <c r="AG2520" s="275">
        <f t="shared" si="320"/>
        <v>170929</v>
      </c>
    </row>
    <row r="2521" spans="1:33" ht="12" customHeight="1">
      <c r="A2521" s="744" t="s">
        <v>1274</v>
      </c>
      <c r="B2521" s="703" t="s">
        <v>1776</v>
      </c>
      <c r="C2521" s="745" t="s">
        <v>217</v>
      </c>
      <c r="D2521" s="746">
        <v>218858</v>
      </c>
      <c r="E2521" s="697">
        <v>9</v>
      </c>
      <c r="F2521" s="573">
        <v>6375608</v>
      </c>
      <c r="G2521" s="949">
        <v>4747881</v>
      </c>
      <c r="H2521" s="573"/>
      <c r="I2521" s="487"/>
      <c r="J2521" s="573">
        <v>1995337</v>
      </c>
      <c r="K2521" s="487">
        <v>2072494</v>
      </c>
      <c r="L2521" s="573">
        <v>8320578</v>
      </c>
      <c r="M2521" s="573">
        <v>223180</v>
      </c>
      <c r="N2521" s="456">
        <f t="shared" si="321"/>
        <v>8543758</v>
      </c>
      <c r="O2521" s="487">
        <v>9185362</v>
      </c>
      <c r="P2521" s="487">
        <v>253034</v>
      </c>
      <c r="Q2521" s="274">
        <f t="shared" si="316"/>
        <v>9438396</v>
      </c>
      <c r="R2521" s="574">
        <f t="shared" si="317"/>
        <v>16691523</v>
      </c>
      <c r="S2521" s="275">
        <f t="shared" si="318"/>
        <v>16005737</v>
      </c>
      <c r="T2521" s="575"/>
      <c r="U2521" s="487"/>
      <c r="V2521" s="576"/>
      <c r="W2521" s="573"/>
      <c r="X2521" s="574">
        <f t="shared" si="322"/>
        <v>0</v>
      </c>
      <c r="Y2521" s="487"/>
      <c r="Z2521" s="487"/>
      <c r="AA2521" s="276">
        <f t="shared" si="323"/>
        <v>0</v>
      </c>
      <c r="AB2521" s="573"/>
      <c r="AC2521" s="487"/>
      <c r="AD2521" s="573"/>
      <c r="AE2521" s="487"/>
      <c r="AF2521" s="577">
        <f t="shared" si="319"/>
        <v>16691523</v>
      </c>
      <c r="AG2521" s="275">
        <f t="shared" si="320"/>
        <v>16005737</v>
      </c>
    </row>
    <row r="2522" spans="1:33" ht="12" customHeight="1">
      <c r="A2522" s="744" t="s">
        <v>1274</v>
      </c>
      <c r="B2522" s="703" t="s">
        <v>1784</v>
      </c>
      <c r="C2522" s="299" t="s">
        <v>2037</v>
      </c>
      <c r="D2522" s="746">
        <v>218858</v>
      </c>
      <c r="E2522" s="697">
        <v>9</v>
      </c>
      <c r="F2522" s="518"/>
      <c r="G2522" s="487"/>
      <c r="H2522" s="573"/>
      <c r="I2522" s="487"/>
      <c r="J2522" s="573"/>
      <c r="K2522" s="487"/>
      <c r="L2522" s="573"/>
      <c r="M2522" s="573"/>
      <c r="N2522" s="456">
        <f t="shared" si="321"/>
        <v>0</v>
      </c>
      <c r="O2522" s="487"/>
      <c r="P2522" s="487"/>
      <c r="Q2522" s="274">
        <f t="shared" si="316"/>
        <v>0</v>
      </c>
      <c r="R2522" s="574">
        <f t="shared" si="317"/>
        <v>0</v>
      </c>
      <c r="S2522" s="275">
        <f t="shared" si="318"/>
        <v>0</v>
      </c>
      <c r="T2522" s="575"/>
      <c r="U2522" s="487"/>
      <c r="V2522" s="576"/>
      <c r="W2522" s="573"/>
      <c r="X2522" s="574">
        <f t="shared" si="322"/>
        <v>0</v>
      </c>
      <c r="Y2522" s="487"/>
      <c r="Z2522" s="487"/>
      <c r="AA2522" s="276">
        <f t="shared" si="323"/>
        <v>0</v>
      </c>
      <c r="AB2522" s="573"/>
      <c r="AC2522" s="487"/>
      <c r="AD2522" s="573"/>
      <c r="AE2522" s="487"/>
      <c r="AF2522" s="577">
        <f t="shared" si="319"/>
        <v>0</v>
      </c>
      <c r="AG2522" s="275">
        <f t="shared" si="320"/>
        <v>0</v>
      </c>
    </row>
    <row r="2523" spans="1:33" ht="12" customHeight="1">
      <c r="A2523" s="744" t="s">
        <v>1274</v>
      </c>
      <c r="B2523" s="703" t="s">
        <v>1784</v>
      </c>
      <c r="C2523" s="747" t="s">
        <v>47</v>
      </c>
      <c r="D2523" s="746">
        <v>218858</v>
      </c>
      <c r="E2523" s="697">
        <v>9</v>
      </c>
      <c r="F2523" s="518"/>
      <c r="G2523" s="487"/>
      <c r="H2523" s="518">
        <v>62500</v>
      </c>
      <c r="I2523" s="949">
        <v>48760</v>
      </c>
      <c r="J2523" s="573"/>
      <c r="K2523" s="487"/>
      <c r="L2523" s="573"/>
      <c r="M2523" s="573"/>
      <c r="N2523" s="456">
        <f t="shared" si="321"/>
        <v>0</v>
      </c>
      <c r="O2523" s="487"/>
      <c r="P2523" s="487"/>
      <c r="Q2523" s="274">
        <f t="shared" si="316"/>
        <v>0</v>
      </c>
      <c r="R2523" s="574">
        <f t="shared" si="317"/>
        <v>62500</v>
      </c>
      <c r="S2523" s="275">
        <f t="shared" si="318"/>
        <v>48760</v>
      </c>
      <c r="T2523" s="575"/>
      <c r="U2523" s="487"/>
      <c r="V2523" s="576"/>
      <c r="W2523" s="573"/>
      <c r="X2523" s="574">
        <f t="shared" si="322"/>
        <v>0</v>
      </c>
      <c r="Y2523" s="487"/>
      <c r="Z2523" s="487"/>
      <c r="AA2523" s="276">
        <f t="shared" si="323"/>
        <v>0</v>
      </c>
      <c r="AB2523" s="573"/>
      <c r="AC2523" s="487"/>
      <c r="AD2523" s="573"/>
      <c r="AE2523" s="487"/>
      <c r="AF2523" s="577">
        <f t="shared" si="319"/>
        <v>62500</v>
      </c>
      <c r="AG2523" s="275">
        <f t="shared" si="320"/>
        <v>48760</v>
      </c>
    </row>
    <row r="2524" spans="1:33" ht="12" customHeight="1">
      <c r="A2524" s="744" t="s">
        <v>1274</v>
      </c>
      <c r="B2524" s="703" t="s">
        <v>1784</v>
      </c>
      <c r="C2524" s="747" t="s">
        <v>1238</v>
      </c>
      <c r="D2524" s="746">
        <v>218858</v>
      </c>
      <c r="E2524" s="697">
        <v>9</v>
      </c>
      <c r="F2524" s="518"/>
      <c r="G2524" s="487"/>
      <c r="H2524" s="518">
        <v>4287</v>
      </c>
      <c r="I2524" s="487">
        <v>7488</v>
      </c>
      <c r="J2524" s="573"/>
      <c r="K2524" s="487"/>
      <c r="L2524" s="573"/>
      <c r="M2524" s="573"/>
      <c r="N2524" s="456">
        <f t="shared" si="321"/>
        <v>0</v>
      </c>
      <c r="O2524" s="487"/>
      <c r="P2524" s="487"/>
      <c r="Q2524" s="274">
        <f t="shared" si="316"/>
        <v>0</v>
      </c>
      <c r="R2524" s="574">
        <f t="shared" si="317"/>
        <v>4287</v>
      </c>
      <c r="S2524" s="275">
        <f t="shared" si="318"/>
        <v>7488</v>
      </c>
      <c r="T2524" s="575"/>
      <c r="U2524" s="487"/>
      <c r="V2524" s="576"/>
      <c r="W2524" s="573"/>
      <c r="X2524" s="574">
        <f t="shared" si="322"/>
        <v>0</v>
      </c>
      <c r="Y2524" s="487"/>
      <c r="Z2524" s="487"/>
      <c r="AA2524" s="276">
        <f t="shared" si="323"/>
        <v>0</v>
      </c>
      <c r="AB2524" s="573"/>
      <c r="AC2524" s="487"/>
      <c r="AD2524" s="573"/>
      <c r="AE2524" s="487"/>
      <c r="AF2524" s="577">
        <f t="shared" si="319"/>
        <v>4287</v>
      </c>
      <c r="AG2524" s="275">
        <f t="shared" si="320"/>
        <v>7488</v>
      </c>
    </row>
    <row r="2525" spans="1:33" ht="12" customHeight="1">
      <c r="A2525" s="744" t="s">
        <v>1274</v>
      </c>
      <c r="B2525" s="703" t="s">
        <v>1784</v>
      </c>
      <c r="C2525" s="747" t="s">
        <v>45</v>
      </c>
      <c r="D2525" s="746">
        <v>218858</v>
      </c>
      <c r="E2525" s="697">
        <v>9</v>
      </c>
      <c r="F2525" s="518"/>
      <c r="G2525" s="487"/>
      <c r="H2525" s="518">
        <v>117</v>
      </c>
      <c r="I2525" s="487">
        <v>72</v>
      </c>
      <c r="J2525" s="573"/>
      <c r="K2525" s="487"/>
      <c r="L2525" s="573"/>
      <c r="M2525" s="573"/>
      <c r="N2525" s="456">
        <f t="shared" si="321"/>
        <v>0</v>
      </c>
      <c r="O2525" s="487"/>
      <c r="P2525" s="487"/>
      <c r="Q2525" s="274">
        <f t="shared" si="316"/>
        <v>0</v>
      </c>
      <c r="R2525" s="574">
        <f t="shared" si="317"/>
        <v>117</v>
      </c>
      <c r="S2525" s="275">
        <f t="shared" si="318"/>
        <v>72</v>
      </c>
      <c r="T2525" s="575"/>
      <c r="U2525" s="487"/>
      <c r="V2525" s="576"/>
      <c r="W2525" s="573"/>
      <c r="X2525" s="574">
        <f t="shared" si="322"/>
        <v>0</v>
      </c>
      <c r="Y2525" s="487"/>
      <c r="Z2525" s="487"/>
      <c r="AA2525" s="276">
        <f t="shared" si="323"/>
        <v>0</v>
      </c>
      <c r="AB2525" s="573"/>
      <c r="AC2525" s="487"/>
      <c r="AD2525" s="573"/>
      <c r="AE2525" s="487"/>
      <c r="AF2525" s="577">
        <f t="shared" si="319"/>
        <v>117</v>
      </c>
      <c r="AG2525" s="275">
        <f t="shared" si="320"/>
        <v>72</v>
      </c>
    </row>
    <row r="2526" spans="1:33" ht="12" customHeight="1">
      <c r="A2526" s="744" t="s">
        <v>1274</v>
      </c>
      <c r="B2526" s="703" t="s">
        <v>1784</v>
      </c>
      <c r="C2526" s="747" t="s">
        <v>1676</v>
      </c>
      <c r="D2526" s="746">
        <v>218858</v>
      </c>
      <c r="E2526" s="697">
        <v>9</v>
      </c>
      <c r="F2526" s="518"/>
      <c r="G2526" s="487"/>
      <c r="H2526" s="518"/>
      <c r="I2526" s="487">
        <v>24254</v>
      </c>
      <c r="J2526" s="573"/>
      <c r="K2526" s="487"/>
      <c r="L2526" s="573"/>
      <c r="M2526" s="573"/>
      <c r="N2526" s="456">
        <f t="shared" si="321"/>
        <v>0</v>
      </c>
      <c r="O2526" s="487"/>
      <c r="P2526" s="487"/>
      <c r="Q2526" s="274">
        <f t="shared" si="316"/>
        <v>0</v>
      </c>
      <c r="R2526" s="574">
        <f t="shared" si="317"/>
        <v>0</v>
      </c>
      <c r="S2526" s="275">
        <f t="shared" si="318"/>
        <v>24254</v>
      </c>
      <c r="T2526" s="575"/>
      <c r="U2526" s="487"/>
      <c r="V2526" s="576"/>
      <c r="W2526" s="573"/>
      <c r="X2526" s="574">
        <f t="shared" si="322"/>
        <v>0</v>
      </c>
      <c r="Y2526" s="487"/>
      <c r="Z2526" s="487"/>
      <c r="AA2526" s="276">
        <f t="shared" si="323"/>
        <v>0</v>
      </c>
      <c r="AB2526" s="573"/>
      <c r="AC2526" s="487"/>
      <c r="AD2526" s="573"/>
      <c r="AE2526" s="487"/>
      <c r="AF2526" s="577">
        <f t="shared" si="319"/>
        <v>0</v>
      </c>
      <c r="AG2526" s="275">
        <f t="shared" si="320"/>
        <v>24254</v>
      </c>
    </row>
    <row r="2527" spans="1:33" ht="12" customHeight="1">
      <c r="A2527" s="744" t="s">
        <v>1274</v>
      </c>
      <c r="B2527" s="703" t="s">
        <v>1784</v>
      </c>
      <c r="C2527" s="959" t="s">
        <v>2010</v>
      </c>
      <c r="D2527" s="746">
        <v>218858</v>
      </c>
      <c r="E2527" s="697">
        <v>9</v>
      </c>
      <c r="F2527" s="518"/>
      <c r="G2527" s="487"/>
      <c r="H2527" s="958">
        <v>518809</v>
      </c>
      <c r="I2527" s="949">
        <v>206488</v>
      </c>
      <c r="J2527" s="573"/>
      <c r="K2527" s="487"/>
      <c r="L2527" s="573"/>
      <c r="M2527" s="573"/>
      <c r="N2527" s="456">
        <f t="shared" si="321"/>
        <v>0</v>
      </c>
      <c r="O2527" s="487"/>
      <c r="P2527" s="487"/>
      <c r="Q2527" s="274">
        <f t="shared" si="316"/>
        <v>0</v>
      </c>
      <c r="R2527" s="574">
        <f t="shared" si="317"/>
        <v>518809</v>
      </c>
      <c r="S2527" s="275">
        <f t="shared" si="318"/>
        <v>206488</v>
      </c>
      <c r="T2527" s="575"/>
      <c r="U2527" s="487"/>
      <c r="V2527" s="576"/>
      <c r="W2527" s="573"/>
      <c r="X2527" s="574">
        <f t="shared" si="322"/>
        <v>0</v>
      </c>
      <c r="Y2527" s="487"/>
      <c r="Z2527" s="487"/>
      <c r="AA2527" s="276">
        <f t="shared" si="323"/>
        <v>0</v>
      </c>
      <c r="AB2527" s="573"/>
      <c r="AC2527" s="487"/>
      <c r="AD2527" s="573"/>
      <c r="AE2527" s="487"/>
      <c r="AF2527" s="577">
        <f t="shared" si="319"/>
        <v>518809</v>
      </c>
      <c r="AG2527" s="275">
        <f t="shared" si="320"/>
        <v>206488</v>
      </c>
    </row>
    <row r="2528" spans="1:33" ht="12" customHeight="1">
      <c r="A2528" s="744" t="s">
        <v>1274</v>
      </c>
      <c r="B2528" s="703" t="s">
        <v>1784</v>
      </c>
      <c r="C2528" s="959" t="s">
        <v>1998</v>
      </c>
      <c r="D2528" s="746">
        <v>218858</v>
      </c>
      <c r="E2528" s="697">
        <v>9</v>
      </c>
      <c r="F2528" s="518"/>
      <c r="G2528" s="487"/>
      <c r="H2528" s="958">
        <v>192599</v>
      </c>
      <c r="I2528" s="949">
        <v>190060</v>
      </c>
      <c r="J2528" s="573"/>
      <c r="K2528" s="487"/>
      <c r="L2528" s="573"/>
      <c r="M2528" s="573"/>
      <c r="N2528" s="456">
        <f t="shared" si="321"/>
        <v>0</v>
      </c>
      <c r="O2528" s="487"/>
      <c r="P2528" s="487"/>
      <c r="Q2528" s="274">
        <f t="shared" si="316"/>
        <v>0</v>
      </c>
      <c r="R2528" s="574">
        <f t="shared" si="317"/>
        <v>192599</v>
      </c>
      <c r="S2528" s="275">
        <f t="shared" si="318"/>
        <v>190060</v>
      </c>
      <c r="T2528" s="575"/>
      <c r="U2528" s="487"/>
      <c r="V2528" s="576"/>
      <c r="W2528" s="573"/>
      <c r="X2528" s="574">
        <f t="shared" si="322"/>
        <v>0</v>
      </c>
      <c r="Y2528" s="487"/>
      <c r="Z2528" s="487"/>
      <c r="AA2528" s="276">
        <f t="shared" si="323"/>
        <v>0</v>
      </c>
      <c r="AB2528" s="573"/>
      <c r="AC2528" s="487"/>
      <c r="AD2528" s="573"/>
      <c r="AE2528" s="487"/>
      <c r="AF2528" s="577">
        <f t="shared" si="319"/>
        <v>192599</v>
      </c>
      <c r="AG2528" s="275">
        <f t="shared" si="320"/>
        <v>190060</v>
      </c>
    </row>
    <row r="2529" spans="1:33" ht="12" customHeight="1">
      <c r="A2529" s="744" t="s">
        <v>1274</v>
      </c>
      <c r="B2529" s="703" t="s">
        <v>1784</v>
      </c>
      <c r="C2529" s="959" t="s">
        <v>2013</v>
      </c>
      <c r="D2529" s="746">
        <v>218858</v>
      </c>
      <c r="E2529" s="697">
        <v>9</v>
      </c>
      <c r="F2529" s="518"/>
      <c r="G2529" s="487"/>
      <c r="H2529" s="958">
        <v>2000000</v>
      </c>
      <c r="I2529" s="949"/>
      <c r="J2529" s="573"/>
      <c r="K2529" s="487"/>
      <c r="L2529" s="573"/>
      <c r="M2529" s="573"/>
      <c r="N2529" s="456">
        <f t="shared" si="321"/>
        <v>0</v>
      </c>
      <c r="O2529" s="487"/>
      <c r="P2529" s="487"/>
      <c r="Q2529" s="274">
        <f t="shared" si="316"/>
        <v>0</v>
      </c>
      <c r="R2529" s="574">
        <f t="shared" si="317"/>
        <v>2000000</v>
      </c>
      <c r="S2529" s="275">
        <f t="shared" si="318"/>
        <v>0</v>
      </c>
      <c r="T2529" s="575"/>
      <c r="U2529" s="487"/>
      <c r="V2529" s="576"/>
      <c r="W2529" s="573"/>
      <c r="X2529" s="574">
        <f t="shared" si="322"/>
        <v>0</v>
      </c>
      <c r="Y2529" s="487"/>
      <c r="Z2529" s="487"/>
      <c r="AA2529" s="276">
        <f t="shared" si="323"/>
        <v>0</v>
      </c>
      <c r="AB2529" s="573"/>
      <c r="AC2529" s="487"/>
      <c r="AD2529" s="573"/>
      <c r="AE2529" s="487"/>
      <c r="AF2529" s="577">
        <f t="shared" si="319"/>
        <v>2000000</v>
      </c>
      <c r="AG2529" s="275">
        <f t="shared" si="320"/>
        <v>0</v>
      </c>
    </row>
    <row r="2530" spans="1:33" ht="12" customHeight="1">
      <c r="A2530" s="744" t="s">
        <v>1274</v>
      </c>
      <c r="B2530" s="703" t="s">
        <v>1776</v>
      </c>
      <c r="C2530" s="745" t="s">
        <v>218</v>
      </c>
      <c r="D2530" s="746">
        <v>218025</v>
      </c>
      <c r="E2530" s="697">
        <v>9</v>
      </c>
      <c r="F2530" s="573">
        <v>9564414</v>
      </c>
      <c r="G2530" s="949">
        <v>7050862</v>
      </c>
      <c r="H2530" s="573"/>
      <c r="I2530" s="487"/>
      <c r="J2530" s="573">
        <v>3375127</v>
      </c>
      <c r="K2530" s="487">
        <v>4575219</v>
      </c>
      <c r="L2530" s="573">
        <v>11066913</v>
      </c>
      <c r="M2530" s="573">
        <v>1963582</v>
      </c>
      <c r="N2530" s="456">
        <f t="shared" si="321"/>
        <v>13030495</v>
      </c>
      <c r="O2530" s="487">
        <v>11577221</v>
      </c>
      <c r="P2530" s="487">
        <v>2015226</v>
      </c>
      <c r="Q2530" s="274">
        <f t="shared" si="316"/>
        <v>13592447</v>
      </c>
      <c r="R2530" s="574">
        <f t="shared" si="317"/>
        <v>24006454</v>
      </c>
      <c r="S2530" s="275">
        <f t="shared" si="318"/>
        <v>23203302</v>
      </c>
      <c r="T2530" s="575"/>
      <c r="U2530" s="487"/>
      <c r="V2530" s="576"/>
      <c r="W2530" s="573"/>
      <c r="X2530" s="574">
        <f t="shared" si="322"/>
        <v>0</v>
      </c>
      <c r="Y2530" s="487"/>
      <c r="Z2530" s="487"/>
      <c r="AA2530" s="276">
        <f t="shared" si="323"/>
        <v>0</v>
      </c>
      <c r="AB2530" s="573"/>
      <c r="AC2530" s="487"/>
      <c r="AD2530" s="573"/>
      <c r="AE2530" s="487"/>
      <c r="AF2530" s="577">
        <f t="shared" si="319"/>
        <v>24006454</v>
      </c>
      <c r="AG2530" s="275">
        <f t="shared" si="320"/>
        <v>23203302</v>
      </c>
    </row>
    <row r="2531" spans="1:33" ht="12" customHeight="1">
      <c r="A2531" s="744" t="s">
        <v>1274</v>
      </c>
      <c r="B2531" s="703" t="s">
        <v>1784</v>
      </c>
      <c r="C2531" s="299" t="s">
        <v>2037</v>
      </c>
      <c r="D2531" s="746">
        <v>218025</v>
      </c>
      <c r="E2531" s="697">
        <v>9</v>
      </c>
      <c r="F2531" s="518"/>
      <c r="G2531" s="487"/>
      <c r="H2531" s="573"/>
      <c r="I2531" s="487"/>
      <c r="J2531" s="573"/>
      <c r="K2531" s="487"/>
      <c r="L2531" s="573"/>
      <c r="M2531" s="573"/>
      <c r="N2531" s="456">
        <f t="shared" si="321"/>
        <v>0</v>
      </c>
      <c r="O2531" s="487"/>
      <c r="P2531" s="487"/>
      <c r="Q2531" s="274">
        <f t="shared" si="316"/>
        <v>0</v>
      </c>
      <c r="R2531" s="574">
        <f t="shared" si="317"/>
        <v>0</v>
      </c>
      <c r="S2531" s="275">
        <f t="shared" si="318"/>
        <v>0</v>
      </c>
      <c r="T2531" s="575"/>
      <c r="U2531" s="487"/>
      <c r="V2531" s="576"/>
      <c r="W2531" s="573"/>
      <c r="X2531" s="574">
        <f t="shared" si="322"/>
        <v>0</v>
      </c>
      <c r="Y2531" s="487"/>
      <c r="Z2531" s="487"/>
      <c r="AA2531" s="276">
        <f t="shared" si="323"/>
        <v>0</v>
      </c>
      <c r="AB2531" s="573"/>
      <c r="AC2531" s="487"/>
      <c r="AD2531" s="573"/>
      <c r="AE2531" s="487"/>
      <c r="AF2531" s="577">
        <f t="shared" si="319"/>
        <v>0</v>
      </c>
      <c r="AG2531" s="275">
        <f t="shared" si="320"/>
        <v>0</v>
      </c>
    </row>
    <row r="2532" spans="1:33" ht="12" customHeight="1">
      <c r="A2532" s="744" t="s">
        <v>1274</v>
      </c>
      <c r="B2532" s="703" t="s">
        <v>1784</v>
      </c>
      <c r="C2532" s="747" t="s">
        <v>1247</v>
      </c>
      <c r="D2532" s="746">
        <v>218025</v>
      </c>
      <c r="E2532" s="697">
        <v>9</v>
      </c>
      <c r="F2532" s="573"/>
      <c r="G2532" s="487"/>
      <c r="H2532" s="573">
        <v>500000</v>
      </c>
      <c r="I2532" s="949">
        <f>500000-109921</f>
        <v>390079</v>
      </c>
      <c r="J2532" s="573"/>
      <c r="K2532" s="487"/>
      <c r="L2532" s="573"/>
      <c r="M2532" s="573"/>
      <c r="N2532" s="456">
        <f t="shared" si="321"/>
        <v>0</v>
      </c>
      <c r="O2532" s="487"/>
      <c r="P2532" s="487"/>
      <c r="Q2532" s="274">
        <f t="shared" si="316"/>
        <v>0</v>
      </c>
      <c r="R2532" s="574">
        <f t="shared" si="317"/>
        <v>500000</v>
      </c>
      <c r="S2532" s="275">
        <f t="shared" si="318"/>
        <v>390079</v>
      </c>
      <c r="T2532" s="575"/>
      <c r="U2532" s="487"/>
      <c r="V2532" s="576"/>
      <c r="W2532" s="573"/>
      <c r="X2532" s="574">
        <f t="shared" si="322"/>
        <v>0</v>
      </c>
      <c r="Y2532" s="487"/>
      <c r="Z2532" s="487"/>
      <c r="AA2532" s="276">
        <f t="shared" si="323"/>
        <v>0</v>
      </c>
      <c r="AB2532" s="573"/>
      <c r="AC2532" s="487"/>
      <c r="AD2532" s="573"/>
      <c r="AE2532" s="487"/>
      <c r="AF2532" s="577">
        <f t="shared" si="319"/>
        <v>500000</v>
      </c>
      <c r="AG2532" s="275">
        <f t="shared" si="320"/>
        <v>390079</v>
      </c>
    </row>
    <row r="2533" spans="1:33" ht="12" customHeight="1">
      <c r="A2533" s="744" t="s">
        <v>1274</v>
      </c>
      <c r="B2533" s="703" t="s">
        <v>1784</v>
      </c>
      <c r="C2533" s="747" t="s">
        <v>219</v>
      </c>
      <c r="D2533" s="746">
        <v>218025</v>
      </c>
      <c r="E2533" s="697">
        <v>9</v>
      </c>
      <c r="F2533" s="573"/>
      <c r="G2533" s="487"/>
      <c r="H2533" s="573">
        <v>1500000</v>
      </c>
      <c r="I2533" s="949">
        <f>1500000-329762</f>
        <v>1170238</v>
      </c>
      <c r="J2533" s="573"/>
      <c r="K2533" s="487"/>
      <c r="L2533" s="573"/>
      <c r="M2533" s="573"/>
      <c r="N2533" s="456">
        <f t="shared" si="321"/>
        <v>0</v>
      </c>
      <c r="O2533" s="487"/>
      <c r="P2533" s="487"/>
      <c r="Q2533" s="274">
        <f t="shared" si="316"/>
        <v>0</v>
      </c>
      <c r="R2533" s="574">
        <f t="shared" si="317"/>
        <v>1500000</v>
      </c>
      <c r="S2533" s="275">
        <f t="shared" si="318"/>
        <v>1170238</v>
      </c>
      <c r="T2533" s="575"/>
      <c r="U2533" s="487"/>
      <c r="V2533" s="576"/>
      <c r="W2533" s="573"/>
      <c r="X2533" s="574">
        <f t="shared" si="322"/>
        <v>0</v>
      </c>
      <c r="Y2533" s="487"/>
      <c r="Z2533" s="487"/>
      <c r="AA2533" s="276">
        <f t="shared" si="323"/>
        <v>0</v>
      </c>
      <c r="AB2533" s="573"/>
      <c r="AC2533" s="487"/>
      <c r="AD2533" s="573"/>
      <c r="AE2533" s="487"/>
      <c r="AF2533" s="577">
        <f t="shared" si="319"/>
        <v>1500000</v>
      </c>
      <c r="AG2533" s="275">
        <f t="shared" si="320"/>
        <v>1170238</v>
      </c>
    </row>
    <row r="2534" spans="1:33" ht="12" customHeight="1">
      <c r="A2534" s="744" t="s">
        <v>1274</v>
      </c>
      <c r="B2534" s="703" t="s">
        <v>1784</v>
      </c>
      <c r="C2534" s="747" t="s">
        <v>47</v>
      </c>
      <c r="D2534" s="746">
        <v>218025</v>
      </c>
      <c r="E2534" s="697">
        <v>9</v>
      </c>
      <c r="F2534" s="518"/>
      <c r="G2534" s="487"/>
      <c r="H2534" s="518">
        <v>62500</v>
      </c>
      <c r="I2534" s="949">
        <v>48760</v>
      </c>
      <c r="J2534" s="573"/>
      <c r="K2534" s="487"/>
      <c r="L2534" s="573"/>
      <c r="M2534" s="573"/>
      <c r="N2534" s="456">
        <f t="shared" si="321"/>
        <v>0</v>
      </c>
      <c r="O2534" s="487"/>
      <c r="P2534" s="487"/>
      <c r="Q2534" s="274">
        <f t="shared" si="316"/>
        <v>0</v>
      </c>
      <c r="R2534" s="574">
        <f t="shared" si="317"/>
        <v>62500</v>
      </c>
      <c r="S2534" s="275">
        <f t="shared" si="318"/>
        <v>48760</v>
      </c>
      <c r="T2534" s="575"/>
      <c r="U2534" s="487"/>
      <c r="V2534" s="576"/>
      <c r="W2534" s="573"/>
      <c r="X2534" s="574">
        <f t="shared" si="322"/>
        <v>0</v>
      </c>
      <c r="Y2534" s="487"/>
      <c r="Z2534" s="487"/>
      <c r="AA2534" s="276">
        <f t="shared" si="323"/>
        <v>0</v>
      </c>
      <c r="AB2534" s="573"/>
      <c r="AC2534" s="487"/>
      <c r="AD2534" s="573"/>
      <c r="AE2534" s="487"/>
      <c r="AF2534" s="577">
        <f t="shared" si="319"/>
        <v>62500</v>
      </c>
      <c r="AG2534" s="275">
        <f t="shared" si="320"/>
        <v>48760</v>
      </c>
    </row>
    <row r="2535" spans="1:33" ht="12" customHeight="1">
      <c r="A2535" s="744" t="s">
        <v>1274</v>
      </c>
      <c r="B2535" s="703" t="s">
        <v>1784</v>
      </c>
      <c r="C2535" s="747" t="s">
        <v>1238</v>
      </c>
      <c r="D2535" s="746">
        <v>218025</v>
      </c>
      <c r="E2535" s="697">
        <v>9</v>
      </c>
      <c r="F2535" s="518"/>
      <c r="G2535" s="487"/>
      <c r="H2535" s="518">
        <v>4287</v>
      </c>
      <c r="I2535" s="487">
        <v>8327</v>
      </c>
      <c r="J2535" s="573"/>
      <c r="K2535" s="487"/>
      <c r="L2535" s="573"/>
      <c r="M2535" s="573"/>
      <c r="N2535" s="456">
        <f t="shared" si="321"/>
        <v>0</v>
      </c>
      <c r="O2535" s="487"/>
      <c r="P2535" s="487"/>
      <c r="Q2535" s="274">
        <f t="shared" si="316"/>
        <v>0</v>
      </c>
      <c r="R2535" s="574">
        <f t="shared" si="317"/>
        <v>4287</v>
      </c>
      <c r="S2535" s="275">
        <f t="shared" si="318"/>
        <v>8327</v>
      </c>
      <c r="T2535" s="575"/>
      <c r="U2535" s="487"/>
      <c r="V2535" s="576"/>
      <c r="W2535" s="573"/>
      <c r="X2535" s="574">
        <f t="shared" si="322"/>
        <v>0</v>
      </c>
      <c r="Y2535" s="487"/>
      <c r="Z2535" s="487"/>
      <c r="AA2535" s="276">
        <f t="shared" si="323"/>
        <v>0</v>
      </c>
      <c r="AB2535" s="573"/>
      <c r="AC2535" s="487"/>
      <c r="AD2535" s="573"/>
      <c r="AE2535" s="487"/>
      <c r="AF2535" s="577">
        <f t="shared" si="319"/>
        <v>4287</v>
      </c>
      <c r="AG2535" s="275">
        <f t="shared" si="320"/>
        <v>8327</v>
      </c>
    </row>
    <row r="2536" spans="1:33" ht="12" customHeight="1">
      <c r="A2536" s="744" t="s">
        <v>1274</v>
      </c>
      <c r="B2536" s="703" t="s">
        <v>1784</v>
      </c>
      <c r="C2536" s="747" t="s">
        <v>45</v>
      </c>
      <c r="D2536" s="746">
        <v>218025</v>
      </c>
      <c r="E2536" s="697">
        <v>9</v>
      </c>
      <c r="F2536" s="518"/>
      <c r="G2536" s="487"/>
      <c r="H2536" s="518">
        <v>0</v>
      </c>
      <c r="I2536" s="487">
        <v>1</v>
      </c>
      <c r="J2536" s="573"/>
      <c r="K2536" s="487"/>
      <c r="L2536" s="573"/>
      <c r="M2536" s="573"/>
      <c r="N2536" s="456">
        <f t="shared" si="321"/>
        <v>0</v>
      </c>
      <c r="O2536" s="487"/>
      <c r="P2536" s="487"/>
      <c r="Q2536" s="274">
        <f t="shared" si="316"/>
        <v>0</v>
      </c>
      <c r="R2536" s="574">
        <f t="shared" si="317"/>
        <v>0</v>
      </c>
      <c r="S2536" s="275">
        <f t="shared" si="318"/>
        <v>1</v>
      </c>
      <c r="T2536" s="575"/>
      <c r="U2536" s="487"/>
      <c r="V2536" s="576"/>
      <c r="W2536" s="573"/>
      <c r="X2536" s="574">
        <f t="shared" si="322"/>
        <v>0</v>
      </c>
      <c r="Y2536" s="487"/>
      <c r="Z2536" s="487"/>
      <c r="AA2536" s="276">
        <f t="shared" si="323"/>
        <v>0</v>
      </c>
      <c r="AB2536" s="573"/>
      <c r="AC2536" s="487"/>
      <c r="AD2536" s="573"/>
      <c r="AE2536" s="487"/>
      <c r="AF2536" s="577">
        <f t="shared" si="319"/>
        <v>0</v>
      </c>
      <c r="AG2536" s="275">
        <f t="shared" si="320"/>
        <v>1</v>
      </c>
    </row>
    <row r="2537" spans="1:33" ht="12" customHeight="1">
      <c r="A2537" s="744" t="s">
        <v>1274</v>
      </c>
      <c r="B2537" s="703" t="s">
        <v>1784</v>
      </c>
      <c r="C2537" s="747" t="s">
        <v>1676</v>
      </c>
      <c r="D2537" s="746">
        <v>218025</v>
      </c>
      <c r="E2537" s="697">
        <v>9</v>
      </c>
      <c r="F2537" s="518"/>
      <c r="G2537" s="487"/>
      <c r="H2537" s="518"/>
      <c r="I2537" s="487">
        <v>28873</v>
      </c>
      <c r="J2537" s="573"/>
      <c r="K2537" s="487"/>
      <c r="L2537" s="573"/>
      <c r="M2537" s="573"/>
      <c r="N2537" s="456">
        <f t="shared" si="321"/>
        <v>0</v>
      </c>
      <c r="O2537" s="487"/>
      <c r="P2537" s="487"/>
      <c r="Q2537" s="274">
        <f t="shared" si="316"/>
        <v>0</v>
      </c>
      <c r="R2537" s="574">
        <f t="shared" si="317"/>
        <v>0</v>
      </c>
      <c r="S2537" s="275">
        <f t="shared" si="318"/>
        <v>28873</v>
      </c>
      <c r="T2537" s="575"/>
      <c r="U2537" s="487"/>
      <c r="V2537" s="576"/>
      <c r="W2537" s="573"/>
      <c r="X2537" s="574">
        <f t="shared" si="322"/>
        <v>0</v>
      </c>
      <c r="Y2537" s="487"/>
      <c r="Z2537" s="487"/>
      <c r="AA2537" s="276">
        <f t="shared" si="323"/>
        <v>0</v>
      </c>
      <c r="AB2537" s="573"/>
      <c r="AC2537" s="487"/>
      <c r="AD2537" s="573"/>
      <c r="AE2537" s="487"/>
      <c r="AF2537" s="577">
        <f t="shared" si="319"/>
        <v>0</v>
      </c>
      <c r="AG2537" s="275">
        <f t="shared" si="320"/>
        <v>28873</v>
      </c>
    </row>
    <row r="2538" spans="1:33" ht="12" customHeight="1">
      <c r="A2538" s="744" t="s">
        <v>1274</v>
      </c>
      <c r="B2538" s="703" t="s">
        <v>1784</v>
      </c>
      <c r="C2538" s="959" t="s">
        <v>2010</v>
      </c>
      <c r="D2538" s="746">
        <v>218025</v>
      </c>
      <c r="E2538" s="697">
        <v>9</v>
      </c>
      <c r="F2538" s="518"/>
      <c r="G2538" s="487"/>
      <c r="H2538" s="958">
        <v>621662</v>
      </c>
      <c r="I2538" s="949">
        <v>246014</v>
      </c>
      <c r="J2538" s="573"/>
      <c r="K2538" s="487"/>
      <c r="L2538" s="573"/>
      <c r="M2538" s="573"/>
      <c r="N2538" s="456">
        <f t="shared" si="321"/>
        <v>0</v>
      </c>
      <c r="O2538" s="487"/>
      <c r="P2538" s="487"/>
      <c r="Q2538" s="274">
        <f t="shared" si="316"/>
        <v>0</v>
      </c>
      <c r="R2538" s="574">
        <f t="shared" si="317"/>
        <v>621662</v>
      </c>
      <c r="S2538" s="275">
        <f t="shared" si="318"/>
        <v>246014</v>
      </c>
      <c r="T2538" s="575"/>
      <c r="U2538" s="487"/>
      <c r="V2538" s="576"/>
      <c r="W2538" s="573"/>
      <c r="X2538" s="574">
        <f t="shared" si="322"/>
        <v>0</v>
      </c>
      <c r="Y2538" s="487"/>
      <c r="Z2538" s="487"/>
      <c r="AA2538" s="276">
        <f t="shared" si="323"/>
        <v>0</v>
      </c>
      <c r="AB2538" s="573"/>
      <c r="AC2538" s="487"/>
      <c r="AD2538" s="573"/>
      <c r="AE2538" s="487"/>
      <c r="AF2538" s="577">
        <f t="shared" si="319"/>
        <v>621662</v>
      </c>
      <c r="AG2538" s="275">
        <f t="shared" si="320"/>
        <v>246014</v>
      </c>
    </row>
    <row r="2539" spans="1:33" ht="12" customHeight="1">
      <c r="A2539" s="744" t="s">
        <v>1274</v>
      </c>
      <c r="B2539" s="703" t="s">
        <v>1784</v>
      </c>
      <c r="C2539" s="959" t="s">
        <v>1998</v>
      </c>
      <c r="D2539" s="746">
        <v>218025</v>
      </c>
      <c r="E2539" s="697">
        <v>9</v>
      </c>
      <c r="F2539" s="518"/>
      <c r="G2539" s="487"/>
      <c r="H2539" s="958">
        <v>288618</v>
      </c>
      <c r="I2539" s="949">
        <v>282250</v>
      </c>
      <c r="J2539" s="573"/>
      <c r="K2539" s="487"/>
      <c r="L2539" s="573"/>
      <c r="M2539" s="573"/>
      <c r="N2539" s="456">
        <f t="shared" si="321"/>
        <v>0</v>
      </c>
      <c r="O2539" s="487"/>
      <c r="P2539" s="487"/>
      <c r="Q2539" s="274">
        <f t="shared" si="316"/>
        <v>0</v>
      </c>
      <c r="R2539" s="574">
        <f t="shared" si="317"/>
        <v>288618</v>
      </c>
      <c r="S2539" s="275">
        <f t="shared" si="318"/>
        <v>282250</v>
      </c>
      <c r="T2539" s="575"/>
      <c r="U2539" s="487"/>
      <c r="V2539" s="576"/>
      <c r="W2539" s="573"/>
      <c r="X2539" s="574">
        <f t="shared" si="322"/>
        <v>0</v>
      </c>
      <c r="Y2539" s="487"/>
      <c r="Z2539" s="487"/>
      <c r="AA2539" s="276">
        <f t="shared" si="323"/>
        <v>0</v>
      </c>
      <c r="AB2539" s="573"/>
      <c r="AC2539" s="487"/>
      <c r="AD2539" s="573"/>
      <c r="AE2539" s="487"/>
      <c r="AF2539" s="577">
        <f t="shared" si="319"/>
        <v>288618</v>
      </c>
      <c r="AG2539" s="275">
        <f t="shared" si="320"/>
        <v>282250</v>
      </c>
    </row>
    <row r="2540" spans="1:33" ht="12" customHeight="1">
      <c r="A2540" s="744" t="s">
        <v>1274</v>
      </c>
      <c r="B2540" s="703" t="s">
        <v>1776</v>
      </c>
      <c r="C2540" s="745" t="s">
        <v>220</v>
      </c>
      <c r="D2540" s="746">
        <v>218140</v>
      </c>
      <c r="E2540" s="697">
        <v>9</v>
      </c>
      <c r="F2540" s="573">
        <v>10722887</v>
      </c>
      <c r="G2540" s="949">
        <v>8090339</v>
      </c>
      <c r="H2540" s="573"/>
      <c r="I2540" s="487"/>
      <c r="J2540" s="573">
        <v>3265000</v>
      </c>
      <c r="K2540" s="487">
        <v>3615000</v>
      </c>
      <c r="L2540" s="518">
        <v>15562245</v>
      </c>
      <c r="M2540" s="573">
        <v>211708</v>
      </c>
      <c r="N2540" s="456">
        <f t="shared" si="321"/>
        <v>15773953</v>
      </c>
      <c r="O2540" s="487">
        <v>17483031</v>
      </c>
      <c r="P2540" s="487">
        <v>203722</v>
      </c>
      <c r="Q2540" s="274">
        <f t="shared" si="316"/>
        <v>17686753</v>
      </c>
      <c r="R2540" s="574">
        <f t="shared" si="317"/>
        <v>29550132</v>
      </c>
      <c r="S2540" s="275">
        <f t="shared" si="318"/>
        <v>29188370</v>
      </c>
      <c r="T2540" s="575"/>
      <c r="U2540" s="487"/>
      <c r="V2540" s="576"/>
      <c r="W2540" s="573"/>
      <c r="X2540" s="574">
        <f t="shared" si="322"/>
        <v>0</v>
      </c>
      <c r="Y2540" s="487"/>
      <c r="Z2540" s="487"/>
      <c r="AA2540" s="276">
        <f t="shared" si="323"/>
        <v>0</v>
      </c>
      <c r="AB2540" s="573"/>
      <c r="AC2540" s="487"/>
      <c r="AD2540" s="573"/>
      <c r="AE2540" s="487"/>
      <c r="AF2540" s="577">
        <f t="shared" si="319"/>
        <v>29550132</v>
      </c>
      <c r="AG2540" s="275">
        <f t="shared" si="320"/>
        <v>29188370</v>
      </c>
    </row>
    <row r="2541" spans="1:33" ht="12" customHeight="1">
      <c r="A2541" s="744" t="s">
        <v>1274</v>
      </c>
      <c r="B2541" s="703" t="s">
        <v>1784</v>
      </c>
      <c r="C2541" s="299" t="s">
        <v>2037</v>
      </c>
      <c r="D2541" s="746">
        <v>218140</v>
      </c>
      <c r="E2541" s="697">
        <v>9</v>
      </c>
      <c r="F2541" s="518"/>
      <c r="G2541" s="487"/>
      <c r="H2541" s="573"/>
      <c r="I2541" s="487"/>
      <c r="J2541" s="573"/>
      <c r="K2541" s="487"/>
      <c r="L2541" s="573"/>
      <c r="M2541" s="573"/>
      <c r="N2541" s="456">
        <f t="shared" si="321"/>
        <v>0</v>
      </c>
      <c r="O2541" s="487"/>
      <c r="P2541" s="487"/>
      <c r="Q2541" s="274">
        <f t="shared" si="316"/>
        <v>0</v>
      </c>
      <c r="R2541" s="574">
        <f t="shared" si="317"/>
        <v>0</v>
      </c>
      <c r="S2541" s="275">
        <f t="shared" si="318"/>
        <v>0</v>
      </c>
      <c r="T2541" s="575"/>
      <c r="U2541" s="487"/>
      <c r="V2541" s="576"/>
      <c r="W2541" s="573"/>
      <c r="X2541" s="574">
        <f t="shared" si="322"/>
        <v>0</v>
      </c>
      <c r="Y2541" s="487"/>
      <c r="Z2541" s="487"/>
      <c r="AA2541" s="276">
        <f t="shared" si="323"/>
        <v>0</v>
      </c>
      <c r="AB2541" s="573"/>
      <c r="AC2541" s="487"/>
      <c r="AD2541" s="573"/>
      <c r="AE2541" s="487"/>
      <c r="AF2541" s="577">
        <f t="shared" si="319"/>
        <v>0</v>
      </c>
      <c r="AG2541" s="275">
        <f t="shared" si="320"/>
        <v>0</v>
      </c>
    </row>
    <row r="2542" spans="1:33" ht="12" customHeight="1">
      <c r="A2542" s="744" t="s">
        <v>1274</v>
      </c>
      <c r="B2542" s="703" t="s">
        <v>1784</v>
      </c>
      <c r="C2542" s="747" t="s">
        <v>47</v>
      </c>
      <c r="D2542" s="746">
        <v>218140</v>
      </c>
      <c r="E2542" s="697">
        <v>9</v>
      </c>
      <c r="F2542" s="518"/>
      <c r="G2542" s="487"/>
      <c r="H2542" s="518">
        <v>62500</v>
      </c>
      <c r="I2542" s="949">
        <v>48760</v>
      </c>
      <c r="J2542" s="573"/>
      <c r="K2542" s="487"/>
      <c r="L2542" s="573"/>
      <c r="M2542" s="573"/>
      <c r="N2542" s="456">
        <f t="shared" si="321"/>
        <v>0</v>
      </c>
      <c r="O2542" s="487"/>
      <c r="P2542" s="487"/>
      <c r="Q2542" s="274">
        <f t="shared" si="316"/>
        <v>0</v>
      </c>
      <c r="R2542" s="574">
        <f t="shared" si="317"/>
        <v>62500</v>
      </c>
      <c r="S2542" s="275">
        <f t="shared" si="318"/>
        <v>48760</v>
      </c>
      <c r="T2542" s="575"/>
      <c r="U2542" s="487"/>
      <c r="V2542" s="576"/>
      <c r="W2542" s="573"/>
      <c r="X2542" s="574">
        <f t="shared" si="322"/>
        <v>0</v>
      </c>
      <c r="Y2542" s="487"/>
      <c r="Z2542" s="487"/>
      <c r="AA2542" s="276">
        <f t="shared" si="323"/>
        <v>0</v>
      </c>
      <c r="AB2542" s="573"/>
      <c r="AC2542" s="487"/>
      <c r="AD2542" s="573"/>
      <c r="AE2542" s="487"/>
      <c r="AF2542" s="577">
        <f t="shared" si="319"/>
        <v>62500</v>
      </c>
      <c r="AG2542" s="275">
        <f t="shared" si="320"/>
        <v>48760</v>
      </c>
    </row>
    <row r="2543" spans="1:33" ht="12" customHeight="1">
      <c r="A2543" s="744" t="s">
        <v>1274</v>
      </c>
      <c r="B2543" s="703" t="s">
        <v>1784</v>
      </c>
      <c r="C2543" s="747" t="s">
        <v>1238</v>
      </c>
      <c r="D2543" s="746">
        <v>218140</v>
      </c>
      <c r="E2543" s="697">
        <v>9</v>
      </c>
      <c r="F2543" s="518"/>
      <c r="G2543" s="487"/>
      <c r="H2543" s="518">
        <v>4287</v>
      </c>
      <c r="I2543" s="487">
        <v>10625</v>
      </c>
      <c r="J2543" s="573"/>
      <c r="K2543" s="487"/>
      <c r="L2543" s="573"/>
      <c r="M2543" s="573"/>
      <c r="N2543" s="456">
        <f t="shared" si="321"/>
        <v>0</v>
      </c>
      <c r="O2543" s="487"/>
      <c r="P2543" s="487"/>
      <c r="Q2543" s="274">
        <f t="shared" si="316"/>
        <v>0</v>
      </c>
      <c r="R2543" s="574">
        <f t="shared" si="317"/>
        <v>4287</v>
      </c>
      <c r="S2543" s="275">
        <f t="shared" si="318"/>
        <v>10625</v>
      </c>
      <c r="T2543" s="575"/>
      <c r="U2543" s="487"/>
      <c r="V2543" s="576"/>
      <c r="W2543" s="573"/>
      <c r="X2543" s="574">
        <f t="shared" si="322"/>
        <v>0</v>
      </c>
      <c r="Y2543" s="487"/>
      <c r="Z2543" s="487"/>
      <c r="AA2543" s="276">
        <f t="shared" si="323"/>
        <v>0</v>
      </c>
      <c r="AB2543" s="573"/>
      <c r="AC2543" s="487"/>
      <c r="AD2543" s="573"/>
      <c r="AE2543" s="487"/>
      <c r="AF2543" s="577">
        <f t="shared" si="319"/>
        <v>4287</v>
      </c>
      <c r="AG2543" s="275">
        <f t="shared" si="320"/>
        <v>10625</v>
      </c>
    </row>
    <row r="2544" spans="1:33" ht="12" customHeight="1">
      <c r="A2544" s="744" t="s">
        <v>1274</v>
      </c>
      <c r="B2544" s="703" t="s">
        <v>1784</v>
      </c>
      <c r="C2544" s="747" t="s">
        <v>45</v>
      </c>
      <c r="D2544" s="746">
        <v>218140</v>
      </c>
      <c r="E2544" s="697">
        <v>9</v>
      </c>
      <c r="F2544" s="518"/>
      <c r="G2544" s="487"/>
      <c r="H2544" s="518">
        <v>113</v>
      </c>
      <c r="I2544" s="487">
        <v>358</v>
      </c>
      <c r="J2544" s="573"/>
      <c r="K2544" s="487"/>
      <c r="L2544" s="573"/>
      <c r="M2544" s="573"/>
      <c r="N2544" s="456">
        <f t="shared" si="321"/>
        <v>0</v>
      </c>
      <c r="O2544" s="487"/>
      <c r="P2544" s="487"/>
      <c r="Q2544" s="274">
        <f t="shared" si="316"/>
        <v>0</v>
      </c>
      <c r="R2544" s="574">
        <f t="shared" si="317"/>
        <v>113</v>
      </c>
      <c r="S2544" s="275">
        <f t="shared" si="318"/>
        <v>358</v>
      </c>
      <c r="T2544" s="575"/>
      <c r="U2544" s="487"/>
      <c r="V2544" s="576"/>
      <c r="W2544" s="573"/>
      <c r="X2544" s="574">
        <f t="shared" si="322"/>
        <v>0</v>
      </c>
      <c r="Y2544" s="487"/>
      <c r="Z2544" s="487"/>
      <c r="AA2544" s="276">
        <f t="shared" si="323"/>
        <v>0</v>
      </c>
      <c r="AB2544" s="573"/>
      <c r="AC2544" s="487"/>
      <c r="AD2544" s="573"/>
      <c r="AE2544" s="487"/>
      <c r="AF2544" s="577">
        <f t="shared" si="319"/>
        <v>113</v>
      </c>
      <c r="AG2544" s="275">
        <f t="shared" si="320"/>
        <v>358</v>
      </c>
    </row>
    <row r="2545" spans="1:33" ht="12" customHeight="1">
      <c r="A2545" s="744" t="s">
        <v>1274</v>
      </c>
      <c r="B2545" s="703" t="s">
        <v>1784</v>
      </c>
      <c r="C2545" s="747" t="s">
        <v>1676</v>
      </c>
      <c r="D2545" s="746">
        <v>218140</v>
      </c>
      <c r="E2545" s="697">
        <v>9</v>
      </c>
      <c r="F2545" s="518"/>
      <c r="G2545" s="487"/>
      <c r="H2545" s="573"/>
      <c r="I2545" s="487">
        <v>22958</v>
      </c>
      <c r="J2545" s="573"/>
      <c r="K2545" s="487"/>
      <c r="L2545" s="573"/>
      <c r="M2545" s="573"/>
      <c r="N2545" s="456">
        <f t="shared" si="321"/>
        <v>0</v>
      </c>
      <c r="O2545" s="487"/>
      <c r="P2545" s="487"/>
      <c r="Q2545" s="274">
        <f t="shared" si="316"/>
        <v>0</v>
      </c>
      <c r="R2545" s="574">
        <f t="shared" si="317"/>
        <v>0</v>
      </c>
      <c r="S2545" s="275">
        <f t="shared" si="318"/>
        <v>22958</v>
      </c>
      <c r="T2545" s="575"/>
      <c r="U2545" s="487"/>
      <c r="V2545" s="576"/>
      <c r="W2545" s="573"/>
      <c r="X2545" s="574">
        <f t="shared" si="322"/>
        <v>0</v>
      </c>
      <c r="Y2545" s="487"/>
      <c r="Z2545" s="487"/>
      <c r="AA2545" s="276">
        <f t="shared" si="323"/>
        <v>0</v>
      </c>
      <c r="AB2545" s="573"/>
      <c r="AC2545" s="487"/>
      <c r="AD2545" s="573"/>
      <c r="AE2545" s="487"/>
      <c r="AF2545" s="577">
        <f t="shared" si="319"/>
        <v>0</v>
      </c>
      <c r="AG2545" s="275">
        <f t="shared" si="320"/>
        <v>22958</v>
      </c>
    </row>
    <row r="2546" spans="1:33" ht="12" customHeight="1">
      <c r="A2546" s="744" t="s">
        <v>1274</v>
      </c>
      <c r="B2546" s="703" t="s">
        <v>1784</v>
      </c>
      <c r="C2546" s="959" t="s">
        <v>2010</v>
      </c>
      <c r="D2546" s="746">
        <v>218140</v>
      </c>
      <c r="E2546" s="697">
        <v>9</v>
      </c>
      <c r="F2546" s="518"/>
      <c r="G2546" s="487"/>
      <c r="H2546" s="958">
        <v>659143</v>
      </c>
      <c r="I2546" s="949">
        <v>263855</v>
      </c>
      <c r="J2546" s="573"/>
      <c r="K2546" s="487"/>
      <c r="L2546" s="573"/>
      <c r="M2546" s="573"/>
      <c r="N2546" s="456">
        <f t="shared" si="321"/>
        <v>0</v>
      </c>
      <c r="O2546" s="487"/>
      <c r="P2546" s="487"/>
      <c r="Q2546" s="274">
        <f t="shared" si="316"/>
        <v>0</v>
      </c>
      <c r="R2546" s="574">
        <f t="shared" si="317"/>
        <v>659143</v>
      </c>
      <c r="S2546" s="275">
        <f t="shared" si="318"/>
        <v>263855</v>
      </c>
      <c r="T2546" s="575"/>
      <c r="U2546" s="487"/>
      <c r="V2546" s="576"/>
      <c r="W2546" s="573"/>
      <c r="X2546" s="574">
        <f t="shared" si="322"/>
        <v>0</v>
      </c>
      <c r="Y2546" s="487"/>
      <c r="Z2546" s="487"/>
      <c r="AA2546" s="276">
        <f t="shared" si="323"/>
        <v>0</v>
      </c>
      <c r="AB2546" s="573"/>
      <c r="AC2546" s="487"/>
      <c r="AD2546" s="573"/>
      <c r="AE2546" s="487"/>
      <c r="AF2546" s="577">
        <f t="shared" si="319"/>
        <v>659143</v>
      </c>
      <c r="AG2546" s="275">
        <f t="shared" si="320"/>
        <v>263855</v>
      </c>
    </row>
    <row r="2547" spans="1:33" ht="12" customHeight="1">
      <c r="A2547" s="744" t="s">
        <v>1274</v>
      </c>
      <c r="B2547" s="703" t="s">
        <v>1784</v>
      </c>
      <c r="C2547" s="959" t="s">
        <v>1998</v>
      </c>
      <c r="D2547" s="746">
        <v>218140</v>
      </c>
      <c r="E2547" s="697">
        <v>9</v>
      </c>
      <c r="F2547" s="518"/>
      <c r="G2547" s="487"/>
      <c r="H2547" s="958">
        <v>323608</v>
      </c>
      <c r="I2547" s="949">
        <v>323860</v>
      </c>
      <c r="J2547" s="573"/>
      <c r="K2547" s="487"/>
      <c r="L2547" s="573"/>
      <c r="M2547" s="573"/>
      <c r="N2547" s="456">
        <f t="shared" si="321"/>
        <v>0</v>
      </c>
      <c r="O2547" s="487"/>
      <c r="P2547" s="487"/>
      <c r="Q2547" s="274">
        <f t="shared" si="316"/>
        <v>0</v>
      </c>
      <c r="R2547" s="574">
        <f t="shared" si="317"/>
        <v>323608</v>
      </c>
      <c r="S2547" s="275">
        <f t="shared" si="318"/>
        <v>323860</v>
      </c>
      <c r="T2547" s="575"/>
      <c r="U2547" s="487"/>
      <c r="V2547" s="576"/>
      <c r="W2547" s="573"/>
      <c r="X2547" s="574">
        <f t="shared" si="322"/>
        <v>0</v>
      </c>
      <c r="Y2547" s="487"/>
      <c r="Z2547" s="487"/>
      <c r="AA2547" s="276">
        <f t="shared" si="323"/>
        <v>0</v>
      </c>
      <c r="AB2547" s="573"/>
      <c r="AC2547" s="487"/>
      <c r="AD2547" s="573"/>
      <c r="AE2547" s="487"/>
      <c r="AF2547" s="577">
        <f t="shared" si="319"/>
        <v>323608</v>
      </c>
      <c r="AG2547" s="275">
        <f t="shared" si="320"/>
        <v>323860</v>
      </c>
    </row>
    <row r="2548" spans="1:33" ht="12" customHeight="1">
      <c r="A2548" s="744" t="s">
        <v>1274</v>
      </c>
      <c r="B2548" s="703" t="s">
        <v>1776</v>
      </c>
      <c r="C2548" s="744" t="s">
        <v>221</v>
      </c>
      <c r="D2548" s="746">
        <v>218487</v>
      </c>
      <c r="E2548" s="697">
        <v>9</v>
      </c>
      <c r="F2548" s="573">
        <v>6098811</v>
      </c>
      <c r="G2548" s="949">
        <v>4506504</v>
      </c>
      <c r="H2548" s="573"/>
      <c r="I2548" s="487"/>
      <c r="J2548" s="573">
        <v>1841700</v>
      </c>
      <c r="K2548" s="487">
        <v>1910027</v>
      </c>
      <c r="L2548" s="573">
        <v>7526752</v>
      </c>
      <c r="M2548" s="573">
        <v>0</v>
      </c>
      <c r="N2548" s="456">
        <f t="shared" si="321"/>
        <v>7526752</v>
      </c>
      <c r="O2548" s="487">
        <v>7509131</v>
      </c>
      <c r="P2548" s="487">
        <v>0</v>
      </c>
      <c r="Q2548" s="274">
        <f t="shared" si="316"/>
        <v>7509131</v>
      </c>
      <c r="R2548" s="574">
        <f t="shared" si="317"/>
        <v>15467263</v>
      </c>
      <c r="S2548" s="275">
        <f t="shared" si="318"/>
        <v>13925662</v>
      </c>
      <c r="T2548" s="575"/>
      <c r="U2548" s="487"/>
      <c r="V2548" s="576"/>
      <c r="W2548" s="573"/>
      <c r="X2548" s="574">
        <f t="shared" si="322"/>
        <v>0</v>
      </c>
      <c r="Y2548" s="487"/>
      <c r="Z2548" s="487"/>
      <c r="AA2548" s="276">
        <f t="shared" si="323"/>
        <v>0</v>
      </c>
      <c r="AB2548" s="573"/>
      <c r="AC2548" s="487"/>
      <c r="AD2548" s="573"/>
      <c r="AE2548" s="487"/>
      <c r="AF2548" s="577">
        <f t="shared" si="319"/>
        <v>15467263</v>
      </c>
      <c r="AG2548" s="275">
        <f t="shared" si="320"/>
        <v>13925662</v>
      </c>
    </row>
    <row r="2549" spans="1:33" ht="12" customHeight="1">
      <c r="A2549" s="744" t="s">
        <v>1274</v>
      </c>
      <c r="B2549" s="703" t="s">
        <v>1784</v>
      </c>
      <c r="C2549" s="299" t="s">
        <v>2037</v>
      </c>
      <c r="D2549" s="746">
        <v>218487</v>
      </c>
      <c r="E2549" s="697">
        <v>9</v>
      </c>
      <c r="F2549" s="518"/>
      <c r="G2549" s="487"/>
      <c r="H2549" s="573"/>
      <c r="I2549" s="487"/>
      <c r="J2549" s="573"/>
      <c r="K2549" s="487"/>
      <c r="L2549" s="573"/>
      <c r="M2549" s="573"/>
      <c r="N2549" s="456">
        <f t="shared" si="321"/>
        <v>0</v>
      </c>
      <c r="O2549" s="487"/>
      <c r="P2549" s="487"/>
      <c r="Q2549" s="274">
        <f t="shared" si="316"/>
        <v>0</v>
      </c>
      <c r="R2549" s="574">
        <f t="shared" si="317"/>
        <v>0</v>
      </c>
      <c r="S2549" s="275">
        <f t="shared" si="318"/>
        <v>0</v>
      </c>
      <c r="T2549" s="575"/>
      <c r="U2549" s="487"/>
      <c r="V2549" s="576"/>
      <c r="W2549" s="573"/>
      <c r="X2549" s="574">
        <f t="shared" si="322"/>
        <v>0</v>
      </c>
      <c r="Y2549" s="487"/>
      <c r="Z2549" s="487"/>
      <c r="AA2549" s="276">
        <f t="shared" si="323"/>
        <v>0</v>
      </c>
      <c r="AB2549" s="573"/>
      <c r="AC2549" s="487"/>
      <c r="AD2549" s="573"/>
      <c r="AE2549" s="487"/>
      <c r="AF2549" s="577">
        <f t="shared" si="319"/>
        <v>0</v>
      </c>
      <c r="AG2549" s="275">
        <f t="shared" si="320"/>
        <v>0</v>
      </c>
    </row>
    <row r="2550" spans="1:33" ht="12" customHeight="1">
      <c r="A2550" s="744" t="s">
        <v>1274</v>
      </c>
      <c r="B2550" s="703" t="s">
        <v>1784</v>
      </c>
      <c r="C2550" s="747" t="s">
        <v>47</v>
      </c>
      <c r="D2550" s="746">
        <v>218487</v>
      </c>
      <c r="E2550" s="697">
        <v>9</v>
      </c>
      <c r="F2550" s="518"/>
      <c r="G2550" s="487"/>
      <c r="H2550" s="518">
        <v>62500</v>
      </c>
      <c r="I2550" s="949">
        <v>48760</v>
      </c>
      <c r="J2550" s="573"/>
      <c r="K2550" s="487"/>
      <c r="L2550" s="573"/>
      <c r="M2550" s="573"/>
      <c r="N2550" s="456">
        <f t="shared" si="321"/>
        <v>0</v>
      </c>
      <c r="O2550" s="487"/>
      <c r="P2550" s="487"/>
      <c r="Q2550" s="274">
        <f t="shared" si="316"/>
        <v>0</v>
      </c>
      <c r="R2550" s="574">
        <f t="shared" si="317"/>
        <v>62500</v>
      </c>
      <c r="S2550" s="275">
        <f t="shared" si="318"/>
        <v>48760</v>
      </c>
      <c r="T2550" s="575"/>
      <c r="U2550" s="487"/>
      <c r="V2550" s="576"/>
      <c r="W2550" s="573"/>
      <c r="X2550" s="574">
        <f t="shared" si="322"/>
        <v>0</v>
      </c>
      <c r="Y2550" s="487"/>
      <c r="Z2550" s="487"/>
      <c r="AA2550" s="276">
        <f t="shared" si="323"/>
        <v>0</v>
      </c>
      <c r="AB2550" s="573"/>
      <c r="AC2550" s="487"/>
      <c r="AD2550" s="573"/>
      <c r="AE2550" s="487"/>
      <c r="AF2550" s="577">
        <f t="shared" si="319"/>
        <v>62500</v>
      </c>
      <c r="AG2550" s="275">
        <f t="shared" si="320"/>
        <v>48760</v>
      </c>
    </row>
    <row r="2551" spans="1:33" ht="12" customHeight="1">
      <c r="A2551" s="744" t="s">
        <v>1274</v>
      </c>
      <c r="B2551" s="703" t="s">
        <v>1784</v>
      </c>
      <c r="C2551" s="747" t="s">
        <v>1238</v>
      </c>
      <c r="D2551" s="746">
        <v>218487</v>
      </c>
      <c r="E2551" s="697">
        <v>9</v>
      </c>
      <c r="F2551" s="518"/>
      <c r="G2551" s="487"/>
      <c r="H2551" s="518">
        <v>4287</v>
      </c>
      <c r="I2551" s="487">
        <v>6387</v>
      </c>
      <c r="J2551" s="573"/>
      <c r="K2551" s="487"/>
      <c r="L2551" s="573"/>
      <c r="M2551" s="573"/>
      <c r="N2551" s="456">
        <f t="shared" si="321"/>
        <v>0</v>
      </c>
      <c r="O2551" s="487"/>
      <c r="P2551" s="487"/>
      <c r="Q2551" s="274">
        <f t="shared" si="316"/>
        <v>0</v>
      </c>
      <c r="R2551" s="574">
        <f t="shared" si="317"/>
        <v>4287</v>
      </c>
      <c r="S2551" s="275">
        <f t="shared" si="318"/>
        <v>6387</v>
      </c>
      <c r="T2551" s="575"/>
      <c r="U2551" s="487"/>
      <c r="V2551" s="576"/>
      <c r="W2551" s="573"/>
      <c r="X2551" s="574">
        <f t="shared" si="322"/>
        <v>0</v>
      </c>
      <c r="Y2551" s="487"/>
      <c r="Z2551" s="487"/>
      <c r="AA2551" s="276">
        <f t="shared" si="323"/>
        <v>0</v>
      </c>
      <c r="AB2551" s="573"/>
      <c r="AC2551" s="487"/>
      <c r="AD2551" s="573"/>
      <c r="AE2551" s="487"/>
      <c r="AF2551" s="577">
        <f t="shared" si="319"/>
        <v>4287</v>
      </c>
      <c r="AG2551" s="275">
        <f t="shared" si="320"/>
        <v>6387</v>
      </c>
    </row>
    <row r="2552" spans="1:33" ht="12" customHeight="1">
      <c r="A2552" s="744" t="s">
        <v>1274</v>
      </c>
      <c r="B2552" s="703" t="s">
        <v>1784</v>
      </c>
      <c r="C2552" s="747" t="s">
        <v>45</v>
      </c>
      <c r="D2552" s="746">
        <v>218487</v>
      </c>
      <c r="E2552" s="697">
        <v>9</v>
      </c>
      <c r="F2552" s="518"/>
      <c r="G2552" s="487"/>
      <c r="H2552" s="518">
        <v>276</v>
      </c>
      <c r="I2552" s="487">
        <v>166</v>
      </c>
      <c r="J2552" s="573"/>
      <c r="K2552" s="487"/>
      <c r="L2552" s="573"/>
      <c r="M2552" s="573"/>
      <c r="N2552" s="456">
        <f t="shared" si="321"/>
        <v>0</v>
      </c>
      <c r="O2552" s="487"/>
      <c r="P2552" s="487"/>
      <c r="Q2552" s="274">
        <f t="shared" si="316"/>
        <v>0</v>
      </c>
      <c r="R2552" s="574">
        <f t="shared" si="317"/>
        <v>276</v>
      </c>
      <c r="S2552" s="275">
        <f t="shared" si="318"/>
        <v>166</v>
      </c>
      <c r="T2552" s="575"/>
      <c r="U2552" s="487"/>
      <c r="V2552" s="576"/>
      <c r="W2552" s="573"/>
      <c r="X2552" s="574">
        <f t="shared" si="322"/>
        <v>0</v>
      </c>
      <c r="Y2552" s="487"/>
      <c r="Z2552" s="487"/>
      <c r="AA2552" s="276">
        <f t="shared" si="323"/>
        <v>0</v>
      </c>
      <c r="AB2552" s="573"/>
      <c r="AC2552" s="487"/>
      <c r="AD2552" s="573"/>
      <c r="AE2552" s="487"/>
      <c r="AF2552" s="577">
        <f t="shared" si="319"/>
        <v>276</v>
      </c>
      <c r="AG2552" s="275">
        <f t="shared" si="320"/>
        <v>166</v>
      </c>
    </row>
    <row r="2553" spans="1:33" ht="12" customHeight="1">
      <c r="A2553" s="744" t="s">
        <v>1274</v>
      </c>
      <c r="B2553" s="703" t="s">
        <v>1784</v>
      </c>
      <c r="C2553" s="747" t="s">
        <v>1676</v>
      </c>
      <c r="D2553" s="746">
        <v>218487</v>
      </c>
      <c r="E2553" s="697">
        <v>9</v>
      </c>
      <c r="F2553" s="518"/>
      <c r="G2553" s="487"/>
      <c r="H2553" s="518">
        <v>28414</v>
      </c>
      <c r="I2553" s="487">
        <v>22806</v>
      </c>
      <c r="J2553" s="573"/>
      <c r="K2553" s="487"/>
      <c r="L2553" s="573"/>
      <c r="M2553" s="573"/>
      <c r="N2553" s="456">
        <f t="shared" si="321"/>
        <v>0</v>
      </c>
      <c r="O2553" s="487"/>
      <c r="P2553" s="487"/>
      <c r="Q2553" s="274">
        <f t="shared" si="316"/>
        <v>0</v>
      </c>
      <c r="R2553" s="574">
        <f t="shared" si="317"/>
        <v>28414</v>
      </c>
      <c r="S2553" s="275">
        <f t="shared" si="318"/>
        <v>22806</v>
      </c>
      <c r="T2553" s="575"/>
      <c r="U2553" s="487"/>
      <c r="V2553" s="576"/>
      <c r="W2553" s="573"/>
      <c r="X2553" s="574">
        <f t="shared" si="322"/>
        <v>0</v>
      </c>
      <c r="Y2553" s="487"/>
      <c r="Z2553" s="487"/>
      <c r="AA2553" s="276">
        <f t="shared" si="323"/>
        <v>0</v>
      </c>
      <c r="AB2553" s="573"/>
      <c r="AC2553" s="487"/>
      <c r="AD2553" s="573"/>
      <c r="AE2553" s="487"/>
      <c r="AF2553" s="577">
        <f t="shared" si="319"/>
        <v>28414</v>
      </c>
      <c r="AG2553" s="275">
        <f t="shared" si="320"/>
        <v>22806</v>
      </c>
    </row>
    <row r="2554" spans="1:33" ht="12" customHeight="1">
      <c r="A2554" s="744" t="s">
        <v>1274</v>
      </c>
      <c r="B2554" s="703" t="s">
        <v>1784</v>
      </c>
      <c r="C2554" s="959" t="s">
        <v>2010</v>
      </c>
      <c r="D2554" s="746">
        <v>218487</v>
      </c>
      <c r="E2554" s="697">
        <v>9</v>
      </c>
      <c r="F2554" s="518"/>
      <c r="G2554" s="487"/>
      <c r="H2554" s="958">
        <v>509660</v>
      </c>
      <c r="I2554" s="949">
        <v>202345</v>
      </c>
      <c r="J2554" s="573"/>
      <c r="K2554" s="487"/>
      <c r="L2554" s="573"/>
      <c r="M2554" s="573"/>
      <c r="N2554" s="456">
        <f t="shared" si="321"/>
        <v>0</v>
      </c>
      <c r="O2554" s="487"/>
      <c r="P2554" s="487"/>
      <c r="Q2554" s="274">
        <f t="shared" si="316"/>
        <v>0</v>
      </c>
      <c r="R2554" s="574">
        <f t="shared" si="317"/>
        <v>509660</v>
      </c>
      <c r="S2554" s="275">
        <f t="shared" si="318"/>
        <v>202345</v>
      </c>
      <c r="T2554" s="575"/>
      <c r="U2554" s="487"/>
      <c r="V2554" s="576"/>
      <c r="W2554" s="573"/>
      <c r="X2554" s="574">
        <f t="shared" si="322"/>
        <v>0</v>
      </c>
      <c r="Y2554" s="487"/>
      <c r="Z2554" s="487"/>
      <c r="AA2554" s="276">
        <f t="shared" si="323"/>
        <v>0</v>
      </c>
      <c r="AB2554" s="573"/>
      <c r="AC2554" s="487"/>
      <c r="AD2554" s="573"/>
      <c r="AE2554" s="487"/>
      <c r="AF2554" s="577">
        <f t="shared" si="319"/>
        <v>509660</v>
      </c>
      <c r="AG2554" s="275">
        <f t="shared" si="320"/>
        <v>202345</v>
      </c>
    </row>
    <row r="2555" spans="1:33" ht="12" customHeight="1">
      <c r="A2555" s="744" t="s">
        <v>1274</v>
      </c>
      <c r="B2555" s="703" t="s">
        <v>1784</v>
      </c>
      <c r="C2555" s="959" t="s">
        <v>2014</v>
      </c>
      <c r="D2555" s="746">
        <v>218487</v>
      </c>
      <c r="E2555" s="697">
        <v>9</v>
      </c>
      <c r="F2555" s="518"/>
      <c r="G2555" s="487"/>
      <c r="H2555" s="958">
        <v>200000</v>
      </c>
      <c r="I2555" s="949"/>
      <c r="J2555" s="573"/>
      <c r="K2555" s="487"/>
      <c r="L2555" s="573"/>
      <c r="M2555" s="573"/>
      <c r="N2555" s="456">
        <f t="shared" si="321"/>
        <v>0</v>
      </c>
      <c r="O2555" s="487"/>
      <c r="P2555" s="487"/>
      <c r="Q2555" s="274">
        <f t="shared" si="316"/>
        <v>0</v>
      </c>
      <c r="R2555" s="574">
        <f t="shared" si="317"/>
        <v>200000</v>
      </c>
      <c r="S2555" s="275">
        <f t="shared" si="318"/>
        <v>0</v>
      </c>
      <c r="T2555" s="575"/>
      <c r="U2555" s="487"/>
      <c r="V2555" s="576"/>
      <c r="W2555" s="573"/>
      <c r="X2555" s="574">
        <f t="shared" si="322"/>
        <v>0</v>
      </c>
      <c r="Y2555" s="487"/>
      <c r="Z2555" s="487"/>
      <c r="AA2555" s="276">
        <f t="shared" si="323"/>
        <v>0</v>
      </c>
      <c r="AB2555" s="573"/>
      <c r="AC2555" s="487"/>
      <c r="AD2555" s="573"/>
      <c r="AE2555" s="487"/>
      <c r="AF2555" s="577">
        <f t="shared" si="319"/>
        <v>200000</v>
      </c>
      <c r="AG2555" s="275">
        <f t="shared" si="320"/>
        <v>0</v>
      </c>
    </row>
    <row r="2556" spans="1:33" ht="12" customHeight="1">
      <c r="A2556" s="744" t="s">
        <v>1274</v>
      </c>
      <c r="B2556" s="703" t="s">
        <v>1784</v>
      </c>
      <c r="C2556" s="959" t="s">
        <v>1998</v>
      </c>
      <c r="D2556" s="746">
        <v>218487</v>
      </c>
      <c r="E2556" s="697">
        <v>9</v>
      </c>
      <c r="F2556" s="518"/>
      <c r="G2556" s="487"/>
      <c r="H2556" s="958">
        <v>184058</v>
      </c>
      <c r="I2556" s="949">
        <v>180398</v>
      </c>
      <c r="J2556" s="573"/>
      <c r="K2556" s="487"/>
      <c r="L2556" s="573"/>
      <c r="M2556" s="573"/>
      <c r="N2556" s="456">
        <f t="shared" si="321"/>
        <v>0</v>
      </c>
      <c r="O2556" s="487"/>
      <c r="P2556" s="487"/>
      <c r="Q2556" s="274">
        <f t="shared" si="316"/>
        <v>0</v>
      </c>
      <c r="R2556" s="574">
        <f t="shared" si="317"/>
        <v>184058</v>
      </c>
      <c r="S2556" s="275">
        <f t="shared" si="318"/>
        <v>180398</v>
      </c>
      <c r="T2556" s="575"/>
      <c r="U2556" s="487"/>
      <c r="V2556" s="576"/>
      <c r="W2556" s="573"/>
      <c r="X2556" s="574">
        <f t="shared" si="322"/>
        <v>0</v>
      </c>
      <c r="Y2556" s="487"/>
      <c r="Z2556" s="487"/>
      <c r="AA2556" s="276">
        <f t="shared" si="323"/>
        <v>0</v>
      </c>
      <c r="AB2556" s="573"/>
      <c r="AC2556" s="487"/>
      <c r="AD2556" s="573"/>
      <c r="AE2556" s="487"/>
      <c r="AF2556" s="577">
        <f t="shared" si="319"/>
        <v>184058</v>
      </c>
      <c r="AG2556" s="275">
        <f t="shared" si="320"/>
        <v>180398</v>
      </c>
    </row>
    <row r="2557" spans="1:33" ht="12" customHeight="1">
      <c r="A2557" s="744" t="s">
        <v>1274</v>
      </c>
      <c r="B2557" s="703" t="s">
        <v>1776</v>
      </c>
      <c r="C2557" s="749" t="s">
        <v>222</v>
      </c>
      <c r="D2557" s="746">
        <v>218520</v>
      </c>
      <c r="E2557" s="697">
        <v>9</v>
      </c>
      <c r="F2557" s="573">
        <v>10039758</v>
      </c>
      <c r="G2557" s="949">
        <v>7674707</v>
      </c>
      <c r="H2557" s="573"/>
      <c r="I2557" s="487"/>
      <c r="J2557" s="573">
        <v>1955993</v>
      </c>
      <c r="K2557" s="487">
        <v>2115234</v>
      </c>
      <c r="L2557" s="573">
        <v>13920285</v>
      </c>
      <c r="M2557" s="573">
        <v>0</v>
      </c>
      <c r="N2557" s="456">
        <f t="shared" si="321"/>
        <v>13920285</v>
      </c>
      <c r="O2557" s="487">
        <v>15262751</v>
      </c>
      <c r="P2557" s="487">
        <v>0</v>
      </c>
      <c r="Q2557" s="274">
        <f t="shared" si="316"/>
        <v>15262751</v>
      </c>
      <c r="R2557" s="574">
        <f t="shared" si="317"/>
        <v>25916036</v>
      </c>
      <c r="S2557" s="275">
        <f t="shared" si="318"/>
        <v>25052692</v>
      </c>
      <c r="T2557" s="575"/>
      <c r="U2557" s="487"/>
      <c r="V2557" s="576"/>
      <c r="W2557" s="573"/>
      <c r="X2557" s="574">
        <f t="shared" si="322"/>
        <v>0</v>
      </c>
      <c r="Y2557" s="487"/>
      <c r="Z2557" s="487"/>
      <c r="AA2557" s="276">
        <f t="shared" si="323"/>
        <v>0</v>
      </c>
      <c r="AB2557" s="573"/>
      <c r="AC2557" s="487"/>
      <c r="AD2557" s="573"/>
      <c r="AE2557" s="487"/>
      <c r="AF2557" s="577">
        <f t="shared" si="319"/>
        <v>25916036</v>
      </c>
      <c r="AG2557" s="275">
        <f t="shared" si="320"/>
        <v>25052692</v>
      </c>
    </row>
    <row r="2558" spans="1:33" ht="12" customHeight="1">
      <c r="A2558" s="744" t="s">
        <v>1274</v>
      </c>
      <c r="B2558" s="703" t="s">
        <v>1784</v>
      </c>
      <c r="C2558" s="299" t="s">
        <v>2037</v>
      </c>
      <c r="D2558" s="746">
        <v>218520</v>
      </c>
      <c r="E2558" s="697">
        <v>9</v>
      </c>
      <c r="F2558" s="518"/>
      <c r="G2558" s="487"/>
      <c r="H2558" s="573"/>
      <c r="I2558" s="487"/>
      <c r="J2558" s="573"/>
      <c r="K2558" s="487"/>
      <c r="L2558" s="573"/>
      <c r="M2558" s="573"/>
      <c r="N2558" s="456">
        <f t="shared" si="321"/>
        <v>0</v>
      </c>
      <c r="O2558" s="487"/>
      <c r="P2558" s="487"/>
      <c r="Q2558" s="274">
        <f t="shared" si="316"/>
        <v>0</v>
      </c>
      <c r="R2558" s="574">
        <f t="shared" si="317"/>
        <v>0</v>
      </c>
      <c r="S2558" s="275">
        <f t="shared" si="318"/>
        <v>0</v>
      </c>
      <c r="T2558" s="575"/>
      <c r="U2558" s="487"/>
      <c r="V2558" s="576"/>
      <c r="W2558" s="573"/>
      <c r="X2558" s="574">
        <f t="shared" si="322"/>
        <v>0</v>
      </c>
      <c r="Y2558" s="487"/>
      <c r="Z2558" s="487"/>
      <c r="AA2558" s="276">
        <f t="shared" si="323"/>
        <v>0</v>
      </c>
      <c r="AB2558" s="573"/>
      <c r="AC2558" s="487"/>
      <c r="AD2558" s="573"/>
      <c r="AE2558" s="487"/>
      <c r="AF2558" s="577">
        <f t="shared" si="319"/>
        <v>0</v>
      </c>
      <c r="AG2558" s="275">
        <f t="shared" si="320"/>
        <v>0</v>
      </c>
    </row>
    <row r="2559" spans="1:33" ht="12" customHeight="1">
      <c r="A2559" s="744" t="s">
        <v>1274</v>
      </c>
      <c r="B2559" s="703" t="s">
        <v>1784</v>
      </c>
      <c r="C2559" s="747" t="s">
        <v>47</v>
      </c>
      <c r="D2559" s="746">
        <v>218520</v>
      </c>
      <c r="E2559" s="697">
        <v>9</v>
      </c>
      <c r="F2559" s="518"/>
      <c r="G2559" s="487"/>
      <c r="H2559" s="518">
        <v>62500</v>
      </c>
      <c r="I2559" s="949">
        <v>48760</v>
      </c>
      <c r="J2559" s="573"/>
      <c r="K2559" s="487"/>
      <c r="L2559" s="573"/>
      <c r="M2559" s="573"/>
      <c r="N2559" s="456">
        <f t="shared" si="321"/>
        <v>0</v>
      </c>
      <c r="O2559" s="487"/>
      <c r="P2559" s="487"/>
      <c r="Q2559" s="274">
        <f t="shared" si="316"/>
        <v>0</v>
      </c>
      <c r="R2559" s="574">
        <f t="shared" si="317"/>
        <v>62500</v>
      </c>
      <c r="S2559" s="275">
        <f t="shared" si="318"/>
        <v>48760</v>
      </c>
      <c r="T2559" s="575"/>
      <c r="U2559" s="487"/>
      <c r="V2559" s="576"/>
      <c r="W2559" s="573"/>
      <c r="X2559" s="574">
        <f t="shared" si="322"/>
        <v>0</v>
      </c>
      <c r="Y2559" s="487"/>
      <c r="Z2559" s="487"/>
      <c r="AA2559" s="276">
        <f t="shared" si="323"/>
        <v>0</v>
      </c>
      <c r="AB2559" s="573"/>
      <c r="AC2559" s="487"/>
      <c r="AD2559" s="573"/>
      <c r="AE2559" s="487"/>
      <c r="AF2559" s="577">
        <f t="shared" si="319"/>
        <v>62500</v>
      </c>
      <c r="AG2559" s="275">
        <f t="shared" si="320"/>
        <v>48760</v>
      </c>
    </row>
    <row r="2560" spans="1:33" ht="12" customHeight="1">
      <c r="A2560" s="744" t="s">
        <v>1274</v>
      </c>
      <c r="B2560" s="703" t="s">
        <v>1784</v>
      </c>
      <c r="C2560" s="747" t="s">
        <v>1238</v>
      </c>
      <c r="D2560" s="746">
        <v>218520</v>
      </c>
      <c r="E2560" s="697">
        <v>9</v>
      </c>
      <c r="F2560" s="518"/>
      <c r="G2560" s="487"/>
      <c r="H2560" s="518">
        <v>4287</v>
      </c>
      <c r="I2560" s="487">
        <v>9478</v>
      </c>
      <c r="J2560" s="573"/>
      <c r="K2560" s="487"/>
      <c r="L2560" s="573"/>
      <c r="M2560" s="573"/>
      <c r="N2560" s="456">
        <f t="shared" si="321"/>
        <v>0</v>
      </c>
      <c r="O2560" s="487"/>
      <c r="P2560" s="487"/>
      <c r="Q2560" s="274">
        <f t="shared" si="316"/>
        <v>0</v>
      </c>
      <c r="R2560" s="574">
        <f t="shared" si="317"/>
        <v>4287</v>
      </c>
      <c r="S2560" s="275">
        <f t="shared" si="318"/>
        <v>9478</v>
      </c>
      <c r="T2560" s="575"/>
      <c r="U2560" s="487"/>
      <c r="V2560" s="576"/>
      <c r="W2560" s="573"/>
      <c r="X2560" s="574">
        <f t="shared" si="322"/>
        <v>0</v>
      </c>
      <c r="Y2560" s="487"/>
      <c r="Z2560" s="487"/>
      <c r="AA2560" s="276">
        <f t="shared" si="323"/>
        <v>0</v>
      </c>
      <c r="AB2560" s="573"/>
      <c r="AC2560" s="487"/>
      <c r="AD2560" s="573"/>
      <c r="AE2560" s="487"/>
      <c r="AF2560" s="577">
        <f t="shared" si="319"/>
        <v>4287</v>
      </c>
      <c r="AG2560" s="275">
        <f t="shared" si="320"/>
        <v>9478</v>
      </c>
    </row>
    <row r="2561" spans="1:33" ht="12" customHeight="1">
      <c r="A2561" s="744" t="s">
        <v>1274</v>
      </c>
      <c r="B2561" s="703" t="s">
        <v>1784</v>
      </c>
      <c r="C2561" s="747" t="s">
        <v>45</v>
      </c>
      <c r="D2561" s="746">
        <v>218520</v>
      </c>
      <c r="E2561" s="697">
        <v>9</v>
      </c>
      <c r="F2561" s="518"/>
      <c r="G2561" s="487"/>
      <c r="H2561" s="518">
        <v>713</v>
      </c>
      <c r="I2561" s="487">
        <v>445</v>
      </c>
      <c r="J2561" s="573"/>
      <c r="K2561" s="487"/>
      <c r="L2561" s="573"/>
      <c r="M2561" s="573"/>
      <c r="N2561" s="456">
        <f t="shared" si="321"/>
        <v>0</v>
      </c>
      <c r="O2561" s="487"/>
      <c r="P2561" s="487"/>
      <c r="Q2561" s="274">
        <f t="shared" si="316"/>
        <v>0</v>
      </c>
      <c r="R2561" s="574">
        <f t="shared" si="317"/>
        <v>713</v>
      </c>
      <c r="S2561" s="275">
        <f t="shared" si="318"/>
        <v>445</v>
      </c>
      <c r="T2561" s="575"/>
      <c r="U2561" s="487"/>
      <c r="V2561" s="576"/>
      <c r="W2561" s="573"/>
      <c r="X2561" s="574">
        <f t="shared" si="322"/>
        <v>0</v>
      </c>
      <c r="Y2561" s="487"/>
      <c r="Z2561" s="487"/>
      <c r="AA2561" s="276">
        <f t="shared" si="323"/>
        <v>0</v>
      </c>
      <c r="AB2561" s="573"/>
      <c r="AC2561" s="487"/>
      <c r="AD2561" s="573"/>
      <c r="AE2561" s="487"/>
      <c r="AF2561" s="577">
        <f t="shared" si="319"/>
        <v>713</v>
      </c>
      <c r="AG2561" s="275">
        <f t="shared" si="320"/>
        <v>445</v>
      </c>
    </row>
    <row r="2562" spans="1:33" ht="12" customHeight="1">
      <c r="A2562" s="744" t="s">
        <v>1274</v>
      </c>
      <c r="B2562" s="703" t="s">
        <v>1784</v>
      </c>
      <c r="C2562" s="747" t="s">
        <v>1676</v>
      </c>
      <c r="D2562" s="746">
        <v>218520</v>
      </c>
      <c r="E2562" s="697">
        <v>9</v>
      </c>
      <c r="F2562" s="518"/>
      <c r="G2562" s="487"/>
      <c r="H2562" s="518">
        <v>23248</v>
      </c>
      <c r="I2562" s="487">
        <v>51048</v>
      </c>
      <c r="J2562" s="573"/>
      <c r="K2562" s="487"/>
      <c r="L2562" s="573"/>
      <c r="M2562" s="573"/>
      <c r="N2562" s="456">
        <f t="shared" si="321"/>
        <v>0</v>
      </c>
      <c r="O2562" s="487"/>
      <c r="P2562" s="487"/>
      <c r="Q2562" s="274">
        <f t="shared" si="316"/>
        <v>0</v>
      </c>
      <c r="R2562" s="574">
        <f t="shared" si="317"/>
        <v>23248</v>
      </c>
      <c r="S2562" s="275">
        <f t="shared" si="318"/>
        <v>51048</v>
      </c>
      <c r="T2562" s="575"/>
      <c r="U2562" s="487"/>
      <c r="V2562" s="576"/>
      <c r="W2562" s="573"/>
      <c r="X2562" s="574">
        <f t="shared" si="322"/>
        <v>0</v>
      </c>
      <c r="Y2562" s="487"/>
      <c r="Z2562" s="487"/>
      <c r="AA2562" s="276">
        <f t="shared" si="323"/>
        <v>0</v>
      </c>
      <c r="AB2562" s="573"/>
      <c r="AC2562" s="487"/>
      <c r="AD2562" s="573"/>
      <c r="AE2562" s="487"/>
      <c r="AF2562" s="577">
        <f t="shared" si="319"/>
        <v>23248</v>
      </c>
      <c r="AG2562" s="275">
        <f t="shared" si="320"/>
        <v>51048</v>
      </c>
    </row>
    <row r="2563" spans="1:33" ht="12" customHeight="1">
      <c r="A2563" s="744" t="s">
        <v>1274</v>
      </c>
      <c r="B2563" s="703" t="s">
        <v>1784</v>
      </c>
      <c r="C2563" s="959" t="s">
        <v>2010</v>
      </c>
      <c r="D2563" s="746">
        <v>218520</v>
      </c>
      <c r="E2563" s="697">
        <v>9</v>
      </c>
      <c r="F2563" s="518"/>
      <c r="G2563" s="487"/>
      <c r="H2563" s="958">
        <v>639056</v>
      </c>
      <c r="I2563" s="949">
        <v>256722</v>
      </c>
      <c r="J2563" s="573"/>
      <c r="K2563" s="487"/>
      <c r="L2563" s="573"/>
      <c r="M2563" s="573"/>
      <c r="N2563" s="456">
        <f t="shared" si="321"/>
        <v>0</v>
      </c>
      <c r="O2563" s="487"/>
      <c r="P2563" s="487"/>
      <c r="Q2563" s="274">
        <f t="shared" si="316"/>
        <v>0</v>
      </c>
      <c r="R2563" s="574">
        <f t="shared" si="317"/>
        <v>639056</v>
      </c>
      <c r="S2563" s="275">
        <f t="shared" si="318"/>
        <v>256722</v>
      </c>
      <c r="T2563" s="575"/>
      <c r="U2563" s="487"/>
      <c r="V2563" s="576"/>
      <c r="W2563" s="573"/>
      <c r="X2563" s="574">
        <f t="shared" si="322"/>
        <v>0</v>
      </c>
      <c r="Y2563" s="487"/>
      <c r="Z2563" s="487"/>
      <c r="AA2563" s="276">
        <f t="shared" si="323"/>
        <v>0</v>
      </c>
      <c r="AB2563" s="573"/>
      <c r="AC2563" s="487"/>
      <c r="AD2563" s="573"/>
      <c r="AE2563" s="487"/>
      <c r="AF2563" s="577">
        <f t="shared" si="319"/>
        <v>639056</v>
      </c>
      <c r="AG2563" s="275">
        <f t="shared" si="320"/>
        <v>256722</v>
      </c>
    </row>
    <row r="2564" spans="1:33" ht="12" customHeight="1">
      <c r="A2564" s="744" t="s">
        <v>1274</v>
      </c>
      <c r="B2564" s="703" t="s">
        <v>1784</v>
      </c>
      <c r="C2564" s="959" t="s">
        <v>2015</v>
      </c>
      <c r="D2564" s="746">
        <v>218520</v>
      </c>
      <c r="E2564" s="697">
        <v>9</v>
      </c>
      <c r="F2564" s="518"/>
      <c r="G2564" s="487"/>
      <c r="H2564" s="958">
        <v>150000</v>
      </c>
      <c r="I2564" s="949"/>
      <c r="J2564" s="573"/>
      <c r="K2564" s="487"/>
      <c r="L2564" s="573"/>
      <c r="M2564" s="573"/>
      <c r="N2564" s="456">
        <f t="shared" si="321"/>
        <v>0</v>
      </c>
      <c r="O2564" s="487"/>
      <c r="P2564" s="487"/>
      <c r="Q2564" s="274">
        <f t="shared" si="316"/>
        <v>0</v>
      </c>
      <c r="R2564" s="574">
        <f t="shared" si="317"/>
        <v>150000</v>
      </c>
      <c r="S2564" s="275">
        <f t="shared" si="318"/>
        <v>0</v>
      </c>
      <c r="T2564" s="575"/>
      <c r="U2564" s="487"/>
      <c r="V2564" s="576"/>
      <c r="W2564" s="573"/>
      <c r="X2564" s="574">
        <f t="shared" si="322"/>
        <v>0</v>
      </c>
      <c r="Y2564" s="487"/>
      <c r="Z2564" s="487"/>
      <c r="AA2564" s="276">
        <f t="shared" si="323"/>
        <v>0</v>
      </c>
      <c r="AB2564" s="573"/>
      <c r="AC2564" s="487"/>
      <c r="AD2564" s="573"/>
      <c r="AE2564" s="487"/>
      <c r="AF2564" s="577">
        <f t="shared" si="319"/>
        <v>150000</v>
      </c>
      <c r="AG2564" s="275">
        <f t="shared" si="320"/>
        <v>0</v>
      </c>
    </row>
    <row r="2565" spans="1:33" ht="12" customHeight="1">
      <c r="A2565" s="744" t="s">
        <v>1274</v>
      </c>
      <c r="B2565" s="703" t="s">
        <v>1784</v>
      </c>
      <c r="C2565" s="959" t="s">
        <v>1998</v>
      </c>
      <c r="D2565" s="746">
        <v>218520</v>
      </c>
      <c r="E2565" s="697">
        <v>9</v>
      </c>
      <c r="F2565" s="518"/>
      <c r="G2565" s="487"/>
      <c r="H2565" s="958">
        <v>304856</v>
      </c>
      <c r="I2565" s="949">
        <v>307223</v>
      </c>
      <c r="J2565" s="573"/>
      <c r="K2565" s="487"/>
      <c r="L2565" s="573"/>
      <c r="M2565" s="573"/>
      <c r="N2565" s="456">
        <f t="shared" si="321"/>
        <v>0</v>
      </c>
      <c r="O2565" s="487"/>
      <c r="P2565" s="487"/>
      <c r="Q2565" s="274">
        <f t="shared" si="316"/>
        <v>0</v>
      </c>
      <c r="R2565" s="574">
        <f t="shared" si="317"/>
        <v>304856</v>
      </c>
      <c r="S2565" s="275">
        <f t="shared" si="318"/>
        <v>307223</v>
      </c>
      <c r="T2565" s="575"/>
      <c r="U2565" s="487"/>
      <c r="V2565" s="576"/>
      <c r="W2565" s="573"/>
      <c r="X2565" s="574">
        <f t="shared" si="322"/>
        <v>0</v>
      </c>
      <c r="Y2565" s="487"/>
      <c r="Z2565" s="487"/>
      <c r="AA2565" s="276">
        <f t="shared" si="323"/>
        <v>0</v>
      </c>
      <c r="AB2565" s="573"/>
      <c r="AC2565" s="487"/>
      <c r="AD2565" s="573"/>
      <c r="AE2565" s="487"/>
      <c r="AF2565" s="577">
        <f t="shared" si="319"/>
        <v>304856</v>
      </c>
      <c r="AG2565" s="275">
        <f t="shared" si="320"/>
        <v>307223</v>
      </c>
    </row>
    <row r="2566" spans="1:33" ht="12" customHeight="1">
      <c r="A2566" s="744" t="s">
        <v>1274</v>
      </c>
      <c r="B2566" s="703" t="s">
        <v>1776</v>
      </c>
      <c r="C2566" s="745" t="s">
        <v>223</v>
      </c>
      <c r="D2566" s="746">
        <v>218830</v>
      </c>
      <c r="E2566" s="697">
        <v>9</v>
      </c>
      <c r="F2566" s="573">
        <v>9627359</v>
      </c>
      <c r="G2566" s="949">
        <v>7301402</v>
      </c>
      <c r="H2566" s="573"/>
      <c r="I2566" s="487"/>
      <c r="J2566" s="573">
        <v>3906703</v>
      </c>
      <c r="K2566" s="487">
        <v>3920249</v>
      </c>
      <c r="L2566" s="573">
        <v>14728395</v>
      </c>
      <c r="M2566" s="573">
        <v>1583622</v>
      </c>
      <c r="N2566" s="456">
        <f t="shared" si="321"/>
        <v>16312017</v>
      </c>
      <c r="O2566" s="487">
        <v>16878449</v>
      </c>
      <c r="P2566" s="487">
        <v>1740087</v>
      </c>
      <c r="Q2566" s="274">
        <f t="shared" si="316"/>
        <v>18618536</v>
      </c>
      <c r="R2566" s="574">
        <f t="shared" si="317"/>
        <v>28262457</v>
      </c>
      <c r="S2566" s="275">
        <f t="shared" si="318"/>
        <v>28100100</v>
      </c>
      <c r="T2566" s="575"/>
      <c r="U2566" s="487"/>
      <c r="V2566" s="576"/>
      <c r="W2566" s="573"/>
      <c r="X2566" s="574">
        <f t="shared" si="322"/>
        <v>0</v>
      </c>
      <c r="Y2566" s="487"/>
      <c r="Z2566" s="487"/>
      <c r="AA2566" s="276">
        <f t="shared" si="323"/>
        <v>0</v>
      </c>
      <c r="AB2566" s="573"/>
      <c r="AC2566" s="487"/>
      <c r="AD2566" s="573"/>
      <c r="AE2566" s="487"/>
      <c r="AF2566" s="577">
        <f t="shared" si="319"/>
        <v>28262457</v>
      </c>
      <c r="AG2566" s="275">
        <f t="shared" si="320"/>
        <v>28100100</v>
      </c>
    </row>
    <row r="2567" spans="1:33" ht="12" customHeight="1">
      <c r="A2567" s="744" t="s">
        <v>1274</v>
      </c>
      <c r="B2567" s="703" t="s">
        <v>1784</v>
      </c>
      <c r="C2567" s="299" t="s">
        <v>2037</v>
      </c>
      <c r="D2567" s="746">
        <v>218830</v>
      </c>
      <c r="E2567" s="697">
        <v>9</v>
      </c>
      <c r="F2567" s="518"/>
      <c r="G2567" s="487"/>
      <c r="H2567" s="573"/>
      <c r="I2567" s="487"/>
      <c r="J2567" s="573"/>
      <c r="K2567" s="487"/>
      <c r="L2567" s="573"/>
      <c r="M2567" s="573"/>
      <c r="N2567" s="456">
        <f t="shared" si="321"/>
        <v>0</v>
      </c>
      <c r="O2567" s="487"/>
      <c r="P2567" s="487"/>
      <c r="Q2567" s="274">
        <f t="shared" si="316"/>
        <v>0</v>
      </c>
      <c r="R2567" s="574">
        <f t="shared" si="317"/>
        <v>0</v>
      </c>
      <c r="S2567" s="275">
        <f t="shared" si="318"/>
        <v>0</v>
      </c>
      <c r="T2567" s="575"/>
      <c r="U2567" s="487"/>
      <c r="V2567" s="576"/>
      <c r="W2567" s="573"/>
      <c r="X2567" s="574">
        <f t="shared" si="322"/>
        <v>0</v>
      </c>
      <c r="Y2567" s="487"/>
      <c r="Z2567" s="487"/>
      <c r="AA2567" s="276">
        <f t="shared" si="323"/>
        <v>0</v>
      </c>
      <c r="AB2567" s="573"/>
      <c r="AC2567" s="487"/>
      <c r="AD2567" s="573"/>
      <c r="AE2567" s="487"/>
      <c r="AF2567" s="577">
        <f t="shared" si="319"/>
        <v>0</v>
      </c>
      <c r="AG2567" s="275">
        <f t="shared" si="320"/>
        <v>0</v>
      </c>
    </row>
    <row r="2568" spans="1:33" ht="12" customHeight="1">
      <c r="A2568" s="744" t="s">
        <v>1274</v>
      </c>
      <c r="B2568" s="703" t="s">
        <v>1784</v>
      </c>
      <c r="C2568" s="747" t="s">
        <v>224</v>
      </c>
      <c r="D2568" s="746">
        <v>218830</v>
      </c>
      <c r="E2568" s="697">
        <v>9</v>
      </c>
      <c r="F2568" s="573">
        <v>1500000</v>
      </c>
      <c r="G2568" s="949">
        <f>1500000-329762</f>
        <v>1170238</v>
      </c>
      <c r="H2568" s="573"/>
      <c r="I2568" s="487"/>
      <c r="J2568" s="573"/>
      <c r="K2568" s="487"/>
      <c r="L2568" s="573"/>
      <c r="M2568" s="573"/>
      <c r="N2568" s="456">
        <f t="shared" si="321"/>
        <v>0</v>
      </c>
      <c r="O2568" s="487"/>
      <c r="P2568" s="487"/>
      <c r="Q2568" s="274">
        <f t="shared" si="316"/>
        <v>0</v>
      </c>
      <c r="R2568" s="574">
        <f t="shared" si="317"/>
        <v>1500000</v>
      </c>
      <c r="S2568" s="275">
        <f t="shared" si="318"/>
        <v>1170238</v>
      </c>
      <c r="T2568" s="575"/>
      <c r="U2568" s="487"/>
      <c r="V2568" s="576"/>
      <c r="W2568" s="573"/>
      <c r="X2568" s="574">
        <f t="shared" si="322"/>
        <v>0</v>
      </c>
      <c r="Y2568" s="487"/>
      <c r="Z2568" s="487"/>
      <c r="AA2568" s="276">
        <f t="shared" si="323"/>
        <v>0</v>
      </c>
      <c r="AB2568" s="573"/>
      <c r="AC2568" s="487"/>
      <c r="AD2568" s="573"/>
      <c r="AE2568" s="487"/>
      <c r="AF2568" s="577">
        <f t="shared" si="319"/>
        <v>1500000</v>
      </c>
      <c r="AG2568" s="275">
        <f t="shared" si="320"/>
        <v>1170238</v>
      </c>
    </row>
    <row r="2569" spans="1:33" ht="12" customHeight="1">
      <c r="A2569" s="744" t="s">
        <v>1274</v>
      </c>
      <c r="B2569" s="703" t="s">
        <v>1784</v>
      </c>
      <c r="C2569" s="747" t="s">
        <v>47</v>
      </c>
      <c r="D2569" s="746">
        <v>218830</v>
      </c>
      <c r="E2569" s="697">
        <v>9</v>
      </c>
      <c r="F2569" s="518"/>
      <c r="G2569" s="487"/>
      <c r="H2569" s="518">
        <v>62500</v>
      </c>
      <c r="I2569" s="949">
        <v>48760</v>
      </c>
      <c r="J2569" s="573"/>
      <c r="K2569" s="487"/>
      <c r="L2569" s="573"/>
      <c r="M2569" s="573"/>
      <c r="N2569" s="456">
        <f t="shared" si="321"/>
        <v>0</v>
      </c>
      <c r="O2569" s="487"/>
      <c r="P2569" s="487"/>
      <c r="Q2569" s="274">
        <f t="shared" si="316"/>
        <v>0</v>
      </c>
      <c r="R2569" s="574">
        <f t="shared" si="317"/>
        <v>62500</v>
      </c>
      <c r="S2569" s="275">
        <f t="shared" si="318"/>
        <v>48760</v>
      </c>
      <c r="T2569" s="575"/>
      <c r="U2569" s="487"/>
      <c r="V2569" s="576"/>
      <c r="W2569" s="573"/>
      <c r="X2569" s="574">
        <f t="shared" si="322"/>
        <v>0</v>
      </c>
      <c r="Y2569" s="487"/>
      <c r="Z2569" s="487"/>
      <c r="AA2569" s="276">
        <f t="shared" si="323"/>
        <v>0</v>
      </c>
      <c r="AB2569" s="573"/>
      <c r="AC2569" s="487"/>
      <c r="AD2569" s="573"/>
      <c r="AE2569" s="487"/>
      <c r="AF2569" s="577">
        <f t="shared" si="319"/>
        <v>62500</v>
      </c>
      <c r="AG2569" s="275">
        <f t="shared" si="320"/>
        <v>48760</v>
      </c>
    </row>
    <row r="2570" spans="1:33" ht="12" customHeight="1">
      <c r="A2570" s="744" t="s">
        <v>1274</v>
      </c>
      <c r="B2570" s="703" t="s">
        <v>1784</v>
      </c>
      <c r="C2570" s="747" t="s">
        <v>1238</v>
      </c>
      <c r="D2570" s="746">
        <v>218830</v>
      </c>
      <c r="E2570" s="697">
        <v>9</v>
      </c>
      <c r="F2570" s="518"/>
      <c r="G2570" s="487"/>
      <c r="H2570" s="518">
        <v>4287</v>
      </c>
      <c r="I2570" s="487">
        <v>8954</v>
      </c>
      <c r="J2570" s="573"/>
      <c r="K2570" s="487"/>
      <c r="L2570" s="573"/>
      <c r="M2570" s="573"/>
      <c r="N2570" s="456">
        <f t="shared" si="321"/>
        <v>0</v>
      </c>
      <c r="O2570" s="487"/>
      <c r="P2570" s="487"/>
      <c r="Q2570" s="274">
        <f t="shared" ref="Q2570:Q2633" si="324">SUM(O2570:P2570)</f>
        <v>0</v>
      </c>
      <c r="R2570" s="574">
        <f t="shared" ref="R2570:R2633" si="325">SUM(F2570,H2570,J2570,L2570)</f>
        <v>4287</v>
      </c>
      <c r="S2570" s="275">
        <f t="shared" ref="S2570:S2633" si="326">SUM(G2570,I2570,K2570,O2570)</f>
        <v>8954</v>
      </c>
      <c r="T2570" s="575"/>
      <c r="U2570" s="487"/>
      <c r="V2570" s="576"/>
      <c r="W2570" s="573"/>
      <c r="X2570" s="574">
        <f t="shared" si="322"/>
        <v>0</v>
      </c>
      <c r="Y2570" s="487"/>
      <c r="Z2570" s="487"/>
      <c r="AA2570" s="276">
        <f t="shared" si="323"/>
        <v>0</v>
      </c>
      <c r="AB2570" s="573"/>
      <c r="AC2570" s="487"/>
      <c r="AD2570" s="573"/>
      <c r="AE2570" s="487"/>
      <c r="AF2570" s="577">
        <f t="shared" ref="AF2570:AF2633" si="327">SUM(R2570,T2570,V2570,AB2570,AD2570)</f>
        <v>4287</v>
      </c>
      <c r="AG2570" s="275">
        <f t="shared" ref="AG2570:AG2633" si="328">SUM(S2570,U2570,Y2570,AC2570,AE2570)</f>
        <v>8954</v>
      </c>
    </row>
    <row r="2571" spans="1:33" ht="12" customHeight="1">
      <c r="A2571" s="744" t="s">
        <v>1274</v>
      </c>
      <c r="B2571" s="703" t="s">
        <v>1784</v>
      </c>
      <c r="C2571" s="747" t="s">
        <v>45</v>
      </c>
      <c r="D2571" s="746">
        <v>218830</v>
      </c>
      <c r="E2571" s="697">
        <v>9</v>
      </c>
      <c r="F2571" s="518"/>
      <c r="G2571" s="487"/>
      <c r="H2571" s="518">
        <v>1545</v>
      </c>
      <c r="I2571" s="487">
        <v>928</v>
      </c>
      <c r="J2571" s="573"/>
      <c r="K2571" s="487"/>
      <c r="L2571" s="573"/>
      <c r="M2571" s="573"/>
      <c r="N2571" s="456">
        <f t="shared" si="321"/>
        <v>0</v>
      </c>
      <c r="O2571" s="487"/>
      <c r="P2571" s="487"/>
      <c r="Q2571" s="274">
        <f t="shared" si="324"/>
        <v>0</v>
      </c>
      <c r="R2571" s="574">
        <f t="shared" si="325"/>
        <v>1545</v>
      </c>
      <c r="S2571" s="275">
        <f t="shared" si="326"/>
        <v>928</v>
      </c>
      <c r="T2571" s="575"/>
      <c r="U2571" s="487"/>
      <c r="V2571" s="576"/>
      <c r="W2571" s="573"/>
      <c r="X2571" s="574">
        <f t="shared" si="322"/>
        <v>0</v>
      </c>
      <c r="Y2571" s="487"/>
      <c r="Z2571" s="487"/>
      <c r="AA2571" s="276">
        <f t="shared" si="323"/>
        <v>0</v>
      </c>
      <c r="AB2571" s="573"/>
      <c r="AC2571" s="487"/>
      <c r="AD2571" s="573"/>
      <c r="AE2571" s="487"/>
      <c r="AF2571" s="577">
        <f t="shared" si="327"/>
        <v>1545</v>
      </c>
      <c r="AG2571" s="275">
        <f t="shared" si="328"/>
        <v>928</v>
      </c>
    </row>
    <row r="2572" spans="1:33" ht="12" customHeight="1">
      <c r="A2572" s="744" t="s">
        <v>1274</v>
      </c>
      <c r="B2572" s="703" t="s">
        <v>1784</v>
      </c>
      <c r="C2572" s="747" t="s">
        <v>1676</v>
      </c>
      <c r="D2572" s="746">
        <v>218830</v>
      </c>
      <c r="E2572" s="697">
        <v>9</v>
      </c>
      <c r="F2572" s="518"/>
      <c r="G2572" s="487"/>
      <c r="H2572" s="518">
        <v>23248</v>
      </c>
      <c r="I2572" s="487"/>
      <c r="J2572" s="573"/>
      <c r="K2572" s="487"/>
      <c r="L2572" s="573"/>
      <c r="M2572" s="573"/>
      <c r="N2572" s="456">
        <f t="shared" si="321"/>
        <v>0</v>
      </c>
      <c r="O2572" s="487"/>
      <c r="P2572" s="487"/>
      <c r="Q2572" s="274">
        <f t="shared" si="324"/>
        <v>0</v>
      </c>
      <c r="R2572" s="574">
        <f t="shared" si="325"/>
        <v>23248</v>
      </c>
      <c r="S2572" s="275">
        <f t="shared" si="326"/>
        <v>0</v>
      </c>
      <c r="T2572" s="575"/>
      <c r="U2572" s="487"/>
      <c r="V2572" s="576"/>
      <c r="W2572" s="573"/>
      <c r="X2572" s="574">
        <f t="shared" si="322"/>
        <v>0</v>
      </c>
      <c r="Y2572" s="487"/>
      <c r="Z2572" s="487"/>
      <c r="AA2572" s="276">
        <f t="shared" si="323"/>
        <v>0</v>
      </c>
      <c r="AB2572" s="573"/>
      <c r="AC2572" s="487"/>
      <c r="AD2572" s="573"/>
      <c r="AE2572" s="487"/>
      <c r="AF2572" s="577">
        <f t="shared" si="327"/>
        <v>23248</v>
      </c>
      <c r="AG2572" s="275">
        <f t="shared" si="328"/>
        <v>0</v>
      </c>
    </row>
    <row r="2573" spans="1:33" ht="12" customHeight="1">
      <c r="A2573" s="744" t="s">
        <v>1274</v>
      </c>
      <c r="B2573" s="703" t="s">
        <v>1784</v>
      </c>
      <c r="C2573" s="959" t="s">
        <v>2010</v>
      </c>
      <c r="D2573" s="746">
        <v>218830</v>
      </c>
      <c r="E2573" s="697">
        <v>9</v>
      </c>
      <c r="F2573" s="518"/>
      <c r="G2573" s="487"/>
      <c r="H2573" s="958">
        <v>623912</v>
      </c>
      <c r="I2573" s="949">
        <v>250315</v>
      </c>
      <c r="J2573" s="573"/>
      <c r="K2573" s="487"/>
      <c r="L2573" s="573"/>
      <c r="M2573" s="573"/>
      <c r="N2573" s="456">
        <f t="shared" si="321"/>
        <v>0</v>
      </c>
      <c r="O2573" s="487"/>
      <c r="P2573" s="487"/>
      <c r="Q2573" s="274">
        <f t="shared" si="324"/>
        <v>0</v>
      </c>
      <c r="R2573" s="574">
        <f t="shared" si="325"/>
        <v>623912</v>
      </c>
      <c r="S2573" s="275">
        <f t="shared" si="326"/>
        <v>250315</v>
      </c>
      <c r="T2573" s="575"/>
      <c r="U2573" s="487"/>
      <c r="V2573" s="576"/>
      <c r="W2573" s="573"/>
      <c r="X2573" s="574">
        <f t="shared" si="322"/>
        <v>0</v>
      </c>
      <c r="Y2573" s="487"/>
      <c r="Z2573" s="487"/>
      <c r="AA2573" s="276">
        <f t="shared" si="323"/>
        <v>0</v>
      </c>
      <c r="AB2573" s="573"/>
      <c r="AC2573" s="487"/>
      <c r="AD2573" s="573"/>
      <c r="AE2573" s="487"/>
      <c r="AF2573" s="577">
        <f t="shared" si="327"/>
        <v>623912</v>
      </c>
      <c r="AG2573" s="275">
        <f t="shared" si="328"/>
        <v>250315</v>
      </c>
    </row>
    <row r="2574" spans="1:33" ht="12" customHeight="1">
      <c r="A2574" s="744" t="s">
        <v>1274</v>
      </c>
      <c r="B2574" s="703" t="s">
        <v>1784</v>
      </c>
      <c r="C2574" s="959" t="s">
        <v>1998</v>
      </c>
      <c r="D2574" s="746">
        <v>218830</v>
      </c>
      <c r="E2574" s="697">
        <v>9</v>
      </c>
      <c r="F2574" s="518"/>
      <c r="G2574" s="487"/>
      <c r="H2574" s="958">
        <v>290717</v>
      </c>
      <c r="I2574" s="949">
        <v>292279</v>
      </c>
      <c r="J2574" s="573"/>
      <c r="K2574" s="487"/>
      <c r="L2574" s="573"/>
      <c r="M2574" s="573"/>
      <c r="N2574" s="456">
        <f t="shared" si="321"/>
        <v>0</v>
      </c>
      <c r="O2574" s="487"/>
      <c r="P2574" s="487"/>
      <c r="Q2574" s="274">
        <f t="shared" si="324"/>
        <v>0</v>
      </c>
      <c r="R2574" s="574">
        <f t="shared" si="325"/>
        <v>290717</v>
      </c>
      <c r="S2574" s="275">
        <f t="shared" si="326"/>
        <v>292279</v>
      </c>
      <c r="T2574" s="575"/>
      <c r="U2574" s="487"/>
      <c r="V2574" s="576"/>
      <c r="W2574" s="573"/>
      <c r="X2574" s="574">
        <f t="shared" si="322"/>
        <v>0</v>
      </c>
      <c r="Y2574" s="487"/>
      <c r="Z2574" s="487"/>
      <c r="AA2574" s="276">
        <f t="shared" si="323"/>
        <v>0</v>
      </c>
      <c r="AB2574" s="573"/>
      <c r="AC2574" s="487"/>
      <c r="AD2574" s="573"/>
      <c r="AE2574" s="487"/>
      <c r="AF2574" s="577">
        <f t="shared" si="327"/>
        <v>290717</v>
      </c>
      <c r="AG2574" s="275">
        <f t="shared" si="328"/>
        <v>292279</v>
      </c>
    </row>
    <row r="2575" spans="1:33" ht="12" customHeight="1">
      <c r="A2575" s="744" t="s">
        <v>1274</v>
      </c>
      <c r="B2575" s="703" t="s">
        <v>1776</v>
      </c>
      <c r="C2575" s="745" t="s">
        <v>225</v>
      </c>
      <c r="D2575" s="746">
        <v>218885</v>
      </c>
      <c r="E2575" s="697">
        <v>9</v>
      </c>
      <c r="F2575" s="573">
        <v>9865985</v>
      </c>
      <c r="G2575" s="949">
        <v>7557719</v>
      </c>
      <c r="H2575" s="573"/>
      <c r="I2575" s="487"/>
      <c r="J2575" s="573">
        <v>3188682</v>
      </c>
      <c r="K2575" s="487">
        <v>3370371</v>
      </c>
      <c r="L2575" s="573">
        <v>13190284</v>
      </c>
      <c r="M2575" s="573">
        <v>1078179</v>
      </c>
      <c r="N2575" s="456">
        <f t="shared" si="321"/>
        <v>14268463</v>
      </c>
      <c r="O2575" s="487">
        <v>15205952</v>
      </c>
      <c r="P2575" s="487">
        <v>1342556</v>
      </c>
      <c r="Q2575" s="274">
        <f t="shared" si="324"/>
        <v>16548508</v>
      </c>
      <c r="R2575" s="574">
        <f t="shared" si="325"/>
        <v>26244951</v>
      </c>
      <c r="S2575" s="275">
        <f t="shared" si="326"/>
        <v>26134042</v>
      </c>
      <c r="T2575" s="575"/>
      <c r="U2575" s="487"/>
      <c r="V2575" s="576"/>
      <c r="W2575" s="573"/>
      <c r="X2575" s="574">
        <f t="shared" si="322"/>
        <v>0</v>
      </c>
      <c r="Y2575" s="487"/>
      <c r="Z2575" s="487"/>
      <c r="AA2575" s="276">
        <f t="shared" si="323"/>
        <v>0</v>
      </c>
      <c r="AB2575" s="573"/>
      <c r="AC2575" s="487"/>
      <c r="AD2575" s="573"/>
      <c r="AE2575" s="487"/>
      <c r="AF2575" s="577">
        <f t="shared" si="327"/>
        <v>26244951</v>
      </c>
      <c r="AG2575" s="275">
        <f t="shared" si="328"/>
        <v>26134042</v>
      </c>
    </row>
    <row r="2576" spans="1:33" ht="12" customHeight="1">
      <c r="A2576" s="744" t="s">
        <v>1274</v>
      </c>
      <c r="B2576" s="703" t="s">
        <v>1784</v>
      </c>
      <c r="C2576" s="299" t="s">
        <v>2037</v>
      </c>
      <c r="D2576" s="746">
        <v>218885</v>
      </c>
      <c r="E2576" s="697">
        <v>9</v>
      </c>
      <c r="F2576" s="518"/>
      <c r="G2576" s="487"/>
      <c r="H2576" s="573"/>
      <c r="I2576" s="487"/>
      <c r="J2576" s="573"/>
      <c r="K2576" s="487"/>
      <c r="L2576" s="573"/>
      <c r="M2576" s="573"/>
      <c r="N2576" s="456">
        <f t="shared" si="321"/>
        <v>0</v>
      </c>
      <c r="O2576" s="487"/>
      <c r="P2576" s="487"/>
      <c r="Q2576" s="274">
        <f t="shared" si="324"/>
        <v>0</v>
      </c>
      <c r="R2576" s="574">
        <f t="shared" si="325"/>
        <v>0</v>
      </c>
      <c r="S2576" s="275">
        <f t="shared" si="326"/>
        <v>0</v>
      </c>
      <c r="T2576" s="575"/>
      <c r="U2576" s="487"/>
      <c r="V2576" s="576"/>
      <c r="W2576" s="573"/>
      <c r="X2576" s="574">
        <f t="shared" si="322"/>
        <v>0</v>
      </c>
      <c r="Y2576" s="487"/>
      <c r="Z2576" s="487"/>
      <c r="AA2576" s="276">
        <f t="shared" si="323"/>
        <v>0</v>
      </c>
      <c r="AB2576" s="573"/>
      <c r="AC2576" s="487"/>
      <c r="AD2576" s="573"/>
      <c r="AE2576" s="487"/>
      <c r="AF2576" s="577">
        <f t="shared" si="327"/>
        <v>0</v>
      </c>
      <c r="AG2576" s="275">
        <f t="shared" si="328"/>
        <v>0</v>
      </c>
    </row>
    <row r="2577" spans="1:33" ht="12" customHeight="1">
      <c r="A2577" s="744" t="s">
        <v>1274</v>
      </c>
      <c r="B2577" s="703" t="s">
        <v>1784</v>
      </c>
      <c r="C2577" s="747" t="s">
        <v>47</v>
      </c>
      <c r="D2577" s="746">
        <v>218885</v>
      </c>
      <c r="E2577" s="697">
        <v>9</v>
      </c>
      <c r="F2577" s="518"/>
      <c r="G2577" s="487"/>
      <c r="H2577" s="518">
        <v>62500</v>
      </c>
      <c r="I2577" s="949">
        <v>48760</v>
      </c>
      <c r="J2577" s="573"/>
      <c r="K2577" s="487"/>
      <c r="L2577" s="573"/>
      <c r="M2577" s="573"/>
      <c r="N2577" s="456">
        <f t="shared" si="321"/>
        <v>0</v>
      </c>
      <c r="O2577" s="487"/>
      <c r="P2577" s="487"/>
      <c r="Q2577" s="274">
        <f t="shared" si="324"/>
        <v>0</v>
      </c>
      <c r="R2577" s="574">
        <f t="shared" si="325"/>
        <v>62500</v>
      </c>
      <c r="S2577" s="275">
        <f t="shared" si="326"/>
        <v>48760</v>
      </c>
      <c r="T2577" s="575"/>
      <c r="U2577" s="487"/>
      <c r="V2577" s="576"/>
      <c r="W2577" s="573"/>
      <c r="X2577" s="574">
        <f t="shared" si="322"/>
        <v>0</v>
      </c>
      <c r="Y2577" s="487"/>
      <c r="Z2577" s="487"/>
      <c r="AA2577" s="276">
        <f t="shared" si="323"/>
        <v>0</v>
      </c>
      <c r="AB2577" s="573"/>
      <c r="AC2577" s="487"/>
      <c r="AD2577" s="573"/>
      <c r="AE2577" s="487"/>
      <c r="AF2577" s="577">
        <f t="shared" si="327"/>
        <v>62500</v>
      </c>
      <c r="AG2577" s="275">
        <f t="shared" si="328"/>
        <v>48760</v>
      </c>
    </row>
    <row r="2578" spans="1:33" ht="12" customHeight="1">
      <c r="A2578" s="744" t="s">
        <v>1274</v>
      </c>
      <c r="B2578" s="703" t="s">
        <v>1784</v>
      </c>
      <c r="C2578" s="747" t="s">
        <v>1238</v>
      </c>
      <c r="D2578" s="746">
        <v>218885</v>
      </c>
      <c r="E2578" s="697">
        <v>9</v>
      </c>
      <c r="F2578" s="518"/>
      <c r="G2578" s="487"/>
      <c r="H2578" s="518">
        <v>4287</v>
      </c>
      <c r="I2578" s="487">
        <v>9906</v>
      </c>
      <c r="J2578" s="573"/>
      <c r="K2578" s="487"/>
      <c r="L2578" s="573"/>
      <c r="M2578" s="573"/>
      <c r="N2578" s="456">
        <f t="shared" si="321"/>
        <v>0</v>
      </c>
      <c r="O2578" s="487"/>
      <c r="P2578" s="487"/>
      <c r="Q2578" s="274">
        <f t="shared" si="324"/>
        <v>0</v>
      </c>
      <c r="R2578" s="574">
        <f t="shared" si="325"/>
        <v>4287</v>
      </c>
      <c r="S2578" s="275">
        <f t="shared" si="326"/>
        <v>9906</v>
      </c>
      <c r="T2578" s="575"/>
      <c r="U2578" s="487"/>
      <c r="V2578" s="576"/>
      <c r="W2578" s="573"/>
      <c r="X2578" s="574">
        <f t="shared" si="322"/>
        <v>0</v>
      </c>
      <c r="Y2578" s="487"/>
      <c r="Z2578" s="487"/>
      <c r="AA2578" s="276">
        <f t="shared" si="323"/>
        <v>0</v>
      </c>
      <c r="AB2578" s="573"/>
      <c r="AC2578" s="487"/>
      <c r="AD2578" s="573"/>
      <c r="AE2578" s="487"/>
      <c r="AF2578" s="577">
        <f t="shared" si="327"/>
        <v>4287</v>
      </c>
      <c r="AG2578" s="275">
        <f t="shared" si="328"/>
        <v>9906</v>
      </c>
    </row>
    <row r="2579" spans="1:33" ht="12" customHeight="1">
      <c r="A2579" s="744" t="s">
        <v>1274</v>
      </c>
      <c r="B2579" s="703" t="s">
        <v>1784</v>
      </c>
      <c r="C2579" s="747" t="s">
        <v>45</v>
      </c>
      <c r="D2579" s="746">
        <v>218885</v>
      </c>
      <c r="E2579" s="697">
        <v>9</v>
      </c>
      <c r="F2579" s="518"/>
      <c r="G2579" s="487"/>
      <c r="H2579" s="518">
        <v>8269</v>
      </c>
      <c r="I2579" s="487">
        <v>5629</v>
      </c>
      <c r="J2579" s="573"/>
      <c r="K2579" s="487"/>
      <c r="L2579" s="573"/>
      <c r="M2579" s="573"/>
      <c r="N2579" s="456">
        <f t="shared" ref="N2579:N2642" si="329">SUM(L2579:M2579)</f>
        <v>0</v>
      </c>
      <c r="O2579" s="487"/>
      <c r="P2579" s="487"/>
      <c r="Q2579" s="274">
        <f t="shared" si="324"/>
        <v>0</v>
      </c>
      <c r="R2579" s="574">
        <f t="shared" si="325"/>
        <v>8269</v>
      </c>
      <c r="S2579" s="275">
        <f t="shared" si="326"/>
        <v>5629</v>
      </c>
      <c r="T2579" s="575"/>
      <c r="U2579" s="487"/>
      <c r="V2579" s="576"/>
      <c r="W2579" s="573"/>
      <c r="X2579" s="574">
        <f t="shared" ref="X2579:X2642" si="330">SUM(V2579:W2579)</f>
        <v>0</v>
      </c>
      <c r="Y2579" s="487"/>
      <c r="Z2579" s="487"/>
      <c r="AA2579" s="276">
        <f t="shared" ref="AA2579:AA2642" si="331">SUM(Y2579:Z2579)</f>
        <v>0</v>
      </c>
      <c r="AB2579" s="573"/>
      <c r="AC2579" s="487"/>
      <c r="AD2579" s="573"/>
      <c r="AE2579" s="487"/>
      <c r="AF2579" s="577">
        <f t="shared" si="327"/>
        <v>8269</v>
      </c>
      <c r="AG2579" s="275">
        <f t="shared" si="328"/>
        <v>5629</v>
      </c>
    </row>
    <row r="2580" spans="1:33" ht="12" customHeight="1">
      <c r="A2580" s="744" t="s">
        <v>1274</v>
      </c>
      <c r="B2580" s="703" t="s">
        <v>1784</v>
      </c>
      <c r="C2580" s="747" t="s">
        <v>1676</v>
      </c>
      <c r="D2580" s="746">
        <v>218885</v>
      </c>
      <c r="E2580" s="697">
        <v>9</v>
      </c>
      <c r="F2580" s="518"/>
      <c r="G2580" s="487"/>
      <c r="H2580" s="518">
        <v>33580</v>
      </c>
      <c r="I2580" s="487">
        <v>38590</v>
      </c>
      <c r="J2580" s="573"/>
      <c r="K2580" s="487"/>
      <c r="L2580" s="573"/>
      <c r="M2580" s="573"/>
      <c r="N2580" s="456">
        <f t="shared" si="329"/>
        <v>0</v>
      </c>
      <c r="O2580" s="487"/>
      <c r="P2580" s="487"/>
      <c r="Q2580" s="274">
        <f t="shared" si="324"/>
        <v>0</v>
      </c>
      <c r="R2580" s="574">
        <f t="shared" si="325"/>
        <v>33580</v>
      </c>
      <c r="S2580" s="275">
        <f t="shared" si="326"/>
        <v>38590</v>
      </c>
      <c r="T2580" s="575"/>
      <c r="U2580" s="487"/>
      <c r="V2580" s="576"/>
      <c r="W2580" s="573"/>
      <c r="X2580" s="574">
        <f t="shared" si="330"/>
        <v>0</v>
      </c>
      <c r="Y2580" s="487"/>
      <c r="Z2580" s="487"/>
      <c r="AA2580" s="276">
        <f t="shared" si="331"/>
        <v>0</v>
      </c>
      <c r="AB2580" s="573"/>
      <c r="AC2580" s="487"/>
      <c r="AD2580" s="573"/>
      <c r="AE2580" s="487"/>
      <c r="AF2580" s="577">
        <f t="shared" si="327"/>
        <v>33580</v>
      </c>
      <c r="AG2580" s="275">
        <f t="shared" si="328"/>
        <v>38590</v>
      </c>
    </row>
    <row r="2581" spans="1:33" ht="12" customHeight="1">
      <c r="A2581" s="744" t="s">
        <v>1274</v>
      </c>
      <c r="B2581" s="703" t="s">
        <v>1784</v>
      </c>
      <c r="C2581" s="959" t="s">
        <v>2010</v>
      </c>
      <c r="D2581" s="746">
        <v>218885</v>
      </c>
      <c r="E2581" s="697">
        <v>9</v>
      </c>
      <c r="F2581" s="518"/>
      <c r="G2581" s="487"/>
      <c r="H2581" s="958">
        <v>632714</v>
      </c>
      <c r="I2581" s="949">
        <v>254714</v>
      </c>
      <c r="J2581" s="573"/>
      <c r="K2581" s="487"/>
      <c r="L2581" s="573"/>
      <c r="M2581" s="573"/>
      <c r="N2581" s="456">
        <f t="shared" si="329"/>
        <v>0</v>
      </c>
      <c r="O2581" s="487"/>
      <c r="P2581" s="487"/>
      <c r="Q2581" s="274">
        <f t="shared" si="324"/>
        <v>0</v>
      </c>
      <c r="R2581" s="574">
        <f t="shared" si="325"/>
        <v>632714</v>
      </c>
      <c r="S2581" s="275">
        <f t="shared" si="326"/>
        <v>254714</v>
      </c>
      <c r="T2581" s="575"/>
      <c r="U2581" s="487"/>
      <c r="V2581" s="576"/>
      <c r="W2581" s="573"/>
      <c r="X2581" s="574">
        <f t="shared" si="330"/>
        <v>0</v>
      </c>
      <c r="Y2581" s="487"/>
      <c r="Z2581" s="487"/>
      <c r="AA2581" s="276">
        <f t="shared" si="331"/>
        <v>0</v>
      </c>
      <c r="AB2581" s="573"/>
      <c r="AC2581" s="487"/>
      <c r="AD2581" s="573"/>
      <c r="AE2581" s="487"/>
      <c r="AF2581" s="577">
        <f t="shared" si="327"/>
        <v>632714</v>
      </c>
      <c r="AG2581" s="275">
        <f t="shared" si="328"/>
        <v>254714</v>
      </c>
    </row>
    <row r="2582" spans="1:33" ht="12" customHeight="1">
      <c r="A2582" s="744" t="s">
        <v>1274</v>
      </c>
      <c r="B2582" s="703" t="s">
        <v>1784</v>
      </c>
      <c r="C2582" s="959" t="s">
        <v>1998</v>
      </c>
      <c r="D2582" s="746">
        <v>218885</v>
      </c>
      <c r="E2582" s="697">
        <v>9</v>
      </c>
      <c r="F2582" s="518"/>
      <c r="G2582" s="487"/>
      <c r="H2582" s="958">
        <v>298935</v>
      </c>
      <c r="I2582" s="949">
        <v>302540</v>
      </c>
      <c r="J2582" s="573"/>
      <c r="K2582" s="487"/>
      <c r="L2582" s="573"/>
      <c r="M2582" s="573"/>
      <c r="N2582" s="456">
        <f t="shared" si="329"/>
        <v>0</v>
      </c>
      <c r="O2582" s="487"/>
      <c r="P2582" s="487"/>
      <c r="Q2582" s="274">
        <f t="shared" si="324"/>
        <v>0</v>
      </c>
      <c r="R2582" s="574">
        <f t="shared" si="325"/>
        <v>298935</v>
      </c>
      <c r="S2582" s="275">
        <f t="shared" si="326"/>
        <v>302540</v>
      </c>
      <c r="T2582" s="575"/>
      <c r="U2582" s="487"/>
      <c r="V2582" s="576"/>
      <c r="W2582" s="573"/>
      <c r="X2582" s="574">
        <f t="shared" si="330"/>
        <v>0</v>
      </c>
      <c r="Y2582" s="487"/>
      <c r="Z2582" s="487"/>
      <c r="AA2582" s="276">
        <f t="shared" si="331"/>
        <v>0</v>
      </c>
      <c r="AB2582" s="573"/>
      <c r="AC2582" s="487"/>
      <c r="AD2582" s="573"/>
      <c r="AE2582" s="487"/>
      <c r="AF2582" s="577">
        <f t="shared" si="327"/>
        <v>298935</v>
      </c>
      <c r="AG2582" s="275">
        <f t="shared" si="328"/>
        <v>302540</v>
      </c>
    </row>
    <row r="2583" spans="1:33" ht="12" customHeight="1">
      <c r="A2583" s="744" t="s">
        <v>1274</v>
      </c>
      <c r="B2583" s="703" t="s">
        <v>1776</v>
      </c>
      <c r="C2583" s="745" t="s">
        <v>226</v>
      </c>
      <c r="D2583" s="746">
        <v>218991</v>
      </c>
      <c r="E2583" s="697">
        <v>9</v>
      </c>
      <c r="F2583" s="573">
        <v>8664475</v>
      </c>
      <c r="G2583" s="949">
        <v>6677333</v>
      </c>
      <c r="H2583" s="573"/>
      <c r="I2583" s="487"/>
      <c r="J2583" s="573">
        <v>3149423</v>
      </c>
      <c r="K2583" s="487">
        <v>3608123</v>
      </c>
      <c r="L2583" s="573">
        <v>14351435</v>
      </c>
      <c r="M2583" s="573">
        <v>0</v>
      </c>
      <c r="N2583" s="456">
        <f t="shared" si="329"/>
        <v>14351435</v>
      </c>
      <c r="O2583" s="487">
        <v>16862562</v>
      </c>
      <c r="P2583" s="487">
        <v>0</v>
      </c>
      <c r="Q2583" s="274">
        <f t="shared" si="324"/>
        <v>16862562</v>
      </c>
      <c r="R2583" s="574">
        <f t="shared" si="325"/>
        <v>26165333</v>
      </c>
      <c r="S2583" s="275">
        <f t="shared" si="326"/>
        <v>27148018</v>
      </c>
      <c r="T2583" s="575"/>
      <c r="U2583" s="487"/>
      <c r="V2583" s="576"/>
      <c r="W2583" s="573"/>
      <c r="X2583" s="574">
        <f t="shared" si="330"/>
        <v>0</v>
      </c>
      <c r="Y2583" s="487"/>
      <c r="Z2583" s="487"/>
      <c r="AA2583" s="276">
        <f t="shared" si="331"/>
        <v>0</v>
      </c>
      <c r="AB2583" s="573"/>
      <c r="AC2583" s="487"/>
      <c r="AD2583" s="573"/>
      <c r="AE2583" s="487"/>
      <c r="AF2583" s="577">
        <f t="shared" si="327"/>
        <v>26165333</v>
      </c>
      <c r="AG2583" s="275">
        <f t="shared" si="328"/>
        <v>27148018</v>
      </c>
    </row>
    <row r="2584" spans="1:33" ht="12" customHeight="1">
      <c r="A2584" s="744" t="s">
        <v>1274</v>
      </c>
      <c r="B2584" s="703" t="s">
        <v>1784</v>
      </c>
      <c r="C2584" s="299" t="s">
        <v>2037</v>
      </c>
      <c r="D2584" s="746">
        <v>218991</v>
      </c>
      <c r="E2584" s="697">
        <v>9</v>
      </c>
      <c r="F2584" s="518"/>
      <c r="G2584" s="487"/>
      <c r="H2584" s="573"/>
      <c r="I2584" s="487"/>
      <c r="J2584" s="573"/>
      <c r="K2584" s="487"/>
      <c r="L2584" s="573"/>
      <c r="M2584" s="573"/>
      <c r="N2584" s="456">
        <f t="shared" si="329"/>
        <v>0</v>
      </c>
      <c r="O2584" s="487"/>
      <c r="P2584" s="487"/>
      <c r="Q2584" s="274">
        <f t="shared" si="324"/>
        <v>0</v>
      </c>
      <c r="R2584" s="574">
        <f t="shared" si="325"/>
        <v>0</v>
      </c>
      <c r="S2584" s="275">
        <f t="shared" si="326"/>
        <v>0</v>
      </c>
      <c r="T2584" s="575"/>
      <c r="U2584" s="487"/>
      <c r="V2584" s="576"/>
      <c r="W2584" s="573"/>
      <c r="X2584" s="574">
        <f t="shared" si="330"/>
        <v>0</v>
      </c>
      <c r="Y2584" s="487"/>
      <c r="Z2584" s="487"/>
      <c r="AA2584" s="276">
        <f t="shared" si="331"/>
        <v>0</v>
      </c>
      <c r="AB2584" s="573"/>
      <c r="AC2584" s="487"/>
      <c r="AD2584" s="573"/>
      <c r="AE2584" s="487"/>
      <c r="AF2584" s="577">
        <f t="shared" si="327"/>
        <v>0</v>
      </c>
      <c r="AG2584" s="275">
        <f t="shared" si="328"/>
        <v>0</v>
      </c>
    </row>
    <row r="2585" spans="1:33" ht="12" customHeight="1">
      <c r="A2585" s="744" t="s">
        <v>1274</v>
      </c>
      <c r="B2585" s="703" t="s">
        <v>1784</v>
      </c>
      <c r="C2585" s="747" t="s">
        <v>47</v>
      </c>
      <c r="D2585" s="746">
        <v>218991</v>
      </c>
      <c r="E2585" s="697">
        <v>9</v>
      </c>
      <c r="F2585" s="518"/>
      <c r="G2585" s="487"/>
      <c r="H2585" s="518">
        <v>62500</v>
      </c>
      <c r="I2585" s="949">
        <v>48760</v>
      </c>
      <c r="J2585" s="573"/>
      <c r="K2585" s="487"/>
      <c r="L2585" s="573"/>
      <c r="M2585" s="573"/>
      <c r="N2585" s="456">
        <f t="shared" si="329"/>
        <v>0</v>
      </c>
      <c r="O2585" s="487"/>
      <c r="P2585" s="487"/>
      <c r="Q2585" s="274">
        <f t="shared" si="324"/>
        <v>0</v>
      </c>
      <c r="R2585" s="574">
        <f t="shared" si="325"/>
        <v>62500</v>
      </c>
      <c r="S2585" s="275">
        <f t="shared" si="326"/>
        <v>48760</v>
      </c>
      <c r="T2585" s="575"/>
      <c r="U2585" s="487"/>
      <c r="V2585" s="576"/>
      <c r="W2585" s="573"/>
      <c r="X2585" s="574">
        <f t="shared" si="330"/>
        <v>0</v>
      </c>
      <c r="Y2585" s="487"/>
      <c r="Z2585" s="487"/>
      <c r="AA2585" s="276">
        <f t="shared" si="331"/>
        <v>0</v>
      </c>
      <c r="AB2585" s="573"/>
      <c r="AC2585" s="487"/>
      <c r="AD2585" s="573"/>
      <c r="AE2585" s="487"/>
      <c r="AF2585" s="577">
        <f t="shared" si="327"/>
        <v>62500</v>
      </c>
      <c r="AG2585" s="275">
        <f t="shared" si="328"/>
        <v>48760</v>
      </c>
    </row>
    <row r="2586" spans="1:33" ht="12" customHeight="1">
      <c r="A2586" s="744" t="s">
        <v>1274</v>
      </c>
      <c r="B2586" s="703" t="s">
        <v>1784</v>
      </c>
      <c r="C2586" s="747" t="s">
        <v>1238</v>
      </c>
      <c r="D2586" s="746">
        <v>218991</v>
      </c>
      <c r="E2586" s="697">
        <v>9</v>
      </c>
      <c r="F2586" s="518"/>
      <c r="G2586" s="487"/>
      <c r="H2586" s="518">
        <v>4287</v>
      </c>
      <c r="I2586" s="487">
        <v>9293</v>
      </c>
      <c r="J2586" s="573"/>
      <c r="K2586" s="487"/>
      <c r="L2586" s="573"/>
      <c r="M2586" s="573"/>
      <c r="N2586" s="456">
        <f t="shared" si="329"/>
        <v>0</v>
      </c>
      <c r="O2586" s="487"/>
      <c r="P2586" s="487"/>
      <c r="Q2586" s="274">
        <f t="shared" si="324"/>
        <v>0</v>
      </c>
      <c r="R2586" s="574">
        <f t="shared" si="325"/>
        <v>4287</v>
      </c>
      <c r="S2586" s="275">
        <f t="shared" si="326"/>
        <v>9293</v>
      </c>
      <c r="T2586" s="575"/>
      <c r="U2586" s="487"/>
      <c r="V2586" s="576"/>
      <c r="W2586" s="573"/>
      <c r="X2586" s="574">
        <f t="shared" si="330"/>
        <v>0</v>
      </c>
      <c r="Y2586" s="487"/>
      <c r="Z2586" s="487"/>
      <c r="AA2586" s="276">
        <f t="shared" si="331"/>
        <v>0</v>
      </c>
      <c r="AB2586" s="573"/>
      <c r="AC2586" s="487"/>
      <c r="AD2586" s="573"/>
      <c r="AE2586" s="487"/>
      <c r="AF2586" s="577">
        <f t="shared" si="327"/>
        <v>4287</v>
      </c>
      <c r="AG2586" s="275">
        <f t="shared" si="328"/>
        <v>9293</v>
      </c>
    </row>
    <row r="2587" spans="1:33" ht="12" customHeight="1">
      <c r="A2587" s="744" t="s">
        <v>1274</v>
      </c>
      <c r="B2587" s="703" t="s">
        <v>1784</v>
      </c>
      <c r="C2587" s="747" t="s">
        <v>45</v>
      </c>
      <c r="D2587" s="746">
        <v>218991</v>
      </c>
      <c r="E2587" s="697">
        <v>9</v>
      </c>
      <c r="F2587" s="518"/>
      <c r="G2587" s="487"/>
      <c r="H2587" s="518">
        <v>52</v>
      </c>
      <c r="I2587" s="487">
        <v>1337</v>
      </c>
      <c r="J2587" s="573"/>
      <c r="K2587" s="487"/>
      <c r="L2587" s="573"/>
      <c r="M2587" s="573"/>
      <c r="N2587" s="456">
        <f t="shared" si="329"/>
        <v>0</v>
      </c>
      <c r="O2587" s="487"/>
      <c r="P2587" s="487"/>
      <c r="Q2587" s="274">
        <f t="shared" si="324"/>
        <v>0</v>
      </c>
      <c r="R2587" s="574">
        <f t="shared" si="325"/>
        <v>52</v>
      </c>
      <c r="S2587" s="275">
        <f t="shared" si="326"/>
        <v>1337</v>
      </c>
      <c r="T2587" s="575"/>
      <c r="U2587" s="487"/>
      <c r="V2587" s="576"/>
      <c r="W2587" s="573"/>
      <c r="X2587" s="574">
        <f t="shared" si="330"/>
        <v>0</v>
      </c>
      <c r="Y2587" s="487"/>
      <c r="Z2587" s="487"/>
      <c r="AA2587" s="276">
        <f t="shared" si="331"/>
        <v>0</v>
      </c>
      <c r="AB2587" s="573"/>
      <c r="AC2587" s="487"/>
      <c r="AD2587" s="573"/>
      <c r="AE2587" s="487"/>
      <c r="AF2587" s="577">
        <f t="shared" si="327"/>
        <v>52</v>
      </c>
      <c r="AG2587" s="275">
        <f t="shared" si="328"/>
        <v>1337</v>
      </c>
    </row>
    <row r="2588" spans="1:33" ht="12" customHeight="1">
      <c r="A2588" s="744" t="s">
        <v>1274</v>
      </c>
      <c r="B2588" s="703" t="s">
        <v>1784</v>
      </c>
      <c r="C2588" s="747" t="s">
        <v>1676</v>
      </c>
      <c r="D2588" s="746">
        <v>218991</v>
      </c>
      <c r="E2588" s="697">
        <v>9</v>
      </c>
      <c r="F2588" s="518"/>
      <c r="G2588" s="487"/>
      <c r="H2588" s="518">
        <v>30997</v>
      </c>
      <c r="I2588" s="487">
        <v>9728</v>
      </c>
      <c r="J2588" s="573"/>
      <c r="K2588" s="487"/>
      <c r="L2588" s="573"/>
      <c r="M2588" s="573"/>
      <c r="N2588" s="456">
        <f t="shared" si="329"/>
        <v>0</v>
      </c>
      <c r="O2588" s="487"/>
      <c r="P2588" s="487"/>
      <c r="Q2588" s="274">
        <f t="shared" si="324"/>
        <v>0</v>
      </c>
      <c r="R2588" s="574">
        <f t="shared" si="325"/>
        <v>30997</v>
      </c>
      <c r="S2588" s="275">
        <f t="shared" si="326"/>
        <v>9728</v>
      </c>
      <c r="T2588" s="575"/>
      <c r="U2588" s="487"/>
      <c r="V2588" s="576"/>
      <c r="W2588" s="573"/>
      <c r="X2588" s="574">
        <f t="shared" si="330"/>
        <v>0</v>
      </c>
      <c r="Y2588" s="487"/>
      <c r="Z2588" s="487"/>
      <c r="AA2588" s="276">
        <f t="shared" si="331"/>
        <v>0</v>
      </c>
      <c r="AB2588" s="573"/>
      <c r="AC2588" s="487"/>
      <c r="AD2588" s="573"/>
      <c r="AE2588" s="487"/>
      <c r="AF2588" s="577">
        <f t="shared" si="327"/>
        <v>30997</v>
      </c>
      <c r="AG2588" s="275">
        <f t="shared" si="328"/>
        <v>9728</v>
      </c>
    </row>
    <row r="2589" spans="1:33" ht="12" customHeight="1">
      <c r="A2589" s="744" t="s">
        <v>1274</v>
      </c>
      <c r="B2589" s="703" t="s">
        <v>1784</v>
      </c>
      <c r="C2589" s="959" t="s">
        <v>2010</v>
      </c>
      <c r="D2589" s="746">
        <v>218991</v>
      </c>
      <c r="E2589" s="697">
        <v>9</v>
      </c>
      <c r="F2589" s="518"/>
      <c r="G2589" s="487"/>
      <c r="H2589" s="958">
        <v>590614</v>
      </c>
      <c r="I2589" s="949">
        <v>239604</v>
      </c>
      <c r="J2589" s="573"/>
      <c r="K2589" s="487"/>
      <c r="L2589" s="573"/>
      <c r="M2589" s="573"/>
      <c r="N2589" s="456">
        <f t="shared" si="329"/>
        <v>0</v>
      </c>
      <c r="O2589" s="487"/>
      <c r="P2589" s="487"/>
      <c r="Q2589" s="274">
        <f t="shared" si="324"/>
        <v>0</v>
      </c>
      <c r="R2589" s="574">
        <f t="shared" si="325"/>
        <v>590614</v>
      </c>
      <c r="S2589" s="275">
        <f t="shared" si="326"/>
        <v>239604</v>
      </c>
      <c r="T2589" s="575"/>
      <c r="U2589" s="487"/>
      <c r="V2589" s="576"/>
      <c r="W2589" s="573"/>
      <c r="X2589" s="574">
        <f t="shared" si="330"/>
        <v>0</v>
      </c>
      <c r="Y2589" s="487"/>
      <c r="Z2589" s="487"/>
      <c r="AA2589" s="276">
        <f t="shared" si="331"/>
        <v>0</v>
      </c>
      <c r="AB2589" s="573"/>
      <c r="AC2589" s="487"/>
      <c r="AD2589" s="573"/>
      <c r="AE2589" s="487"/>
      <c r="AF2589" s="577">
        <f t="shared" si="327"/>
        <v>590614</v>
      </c>
      <c r="AG2589" s="275">
        <f t="shared" si="328"/>
        <v>239604</v>
      </c>
    </row>
    <row r="2590" spans="1:33" ht="12" customHeight="1">
      <c r="A2590" s="744" t="s">
        <v>1274</v>
      </c>
      <c r="B2590" s="703" t="s">
        <v>1784</v>
      </c>
      <c r="C2590" s="959" t="s">
        <v>2016</v>
      </c>
      <c r="D2590" s="746">
        <v>218991</v>
      </c>
      <c r="E2590" s="697">
        <v>9</v>
      </c>
      <c r="F2590" s="518"/>
      <c r="G2590" s="487"/>
      <c r="H2590" s="958">
        <v>500000</v>
      </c>
      <c r="I2590" s="949"/>
      <c r="J2590" s="573"/>
      <c r="K2590" s="487"/>
      <c r="L2590" s="573"/>
      <c r="M2590" s="573"/>
      <c r="N2590" s="456">
        <f t="shared" si="329"/>
        <v>0</v>
      </c>
      <c r="O2590" s="487"/>
      <c r="P2590" s="487"/>
      <c r="Q2590" s="274">
        <f t="shared" si="324"/>
        <v>0</v>
      </c>
      <c r="R2590" s="574">
        <f t="shared" si="325"/>
        <v>500000</v>
      </c>
      <c r="S2590" s="275">
        <f t="shared" si="326"/>
        <v>0</v>
      </c>
      <c r="T2590" s="575"/>
      <c r="U2590" s="487"/>
      <c r="V2590" s="576"/>
      <c r="W2590" s="573"/>
      <c r="X2590" s="574">
        <f t="shared" si="330"/>
        <v>0</v>
      </c>
      <c r="Y2590" s="487"/>
      <c r="Z2590" s="487"/>
      <c r="AA2590" s="276">
        <f t="shared" si="331"/>
        <v>0</v>
      </c>
      <c r="AB2590" s="573"/>
      <c r="AC2590" s="487"/>
      <c r="AD2590" s="573"/>
      <c r="AE2590" s="487"/>
      <c r="AF2590" s="577">
        <f t="shared" si="327"/>
        <v>500000</v>
      </c>
      <c r="AG2590" s="275">
        <f t="shared" si="328"/>
        <v>0</v>
      </c>
    </row>
    <row r="2591" spans="1:33" ht="12" customHeight="1">
      <c r="A2591" s="744" t="s">
        <v>1274</v>
      </c>
      <c r="B2591" s="703" t="s">
        <v>1784</v>
      </c>
      <c r="C2591" s="959" t="s">
        <v>1998</v>
      </c>
      <c r="D2591" s="746">
        <v>218991</v>
      </c>
      <c r="E2591" s="697">
        <v>9</v>
      </c>
      <c r="F2591" s="518"/>
      <c r="G2591" s="487"/>
      <c r="H2591" s="958">
        <v>259635</v>
      </c>
      <c r="I2591" s="949">
        <v>267296</v>
      </c>
      <c r="J2591" s="573"/>
      <c r="K2591" s="487"/>
      <c r="L2591" s="573"/>
      <c r="M2591" s="573"/>
      <c r="N2591" s="456">
        <f t="shared" si="329"/>
        <v>0</v>
      </c>
      <c r="O2591" s="487"/>
      <c r="P2591" s="487"/>
      <c r="Q2591" s="274">
        <f t="shared" si="324"/>
        <v>0</v>
      </c>
      <c r="R2591" s="574">
        <f t="shared" si="325"/>
        <v>259635</v>
      </c>
      <c r="S2591" s="275">
        <f t="shared" si="326"/>
        <v>267296</v>
      </c>
      <c r="T2591" s="575"/>
      <c r="U2591" s="487"/>
      <c r="V2591" s="576"/>
      <c r="W2591" s="573"/>
      <c r="X2591" s="574">
        <f t="shared" si="330"/>
        <v>0</v>
      </c>
      <c r="Y2591" s="487"/>
      <c r="Z2591" s="487"/>
      <c r="AA2591" s="276">
        <f t="shared" si="331"/>
        <v>0</v>
      </c>
      <c r="AB2591" s="573"/>
      <c r="AC2591" s="487"/>
      <c r="AD2591" s="573"/>
      <c r="AE2591" s="487"/>
      <c r="AF2591" s="577">
        <f t="shared" si="327"/>
        <v>259635</v>
      </c>
      <c r="AG2591" s="275">
        <f t="shared" si="328"/>
        <v>267296</v>
      </c>
    </row>
    <row r="2592" spans="1:33" ht="12" customHeight="1">
      <c r="A2592" s="744" t="s">
        <v>1274</v>
      </c>
      <c r="B2592" s="703" t="s">
        <v>1776</v>
      </c>
      <c r="C2592" s="745" t="s">
        <v>228</v>
      </c>
      <c r="D2592" s="746">
        <v>217989</v>
      </c>
      <c r="E2592" s="697">
        <v>10</v>
      </c>
      <c r="F2592" s="573">
        <v>4220922</v>
      </c>
      <c r="G2592" s="949">
        <v>3146789</v>
      </c>
      <c r="H2592" s="573"/>
      <c r="I2592" s="487"/>
      <c r="J2592" s="573">
        <v>7000</v>
      </c>
      <c r="K2592" s="487">
        <v>8000</v>
      </c>
      <c r="L2592" s="518">
        <v>2051273</v>
      </c>
      <c r="M2592" s="518">
        <v>0</v>
      </c>
      <c r="N2592" s="456">
        <f t="shared" si="329"/>
        <v>2051273</v>
      </c>
      <c r="O2592" s="487">
        <v>2124963</v>
      </c>
      <c r="P2592" s="487">
        <v>0</v>
      </c>
      <c r="Q2592" s="274">
        <f t="shared" si="324"/>
        <v>2124963</v>
      </c>
      <c r="R2592" s="574">
        <f t="shared" si="325"/>
        <v>6279195</v>
      </c>
      <c r="S2592" s="275">
        <f t="shared" si="326"/>
        <v>5279752</v>
      </c>
      <c r="T2592" s="575"/>
      <c r="U2592" s="487"/>
      <c r="V2592" s="576"/>
      <c r="W2592" s="573"/>
      <c r="X2592" s="574">
        <f t="shared" si="330"/>
        <v>0</v>
      </c>
      <c r="Y2592" s="487"/>
      <c r="Z2592" s="487"/>
      <c r="AA2592" s="276">
        <f t="shared" si="331"/>
        <v>0</v>
      </c>
      <c r="AB2592" s="573"/>
      <c r="AC2592" s="487"/>
      <c r="AD2592" s="573"/>
      <c r="AE2592" s="487"/>
      <c r="AF2592" s="577">
        <f t="shared" si="327"/>
        <v>6279195</v>
      </c>
      <c r="AG2592" s="275">
        <f t="shared" si="328"/>
        <v>5279752</v>
      </c>
    </row>
    <row r="2593" spans="1:33" ht="12" customHeight="1">
      <c r="A2593" s="744" t="s">
        <v>1274</v>
      </c>
      <c r="B2593" s="703" t="s">
        <v>1784</v>
      </c>
      <c r="C2593" s="299" t="s">
        <v>2037</v>
      </c>
      <c r="D2593" s="746">
        <v>217989</v>
      </c>
      <c r="E2593" s="697">
        <v>10</v>
      </c>
      <c r="F2593" s="518"/>
      <c r="G2593" s="487"/>
      <c r="H2593" s="573"/>
      <c r="I2593" s="487"/>
      <c r="J2593" s="573"/>
      <c r="K2593" s="487"/>
      <c r="L2593" s="573"/>
      <c r="M2593" s="573"/>
      <c r="N2593" s="456">
        <f t="shared" si="329"/>
        <v>0</v>
      </c>
      <c r="O2593" s="487"/>
      <c r="P2593" s="487"/>
      <c r="Q2593" s="274">
        <f t="shared" si="324"/>
        <v>0</v>
      </c>
      <c r="R2593" s="574">
        <f t="shared" si="325"/>
        <v>0</v>
      </c>
      <c r="S2593" s="275">
        <f t="shared" si="326"/>
        <v>0</v>
      </c>
      <c r="T2593" s="575"/>
      <c r="U2593" s="487"/>
      <c r="V2593" s="576"/>
      <c r="W2593" s="573"/>
      <c r="X2593" s="574">
        <f t="shared" si="330"/>
        <v>0</v>
      </c>
      <c r="Y2593" s="487"/>
      <c r="Z2593" s="487"/>
      <c r="AA2593" s="276">
        <f t="shared" si="331"/>
        <v>0</v>
      </c>
      <c r="AB2593" s="573"/>
      <c r="AC2593" s="487"/>
      <c r="AD2593" s="573"/>
      <c r="AE2593" s="487"/>
      <c r="AF2593" s="577">
        <f t="shared" si="327"/>
        <v>0</v>
      </c>
      <c r="AG2593" s="275">
        <f t="shared" si="328"/>
        <v>0</v>
      </c>
    </row>
    <row r="2594" spans="1:33" ht="12" customHeight="1">
      <c r="A2594" s="744" t="s">
        <v>1274</v>
      </c>
      <c r="B2594" s="703" t="s">
        <v>1784</v>
      </c>
      <c r="C2594" s="747" t="s">
        <v>47</v>
      </c>
      <c r="D2594" s="746">
        <v>217989</v>
      </c>
      <c r="E2594" s="697">
        <v>10</v>
      </c>
      <c r="F2594" s="518"/>
      <c r="G2594" s="487"/>
      <c r="H2594" s="518">
        <v>62500</v>
      </c>
      <c r="I2594" s="949">
        <v>48760</v>
      </c>
      <c r="J2594" s="573"/>
      <c r="K2594" s="487"/>
      <c r="L2594" s="573"/>
      <c r="M2594" s="573"/>
      <c r="N2594" s="456">
        <f t="shared" si="329"/>
        <v>0</v>
      </c>
      <c r="O2594" s="487"/>
      <c r="P2594" s="487"/>
      <c r="Q2594" s="274">
        <f t="shared" si="324"/>
        <v>0</v>
      </c>
      <c r="R2594" s="574">
        <f t="shared" si="325"/>
        <v>62500</v>
      </c>
      <c r="S2594" s="275">
        <f t="shared" si="326"/>
        <v>48760</v>
      </c>
      <c r="T2594" s="575"/>
      <c r="U2594" s="487"/>
      <c r="V2594" s="576"/>
      <c r="W2594" s="573"/>
      <c r="X2594" s="574">
        <f t="shared" si="330"/>
        <v>0</v>
      </c>
      <c r="Y2594" s="487"/>
      <c r="Z2594" s="487"/>
      <c r="AA2594" s="276">
        <f t="shared" si="331"/>
        <v>0</v>
      </c>
      <c r="AB2594" s="573"/>
      <c r="AC2594" s="487"/>
      <c r="AD2594" s="573"/>
      <c r="AE2594" s="487"/>
      <c r="AF2594" s="577">
        <f t="shared" si="327"/>
        <v>62500</v>
      </c>
      <c r="AG2594" s="275">
        <f t="shared" si="328"/>
        <v>48760</v>
      </c>
    </row>
    <row r="2595" spans="1:33" ht="12" customHeight="1">
      <c r="A2595" s="744" t="s">
        <v>1274</v>
      </c>
      <c r="B2595" s="703" t="s">
        <v>1784</v>
      </c>
      <c r="C2595" s="747" t="s">
        <v>1238</v>
      </c>
      <c r="D2595" s="746">
        <v>217989</v>
      </c>
      <c r="E2595" s="697">
        <v>10</v>
      </c>
      <c r="F2595" s="518"/>
      <c r="G2595" s="487"/>
      <c r="H2595" s="518">
        <v>26309</v>
      </c>
      <c r="I2595" s="487">
        <v>22806</v>
      </c>
      <c r="J2595" s="573"/>
      <c r="K2595" s="487"/>
      <c r="L2595" s="573"/>
      <c r="M2595" s="573"/>
      <c r="N2595" s="456">
        <f t="shared" si="329"/>
        <v>0</v>
      </c>
      <c r="O2595" s="487"/>
      <c r="P2595" s="487"/>
      <c r="Q2595" s="274">
        <f t="shared" si="324"/>
        <v>0</v>
      </c>
      <c r="R2595" s="574">
        <f t="shared" si="325"/>
        <v>26309</v>
      </c>
      <c r="S2595" s="275">
        <f t="shared" si="326"/>
        <v>22806</v>
      </c>
      <c r="T2595" s="575"/>
      <c r="U2595" s="487"/>
      <c r="V2595" s="576"/>
      <c r="W2595" s="573"/>
      <c r="X2595" s="574">
        <f t="shared" si="330"/>
        <v>0</v>
      </c>
      <c r="Y2595" s="487"/>
      <c r="Z2595" s="487"/>
      <c r="AA2595" s="276">
        <f t="shared" si="331"/>
        <v>0</v>
      </c>
      <c r="AB2595" s="573"/>
      <c r="AC2595" s="487"/>
      <c r="AD2595" s="573"/>
      <c r="AE2595" s="487"/>
      <c r="AF2595" s="577">
        <f t="shared" si="327"/>
        <v>26309</v>
      </c>
      <c r="AG2595" s="275">
        <f t="shared" si="328"/>
        <v>22806</v>
      </c>
    </row>
    <row r="2596" spans="1:33" ht="12" customHeight="1">
      <c r="A2596" s="744" t="s">
        <v>1274</v>
      </c>
      <c r="B2596" s="703" t="s">
        <v>1784</v>
      </c>
      <c r="C2596" s="959" t="s">
        <v>2010</v>
      </c>
      <c r="D2596" s="746">
        <v>217989</v>
      </c>
      <c r="E2596" s="697">
        <v>10</v>
      </c>
      <c r="F2596" s="518"/>
      <c r="G2596" s="487"/>
      <c r="H2596" s="958">
        <v>419525</v>
      </c>
      <c r="I2596" s="949">
        <v>167378</v>
      </c>
      <c r="J2596" s="573"/>
      <c r="K2596" s="487"/>
      <c r="L2596" s="573"/>
      <c r="M2596" s="573"/>
      <c r="N2596" s="456">
        <f t="shared" si="329"/>
        <v>0</v>
      </c>
      <c r="O2596" s="487"/>
      <c r="P2596" s="487"/>
      <c r="Q2596" s="274">
        <f t="shared" si="324"/>
        <v>0</v>
      </c>
      <c r="R2596" s="574">
        <f t="shared" si="325"/>
        <v>419525</v>
      </c>
      <c r="S2596" s="275">
        <f t="shared" si="326"/>
        <v>167378</v>
      </c>
      <c r="T2596" s="575"/>
      <c r="U2596" s="487"/>
      <c r="V2596" s="576"/>
      <c r="W2596" s="573"/>
      <c r="X2596" s="574">
        <f t="shared" si="330"/>
        <v>0</v>
      </c>
      <c r="Y2596" s="487"/>
      <c r="Z2596" s="487"/>
      <c r="AA2596" s="276">
        <f t="shared" si="331"/>
        <v>0</v>
      </c>
      <c r="AB2596" s="573"/>
      <c r="AC2596" s="487"/>
      <c r="AD2596" s="573"/>
      <c r="AE2596" s="487"/>
      <c r="AF2596" s="577">
        <f t="shared" si="327"/>
        <v>419525</v>
      </c>
      <c r="AG2596" s="275">
        <f t="shared" si="328"/>
        <v>167378</v>
      </c>
    </row>
    <row r="2597" spans="1:33" ht="12" customHeight="1">
      <c r="A2597" s="744" t="s">
        <v>1274</v>
      </c>
      <c r="B2597" s="703" t="s">
        <v>1784</v>
      </c>
      <c r="C2597" s="959" t="s">
        <v>1998</v>
      </c>
      <c r="D2597" s="746">
        <v>217989</v>
      </c>
      <c r="E2597" s="697">
        <v>10</v>
      </c>
      <c r="F2597" s="518"/>
      <c r="G2597" s="487"/>
      <c r="H2597" s="958">
        <v>110787</v>
      </c>
      <c r="I2597" s="949">
        <v>110787</v>
      </c>
      <c r="J2597" s="573"/>
      <c r="K2597" s="487"/>
      <c r="L2597" s="573"/>
      <c r="M2597" s="573"/>
      <c r="N2597" s="456">
        <f t="shared" si="329"/>
        <v>0</v>
      </c>
      <c r="O2597" s="487"/>
      <c r="P2597" s="487"/>
      <c r="Q2597" s="274">
        <f t="shared" si="324"/>
        <v>0</v>
      </c>
      <c r="R2597" s="574">
        <f t="shared" si="325"/>
        <v>110787</v>
      </c>
      <c r="S2597" s="275">
        <f t="shared" si="326"/>
        <v>110787</v>
      </c>
      <c r="T2597" s="575"/>
      <c r="U2597" s="487"/>
      <c r="V2597" s="576"/>
      <c r="W2597" s="573"/>
      <c r="X2597" s="574">
        <f t="shared" si="330"/>
        <v>0</v>
      </c>
      <c r="Y2597" s="487"/>
      <c r="Z2597" s="487"/>
      <c r="AA2597" s="276">
        <f t="shared" si="331"/>
        <v>0</v>
      </c>
      <c r="AB2597" s="573"/>
      <c r="AC2597" s="487"/>
      <c r="AD2597" s="573"/>
      <c r="AE2597" s="487"/>
      <c r="AF2597" s="577">
        <f t="shared" si="327"/>
        <v>110787</v>
      </c>
      <c r="AG2597" s="275">
        <f t="shared" si="328"/>
        <v>110787</v>
      </c>
    </row>
    <row r="2598" spans="1:33" ht="12" customHeight="1">
      <c r="A2598" s="744" t="s">
        <v>1274</v>
      </c>
      <c r="B2598" s="703" t="s">
        <v>1776</v>
      </c>
      <c r="C2598" s="745" t="s">
        <v>229</v>
      </c>
      <c r="D2598" s="746">
        <v>217837</v>
      </c>
      <c r="E2598" s="697">
        <v>10</v>
      </c>
      <c r="F2598" s="573">
        <v>2837994</v>
      </c>
      <c r="G2598" s="949">
        <v>2082112</v>
      </c>
      <c r="H2598" s="573"/>
      <c r="I2598" s="487"/>
      <c r="J2598" s="573">
        <v>713478</v>
      </c>
      <c r="K2598" s="487">
        <v>678940</v>
      </c>
      <c r="L2598" s="573">
        <v>2841770</v>
      </c>
      <c r="M2598" s="573">
        <v>0</v>
      </c>
      <c r="N2598" s="456">
        <f t="shared" si="329"/>
        <v>2841770</v>
      </c>
      <c r="O2598" s="487">
        <v>2959254</v>
      </c>
      <c r="P2598" s="487">
        <v>0</v>
      </c>
      <c r="Q2598" s="274">
        <f t="shared" si="324"/>
        <v>2959254</v>
      </c>
      <c r="R2598" s="574">
        <f t="shared" si="325"/>
        <v>6393242</v>
      </c>
      <c r="S2598" s="275">
        <f t="shared" si="326"/>
        <v>5720306</v>
      </c>
      <c r="T2598" s="575"/>
      <c r="U2598" s="487"/>
      <c r="V2598" s="576"/>
      <c r="W2598" s="573"/>
      <c r="X2598" s="574">
        <f t="shared" si="330"/>
        <v>0</v>
      </c>
      <c r="Y2598" s="487"/>
      <c r="Z2598" s="487"/>
      <c r="AA2598" s="276">
        <f t="shared" si="331"/>
        <v>0</v>
      </c>
      <c r="AB2598" s="573"/>
      <c r="AC2598" s="487"/>
      <c r="AD2598" s="573"/>
      <c r="AE2598" s="487"/>
      <c r="AF2598" s="577">
        <f t="shared" si="327"/>
        <v>6393242</v>
      </c>
      <c r="AG2598" s="275">
        <f t="shared" si="328"/>
        <v>5720306</v>
      </c>
    </row>
    <row r="2599" spans="1:33" ht="12" customHeight="1">
      <c r="A2599" s="744" t="s">
        <v>1274</v>
      </c>
      <c r="B2599" s="703" t="s">
        <v>1784</v>
      </c>
      <c r="C2599" s="299" t="s">
        <v>2037</v>
      </c>
      <c r="D2599" s="746">
        <v>217837</v>
      </c>
      <c r="E2599" s="697">
        <v>10</v>
      </c>
      <c r="F2599" s="518"/>
      <c r="G2599" s="487"/>
      <c r="H2599" s="573"/>
      <c r="I2599" s="487"/>
      <c r="J2599" s="573"/>
      <c r="K2599" s="487"/>
      <c r="L2599" s="573"/>
      <c r="M2599" s="573"/>
      <c r="N2599" s="456">
        <f t="shared" si="329"/>
        <v>0</v>
      </c>
      <c r="O2599" s="487"/>
      <c r="P2599" s="487"/>
      <c r="Q2599" s="274">
        <f t="shared" si="324"/>
        <v>0</v>
      </c>
      <c r="R2599" s="574">
        <f t="shared" si="325"/>
        <v>0</v>
      </c>
      <c r="S2599" s="275">
        <f t="shared" si="326"/>
        <v>0</v>
      </c>
      <c r="T2599" s="575"/>
      <c r="U2599" s="487"/>
      <c r="V2599" s="576"/>
      <c r="W2599" s="573"/>
      <c r="X2599" s="574">
        <f t="shared" si="330"/>
        <v>0</v>
      </c>
      <c r="Y2599" s="487"/>
      <c r="Z2599" s="487"/>
      <c r="AA2599" s="276">
        <f t="shared" si="331"/>
        <v>0</v>
      </c>
      <c r="AB2599" s="573"/>
      <c r="AC2599" s="487"/>
      <c r="AD2599" s="573"/>
      <c r="AE2599" s="487"/>
      <c r="AF2599" s="577">
        <f t="shared" si="327"/>
        <v>0</v>
      </c>
      <c r="AG2599" s="275">
        <f t="shared" si="328"/>
        <v>0</v>
      </c>
    </row>
    <row r="2600" spans="1:33" ht="12" customHeight="1">
      <c r="A2600" s="744" t="s">
        <v>1274</v>
      </c>
      <c r="B2600" s="703" t="s">
        <v>1784</v>
      </c>
      <c r="C2600" s="747" t="s">
        <v>47</v>
      </c>
      <c r="D2600" s="746">
        <v>217837</v>
      </c>
      <c r="E2600" s="697">
        <v>10</v>
      </c>
      <c r="F2600" s="518"/>
      <c r="G2600" s="487"/>
      <c r="H2600" s="518">
        <v>62500</v>
      </c>
      <c r="I2600" s="949">
        <v>48760</v>
      </c>
      <c r="J2600" s="573"/>
      <c r="K2600" s="487"/>
      <c r="L2600" s="573"/>
      <c r="M2600" s="573"/>
      <c r="N2600" s="456">
        <f t="shared" si="329"/>
        <v>0</v>
      </c>
      <c r="O2600" s="487"/>
      <c r="P2600" s="487"/>
      <c r="Q2600" s="274">
        <f t="shared" si="324"/>
        <v>0</v>
      </c>
      <c r="R2600" s="574">
        <f t="shared" si="325"/>
        <v>62500</v>
      </c>
      <c r="S2600" s="275">
        <f t="shared" si="326"/>
        <v>48760</v>
      </c>
      <c r="T2600" s="575"/>
      <c r="U2600" s="487"/>
      <c r="V2600" s="576"/>
      <c r="W2600" s="573"/>
      <c r="X2600" s="574">
        <f t="shared" si="330"/>
        <v>0</v>
      </c>
      <c r="Y2600" s="487"/>
      <c r="Z2600" s="487"/>
      <c r="AA2600" s="276">
        <f t="shared" si="331"/>
        <v>0</v>
      </c>
      <c r="AB2600" s="573"/>
      <c r="AC2600" s="487"/>
      <c r="AD2600" s="573"/>
      <c r="AE2600" s="487"/>
      <c r="AF2600" s="577">
        <f t="shared" si="327"/>
        <v>62500</v>
      </c>
      <c r="AG2600" s="275">
        <f t="shared" si="328"/>
        <v>48760</v>
      </c>
    </row>
    <row r="2601" spans="1:33" ht="12" customHeight="1">
      <c r="A2601" s="744" t="s">
        <v>1274</v>
      </c>
      <c r="B2601" s="703" t="s">
        <v>1784</v>
      </c>
      <c r="C2601" s="747" t="s">
        <v>1238</v>
      </c>
      <c r="D2601" s="746">
        <v>217837</v>
      </c>
      <c r="E2601" s="697">
        <v>10</v>
      </c>
      <c r="F2601" s="518"/>
      <c r="G2601" s="487"/>
      <c r="H2601" s="518">
        <v>4287</v>
      </c>
      <c r="I2601" s="487">
        <v>4613</v>
      </c>
      <c r="J2601" s="573"/>
      <c r="K2601" s="487"/>
      <c r="L2601" s="573"/>
      <c r="M2601" s="573"/>
      <c r="N2601" s="456">
        <f t="shared" si="329"/>
        <v>0</v>
      </c>
      <c r="O2601" s="487"/>
      <c r="P2601" s="487"/>
      <c r="Q2601" s="274">
        <f t="shared" si="324"/>
        <v>0</v>
      </c>
      <c r="R2601" s="574">
        <f t="shared" si="325"/>
        <v>4287</v>
      </c>
      <c r="S2601" s="275">
        <f t="shared" si="326"/>
        <v>4613</v>
      </c>
      <c r="T2601" s="575"/>
      <c r="U2601" s="487"/>
      <c r="V2601" s="576"/>
      <c r="W2601" s="573"/>
      <c r="X2601" s="574">
        <f t="shared" si="330"/>
        <v>0</v>
      </c>
      <c r="Y2601" s="487"/>
      <c r="Z2601" s="487"/>
      <c r="AA2601" s="276">
        <f t="shared" si="331"/>
        <v>0</v>
      </c>
      <c r="AB2601" s="573"/>
      <c r="AC2601" s="487"/>
      <c r="AD2601" s="573"/>
      <c r="AE2601" s="487"/>
      <c r="AF2601" s="577">
        <f t="shared" si="327"/>
        <v>4287</v>
      </c>
      <c r="AG2601" s="275">
        <f t="shared" si="328"/>
        <v>4613</v>
      </c>
    </row>
    <row r="2602" spans="1:33" ht="12" customHeight="1">
      <c r="A2602" s="744" t="s">
        <v>1274</v>
      </c>
      <c r="B2602" s="703" t="s">
        <v>1784</v>
      </c>
      <c r="C2602" s="747" t="s">
        <v>45</v>
      </c>
      <c r="D2602" s="746">
        <v>217837</v>
      </c>
      <c r="E2602" s="697">
        <v>10</v>
      </c>
      <c r="F2602" s="518"/>
      <c r="G2602" s="487"/>
      <c r="H2602" s="518">
        <v>69</v>
      </c>
      <c r="I2602" s="487">
        <v>48</v>
      </c>
      <c r="J2602" s="573"/>
      <c r="K2602" s="487"/>
      <c r="L2602" s="573"/>
      <c r="M2602" s="573"/>
      <c r="N2602" s="456">
        <f t="shared" si="329"/>
        <v>0</v>
      </c>
      <c r="O2602" s="487"/>
      <c r="P2602" s="487"/>
      <c r="Q2602" s="274">
        <f t="shared" si="324"/>
        <v>0</v>
      </c>
      <c r="R2602" s="574">
        <f t="shared" si="325"/>
        <v>69</v>
      </c>
      <c r="S2602" s="275">
        <f t="shared" si="326"/>
        <v>48</v>
      </c>
      <c r="T2602" s="575"/>
      <c r="U2602" s="487"/>
      <c r="V2602" s="576"/>
      <c r="W2602" s="573"/>
      <c r="X2602" s="574">
        <f t="shared" si="330"/>
        <v>0</v>
      </c>
      <c r="Y2602" s="487"/>
      <c r="Z2602" s="487"/>
      <c r="AA2602" s="276">
        <f t="shared" si="331"/>
        <v>0</v>
      </c>
      <c r="AB2602" s="573"/>
      <c r="AC2602" s="487"/>
      <c r="AD2602" s="573"/>
      <c r="AE2602" s="487"/>
      <c r="AF2602" s="577">
        <f t="shared" si="327"/>
        <v>69</v>
      </c>
      <c r="AG2602" s="275">
        <f t="shared" si="328"/>
        <v>48</v>
      </c>
    </row>
    <row r="2603" spans="1:33" ht="12" customHeight="1">
      <c r="A2603" s="744" t="s">
        <v>1274</v>
      </c>
      <c r="B2603" s="703" t="s">
        <v>1784</v>
      </c>
      <c r="C2603" s="959" t="s">
        <v>2010</v>
      </c>
      <c r="D2603" s="746">
        <v>217837</v>
      </c>
      <c r="E2603" s="697">
        <v>10</v>
      </c>
      <c r="F2603" s="518"/>
      <c r="G2603" s="487"/>
      <c r="H2603" s="958">
        <v>403824</v>
      </c>
      <c r="I2603" s="949">
        <v>160735</v>
      </c>
      <c r="J2603" s="573"/>
      <c r="K2603" s="487"/>
      <c r="L2603" s="573"/>
      <c r="M2603" s="573"/>
      <c r="N2603" s="456">
        <f t="shared" si="329"/>
        <v>0</v>
      </c>
      <c r="O2603" s="487"/>
      <c r="P2603" s="487"/>
      <c r="Q2603" s="274">
        <f t="shared" si="324"/>
        <v>0</v>
      </c>
      <c r="R2603" s="574">
        <f t="shared" si="325"/>
        <v>403824</v>
      </c>
      <c r="S2603" s="275">
        <f t="shared" si="326"/>
        <v>160735</v>
      </c>
      <c r="T2603" s="575"/>
      <c r="U2603" s="487"/>
      <c r="V2603" s="576"/>
      <c r="W2603" s="573"/>
      <c r="X2603" s="574">
        <f t="shared" si="330"/>
        <v>0</v>
      </c>
      <c r="Y2603" s="487"/>
      <c r="Z2603" s="487"/>
      <c r="AA2603" s="276">
        <f t="shared" si="331"/>
        <v>0</v>
      </c>
      <c r="AB2603" s="573"/>
      <c r="AC2603" s="487"/>
      <c r="AD2603" s="573"/>
      <c r="AE2603" s="487"/>
      <c r="AF2603" s="577">
        <f t="shared" si="327"/>
        <v>403824</v>
      </c>
      <c r="AG2603" s="275">
        <f t="shared" si="328"/>
        <v>160735</v>
      </c>
    </row>
    <row r="2604" spans="1:33" ht="12" customHeight="1">
      <c r="A2604" s="744" t="s">
        <v>1274</v>
      </c>
      <c r="B2604" s="703" t="s">
        <v>1784</v>
      </c>
      <c r="C2604" s="959" t="s">
        <v>1998</v>
      </c>
      <c r="D2604" s="746">
        <v>217837</v>
      </c>
      <c r="E2604" s="697">
        <v>10</v>
      </c>
      <c r="F2604" s="518"/>
      <c r="G2604" s="949">
        <v>3786346</v>
      </c>
      <c r="H2604" s="958">
        <v>110787</v>
      </c>
      <c r="I2604" s="949">
        <v>110787</v>
      </c>
      <c r="J2604" s="573"/>
      <c r="K2604" s="487"/>
      <c r="L2604" s="573"/>
      <c r="M2604" s="573"/>
      <c r="N2604" s="456">
        <f t="shared" si="329"/>
        <v>0</v>
      </c>
      <c r="O2604" s="487"/>
      <c r="P2604" s="487"/>
      <c r="Q2604" s="274">
        <f t="shared" si="324"/>
        <v>0</v>
      </c>
      <c r="R2604" s="574">
        <f t="shared" si="325"/>
        <v>110787</v>
      </c>
      <c r="S2604" s="275">
        <f t="shared" si="326"/>
        <v>3897133</v>
      </c>
      <c r="T2604" s="575"/>
      <c r="U2604" s="487"/>
      <c r="V2604" s="576"/>
      <c r="W2604" s="573"/>
      <c r="X2604" s="574">
        <f t="shared" si="330"/>
        <v>0</v>
      </c>
      <c r="Y2604" s="487"/>
      <c r="Z2604" s="487"/>
      <c r="AA2604" s="276">
        <f t="shared" si="331"/>
        <v>0</v>
      </c>
      <c r="AB2604" s="573"/>
      <c r="AC2604" s="487"/>
      <c r="AD2604" s="573"/>
      <c r="AE2604" s="487"/>
      <c r="AF2604" s="577">
        <f t="shared" si="327"/>
        <v>110787</v>
      </c>
      <c r="AG2604" s="275">
        <f t="shared" si="328"/>
        <v>3897133</v>
      </c>
    </row>
    <row r="2605" spans="1:33" ht="12" customHeight="1">
      <c r="A2605" s="744" t="s">
        <v>1274</v>
      </c>
      <c r="B2605" s="703" t="s">
        <v>1776</v>
      </c>
      <c r="C2605" s="744" t="s">
        <v>231</v>
      </c>
      <c r="D2605" s="746">
        <v>217712</v>
      </c>
      <c r="E2605" s="697">
        <v>10</v>
      </c>
      <c r="F2605" s="573">
        <v>4731978</v>
      </c>
      <c r="G2605" s="949">
        <v>3786346</v>
      </c>
      <c r="H2605" s="573"/>
      <c r="I2605" s="487"/>
      <c r="J2605" s="573">
        <v>2444233</v>
      </c>
      <c r="K2605" s="487">
        <v>2541483</v>
      </c>
      <c r="L2605" s="573">
        <v>5692435</v>
      </c>
      <c r="M2605" s="573">
        <v>55176</v>
      </c>
      <c r="N2605" s="456">
        <f t="shared" si="329"/>
        <v>5747611</v>
      </c>
      <c r="O2605" s="487">
        <v>5722232</v>
      </c>
      <c r="P2605" s="487">
        <v>100396</v>
      </c>
      <c r="Q2605" s="274">
        <f t="shared" si="324"/>
        <v>5822628</v>
      </c>
      <c r="R2605" s="574">
        <f t="shared" si="325"/>
        <v>12868646</v>
      </c>
      <c r="S2605" s="275">
        <f t="shared" si="326"/>
        <v>12050061</v>
      </c>
      <c r="T2605" s="575"/>
      <c r="U2605" s="487"/>
      <c r="V2605" s="576"/>
      <c r="W2605" s="573"/>
      <c r="X2605" s="574">
        <f t="shared" si="330"/>
        <v>0</v>
      </c>
      <c r="Y2605" s="487"/>
      <c r="Z2605" s="487"/>
      <c r="AA2605" s="276">
        <f t="shared" si="331"/>
        <v>0</v>
      </c>
      <c r="AB2605" s="573"/>
      <c r="AC2605" s="487"/>
      <c r="AD2605" s="573"/>
      <c r="AE2605" s="487"/>
      <c r="AF2605" s="577">
        <f t="shared" si="327"/>
        <v>12868646</v>
      </c>
      <c r="AG2605" s="275">
        <f t="shared" si="328"/>
        <v>12050061</v>
      </c>
    </row>
    <row r="2606" spans="1:33" ht="12" customHeight="1">
      <c r="A2606" s="744" t="s">
        <v>1274</v>
      </c>
      <c r="B2606" s="703" t="s">
        <v>1784</v>
      </c>
      <c r="C2606" s="299" t="s">
        <v>2037</v>
      </c>
      <c r="D2606" s="746">
        <v>217712</v>
      </c>
      <c r="E2606" s="697">
        <v>10</v>
      </c>
      <c r="F2606" s="518"/>
      <c r="G2606" s="487"/>
      <c r="H2606" s="573"/>
      <c r="I2606" s="487"/>
      <c r="J2606" s="573"/>
      <c r="K2606" s="487"/>
      <c r="L2606" s="573"/>
      <c r="M2606" s="573"/>
      <c r="N2606" s="456">
        <f t="shared" si="329"/>
        <v>0</v>
      </c>
      <c r="O2606" s="487"/>
      <c r="P2606" s="487"/>
      <c r="Q2606" s="274">
        <f t="shared" si="324"/>
        <v>0</v>
      </c>
      <c r="R2606" s="574">
        <f t="shared" si="325"/>
        <v>0</v>
      </c>
      <c r="S2606" s="275">
        <f t="shared" si="326"/>
        <v>0</v>
      </c>
      <c r="T2606" s="575"/>
      <c r="U2606" s="487"/>
      <c r="V2606" s="576"/>
      <c r="W2606" s="573"/>
      <c r="X2606" s="574">
        <f t="shared" si="330"/>
        <v>0</v>
      </c>
      <c r="Y2606" s="487"/>
      <c r="Z2606" s="487"/>
      <c r="AA2606" s="276">
        <f t="shared" si="331"/>
        <v>0</v>
      </c>
      <c r="AB2606" s="573"/>
      <c r="AC2606" s="487"/>
      <c r="AD2606" s="573"/>
      <c r="AE2606" s="487"/>
      <c r="AF2606" s="577">
        <f t="shared" si="327"/>
        <v>0</v>
      </c>
      <c r="AG2606" s="275">
        <f t="shared" si="328"/>
        <v>0</v>
      </c>
    </row>
    <row r="2607" spans="1:33" ht="12" customHeight="1">
      <c r="A2607" s="744" t="s">
        <v>1274</v>
      </c>
      <c r="B2607" s="703" t="s">
        <v>1784</v>
      </c>
      <c r="C2607" s="747" t="s">
        <v>47</v>
      </c>
      <c r="D2607" s="746">
        <v>217712</v>
      </c>
      <c r="E2607" s="697">
        <v>10</v>
      </c>
      <c r="F2607" s="518"/>
      <c r="G2607" s="487"/>
      <c r="H2607" s="518">
        <v>62500</v>
      </c>
      <c r="I2607" s="949">
        <v>48760</v>
      </c>
      <c r="J2607" s="573"/>
      <c r="K2607" s="487"/>
      <c r="L2607" s="573"/>
      <c r="M2607" s="573"/>
      <c r="N2607" s="456">
        <f t="shared" si="329"/>
        <v>0</v>
      </c>
      <c r="O2607" s="487"/>
      <c r="P2607" s="487"/>
      <c r="Q2607" s="274">
        <f t="shared" si="324"/>
        <v>0</v>
      </c>
      <c r="R2607" s="574">
        <f t="shared" si="325"/>
        <v>62500</v>
      </c>
      <c r="S2607" s="275">
        <f t="shared" si="326"/>
        <v>48760</v>
      </c>
      <c r="T2607" s="575"/>
      <c r="U2607" s="487"/>
      <c r="V2607" s="576"/>
      <c r="W2607" s="573"/>
      <c r="X2607" s="574">
        <f t="shared" si="330"/>
        <v>0</v>
      </c>
      <c r="Y2607" s="487"/>
      <c r="Z2607" s="487"/>
      <c r="AA2607" s="276">
        <f t="shared" si="331"/>
        <v>0</v>
      </c>
      <c r="AB2607" s="573"/>
      <c r="AC2607" s="487"/>
      <c r="AD2607" s="573"/>
      <c r="AE2607" s="487"/>
      <c r="AF2607" s="577">
        <f t="shared" si="327"/>
        <v>62500</v>
      </c>
      <c r="AG2607" s="275">
        <f t="shared" si="328"/>
        <v>48760</v>
      </c>
    </row>
    <row r="2608" spans="1:33" ht="12" customHeight="1">
      <c r="A2608" s="744" t="s">
        <v>1274</v>
      </c>
      <c r="B2608" s="703" t="s">
        <v>1784</v>
      </c>
      <c r="C2608" s="747" t="s">
        <v>1238</v>
      </c>
      <c r="D2608" s="746">
        <v>217712</v>
      </c>
      <c r="E2608" s="697">
        <v>10</v>
      </c>
      <c r="F2608" s="518"/>
      <c r="G2608" s="487"/>
      <c r="H2608" s="518">
        <v>4287</v>
      </c>
      <c r="I2608" s="487">
        <v>5756</v>
      </c>
      <c r="J2608" s="573"/>
      <c r="K2608" s="487"/>
      <c r="L2608" s="573"/>
      <c r="M2608" s="573"/>
      <c r="N2608" s="456">
        <f t="shared" si="329"/>
        <v>0</v>
      </c>
      <c r="O2608" s="487"/>
      <c r="P2608" s="487"/>
      <c r="Q2608" s="274">
        <f t="shared" si="324"/>
        <v>0</v>
      </c>
      <c r="R2608" s="574">
        <f t="shared" si="325"/>
        <v>4287</v>
      </c>
      <c r="S2608" s="275">
        <f t="shared" si="326"/>
        <v>5756</v>
      </c>
      <c r="T2608" s="575"/>
      <c r="U2608" s="487"/>
      <c r="V2608" s="576"/>
      <c r="W2608" s="573"/>
      <c r="X2608" s="574">
        <f t="shared" si="330"/>
        <v>0</v>
      </c>
      <c r="Y2608" s="487"/>
      <c r="Z2608" s="487"/>
      <c r="AA2608" s="276">
        <f t="shared" si="331"/>
        <v>0</v>
      </c>
      <c r="AB2608" s="573"/>
      <c r="AC2608" s="487"/>
      <c r="AD2608" s="573"/>
      <c r="AE2608" s="487"/>
      <c r="AF2608" s="577">
        <f t="shared" si="327"/>
        <v>4287</v>
      </c>
      <c r="AG2608" s="275">
        <f t="shared" si="328"/>
        <v>5756</v>
      </c>
    </row>
    <row r="2609" spans="1:33" ht="12" customHeight="1">
      <c r="A2609" s="744" t="s">
        <v>1274</v>
      </c>
      <c r="B2609" s="703" t="s">
        <v>1784</v>
      </c>
      <c r="C2609" s="747" t="s">
        <v>45</v>
      </c>
      <c r="D2609" s="746">
        <v>217712</v>
      </c>
      <c r="E2609" s="697">
        <v>10</v>
      </c>
      <c r="F2609" s="518"/>
      <c r="G2609" s="487"/>
      <c r="H2609" s="518">
        <v>1242</v>
      </c>
      <c r="I2609" s="487">
        <v>694</v>
      </c>
      <c r="J2609" s="573"/>
      <c r="K2609" s="487"/>
      <c r="L2609" s="573"/>
      <c r="M2609" s="573"/>
      <c r="N2609" s="456">
        <f t="shared" si="329"/>
        <v>0</v>
      </c>
      <c r="O2609" s="487"/>
      <c r="P2609" s="487"/>
      <c r="Q2609" s="274">
        <f t="shared" si="324"/>
        <v>0</v>
      </c>
      <c r="R2609" s="574">
        <f t="shared" si="325"/>
        <v>1242</v>
      </c>
      <c r="S2609" s="275">
        <f t="shared" si="326"/>
        <v>694</v>
      </c>
      <c r="T2609" s="575"/>
      <c r="U2609" s="487"/>
      <c r="V2609" s="576"/>
      <c r="W2609" s="573"/>
      <c r="X2609" s="574">
        <f t="shared" si="330"/>
        <v>0</v>
      </c>
      <c r="Y2609" s="487"/>
      <c r="Z2609" s="487"/>
      <c r="AA2609" s="276">
        <f t="shared" si="331"/>
        <v>0</v>
      </c>
      <c r="AB2609" s="573"/>
      <c r="AC2609" s="487"/>
      <c r="AD2609" s="573"/>
      <c r="AE2609" s="487"/>
      <c r="AF2609" s="577">
        <f t="shared" si="327"/>
        <v>1242</v>
      </c>
      <c r="AG2609" s="275">
        <f t="shared" si="328"/>
        <v>694</v>
      </c>
    </row>
    <row r="2610" spans="1:33" ht="12" customHeight="1">
      <c r="A2610" s="744" t="s">
        <v>1274</v>
      </c>
      <c r="B2610" s="703" t="s">
        <v>1784</v>
      </c>
      <c r="C2610" s="747" t="s">
        <v>1676</v>
      </c>
      <c r="D2610" s="746">
        <v>217712</v>
      </c>
      <c r="E2610" s="697">
        <v>10</v>
      </c>
      <c r="F2610" s="518"/>
      <c r="G2610" s="487"/>
      <c r="H2610" s="518">
        <v>20665</v>
      </c>
      <c r="I2610" s="487">
        <v>19472</v>
      </c>
      <c r="J2610" s="573"/>
      <c r="K2610" s="487"/>
      <c r="L2610" s="573"/>
      <c r="M2610" s="573"/>
      <c r="N2610" s="456">
        <f t="shared" si="329"/>
        <v>0</v>
      </c>
      <c r="O2610" s="487"/>
      <c r="P2610" s="487"/>
      <c r="Q2610" s="274">
        <f t="shared" si="324"/>
        <v>0</v>
      </c>
      <c r="R2610" s="574">
        <f t="shared" si="325"/>
        <v>20665</v>
      </c>
      <c r="S2610" s="275">
        <f t="shared" si="326"/>
        <v>19472</v>
      </c>
      <c r="T2610" s="575"/>
      <c r="U2610" s="487"/>
      <c r="V2610" s="576"/>
      <c r="W2610" s="573"/>
      <c r="X2610" s="574">
        <f t="shared" si="330"/>
        <v>0</v>
      </c>
      <c r="Y2610" s="487"/>
      <c r="Z2610" s="487"/>
      <c r="AA2610" s="276">
        <f t="shared" si="331"/>
        <v>0</v>
      </c>
      <c r="AB2610" s="573"/>
      <c r="AC2610" s="487"/>
      <c r="AD2610" s="573"/>
      <c r="AE2610" s="487"/>
      <c r="AF2610" s="577">
        <f t="shared" si="327"/>
        <v>20665</v>
      </c>
      <c r="AG2610" s="275">
        <f t="shared" si="328"/>
        <v>19472</v>
      </c>
    </row>
    <row r="2611" spans="1:33" ht="12" customHeight="1">
      <c r="A2611" s="744" t="s">
        <v>1274</v>
      </c>
      <c r="B2611" s="703" t="s">
        <v>1784</v>
      </c>
      <c r="C2611" s="959" t="s">
        <v>2010</v>
      </c>
      <c r="D2611" s="746">
        <v>217712</v>
      </c>
      <c r="E2611" s="697">
        <v>10</v>
      </c>
      <c r="F2611" s="518"/>
      <c r="G2611" s="487"/>
      <c r="H2611" s="958">
        <v>440418</v>
      </c>
      <c r="I2611" s="949">
        <v>176906</v>
      </c>
      <c r="J2611" s="573"/>
      <c r="K2611" s="487"/>
      <c r="L2611" s="573"/>
      <c r="M2611" s="573"/>
      <c r="N2611" s="456">
        <f t="shared" si="329"/>
        <v>0</v>
      </c>
      <c r="O2611" s="487"/>
      <c r="P2611" s="487"/>
      <c r="Q2611" s="274">
        <f t="shared" si="324"/>
        <v>0</v>
      </c>
      <c r="R2611" s="574">
        <f t="shared" si="325"/>
        <v>440418</v>
      </c>
      <c r="S2611" s="275">
        <f t="shared" si="326"/>
        <v>176906</v>
      </c>
      <c r="T2611" s="575"/>
      <c r="U2611" s="487"/>
      <c r="V2611" s="576"/>
      <c r="W2611" s="573"/>
      <c r="X2611" s="574">
        <f t="shared" si="330"/>
        <v>0</v>
      </c>
      <c r="Y2611" s="487"/>
      <c r="Z2611" s="487"/>
      <c r="AA2611" s="276">
        <f t="shared" si="331"/>
        <v>0</v>
      </c>
      <c r="AB2611" s="573"/>
      <c r="AC2611" s="487"/>
      <c r="AD2611" s="573"/>
      <c r="AE2611" s="487"/>
      <c r="AF2611" s="577">
        <f t="shared" si="327"/>
        <v>440418</v>
      </c>
      <c r="AG2611" s="275">
        <f t="shared" si="328"/>
        <v>176906</v>
      </c>
    </row>
    <row r="2612" spans="1:33" ht="12" customHeight="1">
      <c r="A2612" s="744" t="s">
        <v>1274</v>
      </c>
      <c r="B2612" s="703" t="s">
        <v>1784</v>
      </c>
      <c r="C2612" s="959" t="s">
        <v>2013</v>
      </c>
      <c r="D2612" s="746">
        <v>217712</v>
      </c>
      <c r="E2612" s="697">
        <v>10</v>
      </c>
      <c r="F2612" s="518"/>
      <c r="G2612" s="487"/>
      <c r="H2612" s="958">
        <v>250000</v>
      </c>
      <c r="I2612" s="949"/>
      <c r="J2612" s="573"/>
      <c r="K2612" s="487"/>
      <c r="L2612" s="573"/>
      <c r="M2612" s="573"/>
      <c r="N2612" s="456">
        <f t="shared" si="329"/>
        <v>0</v>
      </c>
      <c r="O2612" s="487"/>
      <c r="P2612" s="487"/>
      <c r="Q2612" s="274">
        <f t="shared" si="324"/>
        <v>0</v>
      </c>
      <c r="R2612" s="574">
        <f t="shared" si="325"/>
        <v>250000</v>
      </c>
      <c r="S2612" s="275">
        <f t="shared" si="326"/>
        <v>0</v>
      </c>
      <c r="T2612" s="575"/>
      <c r="U2612" s="487"/>
      <c r="V2612" s="576"/>
      <c r="W2612" s="573"/>
      <c r="X2612" s="574">
        <f t="shared" si="330"/>
        <v>0</v>
      </c>
      <c r="Y2612" s="487"/>
      <c r="Z2612" s="487"/>
      <c r="AA2612" s="276">
        <f t="shared" si="331"/>
        <v>0</v>
      </c>
      <c r="AB2612" s="573"/>
      <c r="AC2612" s="487"/>
      <c r="AD2612" s="573"/>
      <c r="AE2612" s="487"/>
      <c r="AF2612" s="577">
        <f t="shared" si="327"/>
        <v>250000</v>
      </c>
      <c r="AG2612" s="275">
        <f t="shared" si="328"/>
        <v>0</v>
      </c>
    </row>
    <row r="2613" spans="1:33" ht="12" customHeight="1">
      <c r="A2613" s="744" t="s">
        <v>1274</v>
      </c>
      <c r="B2613" s="703" t="s">
        <v>1784</v>
      </c>
      <c r="C2613" s="959" t="s">
        <v>1998</v>
      </c>
      <c r="D2613" s="746">
        <v>217712</v>
      </c>
      <c r="E2613" s="697">
        <v>10</v>
      </c>
      <c r="F2613" s="518"/>
      <c r="G2613" s="487"/>
      <c r="H2613" s="958">
        <v>119417</v>
      </c>
      <c r="I2613" s="949">
        <v>121064</v>
      </c>
      <c r="J2613" s="573"/>
      <c r="K2613" s="487"/>
      <c r="L2613" s="573"/>
      <c r="M2613" s="573"/>
      <c r="N2613" s="456">
        <f t="shared" si="329"/>
        <v>0</v>
      </c>
      <c r="O2613" s="487"/>
      <c r="P2613" s="487"/>
      <c r="Q2613" s="274">
        <f t="shared" si="324"/>
        <v>0</v>
      </c>
      <c r="R2613" s="574">
        <f t="shared" si="325"/>
        <v>119417</v>
      </c>
      <c r="S2613" s="275">
        <f t="shared" si="326"/>
        <v>121064</v>
      </c>
      <c r="T2613" s="575"/>
      <c r="U2613" s="487"/>
      <c r="V2613" s="576"/>
      <c r="W2613" s="573"/>
      <c r="X2613" s="574">
        <f t="shared" si="330"/>
        <v>0</v>
      </c>
      <c r="Y2613" s="487"/>
      <c r="Z2613" s="487"/>
      <c r="AA2613" s="276">
        <f t="shared" si="331"/>
        <v>0</v>
      </c>
      <c r="AB2613" s="573"/>
      <c r="AC2613" s="487"/>
      <c r="AD2613" s="573"/>
      <c r="AE2613" s="487"/>
      <c r="AF2613" s="577">
        <f t="shared" si="327"/>
        <v>119417</v>
      </c>
      <c r="AG2613" s="275">
        <f t="shared" si="328"/>
        <v>121064</v>
      </c>
    </row>
    <row r="2614" spans="1:33" ht="12" customHeight="1">
      <c r="A2614" s="744" t="s">
        <v>1274</v>
      </c>
      <c r="B2614" s="703" t="s">
        <v>1776</v>
      </c>
      <c r="C2614" s="745" t="s">
        <v>232</v>
      </c>
      <c r="D2614" s="746">
        <v>218672</v>
      </c>
      <c r="E2614" s="697">
        <v>10</v>
      </c>
      <c r="F2614" s="573">
        <v>2643788</v>
      </c>
      <c r="G2614" s="949">
        <f>2416349-677166+25817</f>
        <v>1765000</v>
      </c>
      <c r="H2614" s="573"/>
      <c r="I2614" s="487"/>
      <c r="J2614" s="573"/>
      <c r="K2614" s="487"/>
      <c r="L2614" s="518">
        <v>3937316</v>
      </c>
      <c r="M2614" s="518">
        <v>36963</v>
      </c>
      <c r="N2614" s="456">
        <f t="shared" si="329"/>
        <v>3974279</v>
      </c>
      <c r="O2614" s="487">
        <v>4835393</v>
      </c>
      <c r="P2614" s="487">
        <v>42042</v>
      </c>
      <c r="Q2614" s="274">
        <f t="shared" si="324"/>
        <v>4877435</v>
      </c>
      <c r="R2614" s="574">
        <f t="shared" si="325"/>
        <v>6581104</v>
      </c>
      <c r="S2614" s="275">
        <f t="shared" si="326"/>
        <v>6600393</v>
      </c>
      <c r="T2614" s="575"/>
      <c r="U2614" s="487"/>
      <c r="V2614" s="576"/>
      <c r="W2614" s="573"/>
      <c r="X2614" s="574">
        <f t="shared" si="330"/>
        <v>0</v>
      </c>
      <c r="Y2614" s="487"/>
      <c r="Z2614" s="487"/>
      <c r="AA2614" s="276">
        <f t="shared" si="331"/>
        <v>0</v>
      </c>
      <c r="AB2614" s="573"/>
      <c r="AC2614" s="487"/>
      <c r="AD2614" s="573"/>
      <c r="AE2614" s="487"/>
      <c r="AF2614" s="577">
        <f t="shared" si="327"/>
        <v>6581104</v>
      </c>
      <c r="AG2614" s="275">
        <f t="shared" si="328"/>
        <v>6600393</v>
      </c>
    </row>
    <row r="2615" spans="1:33" ht="12" customHeight="1">
      <c r="A2615" s="744" t="s">
        <v>1274</v>
      </c>
      <c r="B2615" s="703" t="s">
        <v>1776</v>
      </c>
      <c r="C2615" s="747" t="s">
        <v>1704</v>
      </c>
      <c r="D2615" s="746">
        <v>218672</v>
      </c>
      <c r="E2615" s="697">
        <v>10</v>
      </c>
      <c r="F2615" s="573">
        <v>127105</v>
      </c>
      <c r="G2615" s="487"/>
      <c r="H2615" s="573"/>
      <c r="I2615" s="487"/>
      <c r="J2615" s="573"/>
      <c r="K2615" s="487"/>
      <c r="L2615" s="573"/>
      <c r="M2615" s="573"/>
      <c r="N2615" s="456">
        <f t="shared" si="329"/>
        <v>0</v>
      </c>
      <c r="O2615" s="487"/>
      <c r="P2615" s="487"/>
      <c r="Q2615" s="274">
        <f t="shared" si="324"/>
        <v>0</v>
      </c>
      <c r="R2615" s="574">
        <f t="shared" si="325"/>
        <v>127105</v>
      </c>
      <c r="S2615" s="275">
        <f t="shared" si="326"/>
        <v>0</v>
      </c>
      <c r="T2615" s="575"/>
      <c r="U2615" s="487"/>
      <c r="V2615" s="576"/>
      <c r="W2615" s="573"/>
      <c r="X2615" s="574">
        <f t="shared" si="330"/>
        <v>0</v>
      </c>
      <c r="Y2615" s="487"/>
      <c r="Z2615" s="487"/>
      <c r="AA2615" s="276">
        <f t="shared" si="331"/>
        <v>0</v>
      </c>
      <c r="AB2615" s="573"/>
      <c r="AC2615" s="487"/>
      <c r="AD2615" s="573"/>
      <c r="AE2615" s="487"/>
      <c r="AF2615" s="577">
        <f t="shared" si="327"/>
        <v>127105</v>
      </c>
      <c r="AG2615" s="275">
        <f t="shared" si="328"/>
        <v>0</v>
      </c>
    </row>
    <row r="2616" spans="1:33" ht="12" customHeight="1">
      <c r="A2616" s="744" t="s">
        <v>1274</v>
      </c>
      <c r="B2616" s="703" t="s">
        <v>1776</v>
      </c>
      <c r="C2616" s="747" t="s">
        <v>1988</v>
      </c>
      <c r="D2616" s="746">
        <v>218672</v>
      </c>
      <c r="E2616" s="697">
        <v>10</v>
      </c>
      <c r="F2616" s="518"/>
      <c r="G2616" s="949">
        <v>354544</v>
      </c>
      <c r="H2616" s="573"/>
      <c r="I2616" s="487"/>
      <c r="J2616" s="573"/>
      <c r="K2616" s="487"/>
      <c r="L2616" s="573"/>
      <c r="M2616" s="573"/>
      <c r="N2616" s="456">
        <f t="shared" si="329"/>
        <v>0</v>
      </c>
      <c r="O2616" s="487"/>
      <c r="P2616" s="487"/>
      <c r="Q2616" s="274">
        <f t="shared" si="324"/>
        <v>0</v>
      </c>
      <c r="R2616" s="574">
        <f t="shared" si="325"/>
        <v>0</v>
      </c>
      <c r="S2616" s="275">
        <f t="shared" si="326"/>
        <v>354544</v>
      </c>
      <c r="T2616" s="575"/>
      <c r="U2616" s="487"/>
      <c r="V2616" s="576"/>
      <c r="W2616" s="573"/>
      <c r="X2616" s="574">
        <f t="shared" si="330"/>
        <v>0</v>
      </c>
      <c r="Y2616" s="487"/>
      <c r="Z2616" s="487"/>
      <c r="AA2616" s="276">
        <f t="shared" si="331"/>
        <v>0</v>
      </c>
      <c r="AB2616" s="573"/>
      <c r="AC2616" s="487"/>
      <c r="AD2616" s="573"/>
      <c r="AE2616" s="487"/>
      <c r="AF2616" s="577">
        <f t="shared" si="327"/>
        <v>0</v>
      </c>
      <c r="AG2616" s="275">
        <f t="shared" si="328"/>
        <v>354544</v>
      </c>
    </row>
    <row r="2617" spans="1:33" ht="12" customHeight="1">
      <c r="A2617" s="744" t="s">
        <v>1274</v>
      </c>
      <c r="B2617" s="703" t="s">
        <v>1784</v>
      </c>
      <c r="C2617" s="299" t="s">
        <v>2037</v>
      </c>
      <c r="D2617" s="746">
        <v>218672</v>
      </c>
      <c r="E2617" s="697">
        <v>10</v>
      </c>
      <c r="F2617" s="518"/>
      <c r="G2617" s="487"/>
      <c r="H2617" s="573"/>
      <c r="I2617" s="487"/>
      <c r="J2617" s="573"/>
      <c r="K2617" s="487"/>
      <c r="L2617" s="573"/>
      <c r="M2617" s="573"/>
      <c r="N2617" s="456">
        <f t="shared" si="329"/>
        <v>0</v>
      </c>
      <c r="O2617" s="487"/>
      <c r="P2617" s="487"/>
      <c r="Q2617" s="274">
        <f t="shared" si="324"/>
        <v>0</v>
      </c>
      <c r="R2617" s="574">
        <f t="shared" si="325"/>
        <v>0</v>
      </c>
      <c r="S2617" s="275">
        <f t="shared" si="326"/>
        <v>0</v>
      </c>
      <c r="T2617" s="575"/>
      <c r="U2617" s="487"/>
      <c r="V2617" s="576"/>
      <c r="W2617" s="573"/>
      <c r="X2617" s="574">
        <f t="shared" si="330"/>
        <v>0</v>
      </c>
      <c r="Y2617" s="487"/>
      <c r="Z2617" s="487"/>
      <c r="AA2617" s="276">
        <f t="shared" si="331"/>
        <v>0</v>
      </c>
      <c r="AB2617" s="573"/>
      <c r="AC2617" s="487"/>
      <c r="AD2617" s="573"/>
      <c r="AE2617" s="487"/>
      <c r="AF2617" s="577">
        <f t="shared" si="327"/>
        <v>0</v>
      </c>
      <c r="AG2617" s="275">
        <f t="shared" si="328"/>
        <v>0</v>
      </c>
    </row>
    <row r="2618" spans="1:33" ht="12" customHeight="1">
      <c r="A2618" s="744" t="s">
        <v>1274</v>
      </c>
      <c r="B2618" s="703" t="s">
        <v>1784</v>
      </c>
      <c r="C2618" s="747" t="s">
        <v>2017</v>
      </c>
      <c r="D2618" s="746">
        <v>218672</v>
      </c>
      <c r="E2618" s="697">
        <v>10</v>
      </c>
      <c r="F2618" s="573"/>
      <c r="G2618" s="949">
        <v>100000</v>
      </c>
      <c r="H2618" s="573"/>
      <c r="I2618" s="487"/>
      <c r="J2618" s="573"/>
      <c r="K2618" s="487"/>
      <c r="L2618" s="518"/>
      <c r="M2618" s="518"/>
      <c r="N2618" s="456">
        <f t="shared" si="329"/>
        <v>0</v>
      </c>
      <c r="O2618" s="487"/>
      <c r="P2618" s="487"/>
      <c r="Q2618" s="274">
        <f t="shared" si="324"/>
        <v>0</v>
      </c>
      <c r="R2618" s="574">
        <f t="shared" si="325"/>
        <v>0</v>
      </c>
      <c r="S2618" s="275">
        <f t="shared" si="326"/>
        <v>100000</v>
      </c>
      <c r="T2618" s="575"/>
      <c r="U2618" s="487"/>
      <c r="V2618" s="576"/>
      <c r="W2618" s="573"/>
      <c r="X2618" s="574">
        <f t="shared" si="330"/>
        <v>0</v>
      </c>
      <c r="Y2618" s="487"/>
      <c r="Z2618" s="487"/>
      <c r="AA2618" s="276">
        <f t="shared" si="331"/>
        <v>0</v>
      </c>
      <c r="AB2618" s="573"/>
      <c r="AC2618" s="487"/>
      <c r="AD2618" s="573"/>
      <c r="AE2618" s="487"/>
      <c r="AF2618" s="577">
        <f t="shared" si="327"/>
        <v>0</v>
      </c>
      <c r="AG2618" s="275">
        <f t="shared" si="328"/>
        <v>100000</v>
      </c>
    </row>
    <row r="2619" spans="1:33" ht="12" customHeight="1">
      <c r="A2619" s="744" t="s">
        <v>1274</v>
      </c>
      <c r="B2619" s="703" t="s">
        <v>1784</v>
      </c>
      <c r="C2619" s="747" t="s">
        <v>1238</v>
      </c>
      <c r="D2619" s="746">
        <v>218672</v>
      </c>
      <c r="E2619" s="697">
        <v>10</v>
      </c>
      <c r="F2619" s="518"/>
      <c r="G2619" s="487"/>
      <c r="H2619" s="518">
        <v>6209</v>
      </c>
      <c r="I2619" s="487">
        <v>5269</v>
      </c>
      <c r="J2619" s="573"/>
      <c r="K2619" s="487"/>
      <c r="L2619" s="573"/>
      <c r="M2619" s="573"/>
      <c r="N2619" s="456">
        <f t="shared" si="329"/>
        <v>0</v>
      </c>
      <c r="O2619" s="487"/>
      <c r="P2619" s="487"/>
      <c r="Q2619" s="274">
        <f t="shared" si="324"/>
        <v>0</v>
      </c>
      <c r="R2619" s="574">
        <f t="shared" si="325"/>
        <v>6209</v>
      </c>
      <c r="S2619" s="275">
        <f t="shared" si="326"/>
        <v>5269</v>
      </c>
      <c r="T2619" s="575"/>
      <c r="U2619" s="487"/>
      <c r="V2619" s="576"/>
      <c r="W2619" s="573"/>
      <c r="X2619" s="574">
        <f t="shared" si="330"/>
        <v>0</v>
      </c>
      <c r="Y2619" s="487"/>
      <c r="Z2619" s="487"/>
      <c r="AA2619" s="276">
        <f t="shared" si="331"/>
        <v>0</v>
      </c>
      <c r="AB2619" s="573"/>
      <c r="AC2619" s="487"/>
      <c r="AD2619" s="573"/>
      <c r="AE2619" s="487"/>
      <c r="AF2619" s="577">
        <f t="shared" si="327"/>
        <v>6209</v>
      </c>
      <c r="AG2619" s="275">
        <f t="shared" si="328"/>
        <v>5269</v>
      </c>
    </row>
    <row r="2620" spans="1:33" ht="12" customHeight="1">
      <c r="A2620" s="744" t="s">
        <v>1274</v>
      </c>
      <c r="B2620" s="703" t="s">
        <v>1784</v>
      </c>
      <c r="C2620" s="747" t="s">
        <v>45</v>
      </c>
      <c r="D2620" s="746">
        <v>218672</v>
      </c>
      <c r="E2620" s="697">
        <v>10</v>
      </c>
      <c r="F2620" s="518"/>
      <c r="G2620" s="487"/>
      <c r="H2620" s="518">
        <v>7473</v>
      </c>
      <c r="I2620" s="487">
        <v>6425</v>
      </c>
      <c r="J2620" s="573"/>
      <c r="K2620" s="487"/>
      <c r="L2620" s="573"/>
      <c r="M2620" s="573"/>
      <c r="N2620" s="456">
        <f t="shared" si="329"/>
        <v>0</v>
      </c>
      <c r="O2620" s="487"/>
      <c r="P2620" s="487"/>
      <c r="Q2620" s="274">
        <f t="shared" si="324"/>
        <v>0</v>
      </c>
      <c r="R2620" s="574">
        <f t="shared" si="325"/>
        <v>7473</v>
      </c>
      <c r="S2620" s="275">
        <f t="shared" si="326"/>
        <v>6425</v>
      </c>
      <c r="T2620" s="575"/>
      <c r="U2620" s="487"/>
      <c r="V2620" s="576"/>
      <c r="W2620" s="573"/>
      <c r="X2620" s="574">
        <f t="shared" si="330"/>
        <v>0</v>
      </c>
      <c r="Y2620" s="487"/>
      <c r="Z2620" s="487"/>
      <c r="AA2620" s="276">
        <f t="shared" si="331"/>
        <v>0</v>
      </c>
      <c r="AB2620" s="573"/>
      <c r="AC2620" s="487"/>
      <c r="AD2620" s="573"/>
      <c r="AE2620" s="487"/>
      <c r="AF2620" s="577">
        <f t="shared" si="327"/>
        <v>7473</v>
      </c>
      <c r="AG2620" s="275">
        <f t="shared" si="328"/>
        <v>6425</v>
      </c>
    </row>
    <row r="2621" spans="1:33" ht="12" customHeight="1">
      <c r="A2621" s="744" t="s">
        <v>1274</v>
      </c>
      <c r="B2621" s="703" t="s">
        <v>1784</v>
      </c>
      <c r="C2621" s="747" t="s">
        <v>1676</v>
      </c>
      <c r="D2621" s="746">
        <v>218672</v>
      </c>
      <c r="E2621" s="697">
        <v>10</v>
      </c>
      <c r="F2621" s="518"/>
      <c r="G2621" s="487"/>
      <c r="H2621" s="518"/>
      <c r="I2621" s="487">
        <v>3143</v>
      </c>
      <c r="J2621" s="573"/>
      <c r="K2621" s="487"/>
      <c r="L2621" s="573"/>
      <c r="M2621" s="573"/>
      <c r="N2621" s="456">
        <f t="shared" si="329"/>
        <v>0</v>
      </c>
      <c r="O2621" s="487"/>
      <c r="P2621" s="487"/>
      <c r="Q2621" s="274">
        <f t="shared" si="324"/>
        <v>0</v>
      </c>
      <c r="R2621" s="574">
        <f t="shared" si="325"/>
        <v>0</v>
      </c>
      <c r="S2621" s="275">
        <f t="shared" si="326"/>
        <v>3143</v>
      </c>
      <c r="T2621" s="575"/>
      <c r="U2621" s="487"/>
      <c r="V2621" s="576"/>
      <c r="W2621" s="573"/>
      <c r="X2621" s="574">
        <f t="shared" si="330"/>
        <v>0</v>
      </c>
      <c r="Y2621" s="487"/>
      <c r="Z2621" s="487"/>
      <c r="AA2621" s="276">
        <f t="shared" si="331"/>
        <v>0</v>
      </c>
      <c r="AB2621" s="573"/>
      <c r="AC2621" s="487"/>
      <c r="AD2621" s="573"/>
      <c r="AE2621" s="487"/>
      <c r="AF2621" s="577">
        <f t="shared" si="327"/>
        <v>0</v>
      </c>
      <c r="AG2621" s="275">
        <f t="shared" si="328"/>
        <v>3143</v>
      </c>
    </row>
    <row r="2622" spans="1:33" ht="12" customHeight="1">
      <c r="A2622" s="744" t="s">
        <v>1274</v>
      </c>
      <c r="B2622" s="703" t="s">
        <v>1784</v>
      </c>
      <c r="C2622" s="960" t="s">
        <v>1998</v>
      </c>
      <c r="D2622" s="746">
        <v>218672</v>
      </c>
      <c r="E2622" s="697">
        <v>10</v>
      </c>
      <c r="F2622" s="518"/>
      <c r="G2622" s="487"/>
      <c r="H2622" s="958">
        <v>125000</v>
      </c>
      <c r="I2622" s="962">
        <v>125000</v>
      </c>
      <c r="J2622" s="573"/>
      <c r="K2622" s="487"/>
      <c r="L2622" s="573"/>
      <c r="M2622" s="573"/>
      <c r="N2622" s="456">
        <f t="shared" si="329"/>
        <v>0</v>
      </c>
      <c r="O2622" s="487"/>
      <c r="P2622" s="487"/>
      <c r="Q2622" s="274">
        <f t="shared" si="324"/>
        <v>0</v>
      </c>
      <c r="R2622" s="574">
        <f t="shared" si="325"/>
        <v>125000</v>
      </c>
      <c r="S2622" s="275">
        <f t="shared" si="326"/>
        <v>125000</v>
      </c>
      <c r="T2622" s="575"/>
      <c r="U2622" s="487"/>
      <c r="V2622" s="576"/>
      <c r="W2622" s="573"/>
      <c r="X2622" s="574">
        <f t="shared" si="330"/>
        <v>0</v>
      </c>
      <c r="Y2622" s="487"/>
      <c r="Z2622" s="487"/>
      <c r="AA2622" s="276">
        <f t="shared" si="331"/>
        <v>0</v>
      </c>
      <c r="AB2622" s="573"/>
      <c r="AC2622" s="487"/>
      <c r="AD2622" s="573"/>
      <c r="AE2622" s="487"/>
      <c r="AF2622" s="577">
        <f t="shared" si="327"/>
        <v>125000</v>
      </c>
      <c r="AG2622" s="275">
        <f t="shared" si="328"/>
        <v>125000</v>
      </c>
    </row>
    <row r="2623" spans="1:33" ht="12" customHeight="1">
      <c r="A2623" s="744" t="s">
        <v>1274</v>
      </c>
      <c r="B2623" s="703" t="s">
        <v>1784</v>
      </c>
      <c r="C2623" s="961" t="s">
        <v>2018</v>
      </c>
      <c r="D2623" s="746">
        <v>218672</v>
      </c>
      <c r="E2623" s="697">
        <v>10</v>
      </c>
      <c r="F2623" s="518"/>
      <c r="G2623" s="487"/>
      <c r="H2623" s="958">
        <v>800000</v>
      </c>
      <c r="I2623" s="949"/>
      <c r="J2623" s="573"/>
      <c r="K2623" s="487"/>
      <c r="L2623" s="573"/>
      <c r="M2623" s="573"/>
      <c r="N2623" s="456">
        <f t="shared" si="329"/>
        <v>0</v>
      </c>
      <c r="O2623" s="487"/>
      <c r="P2623" s="487"/>
      <c r="Q2623" s="274">
        <f t="shared" si="324"/>
        <v>0</v>
      </c>
      <c r="R2623" s="574">
        <f t="shared" si="325"/>
        <v>800000</v>
      </c>
      <c r="S2623" s="275">
        <f t="shared" si="326"/>
        <v>0</v>
      </c>
      <c r="T2623" s="575"/>
      <c r="U2623" s="487"/>
      <c r="V2623" s="576"/>
      <c r="W2623" s="573"/>
      <c r="X2623" s="574">
        <f t="shared" si="330"/>
        <v>0</v>
      </c>
      <c r="Y2623" s="487"/>
      <c r="Z2623" s="487"/>
      <c r="AA2623" s="276">
        <f t="shared" si="331"/>
        <v>0</v>
      </c>
      <c r="AB2623" s="573"/>
      <c r="AC2623" s="487"/>
      <c r="AD2623" s="573"/>
      <c r="AE2623" s="487"/>
      <c r="AF2623" s="577">
        <f t="shared" si="327"/>
        <v>800000</v>
      </c>
      <c r="AG2623" s="275">
        <f t="shared" si="328"/>
        <v>0</v>
      </c>
    </row>
    <row r="2624" spans="1:33" ht="12" customHeight="1">
      <c r="A2624" s="744" t="s">
        <v>1274</v>
      </c>
      <c r="B2624" s="703" t="s">
        <v>1776</v>
      </c>
      <c r="C2624" s="745" t="s">
        <v>233</v>
      </c>
      <c r="D2624" s="746">
        <v>218681</v>
      </c>
      <c r="E2624" s="697">
        <v>10</v>
      </c>
      <c r="F2624" s="573">
        <v>2190477</v>
      </c>
      <c r="G2624" s="949">
        <f>1986460-486655+20655</f>
        <v>1520460</v>
      </c>
      <c r="H2624" s="573"/>
      <c r="I2624" s="487"/>
      <c r="J2624" s="573"/>
      <c r="K2624" s="487"/>
      <c r="L2624" s="518">
        <v>2675720</v>
      </c>
      <c r="M2624" s="518">
        <v>19308</v>
      </c>
      <c r="N2624" s="456">
        <f t="shared" si="329"/>
        <v>2695028</v>
      </c>
      <c r="O2624" s="487">
        <v>3412159</v>
      </c>
      <c r="P2624" s="487">
        <v>23217</v>
      </c>
      <c r="Q2624" s="274">
        <f t="shared" si="324"/>
        <v>3435376</v>
      </c>
      <c r="R2624" s="574">
        <f t="shared" si="325"/>
        <v>4866197</v>
      </c>
      <c r="S2624" s="275">
        <f t="shared" si="326"/>
        <v>4932619</v>
      </c>
      <c r="T2624" s="575"/>
      <c r="U2624" s="487"/>
      <c r="V2624" s="576"/>
      <c r="W2624" s="573"/>
      <c r="X2624" s="574">
        <f t="shared" si="330"/>
        <v>0</v>
      </c>
      <c r="Y2624" s="487"/>
      <c r="Z2624" s="487"/>
      <c r="AA2624" s="276">
        <f t="shared" si="331"/>
        <v>0</v>
      </c>
      <c r="AB2624" s="573"/>
      <c r="AC2624" s="487"/>
      <c r="AD2624" s="573"/>
      <c r="AE2624" s="487"/>
      <c r="AF2624" s="577">
        <f t="shared" si="327"/>
        <v>4866197</v>
      </c>
      <c r="AG2624" s="275">
        <f t="shared" si="328"/>
        <v>4932619</v>
      </c>
    </row>
    <row r="2625" spans="1:33" ht="12" customHeight="1">
      <c r="A2625" s="744" t="s">
        <v>1274</v>
      </c>
      <c r="B2625" s="703" t="s">
        <v>1776</v>
      </c>
      <c r="C2625" s="747" t="s">
        <v>1704</v>
      </c>
      <c r="D2625" s="746">
        <v>218681</v>
      </c>
      <c r="E2625" s="697">
        <v>10</v>
      </c>
      <c r="F2625" s="573">
        <v>84575</v>
      </c>
      <c r="G2625" s="487"/>
      <c r="H2625" s="573"/>
      <c r="I2625" s="487"/>
      <c r="J2625" s="573"/>
      <c r="K2625" s="487"/>
      <c r="L2625" s="573"/>
      <c r="M2625" s="573"/>
      <c r="N2625" s="456">
        <f t="shared" si="329"/>
        <v>0</v>
      </c>
      <c r="O2625" s="487"/>
      <c r="P2625" s="487"/>
      <c r="Q2625" s="274">
        <f t="shared" si="324"/>
        <v>0</v>
      </c>
      <c r="R2625" s="574">
        <f t="shared" si="325"/>
        <v>84575</v>
      </c>
      <c r="S2625" s="275">
        <f t="shared" si="326"/>
        <v>0</v>
      </c>
      <c r="T2625" s="575"/>
      <c r="U2625" s="487"/>
      <c r="V2625" s="576"/>
      <c r="W2625" s="573"/>
      <c r="X2625" s="574">
        <f t="shared" si="330"/>
        <v>0</v>
      </c>
      <c r="Y2625" s="487"/>
      <c r="Z2625" s="487"/>
      <c r="AA2625" s="276">
        <f t="shared" si="331"/>
        <v>0</v>
      </c>
      <c r="AB2625" s="573"/>
      <c r="AC2625" s="487"/>
      <c r="AD2625" s="573"/>
      <c r="AE2625" s="487"/>
      <c r="AF2625" s="577">
        <f t="shared" si="327"/>
        <v>84575</v>
      </c>
      <c r="AG2625" s="275">
        <f t="shared" si="328"/>
        <v>0</v>
      </c>
    </row>
    <row r="2626" spans="1:33" ht="12" customHeight="1">
      <c r="A2626" s="744" t="s">
        <v>1274</v>
      </c>
      <c r="B2626" s="703" t="s">
        <v>1776</v>
      </c>
      <c r="C2626" s="747" t="s">
        <v>1988</v>
      </c>
      <c r="D2626" s="746">
        <v>218681</v>
      </c>
      <c r="E2626" s="697">
        <v>10</v>
      </c>
      <c r="F2626" s="518"/>
      <c r="G2626" s="949">
        <v>288592</v>
      </c>
      <c r="H2626" s="573"/>
      <c r="I2626" s="487"/>
      <c r="J2626" s="573"/>
      <c r="K2626" s="487"/>
      <c r="L2626" s="573"/>
      <c r="M2626" s="573"/>
      <c r="N2626" s="456">
        <f t="shared" si="329"/>
        <v>0</v>
      </c>
      <c r="O2626" s="487"/>
      <c r="P2626" s="487"/>
      <c r="Q2626" s="274">
        <f t="shared" si="324"/>
        <v>0</v>
      </c>
      <c r="R2626" s="574">
        <f t="shared" si="325"/>
        <v>0</v>
      </c>
      <c r="S2626" s="275">
        <f t="shared" si="326"/>
        <v>288592</v>
      </c>
      <c r="T2626" s="575"/>
      <c r="U2626" s="487"/>
      <c r="V2626" s="576"/>
      <c r="W2626" s="573"/>
      <c r="X2626" s="574">
        <f t="shared" si="330"/>
        <v>0</v>
      </c>
      <c r="Y2626" s="487"/>
      <c r="Z2626" s="487"/>
      <c r="AA2626" s="276">
        <f t="shared" si="331"/>
        <v>0</v>
      </c>
      <c r="AB2626" s="573"/>
      <c r="AC2626" s="487"/>
      <c r="AD2626" s="573"/>
      <c r="AE2626" s="487"/>
      <c r="AF2626" s="577">
        <f t="shared" si="327"/>
        <v>0</v>
      </c>
      <c r="AG2626" s="275">
        <f t="shared" si="328"/>
        <v>288592</v>
      </c>
    </row>
    <row r="2627" spans="1:33" ht="12" customHeight="1">
      <c r="A2627" s="744" t="s">
        <v>1274</v>
      </c>
      <c r="B2627" s="703" t="s">
        <v>1778</v>
      </c>
      <c r="C2627" s="297" t="s">
        <v>1891</v>
      </c>
      <c r="D2627" s="746">
        <v>218681</v>
      </c>
      <c r="E2627" s="697">
        <v>10</v>
      </c>
      <c r="F2627" s="573"/>
      <c r="G2627" s="487"/>
      <c r="H2627" s="573"/>
      <c r="I2627" s="487"/>
      <c r="J2627" s="573"/>
      <c r="K2627" s="487"/>
      <c r="L2627" s="573"/>
      <c r="M2627" s="573"/>
      <c r="N2627" s="456">
        <f t="shared" si="329"/>
        <v>0</v>
      </c>
      <c r="O2627" s="487"/>
      <c r="P2627" s="487"/>
      <c r="Q2627" s="274">
        <f t="shared" si="324"/>
        <v>0</v>
      </c>
      <c r="R2627" s="574">
        <f t="shared" si="325"/>
        <v>0</v>
      </c>
      <c r="S2627" s="275">
        <f t="shared" si="326"/>
        <v>0</v>
      </c>
      <c r="T2627" s="575"/>
      <c r="U2627" s="487"/>
      <c r="V2627" s="576"/>
      <c r="W2627" s="573"/>
      <c r="X2627" s="574">
        <f t="shared" si="330"/>
        <v>0</v>
      </c>
      <c r="Y2627" s="487"/>
      <c r="Z2627" s="487"/>
      <c r="AA2627" s="276">
        <f t="shared" si="331"/>
        <v>0</v>
      </c>
      <c r="AB2627" s="573"/>
      <c r="AC2627" s="487"/>
      <c r="AD2627" s="573"/>
      <c r="AE2627" s="487"/>
      <c r="AF2627" s="577">
        <f t="shared" si="327"/>
        <v>0</v>
      </c>
      <c r="AG2627" s="275">
        <f t="shared" si="328"/>
        <v>0</v>
      </c>
    </row>
    <row r="2628" spans="1:33" ht="12" customHeight="1">
      <c r="A2628" s="744" t="s">
        <v>1274</v>
      </c>
      <c r="B2628" s="703" t="s">
        <v>1778</v>
      </c>
      <c r="C2628" s="747" t="s">
        <v>234</v>
      </c>
      <c r="D2628" s="746">
        <v>218681</v>
      </c>
      <c r="E2628" s="697">
        <v>10</v>
      </c>
      <c r="F2628" s="518"/>
      <c r="G2628" s="487"/>
      <c r="H2628" s="518">
        <v>100460</v>
      </c>
      <c r="I2628" s="487">
        <v>100460</v>
      </c>
      <c r="J2628" s="573"/>
      <c r="K2628" s="487"/>
      <c r="L2628" s="573"/>
      <c r="M2628" s="573"/>
      <c r="N2628" s="456">
        <f t="shared" si="329"/>
        <v>0</v>
      </c>
      <c r="O2628" s="487"/>
      <c r="P2628" s="487"/>
      <c r="Q2628" s="274">
        <f t="shared" si="324"/>
        <v>0</v>
      </c>
      <c r="R2628" s="574">
        <f t="shared" si="325"/>
        <v>100460</v>
      </c>
      <c r="S2628" s="275">
        <f t="shared" si="326"/>
        <v>100460</v>
      </c>
      <c r="T2628" s="575"/>
      <c r="U2628" s="487"/>
      <c r="V2628" s="576"/>
      <c r="W2628" s="573"/>
      <c r="X2628" s="574">
        <f t="shared" si="330"/>
        <v>0</v>
      </c>
      <c r="Y2628" s="487"/>
      <c r="Z2628" s="487"/>
      <c r="AA2628" s="276">
        <f t="shared" si="331"/>
        <v>0</v>
      </c>
      <c r="AB2628" s="573"/>
      <c r="AC2628" s="487"/>
      <c r="AD2628" s="573"/>
      <c r="AE2628" s="487"/>
      <c r="AF2628" s="577">
        <f t="shared" si="327"/>
        <v>100460</v>
      </c>
      <c r="AG2628" s="275">
        <f t="shared" si="328"/>
        <v>100460</v>
      </c>
    </row>
    <row r="2629" spans="1:33" ht="12" customHeight="1">
      <c r="A2629" s="744" t="s">
        <v>1274</v>
      </c>
      <c r="B2629" s="703" t="s">
        <v>1784</v>
      </c>
      <c r="C2629" s="299" t="s">
        <v>2037</v>
      </c>
      <c r="D2629" s="746">
        <v>218681</v>
      </c>
      <c r="E2629" s="697">
        <v>10</v>
      </c>
      <c r="F2629" s="518"/>
      <c r="G2629" s="487"/>
      <c r="H2629" s="573"/>
      <c r="I2629" s="487"/>
      <c r="J2629" s="573"/>
      <c r="K2629" s="487"/>
      <c r="L2629" s="573"/>
      <c r="M2629" s="573"/>
      <c r="N2629" s="456">
        <f t="shared" si="329"/>
        <v>0</v>
      </c>
      <c r="O2629" s="487"/>
      <c r="P2629" s="487"/>
      <c r="Q2629" s="274">
        <f t="shared" si="324"/>
        <v>0</v>
      </c>
      <c r="R2629" s="574">
        <f t="shared" si="325"/>
        <v>0</v>
      </c>
      <c r="S2629" s="275">
        <f t="shared" si="326"/>
        <v>0</v>
      </c>
      <c r="T2629" s="575"/>
      <c r="U2629" s="487"/>
      <c r="V2629" s="576"/>
      <c r="W2629" s="573"/>
      <c r="X2629" s="574">
        <f t="shared" si="330"/>
        <v>0</v>
      </c>
      <c r="Y2629" s="487"/>
      <c r="Z2629" s="487"/>
      <c r="AA2629" s="276">
        <f t="shared" si="331"/>
        <v>0</v>
      </c>
      <c r="AB2629" s="573"/>
      <c r="AC2629" s="487"/>
      <c r="AD2629" s="573"/>
      <c r="AE2629" s="487"/>
      <c r="AF2629" s="577">
        <f t="shared" si="327"/>
        <v>0</v>
      </c>
      <c r="AG2629" s="275">
        <f t="shared" si="328"/>
        <v>0</v>
      </c>
    </row>
    <row r="2630" spans="1:33" ht="12" customHeight="1">
      <c r="A2630" s="744" t="s">
        <v>1274</v>
      </c>
      <c r="B2630" s="703" t="s">
        <v>1784</v>
      </c>
      <c r="C2630" s="747" t="s">
        <v>1238</v>
      </c>
      <c r="D2630" s="746">
        <v>218681</v>
      </c>
      <c r="E2630" s="697">
        <v>10</v>
      </c>
      <c r="F2630" s="518"/>
      <c r="G2630" s="487"/>
      <c r="H2630" s="518">
        <v>5707</v>
      </c>
      <c r="I2630" s="487">
        <v>4530</v>
      </c>
      <c r="J2630" s="573"/>
      <c r="K2630" s="487"/>
      <c r="L2630" s="573"/>
      <c r="M2630" s="573"/>
      <c r="N2630" s="456">
        <f t="shared" si="329"/>
        <v>0</v>
      </c>
      <c r="O2630" s="487"/>
      <c r="P2630" s="487"/>
      <c r="Q2630" s="274">
        <f t="shared" si="324"/>
        <v>0</v>
      </c>
      <c r="R2630" s="574">
        <f t="shared" si="325"/>
        <v>5707</v>
      </c>
      <c r="S2630" s="275">
        <f t="shared" si="326"/>
        <v>4530</v>
      </c>
      <c r="T2630" s="575"/>
      <c r="U2630" s="487"/>
      <c r="V2630" s="576"/>
      <c r="W2630" s="573"/>
      <c r="X2630" s="574">
        <f t="shared" si="330"/>
        <v>0</v>
      </c>
      <c r="Y2630" s="487"/>
      <c r="Z2630" s="487"/>
      <c r="AA2630" s="276">
        <f t="shared" si="331"/>
        <v>0</v>
      </c>
      <c r="AB2630" s="573"/>
      <c r="AC2630" s="487"/>
      <c r="AD2630" s="573"/>
      <c r="AE2630" s="487"/>
      <c r="AF2630" s="577">
        <f t="shared" si="327"/>
        <v>5707</v>
      </c>
      <c r="AG2630" s="275">
        <f t="shared" si="328"/>
        <v>4530</v>
      </c>
    </row>
    <row r="2631" spans="1:33" ht="12" customHeight="1">
      <c r="A2631" s="744" t="s">
        <v>1274</v>
      </c>
      <c r="B2631" s="703" t="s">
        <v>1784</v>
      </c>
      <c r="C2631" s="747" t="s">
        <v>45</v>
      </c>
      <c r="D2631" s="746">
        <v>218681</v>
      </c>
      <c r="E2631" s="697">
        <v>10</v>
      </c>
      <c r="F2631" s="518"/>
      <c r="G2631" s="487"/>
      <c r="H2631" s="518">
        <v>772</v>
      </c>
      <c r="I2631" s="487">
        <v>488</v>
      </c>
      <c r="J2631" s="573"/>
      <c r="K2631" s="487"/>
      <c r="L2631" s="573"/>
      <c r="M2631" s="573"/>
      <c r="N2631" s="456">
        <f t="shared" si="329"/>
        <v>0</v>
      </c>
      <c r="O2631" s="487"/>
      <c r="P2631" s="487"/>
      <c r="Q2631" s="274">
        <f t="shared" si="324"/>
        <v>0</v>
      </c>
      <c r="R2631" s="574">
        <f t="shared" si="325"/>
        <v>772</v>
      </c>
      <c r="S2631" s="275">
        <f t="shared" si="326"/>
        <v>488</v>
      </c>
      <c r="T2631" s="575"/>
      <c r="U2631" s="487"/>
      <c r="V2631" s="576"/>
      <c r="W2631" s="573"/>
      <c r="X2631" s="574">
        <f t="shared" si="330"/>
        <v>0</v>
      </c>
      <c r="Y2631" s="487"/>
      <c r="Z2631" s="487"/>
      <c r="AA2631" s="276">
        <f t="shared" si="331"/>
        <v>0</v>
      </c>
      <c r="AB2631" s="573"/>
      <c r="AC2631" s="487"/>
      <c r="AD2631" s="573"/>
      <c r="AE2631" s="487"/>
      <c r="AF2631" s="577">
        <f t="shared" si="327"/>
        <v>772</v>
      </c>
      <c r="AG2631" s="275">
        <f t="shared" si="328"/>
        <v>488</v>
      </c>
    </row>
    <row r="2632" spans="1:33" ht="12" customHeight="1">
      <c r="A2632" s="744" t="s">
        <v>1274</v>
      </c>
      <c r="B2632" s="703" t="s">
        <v>1784</v>
      </c>
      <c r="C2632" s="961" t="s">
        <v>1998</v>
      </c>
      <c r="D2632" s="746">
        <v>218681</v>
      </c>
      <c r="E2632" s="697">
        <v>10</v>
      </c>
      <c r="F2632" s="518"/>
      <c r="G2632" s="487"/>
      <c r="H2632" s="958">
        <v>125000</v>
      </c>
      <c r="I2632" s="949">
        <v>125000</v>
      </c>
      <c r="J2632" s="573"/>
      <c r="K2632" s="487"/>
      <c r="L2632" s="573"/>
      <c r="M2632" s="573"/>
      <c r="N2632" s="456">
        <f t="shared" si="329"/>
        <v>0</v>
      </c>
      <c r="O2632" s="487"/>
      <c r="P2632" s="487"/>
      <c r="Q2632" s="274">
        <f t="shared" si="324"/>
        <v>0</v>
      </c>
      <c r="R2632" s="574">
        <f t="shared" si="325"/>
        <v>125000</v>
      </c>
      <c r="S2632" s="275">
        <f t="shared" si="326"/>
        <v>125000</v>
      </c>
      <c r="T2632" s="575"/>
      <c r="U2632" s="487"/>
      <c r="V2632" s="576"/>
      <c r="W2632" s="573"/>
      <c r="X2632" s="574">
        <f t="shared" si="330"/>
        <v>0</v>
      </c>
      <c r="Y2632" s="487"/>
      <c r="Z2632" s="487"/>
      <c r="AA2632" s="276">
        <f t="shared" si="331"/>
        <v>0</v>
      </c>
      <c r="AB2632" s="573"/>
      <c r="AC2632" s="487"/>
      <c r="AD2632" s="573"/>
      <c r="AE2632" s="487"/>
      <c r="AF2632" s="577">
        <f t="shared" si="327"/>
        <v>125000</v>
      </c>
      <c r="AG2632" s="275">
        <f t="shared" si="328"/>
        <v>125000</v>
      </c>
    </row>
    <row r="2633" spans="1:33" ht="12" customHeight="1">
      <c r="A2633" s="744" t="s">
        <v>1274</v>
      </c>
      <c r="B2633" s="703" t="s">
        <v>1776</v>
      </c>
      <c r="C2633" s="744" t="s">
        <v>235</v>
      </c>
      <c r="D2633" s="746">
        <v>218690</v>
      </c>
      <c r="E2633" s="697">
        <v>10</v>
      </c>
      <c r="F2633" s="573">
        <v>4279629</v>
      </c>
      <c r="G2633" s="949">
        <f>3850679-1093119+42440</f>
        <v>2800000</v>
      </c>
      <c r="H2633" s="573"/>
      <c r="I2633" s="487"/>
      <c r="J2633" s="573"/>
      <c r="K2633" s="487"/>
      <c r="L2633" s="518">
        <v>3710655</v>
      </c>
      <c r="M2633" s="518">
        <v>70480</v>
      </c>
      <c r="N2633" s="456">
        <f t="shared" si="329"/>
        <v>3781135</v>
      </c>
      <c r="O2633" s="487">
        <v>4479392</v>
      </c>
      <c r="P2633" s="487">
        <v>75879</v>
      </c>
      <c r="Q2633" s="274">
        <f t="shared" si="324"/>
        <v>4555271</v>
      </c>
      <c r="R2633" s="574">
        <f t="shared" si="325"/>
        <v>7990284</v>
      </c>
      <c r="S2633" s="275">
        <f t="shared" si="326"/>
        <v>7279392</v>
      </c>
      <c r="T2633" s="575"/>
      <c r="U2633" s="487"/>
      <c r="V2633" s="576"/>
      <c r="W2633" s="573"/>
      <c r="X2633" s="574">
        <f t="shared" si="330"/>
        <v>0</v>
      </c>
      <c r="Y2633" s="487"/>
      <c r="Z2633" s="487"/>
      <c r="AA2633" s="276">
        <f t="shared" si="331"/>
        <v>0</v>
      </c>
      <c r="AB2633" s="573"/>
      <c r="AC2633" s="487"/>
      <c r="AD2633" s="573"/>
      <c r="AE2633" s="487"/>
      <c r="AF2633" s="577">
        <f t="shared" si="327"/>
        <v>7990284</v>
      </c>
      <c r="AG2633" s="275">
        <f t="shared" si="328"/>
        <v>7279392</v>
      </c>
    </row>
    <row r="2634" spans="1:33" ht="12" customHeight="1">
      <c r="A2634" s="744" t="s">
        <v>1274</v>
      </c>
      <c r="B2634" s="703" t="s">
        <v>1776</v>
      </c>
      <c r="C2634" s="747" t="s">
        <v>1704</v>
      </c>
      <c r="D2634" s="746">
        <v>218690</v>
      </c>
      <c r="E2634" s="697">
        <v>10</v>
      </c>
      <c r="F2634" s="573">
        <v>129061</v>
      </c>
      <c r="G2634" s="487"/>
      <c r="H2634" s="573"/>
      <c r="I2634" s="487"/>
      <c r="J2634" s="573"/>
      <c r="K2634" s="487"/>
      <c r="L2634" s="573"/>
      <c r="M2634" s="573"/>
      <c r="N2634" s="456">
        <f t="shared" si="329"/>
        <v>0</v>
      </c>
      <c r="O2634" s="487"/>
      <c r="P2634" s="487"/>
      <c r="Q2634" s="274">
        <f t="shared" ref="Q2634:Q2697" si="332">SUM(O2634:P2634)</f>
        <v>0</v>
      </c>
      <c r="R2634" s="574">
        <f t="shared" ref="R2634:R2697" si="333">SUM(F2634,H2634,J2634,L2634)</f>
        <v>129061</v>
      </c>
      <c r="S2634" s="275">
        <f t="shared" ref="S2634:S2697" si="334">SUM(G2634,I2634,K2634,O2634)</f>
        <v>0</v>
      </c>
      <c r="T2634" s="575"/>
      <c r="U2634" s="487"/>
      <c r="V2634" s="576"/>
      <c r="W2634" s="573"/>
      <c r="X2634" s="574">
        <f t="shared" si="330"/>
        <v>0</v>
      </c>
      <c r="Y2634" s="487"/>
      <c r="Z2634" s="487"/>
      <c r="AA2634" s="276">
        <f t="shared" si="331"/>
        <v>0</v>
      </c>
      <c r="AB2634" s="573"/>
      <c r="AC2634" s="487"/>
      <c r="AD2634" s="573"/>
      <c r="AE2634" s="487"/>
      <c r="AF2634" s="577">
        <f t="shared" ref="AF2634:AF2697" si="335">SUM(R2634,T2634,V2634,AB2634,AD2634)</f>
        <v>129061</v>
      </c>
      <c r="AG2634" s="275">
        <f t="shared" ref="AG2634:AG2697" si="336">SUM(S2634,U2634,Y2634,AC2634,AE2634)</f>
        <v>0</v>
      </c>
    </row>
    <row r="2635" spans="1:33" ht="12" customHeight="1">
      <c r="A2635" s="744" t="s">
        <v>1274</v>
      </c>
      <c r="B2635" s="703" t="s">
        <v>1776</v>
      </c>
      <c r="C2635" s="747" t="s">
        <v>1988</v>
      </c>
      <c r="D2635" s="746">
        <v>218690</v>
      </c>
      <c r="E2635" s="697">
        <v>10</v>
      </c>
      <c r="F2635" s="518"/>
      <c r="G2635" s="949">
        <v>558011</v>
      </c>
      <c r="H2635" s="573"/>
      <c r="I2635" s="487"/>
      <c r="J2635" s="573"/>
      <c r="K2635" s="487"/>
      <c r="L2635" s="573"/>
      <c r="M2635" s="573"/>
      <c r="N2635" s="456">
        <f t="shared" si="329"/>
        <v>0</v>
      </c>
      <c r="O2635" s="487"/>
      <c r="P2635" s="487"/>
      <c r="Q2635" s="274">
        <f t="shared" si="332"/>
        <v>0</v>
      </c>
      <c r="R2635" s="574">
        <f t="shared" si="333"/>
        <v>0</v>
      </c>
      <c r="S2635" s="275">
        <f t="shared" si="334"/>
        <v>558011</v>
      </c>
      <c r="T2635" s="575"/>
      <c r="U2635" s="487"/>
      <c r="V2635" s="576"/>
      <c r="W2635" s="573"/>
      <c r="X2635" s="574">
        <f t="shared" si="330"/>
        <v>0</v>
      </c>
      <c r="Y2635" s="487"/>
      <c r="Z2635" s="487"/>
      <c r="AA2635" s="276">
        <f t="shared" si="331"/>
        <v>0</v>
      </c>
      <c r="AB2635" s="573"/>
      <c r="AC2635" s="487"/>
      <c r="AD2635" s="573"/>
      <c r="AE2635" s="487"/>
      <c r="AF2635" s="577">
        <f t="shared" si="335"/>
        <v>0</v>
      </c>
      <c r="AG2635" s="275">
        <f t="shared" si="336"/>
        <v>558011</v>
      </c>
    </row>
    <row r="2636" spans="1:33" ht="12" customHeight="1">
      <c r="A2636" s="744" t="s">
        <v>1274</v>
      </c>
      <c r="B2636" s="703" t="s">
        <v>1784</v>
      </c>
      <c r="C2636" s="299" t="s">
        <v>2037</v>
      </c>
      <c r="D2636" s="746">
        <v>218690</v>
      </c>
      <c r="E2636" s="697">
        <v>10</v>
      </c>
      <c r="F2636" s="518"/>
      <c r="G2636" s="487"/>
      <c r="H2636" s="573"/>
      <c r="I2636" s="487"/>
      <c r="J2636" s="573"/>
      <c r="K2636" s="487"/>
      <c r="L2636" s="573"/>
      <c r="M2636" s="573"/>
      <c r="N2636" s="456">
        <f t="shared" si="329"/>
        <v>0</v>
      </c>
      <c r="O2636" s="487"/>
      <c r="P2636" s="487"/>
      <c r="Q2636" s="274">
        <f t="shared" si="332"/>
        <v>0</v>
      </c>
      <c r="R2636" s="574">
        <f t="shared" si="333"/>
        <v>0</v>
      </c>
      <c r="S2636" s="275">
        <f t="shared" si="334"/>
        <v>0</v>
      </c>
      <c r="T2636" s="575"/>
      <c r="U2636" s="487"/>
      <c r="V2636" s="576"/>
      <c r="W2636" s="573"/>
      <c r="X2636" s="574">
        <f t="shared" si="330"/>
        <v>0</v>
      </c>
      <c r="Y2636" s="487"/>
      <c r="Z2636" s="487"/>
      <c r="AA2636" s="276">
        <f t="shared" si="331"/>
        <v>0</v>
      </c>
      <c r="AB2636" s="573"/>
      <c r="AC2636" s="487"/>
      <c r="AD2636" s="573"/>
      <c r="AE2636" s="487"/>
      <c r="AF2636" s="577">
        <f t="shared" si="335"/>
        <v>0</v>
      </c>
      <c r="AG2636" s="275">
        <f t="shared" si="336"/>
        <v>0</v>
      </c>
    </row>
    <row r="2637" spans="1:33" ht="12" customHeight="1">
      <c r="A2637" s="744" t="s">
        <v>1274</v>
      </c>
      <c r="B2637" s="703" t="s">
        <v>1784</v>
      </c>
      <c r="C2637" s="747" t="s">
        <v>1238</v>
      </c>
      <c r="D2637" s="746">
        <v>218690</v>
      </c>
      <c r="E2637" s="697">
        <v>10</v>
      </c>
      <c r="F2637" s="518"/>
      <c r="G2637" s="487"/>
      <c r="H2637" s="518">
        <v>6037</v>
      </c>
      <c r="I2637" s="487">
        <v>4860</v>
      </c>
      <c r="J2637" s="573"/>
      <c r="K2637" s="487"/>
      <c r="L2637" s="573"/>
      <c r="M2637" s="573"/>
      <c r="N2637" s="456">
        <f t="shared" si="329"/>
        <v>0</v>
      </c>
      <c r="O2637" s="487"/>
      <c r="P2637" s="487"/>
      <c r="Q2637" s="274">
        <f t="shared" si="332"/>
        <v>0</v>
      </c>
      <c r="R2637" s="574">
        <f t="shared" si="333"/>
        <v>6037</v>
      </c>
      <c r="S2637" s="275">
        <f t="shared" si="334"/>
        <v>4860</v>
      </c>
      <c r="T2637" s="575"/>
      <c r="U2637" s="487"/>
      <c r="V2637" s="576"/>
      <c r="W2637" s="573"/>
      <c r="X2637" s="574">
        <f t="shared" si="330"/>
        <v>0</v>
      </c>
      <c r="Y2637" s="487"/>
      <c r="Z2637" s="487"/>
      <c r="AA2637" s="276">
        <f t="shared" si="331"/>
        <v>0</v>
      </c>
      <c r="AB2637" s="573"/>
      <c r="AC2637" s="487"/>
      <c r="AD2637" s="573"/>
      <c r="AE2637" s="487"/>
      <c r="AF2637" s="577">
        <f t="shared" si="335"/>
        <v>6037</v>
      </c>
      <c r="AG2637" s="275">
        <f t="shared" si="336"/>
        <v>4860</v>
      </c>
    </row>
    <row r="2638" spans="1:33" ht="12" customHeight="1">
      <c r="A2638" s="744" t="s">
        <v>1274</v>
      </c>
      <c r="B2638" s="703" t="s">
        <v>1784</v>
      </c>
      <c r="C2638" s="747" t="s">
        <v>45</v>
      </c>
      <c r="D2638" s="746">
        <v>218690</v>
      </c>
      <c r="E2638" s="697">
        <v>10</v>
      </c>
      <c r="F2638" s="518"/>
      <c r="G2638" s="487"/>
      <c r="H2638" s="518">
        <v>1668</v>
      </c>
      <c r="I2638" s="487">
        <v>1126</v>
      </c>
      <c r="J2638" s="573"/>
      <c r="K2638" s="487"/>
      <c r="L2638" s="573"/>
      <c r="M2638" s="573"/>
      <c r="N2638" s="456">
        <f t="shared" si="329"/>
        <v>0</v>
      </c>
      <c r="O2638" s="487"/>
      <c r="P2638" s="487"/>
      <c r="Q2638" s="274">
        <f t="shared" si="332"/>
        <v>0</v>
      </c>
      <c r="R2638" s="574">
        <f t="shared" si="333"/>
        <v>1668</v>
      </c>
      <c r="S2638" s="275">
        <f t="shared" si="334"/>
        <v>1126</v>
      </c>
      <c r="T2638" s="575"/>
      <c r="U2638" s="487"/>
      <c r="V2638" s="576"/>
      <c r="W2638" s="573"/>
      <c r="X2638" s="574">
        <f t="shared" si="330"/>
        <v>0</v>
      </c>
      <c r="Y2638" s="487"/>
      <c r="Z2638" s="487"/>
      <c r="AA2638" s="276">
        <f t="shared" si="331"/>
        <v>0</v>
      </c>
      <c r="AB2638" s="573"/>
      <c r="AC2638" s="487"/>
      <c r="AD2638" s="573"/>
      <c r="AE2638" s="487"/>
      <c r="AF2638" s="577">
        <f t="shared" si="335"/>
        <v>1668</v>
      </c>
      <c r="AG2638" s="275">
        <f t="shared" si="336"/>
        <v>1126</v>
      </c>
    </row>
    <row r="2639" spans="1:33" ht="12" customHeight="1">
      <c r="A2639" s="744" t="s">
        <v>1274</v>
      </c>
      <c r="B2639" s="703" t="s">
        <v>1784</v>
      </c>
      <c r="C2639" s="959" t="s">
        <v>1998</v>
      </c>
      <c r="D2639" s="746">
        <v>218690</v>
      </c>
      <c r="E2639" s="697">
        <v>10</v>
      </c>
      <c r="F2639" s="518"/>
      <c r="G2639" s="487"/>
      <c r="H2639" s="958">
        <v>125000</v>
      </c>
      <c r="I2639" s="949">
        <v>125000</v>
      </c>
      <c r="J2639" s="573"/>
      <c r="K2639" s="487"/>
      <c r="L2639" s="573"/>
      <c r="M2639" s="573"/>
      <c r="N2639" s="456">
        <f t="shared" si="329"/>
        <v>0</v>
      </c>
      <c r="O2639" s="487"/>
      <c r="P2639" s="487"/>
      <c r="Q2639" s="274">
        <f t="shared" si="332"/>
        <v>0</v>
      </c>
      <c r="R2639" s="574">
        <f t="shared" si="333"/>
        <v>125000</v>
      </c>
      <c r="S2639" s="275">
        <f t="shared" si="334"/>
        <v>125000</v>
      </c>
      <c r="T2639" s="575"/>
      <c r="U2639" s="487"/>
      <c r="V2639" s="576"/>
      <c r="W2639" s="573"/>
      <c r="X2639" s="574">
        <f t="shared" si="330"/>
        <v>0</v>
      </c>
      <c r="Y2639" s="487"/>
      <c r="Z2639" s="487"/>
      <c r="AA2639" s="276">
        <f t="shared" si="331"/>
        <v>0</v>
      </c>
      <c r="AB2639" s="573"/>
      <c r="AC2639" s="487"/>
      <c r="AD2639" s="573"/>
      <c r="AE2639" s="487"/>
      <c r="AF2639" s="577">
        <f t="shared" si="335"/>
        <v>125000</v>
      </c>
      <c r="AG2639" s="275">
        <f t="shared" si="336"/>
        <v>125000</v>
      </c>
    </row>
    <row r="2640" spans="1:33" ht="12" customHeight="1">
      <c r="A2640" s="744" t="s">
        <v>1274</v>
      </c>
      <c r="B2640" s="703" t="s">
        <v>1776</v>
      </c>
      <c r="C2640" s="745" t="s">
        <v>236</v>
      </c>
      <c r="D2640" s="746">
        <v>218706</v>
      </c>
      <c r="E2640" s="697">
        <v>10</v>
      </c>
      <c r="F2640" s="573">
        <v>1029829</v>
      </c>
      <c r="G2640" s="949">
        <f>942387-262517+10130</f>
        <v>690000</v>
      </c>
      <c r="H2640" s="573"/>
      <c r="I2640" s="487"/>
      <c r="J2640" s="573"/>
      <c r="K2640" s="487"/>
      <c r="L2640" s="573">
        <v>1191636</v>
      </c>
      <c r="M2640" s="573">
        <v>16742</v>
      </c>
      <c r="N2640" s="456">
        <f t="shared" si="329"/>
        <v>1208378</v>
      </c>
      <c r="O2640" s="487">
        <v>1303823</v>
      </c>
      <c r="P2640" s="487">
        <v>16721</v>
      </c>
      <c r="Q2640" s="274">
        <f t="shared" si="332"/>
        <v>1320544</v>
      </c>
      <c r="R2640" s="574">
        <f t="shared" si="333"/>
        <v>2221465</v>
      </c>
      <c r="S2640" s="275">
        <f t="shared" si="334"/>
        <v>1993823</v>
      </c>
      <c r="T2640" s="575"/>
      <c r="U2640" s="487"/>
      <c r="V2640" s="576"/>
      <c r="W2640" s="573"/>
      <c r="X2640" s="574">
        <f t="shared" si="330"/>
        <v>0</v>
      </c>
      <c r="Y2640" s="487"/>
      <c r="Z2640" s="487"/>
      <c r="AA2640" s="276">
        <f t="shared" si="331"/>
        <v>0</v>
      </c>
      <c r="AB2640" s="573"/>
      <c r="AC2640" s="487"/>
      <c r="AD2640" s="573"/>
      <c r="AE2640" s="487"/>
      <c r="AF2640" s="577">
        <f t="shared" si="335"/>
        <v>2221465</v>
      </c>
      <c r="AG2640" s="275">
        <f t="shared" si="336"/>
        <v>1993823</v>
      </c>
    </row>
    <row r="2641" spans="1:33" ht="12" customHeight="1">
      <c r="A2641" s="744" t="s">
        <v>1274</v>
      </c>
      <c r="B2641" s="703" t="s">
        <v>1776</v>
      </c>
      <c r="C2641" s="747" t="s">
        <v>1704</v>
      </c>
      <c r="D2641" s="746">
        <v>218706</v>
      </c>
      <c r="E2641" s="697">
        <v>10</v>
      </c>
      <c r="F2641" s="573">
        <v>40859</v>
      </c>
      <c r="G2641" s="487"/>
      <c r="H2641" s="573"/>
      <c r="I2641" s="487"/>
      <c r="J2641" s="573"/>
      <c r="K2641" s="487"/>
      <c r="L2641" s="573"/>
      <c r="M2641" s="573"/>
      <c r="N2641" s="456">
        <f t="shared" si="329"/>
        <v>0</v>
      </c>
      <c r="O2641" s="487"/>
      <c r="P2641" s="487"/>
      <c r="Q2641" s="274">
        <f t="shared" si="332"/>
        <v>0</v>
      </c>
      <c r="R2641" s="574">
        <f t="shared" si="333"/>
        <v>40859</v>
      </c>
      <c r="S2641" s="275">
        <f t="shared" si="334"/>
        <v>0</v>
      </c>
      <c r="T2641" s="575"/>
      <c r="U2641" s="487"/>
      <c r="V2641" s="576"/>
      <c r="W2641" s="573"/>
      <c r="X2641" s="574">
        <f t="shared" si="330"/>
        <v>0</v>
      </c>
      <c r="Y2641" s="487"/>
      <c r="Z2641" s="487"/>
      <c r="AA2641" s="276">
        <f t="shared" si="331"/>
        <v>0</v>
      </c>
      <c r="AB2641" s="573"/>
      <c r="AC2641" s="487"/>
      <c r="AD2641" s="573"/>
      <c r="AE2641" s="487"/>
      <c r="AF2641" s="577">
        <f t="shared" si="335"/>
        <v>40859</v>
      </c>
      <c r="AG2641" s="275">
        <f t="shared" si="336"/>
        <v>0</v>
      </c>
    </row>
    <row r="2642" spans="1:33" ht="12" customHeight="1">
      <c r="A2642" s="744" t="s">
        <v>1274</v>
      </c>
      <c r="B2642" s="703" t="s">
        <v>1776</v>
      </c>
      <c r="C2642" s="747" t="s">
        <v>1988</v>
      </c>
      <c r="D2642" s="746">
        <v>218706</v>
      </c>
      <c r="E2642" s="697">
        <v>10</v>
      </c>
      <c r="F2642" s="518"/>
      <c r="G2642" s="949">
        <v>128301</v>
      </c>
      <c r="H2642" s="573"/>
      <c r="I2642" s="487"/>
      <c r="J2642" s="573"/>
      <c r="K2642" s="487"/>
      <c r="L2642" s="573"/>
      <c r="M2642" s="573"/>
      <c r="N2642" s="456">
        <f t="shared" si="329"/>
        <v>0</v>
      </c>
      <c r="O2642" s="487"/>
      <c r="P2642" s="487"/>
      <c r="Q2642" s="274">
        <f t="shared" si="332"/>
        <v>0</v>
      </c>
      <c r="R2642" s="574">
        <f t="shared" si="333"/>
        <v>0</v>
      </c>
      <c r="S2642" s="275">
        <f t="shared" si="334"/>
        <v>128301</v>
      </c>
      <c r="T2642" s="575"/>
      <c r="U2642" s="487"/>
      <c r="V2642" s="576"/>
      <c r="W2642" s="573"/>
      <c r="X2642" s="574">
        <f t="shared" si="330"/>
        <v>0</v>
      </c>
      <c r="Y2642" s="487"/>
      <c r="Z2642" s="487"/>
      <c r="AA2642" s="276">
        <f t="shared" si="331"/>
        <v>0</v>
      </c>
      <c r="AB2642" s="573"/>
      <c r="AC2642" s="487"/>
      <c r="AD2642" s="573"/>
      <c r="AE2642" s="487"/>
      <c r="AF2642" s="577">
        <f t="shared" si="335"/>
        <v>0</v>
      </c>
      <c r="AG2642" s="275">
        <f t="shared" si="336"/>
        <v>128301</v>
      </c>
    </row>
    <row r="2643" spans="1:33" ht="12" customHeight="1">
      <c r="A2643" s="744" t="s">
        <v>1274</v>
      </c>
      <c r="B2643" s="703" t="s">
        <v>1784</v>
      </c>
      <c r="C2643" s="299" t="s">
        <v>2037</v>
      </c>
      <c r="D2643" s="746">
        <v>218706</v>
      </c>
      <c r="E2643" s="697">
        <v>10</v>
      </c>
      <c r="F2643" s="518"/>
      <c r="G2643" s="487"/>
      <c r="H2643" s="573"/>
      <c r="I2643" s="487"/>
      <c r="J2643" s="573"/>
      <c r="K2643" s="487"/>
      <c r="L2643" s="573"/>
      <c r="M2643" s="573"/>
      <c r="N2643" s="456">
        <f t="shared" ref="N2643:N2706" si="337">SUM(L2643:M2643)</f>
        <v>0</v>
      </c>
      <c r="O2643" s="487"/>
      <c r="P2643" s="487"/>
      <c r="Q2643" s="274">
        <f t="shared" si="332"/>
        <v>0</v>
      </c>
      <c r="R2643" s="574">
        <f t="shared" si="333"/>
        <v>0</v>
      </c>
      <c r="S2643" s="275">
        <f t="shared" si="334"/>
        <v>0</v>
      </c>
      <c r="T2643" s="575"/>
      <c r="U2643" s="487"/>
      <c r="V2643" s="576"/>
      <c r="W2643" s="573"/>
      <c r="X2643" s="574">
        <f t="shared" ref="X2643:X2706" si="338">SUM(V2643:W2643)</f>
        <v>0</v>
      </c>
      <c r="Y2643" s="487"/>
      <c r="Z2643" s="487"/>
      <c r="AA2643" s="276">
        <f t="shared" ref="AA2643:AA2706" si="339">SUM(Y2643:Z2643)</f>
        <v>0</v>
      </c>
      <c r="AB2643" s="573"/>
      <c r="AC2643" s="487"/>
      <c r="AD2643" s="573"/>
      <c r="AE2643" s="487"/>
      <c r="AF2643" s="577">
        <f t="shared" si="335"/>
        <v>0</v>
      </c>
      <c r="AG2643" s="275">
        <f t="shared" si="336"/>
        <v>0</v>
      </c>
    </row>
    <row r="2644" spans="1:33" ht="12" customHeight="1">
      <c r="A2644" s="744" t="s">
        <v>1274</v>
      </c>
      <c r="B2644" s="703" t="s">
        <v>1784</v>
      </c>
      <c r="C2644" s="747" t="s">
        <v>1238</v>
      </c>
      <c r="D2644" s="746">
        <v>218706</v>
      </c>
      <c r="E2644" s="697">
        <v>10</v>
      </c>
      <c r="F2644" s="518"/>
      <c r="G2644" s="487"/>
      <c r="H2644" s="518">
        <v>4871</v>
      </c>
      <c r="I2644" s="487">
        <v>3893</v>
      </c>
      <c r="J2644" s="573"/>
      <c r="K2644" s="487"/>
      <c r="L2644" s="573"/>
      <c r="M2644" s="573"/>
      <c r="N2644" s="456">
        <f t="shared" si="337"/>
        <v>0</v>
      </c>
      <c r="O2644" s="487"/>
      <c r="P2644" s="487"/>
      <c r="Q2644" s="274">
        <f t="shared" si="332"/>
        <v>0</v>
      </c>
      <c r="R2644" s="574">
        <f t="shared" si="333"/>
        <v>4871</v>
      </c>
      <c r="S2644" s="275">
        <f t="shared" si="334"/>
        <v>3893</v>
      </c>
      <c r="T2644" s="575"/>
      <c r="U2644" s="487"/>
      <c r="V2644" s="576"/>
      <c r="W2644" s="573"/>
      <c r="X2644" s="574">
        <f t="shared" si="338"/>
        <v>0</v>
      </c>
      <c r="Y2644" s="487"/>
      <c r="Z2644" s="487"/>
      <c r="AA2644" s="276">
        <f t="shared" si="339"/>
        <v>0</v>
      </c>
      <c r="AB2644" s="573"/>
      <c r="AC2644" s="487"/>
      <c r="AD2644" s="573"/>
      <c r="AE2644" s="487"/>
      <c r="AF2644" s="577">
        <f t="shared" si="335"/>
        <v>4871</v>
      </c>
      <c r="AG2644" s="275">
        <f t="shared" si="336"/>
        <v>3893</v>
      </c>
    </row>
    <row r="2645" spans="1:33" ht="12" customHeight="1">
      <c r="A2645" s="744" t="s">
        <v>1274</v>
      </c>
      <c r="B2645" s="703" t="s">
        <v>1784</v>
      </c>
      <c r="C2645" s="747" t="s">
        <v>45</v>
      </c>
      <c r="D2645" s="746">
        <v>218706</v>
      </c>
      <c r="E2645" s="697">
        <v>10</v>
      </c>
      <c r="F2645" s="518"/>
      <c r="G2645" s="487"/>
      <c r="H2645" s="518">
        <v>637</v>
      </c>
      <c r="I2645" s="487">
        <v>396</v>
      </c>
      <c r="J2645" s="573"/>
      <c r="K2645" s="487"/>
      <c r="L2645" s="573"/>
      <c r="M2645" s="573"/>
      <c r="N2645" s="456">
        <f t="shared" si="337"/>
        <v>0</v>
      </c>
      <c r="O2645" s="487"/>
      <c r="P2645" s="487"/>
      <c r="Q2645" s="274">
        <f t="shared" si="332"/>
        <v>0</v>
      </c>
      <c r="R2645" s="574">
        <f t="shared" si="333"/>
        <v>637</v>
      </c>
      <c r="S2645" s="275">
        <f t="shared" si="334"/>
        <v>396</v>
      </c>
      <c r="T2645" s="575"/>
      <c r="U2645" s="487"/>
      <c r="V2645" s="576"/>
      <c r="W2645" s="573"/>
      <c r="X2645" s="574">
        <f t="shared" si="338"/>
        <v>0</v>
      </c>
      <c r="Y2645" s="487"/>
      <c r="Z2645" s="487"/>
      <c r="AA2645" s="276">
        <f t="shared" si="339"/>
        <v>0</v>
      </c>
      <c r="AB2645" s="573"/>
      <c r="AC2645" s="487"/>
      <c r="AD2645" s="573"/>
      <c r="AE2645" s="487"/>
      <c r="AF2645" s="577">
        <f t="shared" si="335"/>
        <v>637</v>
      </c>
      <c r="AG2645" s="275">
        <f t="shared" si="336"/>
        <v>396</v>
      </c>
    </row>
    <row r="2646" spans="1:33" ht="12" customHeight="1">
      <c r="A2646" s="744" t="s">
        <v>1274</v>
      </c>
      <c r="B2646" s="703" t="s">
        <v>1784</v>
      </c>
      <c r="C2646" s="959" t="s">
        <v>1998</v>
      </c>
      <c r="D2646" s="746">
        <v>218706</v>
      </c>
      <c r="E2646" s="697">
        <v>10</v>
      </c>
      <c r="F2646" s="518"/>
      <c r="G2646" s="487"/>
      <c r="H2646" s="958">
        <v>125000</v>
      </c>
      <c r="I2646" s="949">
        <v>125000</v>
      </c>
      <c r="J2646" s="573"/>
      <c r="K2646" s="487"/>
      <c r="L2646" s="573"/>
      <c r="M2646" s="573"/>
      <c r="N2646" s="456">
        <f t="shared" si="337"/>
        <v>0</v>
      </c>
      <c r="O2646" s="487"/>
      <c r="P2646" s="487"/>
      <c r="Q2646" s="274">
        <f t="shared" si="332"/>
        <v>0</v>
      </c>
      <c r="R2646" s="574">
        <f t="shared" si="333"/>
        <v>125000</v>
      </c>
      <c r="S2646" s="275">
        <f t="shared" si="334"/>
        <v>125000</v>
      </c>
      <c r="T2646" s="575"/>
      <c r="U2646" s="487"/>
      <c r="V2646" s="576"/>
      <c r="W2646" s="573"/>
      <c r="X2646" s="574">
        <f t="shared" si="338"/>
        <v>0</v>
      </c>
      <c r="Y2646" s="487"/>
      <c r="Z2646" s="487"/>
      <c r="AA2646" s="276">
        <f t="shared" si="339"/>
        <v>0</v>
      </c>
      <c r="AB2646" s="573"/>
      <c r="AC2646" s="487"/>
      <c r="AD2646" s="573"/>
      <c r="AE2646" s="487"/>
      <c r="AF2646" s="577">
        <f t="shared" si="335"/>
        <v>125000</v>
      </c>
      <c r="AG2646" s="275">
        <f t="shared" si="336"/>
        <v>125000</v>
      </c>
    </row>
    <row r="2647" spans="1:33" ht="12" customHeight="1">
      <c r="A2647" s="744" t="s">
        <v>1274</v>
      </c>
      <c r="B2647" s="703" t="s">
        <v>1776</v>
      </c>
      <c r="C2647" s="745" t="s">
        <v>237</v>
      </c>
      <c r="D2647" s="746">
        <v>218955</v>
      </c>
      <c r="E2647" s="697">
        <v>10</v>
      </c>
      <c r="F2647" s="573">
        <v>1695602</v>
      </c>
      <c r="G2647" s="487">
        <v>1317945</v>
      </c>
      <c r="H2647" s="573"/>
      <c r="I2647" s="487"/>
      <c r="J2647" s="573">
        <v>464056</v>
      </c>
      <c r="K2647" s="487">
        <v>430263</v>
      </c>
      <c r="L2647" s="573">
        <v>1792905</v>
      </c>
      <c r="M2647" s="573"/>
      <c r="N2647" s="456">
        <f t="shared" si="337"/>
        <v>1792905</v>
      </c>
      <c r="O2647" s="487">
        <v>1731046</v>
      </c>
      <c r="P2647" s="487">
        <v>0</v>
      </c>
      <c r="Q2647" s="274">
        <f t="shared" si="332"/>
        <v>1731046</v>
      </c>
      <c r="R2647" s="574">
        <f t="shared" si="333"/>
        <v>3952563</v>
      </c>
      <c r="S2647" s="275">
        <f t="shared" si="334"/>
        <v>3479254</v>
      </c>
      <c r="T2647" s="575"/>
      <c r="U2647" s="487"/>
      <c r="V2647" s="576"/>
      <c r="W2647" s="573"/>
      <c r="X2647" s="574">
        <f t="shared" si="338"/>
        <v>0</v>
      </c>
      <c r="Y2647" s="487"/>
      <c r="Z2647" s="487"/>
      <c r="AA2647" s="276">
        <f t="shared" si="339"/>
        <v>0</v>
      </c>
      <c r="AB2647" s="573"/>
      <c r="AC2647" s="487"/>
      <c r="AD2647" s="573"/>
      <c r="AE2647" s="487"/>
      <c r="AF2647" s="577">
        <f t="shared" si="335"/>
        <v>3952563</v>
      </c>
      <c r="AG2647" s="275">
        <f t="shared" si="336"/>
        <v>3479254</v>
      </c>
    </row>
    <row r="2648" spans="1:33" ht="12" customHeight="1">
      <c r="A2648" s="744" t="s">
        <v>1274</v>
      </c>
      <c r="B2648" s="703" t="s">
        <v>1784</v>
      </c>
      <c r="C2648" s="299" t="s">
        <v>2037</v>
      </c>
      <c r="D2648" s="746">
        <v>218955</v>
      </c>
      <c r="E2648" s="697">
        <v>10</v>
      </c>
      <c r="F2648" s="518"/>
      <c r="G2648" s="487"/>
      <c r="H2648" s="573"/>
      <c r="I2648" s="487"/>
      <c r="J2648" s="573"/>
      <c r="K2648" s="487"/>
      <c r="L2648" s="573"/>
      <c r="M2648" s="573"/>
      <c r="N2648" s="456">
        <f t="shared" si="337"/>
        <v>0</v>
      </c>
      <c r="O2648" s="487"/>
      <c r="P2648" s="487"/>
      <c r="Q2648" s="274">
        <f t="shared" si="332"/>
        <v>0</v>
      </c>
      <c r="R2648" s="574">
        <f t="shared" si="333"/>
        <v>0</v>
      </c>
      <c r="S2648" s="275">
        <f t="shared" si="334"/>
        <v>0</v>
      </c>
      <c r="T2648" s="575"/>
      <c r="U2648" s="487"/>
      <c r="V2648" s="576"/>
      <c r="W2648" s="573"/>
      <c r="X2648" s="574">
        <f t="shared" si="338"/>
        <v>0</v>
      </c>
      <c r="Y2648" s="487"/>
      <c r="Z2648" s="487"/>
      <c r="AA2648" s="276">
        <f t="shared" si="339"/>
        <v>0</v>
      </c>
      <c r="AB2648" s="573"/>
      <c r="AC2648" s="487"/>
      <c r="AD2648" s="573"/>
      <c r="AE2648" s="487"/>
      <c r="AF2648" s="577">
        <f t="shared" si="335"/>
        <v>0</v>
      </c>
      <c r="AG2648" s="275">
        <f t="shared" si="336"/>
        <v>0</v>
      </c>
    </row>
    <row r="2649" spans="1:33" ht="12" customHeight="1">
      <c r="A2649" s="744" t="s">
        <v>1274</v>
      </c>
      <c r="B2649" s="703" t="s">
        <v>1784</v>
      </c>
      <c r="C2649" s="747" t="s">
        <v>47</v>
      </c>
      <c r="D2649" s="746">
        <v>218955</v>
      </c>
      <c r="E2649" s="697">
        <v>10</v>
      </c>
      <c r="F2649" s="518"/>
      <c r="G2649" s="487"/>
      <c r="H2649" s="518">
        <v>62500</v>
      </c>
      <c r="I2649" s="949">
        <v>48760</v>
      </c>
      <c r="J2649" s="573"/>
      <c r="K2649" s="487"/>
      <c r="L2649" s="573"/>
      <c r="M2649" s="573"/>
      <c r="N2649" s="456">
        <f t="shared" si="337"/>
        <v>0</v>
      </c>
      <c r="O2649" s="487"/>
      <c r="P2649" s="487"/>
      <c r="Q2649" s="274">
        <f t="shared" si="332"/>
        <v>0</v>
      </c>
      <c r="R2649" s="574">
        <f t="shared" si="333"/>
        <v>62500</v>
      </c>
      <c r="S2649" s="275">
        <f t="shared" si="334"/>
        <v>48760</v>
      </c>
      <c r="T2649" s="575"/>
      <c r="U2649" s="487"/>
      <c r="V2649" s="576"/>
      <c r="W2649" s="573"/>
      <c r="X2649" s="574">
        <f t="shared" si="338"/>
        <v>0</v>
      </c>
      <c r="Y2649" s="487"/>
      <c r="Z2649" s="487"/>
      <c r="AA2649" s="276">
        <f t="shared" si="339"/>
        <v>0</v>
      </c>
      <c r="AB2649" s="573"/>
      <c r="AC2649" s="487"/>
      <c r="AD2649" s="573"/>
      <c r="AE2649" s="487"/>
      <c r="AF2649" s="577">
        <f t="shared" si="335"/>
        <v>62500</v>
      </c>
      <c r="AG2649" s="275">
        <f t="shared" si="336"/>
        <v>48760</v>
      </c>
    </row>
    <row r="2650" spans="1:33" ht="12" customHeight="1">
      <c r="A2650" s="744" t="s">
        <v>1274</v>
      </c>
      <c r="B2650" s="703" t="s">
        <v>1784</v>
      </c>
      <c r="C2650" s="747" t="s">
        <v>1238</v>
      </c>
      <c r="D2650" s="746">
        <v>218955</v>
      </c>
      <c r="E2650" s="697">
        <v>10</v>
      </c>
      <c r="F2650" s="518"/>
      <c r="G2650" s="487"/>
      <c r="H2650" s="518">
        <v>4287</v>
      </c>
      <c r="I2650" s="487">
        <v>4146</v>
      </c>
      <c r="J2650" s="573"/>
      <c r="K2650" s="487"/>
      <c r="L2650" s="573"/>
      <c r="M2650" s="573"/>
      <c r="N2650" s="456">
        <f t="shared" si="337"/>
        <v>0</v>
      </c>
      <c r="O2650" s="487"/>
      <c r="P2650" s="487"/>
      <c r="Q2650" s="274">
        <f t="shared" si="332"/>
        <v>0</v>
      </c>
      <c r="R2650" s="574">
        <f t="shared" si="333"/>
        <v>4287</v>
      </c>
      <c r="S2650" s="275">
        <f t="shared" si="334"/>
        <v>4146</v>
      </c>
      <c r="T2650" s="575"/>
      <c r="U2650" s="487"/>
      <c r="V2650" s="576"/>
      <c r="W2650" s="573"/>
      <c r="X2650" s="574">
        <f t="shared" si="338"/>
        <v>0</v>
      </c>
      <c r="Y2650" s="487"/>
      <c r="Z2650" s="487"/>
      <c r="AA2650" s="276">
        <f t="shared" si="339"/>
        <v>0</v>
      </c>
      <c r="AB2650" s="573"/>
      <c r="AC2650" s="487"/>
      <c r="AD2650" s="573"/>
      <c r="AE2650" s="487"/>
      <c r="AF2650" s="577">
        <f t="shared" si="335"/>
        <v>4287</v>
      </c>
      <c r="AG2650" s="275">
        <f t="shared" si="336"/>
        <v>4146</v>
      </c>
    </row>
    <row r="2651" spans="1:33" ht="12" customHeight="1">
      <c r="A2651" s="744" t="s">
        <v>1274</v>
      </c>
      <c r="B2651" s="703" t="s">
        <v>1784</v>
      </c>
      <c r="C2651" s="747" t="s">
        <v>45</v>
      </c>
      <c r="D2651" s="746">
        <v>218955</v>
      </c>
      <c r="E2651" s="697">
        <v>10</v>
      </c>
      <c r="F2651" s="518"/>
      <c r="G2651" s="487"/>
      <c r="H2651" s="518">
        <v>160</v>
      </c>
      <c r="I2651" s="487">
        <v>102</v>
      </c>
      <c r="J2651" s="573"/>
      <c r="K2651" s="487"/>
      <c r="L2651" s="573"/>
      <c r="M2651" s="573"/>
      <c r="N2651" s="456">
        <f t="shared" si="337"/>
        <v>0</v>
      </c>
      <c r="O2651" s="487"/>
      <c r="P2651" s="487"/>
      <c r="Q2651" s="274">
        <f t="shared" si="332"/>
        <v>0</v>
      </c>
      <c r="R2651" s="574">
        <f t="shared" si="333"/>
        <v>160</v>
      </c>
      <c r="S2651" s="275">
        <f t="shared" si="334"/>
        <v>102</v>
      </c>
      <c r="T2651" s="575"/>
      <c r="U2651" s="487"/>
      <c r="V2651" s="576"/>
      <c r="W2651" s="573"/>
      <c r="X2651" s="574">
        <f t="shared" si="338"/>
        <v>0</v>
      </c>
      <c r="Y2651" s="487"/>
      <c r="Z2651" s="487"/>
      <c r="AA2651" s="276">
        <f t="shared" si="339"/>
        <v>0</v>
      </c>
      <c r="AB2651" s="573"/>
      <c r="AC2651" s="487"/>
      <c r="AD2651" s="573"/>
      <c r="AE2651" s="487"/>
      <c r="AF2651" s="577">
        <f t="shared" si="335"/>
        <v>160</v>
      </c>
      <c r="AG2651" s="275">
        <f t="shared" si="336"/>
        <v>102</v>
      </c>
    </row>
    <row r="2652" spans="1:33" ht="12" customHeight="1">
      <c r="A2652" s="744" t="s">
        <v>1274</v>
      </c>
      <c r="B2652" s="703" t="s">
        <v>1784</v>
      </c>
      <c r="C2652" s="959" t="s">
        <v>2019</v>
      </c>
      <c r="D2652" s="746">
        <v>218955</v>
      </c>
      <c r="E2652" s="697">
        <v>10</v>
      </c>
      <c r="F2652" s="518"/>
      <c r="G2652" s="487"/>
      <c r="H2652" s="952">
        <v>300000</v>
      </c>
      <c r="I2652" s="949"/>
      <c r="J2652" s="573"/>
      <c r="K2652" s="487"/>
      <c r="L2652" s="573"/>
      <c r="M2652" s="573"/>
      <c r="N2652" s="456">
        <f t="shared" si="337"/>
        <v>0</v>
      </c>
      <c r="O2652" s="487"/>
      <c r="P2652" s="487"/>
      <c r="Q2652" s="274">
        <f t="shared" si="332"/>
        <v>0</v>
      </c>
      <c r="R2652" s="574">
        <f t="shared" si="333"/>
        <v>300000</v>
      </c>
      <c r="S2652" s="275">
        <f t="shared" si="334"/>
        <v>0</v>
      </c>
      <c r="T2652" s="575"/>
      <c r="U2652" s="487"/>
      <c r="V2652" s="576"/>
      <c r="W2652" s="573"/>
      <c r="X2652" s="574">
        <f t="shared" si="338"/>
        <v>0</v>
      </c>
      <c r="Y2652" s="487"/>
      <c r="Z2652" s="487"/>
      <c r="AA2652" s="276">
        <f t="shared" si="339"/>
        <v>0</v>
      </c>
      <c r="AB2652" s="573"/>
      <c r="AC2652" s="487"/>
      <c r="AD2652" s="573"/>
      <c r="AE2652" s="487"/>
      <c r="AF2652" s="577">
        <f t="shared" si="335"/>
        <v>300000</v>
      </c>
      <c r="AG2652" s="275">
        <f t="shared" si="336"/>
        <v>0</v>
      </c>
    </row>
    <row r="2653" spans="1:33" ht="12" customHeight="1">
      <c r="A2653" s="744" t="s">
        <v>1274</v>
      </c>
      <c r="B2653" s="703" t="s">
        <v>1784</v>
      </c>
      <c r="C2653" s="959" t="s">
        <v>2010</v>
      </c>
      <c r="D2653" s="746">
        <v>218955</v>
      </c>
      <c r="E2653" s="697">
        <v>10</v>
      </c>
      <c r="F2653" s="518"/>
      <c r="G2653" s="487"/>
      <c r="H2653" s="952">
        <v>367246</v>
      </c>
      <c r="I2653" s="949">
        <v>146897</v>
      </c>
      <c r="J2653" s="573"/>
      <c r="K2653" s="487"/>
      <c r="L2653" s="573"/>
      <c r="M2653" s="573"/>
      <c r="N2653" s="456">
        <f t="shared" si="337"/>
        <v>0</v>
      </c>
      <c r="O2653" s="487"/>
      <c r="P2653" s="487"/>
      <c r="Q2653" s="274">
        <f t="shared" si="332"/>
        <v>0</v>
      </c>
      <c r="R2653" s="574">
        <f t="shared" si="333"/>
        <v>367246</v>
      </c>
      <c r="S2653" s="275">
        <f t="shared" si="334"/>
        <v>146897</v>
      </c>
      <c r="T2653" s="575"/>
      <c r="U2653" s="487"/>
      <c r="V2653" s="576"/>
      <c r="W2653" s="573"/>
      <c r="X2653" s="574">
        <f t="shared" si="338"/>
        <v>0</v>
      </c>
      <c r="Y2653" s="487"/>
      <c r="Z2653" s="487"/>
      <c r="AA2653" s="276">
        <f t="shared" si="339"/>
        <v>0</v>
      </c>
      <c r="AB2653" s="573"/>
      <c r="AC2653" s="487"/>
      <c r="AD2653" s="573"/>
      <c r="AE2653" s="487"/>
      <c r="AF2653" s="577">
        <f t="shared" si="335"/>
        <v>367246</v>
      </c>
      <c r="AG2653" s="275">
        <f t="shared" si="336"/>
        <v>146897</v>
      </c>
    </row>
    <row r="2654" spans="1:33" ht="12" customHeight="1">
      <c r="A2654" s="744" t="s">
        <v>1274</v>
      </c>
      <c r="B2654" s="703" t="s">
        <v>1784</v>
      </c>
      <c r="C2654" s="959" t="s">
        <v>1998</v>
      </c>
      <c r="D2654" s="746">
        <v>218955</v>
      </c>
      <c r="E2654" s="697">
        <v>10</v>
      </c>
      <c r="F2654" s="518"/>
      <c r="G2654" s="487"/>
      <c r="H2654" s="952">
        <v>110787</v>
      </c>
      <c r="I2654" s="949">
        <v>110787</v>
      </c>
      <c r="J2654" s="573"/>
      <c r="K2654" s="487"/>
      <c r="L2654" s="573"/>
      <c r="M2654" s="573"/>
      <c r="N2654" s="456">
        <f t="shared" si="337"/>
        <v>0</v>
      </c>
      <c r="O2654" s="487"/>
      <c r="P2654" s="487"/>
      <c r="Q2654" s="274">
        <f t="shared" si="332"/>
        <v>0</v>
      </c>
      <c r="R2654" s="574">
        <f t="shared" si="333"/>
        <v>110787</v>
      </c>
      <c r="S2654" s="275">
        <f t="shared" si="334"/>
        <v>110787</v>
      </c>
      <c r="T2654" s="575"/>
      <c r="U2654" s="487"/>
      <c r="V2654" s="576"/>
      <c r="W2654" s="573"/>
      <c r="X2654" s="574">
        <f t="shared" si="338"/>
        <v>0</v>
      </c>
      <c r="Y2654" s="487"/>
      <c r="Z2654" s="487"/>
      <c r="AA2654" s="276">
        <f t="shared" si="339"/>
        <v>0</v>
      </c>
      <c r="AB2654" s="573"/>
      <c r="AC2654" s="487"/>
      <c r="AD2654" s="573"/>
      <c r="AE2654" s="487"/>
      <c r="AF2654" s="577">
        <f t="shared" si="335"/>
        <v>110787</v>
      </c>
      <c r="AG2654" s="275">
        <f t="shared" si="336"/>
        <v>110787</v>
      </c>
    </row>
    <row r="2655" spans="1:33">
      <c r="A2655" s="744" t="s">
        <v>1274</v>
      </c>
      <c r="B2655" s="703" t="s">
        <v>1819</v>
      </c>
      <c r="C2655" s="745" t="s">
        <v>238</v>
      </c>
      <c r="D2655" s="746">
        <v>218335</v>
      </c>
      <c r="E2655" s="697">
        <v>15</v>
      </c>
      <c r="F2655" s="573"/>
      <c r="G2655" s="487"/>
      <c r="H2655" s="518"/>
      <c r="I2655" s="487"/>
      <c r="J2655" s="573"/>
      <c r="K2655" s="487"/>
      <c r="L2655" s="573"/>
      <c r="M2655" s="573"/>
      <c r="N2655" s="456">
        <f t="shared" si="337"/>
        <v>0</v>
      </c>
      <c r="O2655" s="487"/>
      <c r="P2655" s="487"/>
      <c r="Q2655" s="274">
        <f t="shared" si="332"/>
        <v>0</v>
      </c>
      <c r="R2655" s="574">
        <f t="shared" si="333"/>
        <v>0</v>
      </c>
      <c r="S2655" s="275">
        <f t="shared" si="334"/>
        <v>0</v>
      </c>
      <c r="T2655" s="575"/>
      <c r="U2655" s="487"/>
      <c r="V2655" s="576"/>
      <c r="W2655" s="573"/>
      <c r="X2655" s="574">
        <f t="shared" si="338"/>
        <v>0</v>
      </c>
      <c r="Y2655" s="487"/>
      <c r="Z2655" s="487"/>
      <c r="AA2655" s="276">
        <f t="shared" si="339"/>
        <v>0</v>
      </c>
      <c r="AB2655" s="518">
        <v>91946279</v>
      </c>
      <c r="AC2655" s="949">
        <v>58301115</v>
      </c>
      <c r="AD2655" s="573">
        <v>48952409</v>
      </c>
      <c r="AE2655" s="487">
        <v>51976921</v>
      </c>
      <c r="AF2655" s="577">
        <f t="shared" si="335"/>
        <v>140898688</v>
      </c>
      <c r="AG2655" s="275">
        <f t="shared" si="336"/>
        <v>110278036</v>
      </c>
    </row>
    <row r="2656" spans="1:33">
      <c r="A2656" s="744" t="s">
        <v>1274</v>
      </c>
      <c r="B2656" s="703" t="s">
        <v>1819</v>
      </c>
      <c r="C2656" s="747" t="s">
        <v>1988</v>
      </c>
      <c r="D2656" s="746">
        <v>218335</v>
      </c>
      <c r="E2656" s="697">
        <v>15</v>
      </c>
      <c r="F2656" s="573"/>
      <c r="G2656" s="487"/>
      <c r="H2656" s="573"/>
      <c r="I2656" s="487"/>
      <c r="J2656" s="573"/>
      <c r="K2656" s="487"/>
      <c r="L2656" s="573"/>
      <c r="M2656" s="573"/>
      <c r="N2656" s="456">
        <f t="shared" si="337"/>
        <v>0</v>
      </c>
      <c r="O2656" s="487"/>
      <c r="P2656" s="487"/>
      <c r="Q2656" s="274">
        <f t="shared" si="332"/>
        <v>0</v>
      </c>
      <c r="R2656" s="574">
        <f t="shared" si="333"/>
        <v>0</v>
      </c>
      <c r="S2656" s="275">
        <f t="shared" si="334"/>
        <v>0</v>
      </c>
      <c r="T2656" s="575"/>
      <c r="U2656" s="487"/>
      <c r="V2656" s="576"/>
      <c r="W2656" s="573"/>
      <c r="X2656" s="574">
        <f t="shared" si="338"/>
        <v>0</v>
      </c>
      <c r="Y2656" s="487"/>
      <c r="Z2656" s="487"/>
      <c r="AA2656" s="276">
        <f t="shared" si="339"/>
        <v>0</v>
      </c>
      <c r="AB2656" s="573">
        <v>4461104</v>
      </c>
      <c r="AC2656" s="949">
        <v>14732583</v>
      </c>
      <c r="AD2656" s="573"/>
      <c r="AE2656" s="487"/>
      <c r="AF2656" s="577">
        <f t="shared" si="335"/>
        <v>4461104</v>
      </c>
      <c r="AG2656" s="275">
        <f t="shared" si="336"/>
        <v>14732583</v>
      </c>
    </row>
    <row r="2657" spans="1:33">
      <c r="A2657" s="744" t="s">
        <v>1274</v>
      </c>
      <c r="B2657" s="703" t="s">
        <v>1819</v>
      </c>
      <c r="C2657" s="747" t="s">
        <v>1238</v>
      </c>
      <c r="D2657" s="746">
        <v>218335</v>
      </c>
      <c r="E2657" s="697">
        <v>15</v>
      </c>
      <c r="F2657" s="518"/>
      <c r="G2657" s="487"/>
      <c r="H2657" s="573"/>
      <c r="I2657" s="487"/>
      <c r="J2657" s="573"/>
      <c r="K2657" s="487"/>
      <c r="L2657" s="573"/>
      <c r="M2657" s="573"/>
      <c r="N2657" s="456">
        <f t="shared" si="337"/>
        <v>0</v>
      </c>
      <c r="O2657" s="487"/>
      <c r="P2657" s="487"/>
      <c r="Q2657" s="274">
        <f t="shared" si="332"/>
        <v>0</v>
      </c>
      <c r="R2657" s="574">
        <f t="shared" si="333"/>
        <v>0</v>
      </c>
      <c r="S2657" s="275">
        <f t="shared" si="334"/>
        <v>0</v>
      </c>
      <c r="T2657" s="575"/>
      <c r="U2657" s="487"/>
      <c r="V2657" s="576"/>
      <c r="W2657" s="573"/>
      <c r="X2657" s="574">
        <f t="shared" si="338"/>
        <v>0</v>
      </c>
      <c r="Y2657" s="487"/>
      <c r="Z2657" s="487"/>
      <c r="AA2657" s="276">
        <f t="shared" si="339"/>
        <v>0</v>
      </c>
      <c r="AB2657" s="518">
        <v>38310</v>
      </c>
      <c r="AC2657" s="487">
        <v>30336</v>
      </c>
      <c r="AD2657" s="573"/>
      <c r="AE2657" s="487"/>
      <c r="AF2657" s="577">
        <f t="shared" si="335"/>
        <v>38310</v>
      </c>
      <c r="AG2657" s="275">
        <f t="shared" si="336"/>
        <v>30336</v>
      </c>
    </row>
    <row r="2658" spans="1:33">
      <c r="A2658" s="744" t="s">
        <v>1274</v>
      </c>
      <c r="B2658" s="703" t="s">
        <v>1819</v>
      </c>
      <c r="C2658" s="747" t="s">
        <v>45</v>
      </c>
      <c r="D2658" s="746">
        <v>218335</v>
      </c>
      <c r="E2658" s="697">
        <v>15</v>
      </c>
      <c r="F2658" s="518"/>
      <c r="G2658" s="487"/>
      <c r="H2658" s="573"/>
      <c r="I2658" s="487"/>
      <c r="J2658" s="573"/>
      <c r="K2658" s="487"/>
      <c r="L2658" s="573"/>
      <c r="M2658" s="573"/>
      <c r="N2658" s="456">
        <f t="shared" si="337"/>
        <v>0</v>
      </c>
      <c r="O2658" s="487"/>
      <c r="P2658" s="487"/>
      <c r="Q2658" s="274">
        <f t="shared" si="332"/>
        <v>0</v>
      </c>
      <c r="R2658" s="574">
        <f t="shared" si="333"/>
        <v>0</v>
      </c>
      <c r="S2658" s="275">
        <f t="shared" si="334"/>
        <v>0</v>
      </c>
      <c r="T2658" s="575"/>
      <c r="U2658" s="487"/>
      <c r="V2658" s="576"/>
      <c r="W2658" s="573"/>
      <c r="X2658" s="574">
        <f t="shared" si="338"/>
        <v>0</v>
      </c>
      <c r="Y2658" s="487"/>
      <c r="Z2658" s="487"/>
      <c r="AA2658" s="276">
        <f t="shared" si="339"/>
        <v>0</v>
      </c>
      <c r="AB2658" s="518">
        <v>77943</v>
      </c>
      <c r="AC2658" s="487">
        <v>59792</v>
      </c>
      <c r="AD2658" s="573"/>
      <c r="AE2658" s="487"/>
      <c r="AF2658" s="577">
        <f t="shared" si="335"/>
        <v>77943</v>
      </c>
      <c r="AG2658" s="275">
        <f t="shared" si="336"/>
        <v>59792</v>
      </c>
    </row>
    <row r="2659" spans="1:33">
      <c r="A2659" s="744" t="s">
        <v>1274</v>
      </c>
      <c r="B2659" s="703" t="s">
        <v>1819</v>
      </c>
      <c r="C2659" s="747" t="s">
        <v>1248</v>
      </c>
      <c r="D2659" s="746">
        <v>218335</v>
      </c>
      <c r="E2659" s="697">
        <v>15</v>
      </c>
      <c r="F2659" s="518"/>
      <c r="G2659" s="487"/>
      <c r="H2659" s="573"/>
      <c r="I2659" s="487"/>
      <c r="J2659" s="573"/>
      <c r="K2659" s="487"/>
      <c r="L2659" s="573"/>
      <c r="M2659" s="573"/>
      <c r="N2659" s="456">
        <f t="shared" si="337"/>
        <v>0</v>
      </c>
      <c r="O2659" s="487"/>
      <c r="P2659" s="487"/>
      <c r="Q2659" s="274">
        <f t="shared" si="332"/>
        <v>0</v>
      </c>
      <c r="R2659" s="574">
        <f t="shared" si="333"/>
        <v>0</v>
      </c>
      <c r="S2659" s="275">
        <f t="shared" si="334"/>
        <v>0</v>
      </c>
      <c r="T2659" s="575"/>
      <c r="U2659" s="487"/>
      <c r="V2659" s="576"/>
      <c r="W2659" s="573"/>
      <c r="X2659" s="574">
        <f t="shared" si="338"/>
        <v>0</v>
      </c>
      <c r="Y2659" s="487"/>
      <c r="Z2659" s="487"/>
      <c r="AA2659" s="276">
        <f t="shared" si="339"/>
        <v>0</v>
      </c>
      <c r="AB2659" s="518">
        <v>16509835</v>
      </c>
      <c r="AC2659" s="949">
        <v>13297203</v>
      </c>
      <c r="AD2659" s="573"/>
      <c r="AE2659" s="487"/>
      <c r="AF2659" s="577">
        <f t="shared" si="335"/>
        <v>16509835</v>
      </c>
      <c r="AG2659" s="275">
        <f t="shared" si="336"/>
        <v>13297203</v>
      </c>
    </row>
    <row r="2660" spans="1:33">
      <c r="A2660" s="744" t="s">
        <v>1274</v>
      </c>
      <c r="B2660" s="703" t="s">
        <v>1819</v>
      </c>
      <c r="C2660" s="961" t="s">
        <v>2032</v>
      </c>
      <c r="D2660" s="746">
        <v>218335</v>
      </c>
      <c r="E2660" s="697">
        <v>15</v>
      </c>
      <c r="F2660" s="518"/>
      <c r="G2660" s="487"/>
      <c r="H2660" s="573"/>
      <c r="I2660" s="487"/>
      <c r="J2660" s="573"/>
      <c r="K2660" s="487"/>
      <c r="L2660" s="573"/>
      <c r="M2660" s="573"/>
      <c r="N2660" s="456">
        <f t="shared" si="337"/>
        <v>0</v>
      </c>
      <c r="O2660" s="487"/>
      <c r="P2660" s="487"/>
      <c r="Q2660" s="274">
        <f t="shared" si="332"/>
        <v>0</v>
      </c>
      <c r="R2660" s="574">
        <f t="shared" si="333"/>
        <v>0</v>
      </c>
      <c r="S2660" s="275">
        <f t="shared" si="334"/>
        <v>0</v>
      </c>
      <c r="T2660" s="575"/>
      <c r="U2660" s="487"/>
      <c r="V2660" s="576"/>
      <c r="W2660" s="573"/>
      <c r="X2660" s="574">
        <f t="shared" si="338"/>
        <v>0</v>
      </c>
      <c r="Y2660" s="487"/>
      <c r="Z2660" s="487"/>
      <c r="AA2660" s="276">
        <f t="shared" si="339"/>
        <v>0</v>
      </c>
      <c r="AB2660" s="518"/>
      <c r="AC2660" s="967">
        <v>250000</v>
      </c>
      <c r="AD2660" s="573"/>
      <c r="AE2660" s="487"/>
      <c r="AF2660" s="577">
        <f t="shared" si="335"/>
        <v>0</v>
      </c>
      <c r="AG2660" s="275">
        <f t="shared" si="336"/>
        <v>250000</v>
      </c>
    </row>
    <row r="2661" spans="1:33">
      <c r="A2661" s="744" t="s">
        <v>1274</v>
      </c>
      <c r="B2661" s="703" t="s">
        <v>1819</v>
      </c>
      <c r="C2661" s="747" t="s">
        <v>1676</v>
      </c>
      <c r="D2661" s="746">
        <v>218335</v>
      </c>
      <c r="E2661" s="697">
        <v>15</v>
      </c>
      <c r="F2661" s="573"/>
      <c r="G2661" s="487"/>
      <c r="H2661" s="573"/>
      <c r="I2661" s="487"/>
      <c r="J2661" s="573"/>
      <c r="K2661" s="487"/>
      <c r="L2661" s="573"/>
      <c r="M2661" s="573"/>
      <c r="N2661" s="456">
        <f t="shared" si="337"/>
        <v>0</v>
      </c>
      <c r="O2661" s="487"/>
      <c r="P2661" s="487"/>
      <c r="Q2661" s="274">
        <f t="shared" si="332"/>
        <v>0</v>
      </c>
      <c r="R2661" s="574">
        <f t="shared" si="333"/>
        <v>0</v>
      </c>
      <c r="S2661" s="275">
        <f t="shared" si="334"/>
        <v>0</v>
      </c>
      <c r="T2661" s="575"/>
      <c r="U2661" s="487"/>
      <c r="V2661" s="576"/>
      <c r="W2661" s="573"/>
      <c r="X2661" s="574">
        <f t="shared" si="338"/>
        <v>0</v>
      </c>
      <c r="Y2661" s="487"/>
      <c r="Z2661" s="487"/>
      <c r="AA2661" s="276">
        <f t="shared" si="339"/>
        <v>0</v>
      </c>
      <c r="AB2661" s="573">
        <v>109309</v>
      </c>
      <c r="AC2661" s="487">
        <v>93197</v>
      </c>
      <c r="AD2661" s="573"/>
      <c r="AE2661" s="487"/>
      <c r="AF2661" s="577">
        <f t="shared" si="335"/>
        <v>109309</v>
      </c>
      <c r="AG2661" s="275">
        <f t="shared" si="336"/>
        <v>93197</v>
      </c>
    </row>
    <row r="2662" spans="1:33">
      <c r="A2662" s="744" t="s">
        <v>1274</v>
      </c>
      <c r="B2662" s="703" t="s">
        <v>1819</v>
      </c>
      <c r="C2662" s="747" t="s">
        <v>239</v>
      </c>
      <c r="D2662" s="746">
        <v>218335</v>
      </c>
      <c r="E2662" s="697">
        <v>15</v>
      </c>
      <c r="F2662" s="573"/>
      <c r="G2662" s="487"/>
      <c r="H2662" s="573"/>
      <c r="I2662" s="487"/>
      <c r="J2662" s="573"/>
      <c r="K2662" s="487"/>
      <c r="L2662" s="573"/>
      <c r="M2662" s="573"/>
      <c r="N2662" s="456">
        <f t="shared" si="337"/>
        <v>0</v>
      </c>
      <c r="O2662" s="487"/>
      <c r="P2662" s="487"/>
      <c r="Q2662" s="274">
        <f t="shared" si="332"/>
        <v>0</v>
      </c>
      <c r="R2662" s="574">
        <f t="shared" si="333"/>
        <v>0</v>
      </c>
      <c r="S2662" s="275">
        <f t="shared" si="334"/>
        <v>0</v>
      </c>
      <c r="T2662" s="575"/>
      <c r="U2662" s="487"/>
      <c r="V2662" s="576"/>
      <c r="W2662" s="573"/>
      <c r="X2662" s="574">
        <f t="shared" si="338"/>
        <v>0</v>
      </c>
      <c r="Y2662" s="487"/>
      <c r="Z2662" s="487"/>
      <c r="AA2662" s="276">
        <f t="shared" si="339"/>
        <v>0</v>
      </c>
      <c r="AB2662" s="573">
        <v>512741</v>
      </c>
      <c r="AC2662" s="487">
        <v>512741</v>
      </c>
      <c r="AD2662" s="573"/>
      <c r="AE2662" s="487"/>
      <c r="AF2662" s="577">
        <f t="shared" si="335"/>
        <v>512741</v>
      </c>
      <c r="AG2662" s="275">
        <f t="shared" si="336"/>
        <v>512741</v>
      </c>
    </row>
    <row r="2663" spans="1:33">
      <c r="A2663" s="744" t="s">
        <v>1274</v>
      </c>
      <c r="B2663" s="703" t="s">
        <v>1819</v>
      </c>
      <c r="C2663" s="747" t="s">
        <v>240</v>
      </c>
      <c r="D2663" s="746">
        <v>218335</v>
      </c>
      <c r="E2663" s="697">
        <v>15</v>
      </c>
      <c r="F2663" s="573"/>
      <c r="G2663" s="487"/>
      <c r="H2663" s="573"/>
      <c r="I2663" s="487"/>
      <c r="J2663" s="573"/>
      <c r="K2663" s="487"/>
      <c r="L2663" s="573"/>
      <c r="M2663" s="573"/>
      <c r="N2663" s="456">
        <f t="shared" si="337"/>
        <v>0</v>
      </c>
      <c r="O2663" s="487"/>
      <c r="P2663" s="487"/>
      <c r="Q2663" s="274">
        <f t="shared" si="332"/>
        <v>0</v>
      </c>
      <c r="R2663" s="574">
        <f t="shared" si="333"/>
        <v>0</v>
      </c>
      <c r="S2663" s="275">
        <f t="shared" si="334"/>
        <v>0</v>
      </c>
      <c r="T2663" s="575"/>
      <c r="U2663" s="487"/>
      <c r="V2663" s="576"/>
      <c r="W2663" s="573"/>
      <c r="X2663" s="574">
        <f t="shared" si="338"/>
        <v>0</v>
      </c>
      <c r="Y2663" s="487"/>
      <c r="Z2663" s="487"/>
      <c r="AA2663" s="276">
        <f t="shared" si="339"/>
        <v>0</v>
      </c>
      <c r="AB2663" s="573">
        <v>289088</v>
      </c>
      <c r="AC2663" s="487">
        <v>289088</v>
      </c>
      <c r="AD2663" s="573"/>
      <c r="AE2663" s="487"/>
      <c r="AF2663" s="577">
        <f t="shared" si="335"/>
        <v>289088</v>
      </c>
      <c r="AG2663" s="275">
        <f t="shared" si="336"/>
        <v>289088</v>
      </c>
    </row>
    <row r="2664" spans="1:33">
      <c r="A2664" s="744" t="s">
        <v>1274</v>
      </c>
      <c r="B2664" s="703" t="s">
        <v>1819</v>
      </c>
      <c r="C2664" s="747" t="s">
        <v>241</v>
      </c>
      <c r="D2664" s="746">
        <v>218335</v>
      </c>
      <c r="E2664" s="697">
        <v>15</v>
      </c>
      <c r="F2664" s="573"/>
      <c r="G2664" s="487"/>
      <c r="H2664" s="573"/>
      <c r="I2664" s="487"/>
      <c r="J2664" s="573"/>
      <c r="K2664" s="487"/>
      <c r="L2664" s="573"/>
      <c r="M2664" s="573"/>
      <c r="N2664" s="456">
        <f t="shared" si="337"/>
        <v>0</v>
      </c>
      <c r="O2664" s="487"/>
      <c r="P2664" s="487"/>
      <c r="Q2664" s="274">
        <f t="shared" si="332"/>
        <v>0</v>
      </c>
      <c r="R2664" s="574">
        <f t="shared" si="333"/>
        <v>0</v>
      </c>
      <c r="S2664" s="275">
        <f t="shared" si="334"/>
        <v>0</v>
      </c>
      <c r="T2664" s="575"/>
      <c r="U2664" s="487"/>
      <c r="V2664" s="576"/>
      <c r="W2664" s="573"/>
      <c r="X2664" s="574">
        <f t="shared" si="338"/>
        <v>0</v>
      </c>
      <c r="Y2664" s="487"/>
      <c r="Z2664" s="487"/>
      <c r="AA2664" s="276">
        <f t="shared" si="339"/>
        <v>0</v>
      </c>
      <c r="AB2664" s="573">
        <v>250000</v>
      </c>
      <c r="AC2664" s="949">
        <v>16263</v>
      </c>
      <c r="AD2664" s="573"/>
      <c r="AE2664" s="487"/>
      <c r="AF2664" s="577">
        <f t="shared" si="335"/>
        <v>250000</v>
      </c>
      <c r="AG2664" s="275">
        <f t="shared" si="336"/>
        <v>16263</v>
      </c>
    </row>
    <row r="2665" spans="1:33" ht="12" customHeight="1">
      <c r="A2665" s="744" t="s">
        <v>1274</v>
      </c>
      <c r="B2665" s="703" t="s">
        <v>1819</v>
      </c>
      <c r="C2665" s="961" t="s">
        <v>2033</v>
      </c>
      <c r="D2665" s="746">
        <v>218335</v>
      </c>
      <c r="E2665" s="697">
        <v>15</v>
      </c>
      <c r="F2665" s="573"/>
      <c r="G2665" s="487"/>
      <c r="H2665" s="573"/>
      <c r="I2665" s="487"/>
      <c r="J2665" s="573"/>
      <c r="K2665" s="487"/>
      <c r="L2665" s="573"/>
      <c r="M2665" s="573"/>
      <c r="N2665" s="456">
        <f t="shared" si="337"/>
        <v>0</v>
      </c>
      <c r="O2665" s="487"/>
      <c r="P2665" s="487"/>
      <c r="Q2665" s="274">
        <f t="shared" si="332"/>
        <v>0</v>
      </c>
      <c r="R2665" s="574">
        <f t="shared" si="333"/>
        <v>0</v>
      </c>
      <c r="S2665" s="275">
        <f t="shared" si="334"/>
        <v>0</v>
      </c>
      <c r="T2665" s="575"/>
      <c r="U2665" s="487"/>
      <c r="V2665" s="576"/>
      <c r="W2665" s="573"/>
      <c r="X2665" s="574">
        <f t="shared" si="338"/>
        <v>0</v>
      </c>
      <c r="Y2665" s="487"/>
      <c r="Z2665" s="487"/>
      <c r="AA2665" s="276">
        <f t="shared" si="339"/>
        <v>0</v>
      </c>
      <c r="AB2665" s="958">
        <v>500000</v>
      </c>
      <c r="AC2665" s="949">
        <v>600000</v>
      </c>
      <c r="AD2665" s="573"/>
      <c r="AE2665" s="487"/>
      <c r="AF2665" s="577">
        <f t="shared" si="335"/>
        <v>500000</v>
      </c>
      <c r="AG2665" s="275">
        <f t="shared" si="336"/>
        <v>600000</v>
      </c>
    </row>
    <row r="2666" spans="1:33" ht="12" customHeight="1">
      <c r="A2666" s="744" t="s">
        <v>1274</v>
      </c>
      <c r="B2666" s="703" t="s">
        <v>1819</v>
      </c>
      <c r="C2666" s="961" t="s">
        <v>2034</v>
      </c>
      <c r="D2666" s="746">
        <v>218335</v>
      </c>
      <c r="E2666" s="697">
        <v>15</v>
      </c>
      <c r="F2666" s="573"/>
      <c r="G2666" s="487"/>
      <c r="H2666" s="573"/>
      <c r="I2666" s="487"/>
      <c r="J2666" s="573"/>
      <c r="K2666" s="487"/>
      <c r="L2666" s="573"/>
      <c r="M2666" s="573"/>
      <c r="N2666" s="456">
        <f t="shared" si="337"/>
        <v>0</v>
      </c>
      <c r="O2666" s="487"/>
      <c r="P2666" s="487"/>
      <c r="Q2666" s="274">
        <f t="shared" si="332"/>
        <v>0</v>
      </c>
      <c r="R2666" s="574">
        <f t="shared" si="333"/>
        <v>0</v>
      </c>
      <c r="S2666" s="275">
        <f t="shared" si="334"/>
        <v>0</v>
      </c>
      <c r="T2666" s="575"/>
      <c r="U2666" s="487"/>
      <c r="V2666" s="576"/>
      <c r="W2666" s="573"/>
      <c r="X2666" s="574">
        <f t="shared" si="338"/>
        <v>0</v>
      </c>
      <c r="Y2666" s="487"/>
      <c r="Z2666" s="487"/>
      <c r="AA2666" s="276">
        <f t="shared" si="339"/>
        <v>0</v>
      </c>
      <c r="AB2666" s="958">
        <v>1500000</v>
      </c>
      <c r="AC2666" s="949">
        <v>700000</v>
      </c>
      <c r="AD2666" s="573"/>
      <c r="AE2666" s="487"/>
      <c r="AF2666" s="577">
        <f t="shared" si="335"/>
        <v>1500000</v>
      </c>
      <c r="AG2666" s="275">
        <f t="shared" si="336"/>
        <v>700000</v>
      </c>
    </row>
    <row r="2667" spans="1:33" ht="12" customHeight="1">
      <c r="A2667" s="744" t="s">
        <v>1274</v>
      </c>
      <c r="B2667" s="703" t="s">
        <v>1819</v>
      </c>
      <c r="C2667" s="961" t="s">
        <v>2035</v>
      </c>
      <c r="D2667" s="746">
        <v>218335</v>
      </c>
      <c r="E2667" s="697">
        <v>15</v>
      </c>
      <c r="F2667" s="573"/>
      <c r="G2667" s="487"/>
      <c r="H2667" s="573"/>
      <c r="I2667" s="487"/>
      <c r="J2667" s="573"/>
      <c r="K2667" s="487"/>
      <c r="L2667" s="573"/>
      <c r="M2667" s="573"/>
      <c r="N2667" s="456">
        <f t="shared" si="337"/>
        <v>0</v>
      </c>
      <c r="O2667" s="487"/>
      <c r="P2667" s="487"/>
      <c r="Q2667" s="274">
        <f t="shared" si="332"/>
        <v>0</v>
      </c>
      <c r="R2667" s="574">
        <f t="shared" si="333"/>
        <v>0</v>
      </c>
      <c r="S2667" s="275">
        <f t="shared" si="334"/>
        <v>0</v>
      </c>
      <c r="T2667" s="575"/>
      <c r="U2667" s="487"/>
      <c r="V2667" s="576"/>
      <c r="W2667" s="573"/>
      <c r="X2667" s="574">
        <f t="shared" si="338"/>
        <v>0</v>
      </c>
      <c r="Y2667" s="487"/>
      <c r="Z2667" s="487"/>
      <c r="AA2667" s="276">
        <f t="shared" si="339"/>
        <v>0</v>
      </c>
      <c r="AB2667" s="958">
        <v>250000</v>
      </c>
      <c r="AC2667" s="949"/>
      <c r="AD2667" s="573"/>
      <c r="AE2667" s="487"/>
      <c r="AF2667" s="577">
        <f t="shared" si="335"/>
        <v>250000</v>
      </c>
      <c r="AG2667" s="275">
        <f t="shared" si="336"/>
        <v>0</v>
      </c>
    </row>
    <row r="2668" spans="1:33" ht="12" customHeight="1">
      <c r="A2668" s="744" t="s">
        <v>1274</v>
      </c>
      <c r="B2668" s="703" t="s">
        <v>1819</v>
      </c>
      <c r="C2668" s="961" t="s">
        <v>2036</v>
      </c>
      <c r="D2668" s="746">
        <v>218335</v>
      </c>
      <c r="E2668" s="697">
        <v>15</v>
      </c>
      <c r="F2668" s="573"/>
      <c r="G2668" s="487"/>
      <c r="H2668" s="573"/>
      <c r="I2668" s="487"/>
      <c r="J2668" s="573"/>
      <c r="K2668" s="487"/>
      <c r="L2668" s="573"/>
      <c r="M2668" s="573"/>
      <c r="N2668" s="456">
        <f t="shared" si="337"/>
        <v>0</v>
      </c>
      <c r="O2668" s="487"/>
      <c r="P2668" s="487"/>
      <c r="Q2668" s="274">
        <f t="shared" si="332"/>
        <v>0</v>
      </c>
      <c r="R2668" s="574">
        <f t="shared" si="333"/>
        <v>0</v>
      </c>
      <c r="S2668" s="275">
        <f t="shared" si="334"/>
        <v>0</v>
      </c>
      <c r="T2668" s="575"/>
      <c r="U2668" s="487"/>
      <c r="V2668" s="576"/>
      <c r="W2668" s="573"/>
      <c r="X2668" s="574">
        <f t="shared" si="338"/>
        <v>0</v>
      </c>
      <c r="Y2668" s="487"/>
      <c r="Z2668" s="487"/>
      <c r="AA2668" s="276">
        <f t="shared" si="339"/>
        <v>0</v>
      </c>
      <c r="AB2668" s="958">
        <v>450000</v>
      </c>
      <c r="AC2668" s="949"/>
      <c r="AD2668" s="573"/>
      <c r="AE2668" s="487"/>
      <c r="AF2668" s="577">
        <f t="shared" si="335"/>
        <v>450000</v>
      </c>
      <c r="AG2668" s="275">
        <f t="shared" si="336"/>
        <v>0</v>
      </c>
    </row>
    <row r="2669" spans="1:33" ht="12" customHeight="1" thickBot="1">
      <c r="A2669" s="744" t="s">
        <v>1274</v>
      </c>
      <c r="B2669" s="703" t="s">
        <v>1821</v>
      </c>
      <c r="C2669" s="300" t="s">
        <v>1435</v>
      </c>
      <c r="D2669" s="696"/>
      <c r="E2669" s="697"/>
      <c r="F2669" s="573"/>
      <c r="G2669" s="487"/>
      <c r="H2669" s="573"/>
      <c r="I2669" s="487"/>
      <c r="J2669" s="573"/>
      <c r="K2669" s="487"/>
      <c r="L2669" s="573"/>
      <c r="M2669" s="573"/>
      <c r="N2669" s="456">
        <f t="shared" si="337"/>
        <v>0</v>
      </c>
      <c r="O2669" s="487"/>
      <c r="P2669" s="487"/>
      <c r="Q2669" s="274">
        <f t="shared" si="332"/>
        <v>0</v>
      </c>
      <c r="R2669" s="574">
        <f t="shared" si="333"/>
        <v>0</v>
      </c>
      <c r="S2669" s="275">
        <f t="shared" si="334"/>
        <v>0</v>
      </c>
      <c r="T2669" s="575"/>
      <c r="U2669" s="487"/>
      <c r="V2669" s="576"/>
      <c r="W2669" s="573"/>
      <c r="X2669" s="574">
        <f t="shared" si="338"/>
        <v>0</v>
      </c>
      <c r="Y2669" s="487"/>
      <c r="Z2669" s="487"/>
      <c r="AA2669" s="276">
        <f t="shared" si="339"/>
        <v>0</v>
      </c>
      <c r="AB2669" s="573"/>
      <c r="AC2669" s="487"/>
      <c r="AD2669" s="573"/>
      <c r="AE2669" s="487"/>
      <c r="AF2669" s="577">
        <f t="shared" si="335"/>
        <v>0</v>
      </c>
      <c r="AG2669" s="275">
        <f t="shared" si="336"/>
        <v>0</v>
      </c>
    </row>
    <row r="2670" spans="1:33" ht="12" customHeight="1">
      <c r="A2670" s="744" t="s">
        <v>1274</v>
      </c>
      <c r="B2670" s="703" t="s">
        <v>1821</v>
      </c>
      <c r="C2670" s="747" t="s">
        <v>1249</v>
      </c>
      <c r="D2670" s="696"/>
      <c r="E2670" s="697"/>
      <c r="F2670" s="573"/>
      <c r="G2670" s="487"/>
      <c r="H2670" s="587">
        <v>907504</v>
      </c>
      <c r="I2670" s="499">
        <v>700099</v>
      </c>
      <c r="J2670" s="573"/>
      <c r="K2670" s="487"/>
      <c r="L2670" s="573"/>
      <c r="M2670" s="573"/>
      <c r="N2670" s="456">
        <f t="shared" si="337"/>
        <v>0</v>
      </c>
      <c r="O2670" s="487"/>
      <c r="P2670" s="487"/>
      <c r="Q2670" s="274">
        <f t="shared" si="332"/>
        <v>0</v>
      </c>
      <c r="R2670" s="574">
        <f t="shared" si="333"/>
        <v>907504</v>
      </c>
      <c r="S2670" s="275">
        <f t="shared" si="334"/>
        <v>700099</v>
      </c>
      <c r="T2670" s="575"/>
      <c r="U2670" s="487"/>
      <c r="V2670" s="576"/>
      <c r="W2670" s="573"/>
      <c r="X2670" s="574">
        <f t="shared" si="338"/>
        <v>0</v>
      </c>
      <c r="Y2670" s="487"/>
      <c r="Z2670" s="487"/>
      <c r="AA2670" s="276">
        <f t="shared" si="339"/>
        <v>0</v>
      </c>
      <c r="AB2670" s="573"/>
      <c r="AC2670" s="487"/>
      <c r="AD2670" s="573"/>
      <c r="AE2670" s="487"/>
      <c r="AF2670" s="577">
        <f t="shared" si="335"/>
        <v>907504</v>
      </c>
      <c r="AG2670" s="275">
        <f t="shared" si="336"/>
        <v>700099</v>
      </c>
    </row>
    <row r="2671" spans="1:33" ht="12" customHeight="1">
      <c r="A2671" s="744" t="s">
        <v>1274</v>
      </c>
      <c r="B2671" s="703" t="s">
        <v>1821</v>
      </c>
      <c r="C2671" s="700" t="s">
        <v>247</v>
      </c>
      <c r="D2671" s="704"/>
      <c r="E2671" s="705"/>
      <c r="F2671" s="573"/>
      <c r="G2671" s="487"/>
      <c r="H2671" s="952">
        <v>1123000</v>
      </c>
      <c r="I2671" s="963">
        <v>1112229</v>
      </c>
      <c r="J2671" s="573"/>
      <c r="K2671" s="487"/>
      <c r="L2671" s="573"/>
      <c r="M2671" s="573"/>
      <c r="N2671" s="456">
        <f t="shared" si="337"/>
        <v>0</v>
      </c>
      <c r="O2671" s="487"/>
      <c r="P2671" s="487"/>
      <c r="Q2671" s="274">
        <f t="shared" si="332"/>
        <v>0</v>
      </c>
      <c r="R2671" s="574">
        <f t="shared" si="333"/>
        <v>1123000</v>
      </c>
      <c r="S2671" s="275">
        <f t="shared" si="334"/>
        <v>1112229</v>
      </c>
      <c r="T2671" s="575"/>
      <c r="U2671" s="487"/>
      <c r="V2671" s="576"/>
      <c r="W2671" s="573"/>
      <c r="X2671" s="574">
        <f t="shared" si="338"/>
        <v>0</v>
      </c>
      <c r="Y2671" s="487"/>
      <c r="Z2671" s="487"/>
      <c r="AA2671" s="276">
        <f t="shared" si="339"/>
        <v>0</v>
      </c>
      <c r="AB2671" s="573"/>
      <c r="AC2671" s="487"/>
      <c r="AD2671" s="573"/>
      <c r="AE2671" s="487"/>
      <c r="AF2671" s="577">
        <f t="shared" si="335"/>
        <v>1123000</v>
      </c>
      <c r="AG2671" s="275">
        <f t="shared" si="336"/>
        <v>1112229</v>
      </c>
    </row>
    <row r="2672" spans="1:33" ht="12" customHeight="1">
      <c r="A2672" s="744" t="s">
        <v>1274</v>
      </c>
      <c r="B2672" s="703" t="s">
        <v>1821</v>
      </c>
      <c r="C2672" s="747" t="s">
        <v>244</v>
      </c>
      <c r="D2672" s="696"/>
      <c r="E2672" s="697"/>
      <c r="F2672" s="573"/>
      <c r="G2672" s="487"/>
      <c r="H2672" s="576">
        <v>180287</v>
      </c>
      <c r="I2672" s="487">
        <v>90041</v>
      </c>
      <c r="J2672" s="573"/>
      <c r="K2672" s="487"/>
      <c r="L2672" s="573"/>
      <c r="M2672" s="573"/>
      <c r="N2672" s="456">
        <f t="shared" si="337"/>
        <v>0</v>
      </c>
      <c r="O2672" s="487"/>
      <c r="P2672" s="487"/>
      <c r="Q2672" s="274">
        <f t="shared" si="332"/>
        <v>0</v>
      </c>
      <c r="R2672" s="574">
        <f t="shared" si="333"/>
        <v>180287</v>
      </c>
      <c r="S2672" s="275">
        <f t="shared" si="334"/>
        <v>90041</v>
      </c>
      <c r="T2672" s="575"/>
      <c r="U2672" s="487"/>
      <c r="V2672" s="576"/>
      <c r="W2672" s="573"/>
      <c r="X2672" s="574">
        <f t="shared" si="338"/>
        <v>0</v>
      </c>
      <c r="Y2672" s="487"/>
      <c r="Z2672" s="487"/>
      <c r="AA2672" s="276">
        <f t="shared" si="339"/>
        <v>0</v>
      </c>
      <c r="AB2672" s="573"/>
      <c r="AC2672" s="487"/>
      <c r="AD2672" s="573"/>
      <c r="AE2672" s="487"/>
      <c r="AF2672" s="577">
        <f t="shared" si="335"/>
        <v>180287</v>
      </c>
      <c r="AG2672" s="275">
        <f t="shared" si="336"/>
        <v>90041</v>
      </c>
    </row>
    <row r="2673" spans="1:33" ht="12" customHeight="1">
      <c r="A2673" s="744" t="s">
        <v>1274</v>
      </c>
      <c r="B2673" s="703" t="s">
        <v>1821</v>
      </c>
      <c r="C2673" s="747" t="s">
        <v>245</v>
      </c>
      <c r="D2673" s="704"/>
      <c r="E2673" s="705"/>
      <c r="F2673" s="573"/>
      <c r="G2673" s="487"/>
      <c r="H2673" s="576">
        <v>427101</v>
      </c>
      <c r="I2673" s="487">
        <v>384016</v>
      </c>
      <c r="J2673" s="573"/>
      <c r="K2673" s="487"/>
      <c r="L2673" s="573"/>
      <c r="M2673" s="573"/>
      <c r="N2673" s="456">
        <f t="shared" si="337"/>
        <v>0</v>
      </c>
      <c r="O2673" s="487"/>
      <c r="P2673" s="487"/>
      <c r="Q2673" s="274">
        <f t="shared" si="332"/>
        <v>0</v>
      </c>
      <c r="R2673" s="574">
        <f t="shared" si="333"/>
        <v>427101</v>
      </c>
      <c r="S2673" s="275">
        <f t="shared" si="334"/>
        <v>384016</v>
      </c>
      <c r="T2673" s="575"/>
      <c r="U2673" s="487"/>
      <c r="V2673" s="576"/>
      <c r="W2673" s="573"/>
      <c r="X2673" s="574">
        <f t="shared" si="338"/>
        <v>0</v>
      </c>
      <c r="Y2673" s="487"/>
      <c r="Z2673" s="487"/>
      <c r="AA2673" s="276">
        <f t="shared" si="339"/>
        <v>0</v>
      </c>
      <c r="AB2673" s="573"/>
      <c r="AC2673" s="487"/>
      <c r="AD2673" s="573"/>
      <c r="AE2673" s="487"/>
      <c r="AF2673" s="577">
        <f t="shared" si="335"/>
        <v>427101</v>
      </c>
      <c r="AG2673" s="275">
        <f t="shared" si="336"/>
        <v>384016</v>
      </c>
    </row>
    <row r="2674" spans="1:33" ht="12" customHeight="1">
      <c r="A2674" s="744" t="s">
        <v>1274</v>
      </c>
      <c r="B2674" s="703" t="s">
        <v>1821</v>
      </c>
      <c r="C2674" s="961" t="s">
        <v>2020</v>
      </c>
      <c r="D2674" s="704"/>
      <c r="E2674" s="705"/>
      <c r="F2674" s="573"/>
      <c r="G2674" s="487"/>
      <c r="H2674" s="952">
        <v>1112229</v>
      </c>
      <c r="I2674" s="487"/>
      <c r="J2674" s="573"/>
      <c r="K2674" s="487"/>
      <c r="L2674" s="573"/>
      <c r="M2674" s="573"/>
      <c r="N2674" s="456">
        <f t="shared" si="337"/>
        <v>0</v>
      </c>
      <c r="O2674" s="487"/>
      <c r="P2674" s="487"/>
      <c r="Q2674" s="274">
        <f t="shared" si="332"/>
        <v>0</v>
      </c>
      <c r="R2674" s="574">
        <f t="shared" si="333"/>
        <v>1112229</v>
      </c>
      <c r="S2674" s="275">
        <f t="shared" si="334"/>
        <v>0</v>
      </c>
      <c r="T2674" s="575"/>
      <c r="U2674" s="487"/>
      <c r="V2674" s="576"/>
      <c r="W2674" s="573"/>
      <c r="X2674" s="574">
        <f t="shared" si="338"/>
        <v>0</v>
      </c>
      <c r="Y2674" s="487"/>
      <c r="Z2674" s="487"/>
      <c r="AA2674" s="276">
        <f t="shared" si="339"/>
        <v>0</v>
      </c>
      <c r="AB2674" s="573"/>
      <c r="AC2674" s="487"/>
      <c r="AD2674" s="573"/>
      <c r="AE2674" s="487"/>
      <c r="AF2674" s="577">
        <f t="shared" si="335"/>
        <v>1112229</v>
      </c>
      <c r="AG2674" s="275">
        <f t="shared" si="336"/>
        <v>0</v>
      </c>
    </row>
    <row r="2675" spans="1:33" ht="12" customHeight="1">
      <c r="A2675" s="744" t="s">
        <v>1274</v>
      </c>
      <c r="B2675" s="703" t="s">
        <v>1821</v>
      </c>
      <c r="C2675" s="700" t="s">
        <v>1250</v>
      </c>
      <c r="D2675" s="704"/>
      <c r="E2675" s="705"/>
      <c r="F2675" s="573"/>
      <c r="G2675" s="487"/>
      <c r="H2675" s="576">
        <v>1410000</v>
      </c>
      <c r="I2675" s="487">
        <v>1075322</v>
      </c>
      <c r="J2675" s="573"/>
      <c r="K2675" s="487"/>
      <c r="L2675" s="573"/>
      <c r="M2675" s="573"/>
      <c r="N2675" s="456">
        <f t="shared" si="337"/>
        <v>0</v>
      </c>
      <c r="O2675" s="487"/>
      <c r="P2675" s="487"/>
      <c r="Q2675" s="274">
        <f t="shared" si="332"/>
        <v>0</v>
      </c>
      <c r="R2675" s="574">
        <f t="shared" si="333"/>
        <v>1410000</v>
      </c>
      <c r="S2675" s="275">
        <f t="shared" si="334"/>
        <v>1075322</v>
      </c>
      <c r="T2675" s="575"/>
      <c r="U2675" s="487"/>
      <c r="V2675" s="576"/>
      <c r="W2675" s="573"/>
      <c r="X2675" s="574">
        <f t="shared" si="338"/>
        <v>0</v>
      </c>
      <c r="Y2675" s="487"/>
      <c r="Z2675" s="487"/>
      <c r="AA2675" s="276">
        <f t="shared" si="339"/>
        <v>0</v>
      </c>
      <c r="AB2675" s="573"/>
      <c r="AC2675" s="487"/>
      <c r="AD2675" s="573"/>
      <c r="AE2675" s="487"/>
      <c r="AF2675" s="577">
        <f t="shared" si="335"/>
        <v>1410000</v>
      </c>
      <c r="AG2675" s="275">
        <f t="shared" si="336"/>
        <v>1075322</v>
      </c>
    </row>
    <row r="2676" spans="1:33" ht="12" customHeight="1">
      <c r="A2676" s="744" t="s">
        <v>1274</v>
      </c>
      <c r="B2676" s="703" t="s">
        <v>1821</v>
      </c>
      <c r="C2676" s="700" t="s">
        <v>49</v>
      </c>
      <c r="D2676" s="704"/>
      <c r="E2676" s="705"/>
      <c r="F2676" s="573"/>
      <c r="G2676" s="487"/>
      <c r="H2676" s="576">
        <v>250000</v>
      </c>
      <c r="I2676" s="487">
        <v>175643</v>
      </c>
      <c r="J2676" s="573"/>
      <c r="K2676" s="487"/>
      <c r="L2676" s="573"/>
      <c r="M2676" s="573"/>
      <c r="N2676" s="456">
        <f t="shared" si="337"/>
        <v>0</v>
      </c>
      <c r="O2676" s="487"/>
      <c r="P2676" s="487"/>
      <c r="Q2676" s="274">
        <f t="shared" si="332"/>
        <v>0</v>
      </c>
      <c r="R2676" s="574">
        <f t="shared" si="333"/>
        <v>250000</v>
      </c>
      <c r="S2676" s="275">
        <f t="shared" si="334"/>
        <v>175643</v>
      </c>
      <c r="T2676" s="575"/>
      <c r="U2676" s="487"/>
      <c r="V2676" s="576"/>
      <c r="W2676" s="573"/>
      <c r="X2676" s="574">
        <f t="shared" si="338"/>
        <v>0</v>
      </c>
      <c r="Y2676" s="487"/>
      <c r="Z2676" s="487"/>
      <c r="AA2676" s="276">
        <f t="shared" si="339"/>
        <v>0</v>
      </c>
      <c r="AB2676" s="573"/>
      <c r="AC2676" s="487"/>
      <c r="AD2676" s="573"/>
      <c r="AE2676" s="487"/>
      <c r="AF2676" s="577">
        <f t="shared" si="335"/>
        <v>250000</v>
      </c>
      <c r="AG2676" s="275">
        <f t="shared" si="336"/>
        <v>175643</v>
      </c>
    </row>
    <row r="2677" spans="1:33" ht="12" customHeight="1">
      <c r="A2677" s="744" t="s">
        <v>1274</v>
      </c>
      <c r="B2677" s="703" t="s">
        <v>1821</v>
      </c>
      <c r="C2677" s="700" t="s">
        <v>48</v>
      </c>
      <c r="D2677" s="704"/>
      <c r="E2677" s="705"/>
      <c r="F2677" s="573"/>
      <c r="G2677" s="487"/>
      <c r="H2677" s="576">
        <v>250000</v>
      </c>
      <c r="I2677" s="487">
        <v>204869</v>
      </c>
      <c r="J2677" s="573"/>
      <c r="K2677" s="487"/>
      <c r="L2677" s="573"/>
      <c r="M2677" s="573"/>
      <c r="N2677" s="456">
        <f t="shared" si="337"/>
        <v>0</v>
      </c>
      <c r="O2677" s="487"/>
      <c r="P2677" s="487"/>
      <c r="Q2677" s="274">
        <f t="shared" si="332"/>
        <v>0</v>
      </c>
      <c r="R2677" s="574">
        <f t="shared" si="333"/>
        <v>250000</v>
      </c>
      <c r="S2677" s="275">
        <f t="shared" si="334"/>
        <v>204869</v>
      </c>
      <c r="T2677" s="575"/>
      <c r="U2677" s="487"/>
      <c r="V2677" s="576"/>
      <c r="W2677" s="573"/>
      <c r="X2677" s="574">
        <f t="shared" si="338"/>
        <v>0</v>
      </c>
      <c r="Y2677" s="487"/>
      <c r="Z2677" s="487"/>
      <c r="AA2677" s="276">
        <f t="shared" si="339"/>
        <v>0</v>
      </c>
      <c r="AB2677" s="573"/>
      <c r="AC2677" s="487"/>
      <c r="AD2677" s="573"/>
      <c r="AE2677" s="487"/>
      <c r="AF2677" s="577">
        <f t="shared" si="335"/>
        <v>250000</v>
      </c>
      <c r="AG2677" s="275">
        <f t="shared" si="336"/>
        <v>204869</v>
      </c>
    </row>
    <row r="2678" spans="1:33" ht="12" customHeight="1">
      <c r="A2678" s="744" t="s">
        <v>1274</v>
      </c>
      <c r="B2678" s="703" t="s">
        <v>1821</v>
      </c>
      <c r="C2678" s="959" t="s">
        <v>1251</v>
      </c>
      <c r="D2678" s="704"/>
      <c r="E2678" s="705"/>
      <c r="F2678" s="573"/>
      <c r="G2678" s="487"/>
      <c r="H2678" s="952">
        <v>1227921</v>
      </c>
      <c r="I2678" s="949">
        <v>934483</v>
      </c>
      <c r="J2678" s="573"/>
      <c r="K2678" s="487"/>
      <c r="L2678" s="573"/>
      <c r="M2678" s="573"/>
      <c r="N2678" s="456">
        <f t="shared" si="337"/>
        <v>0</v>
      </c>
      <c r="O2678" s="487"/>
      <c r="P2678" s="487"/>
      <c r="Q2678" s="274">
        <f t="shared" si="332"/>
        <v>0</v>
      </c>
      <c r="R2678" s="574">
        <f t="shared" si="333"/>
        <v>1227921</v>
      </c>
      <c r="S2678" s="275">
        <f t="shared" si="334"/>
        <v>934483</v>
      </c>
      <c r="T2678" s="575"/>
      <c r="U2678" s="487"/>
      <c r="V2678" s="576"/>
      <c r="W2678" s="573"/>
      <c r="X2678" s="574">
        <f t="shared" si="338"/>
        <v>0</v>
      </c>
      <c r="Y2678" s="487"/>
      <c r="Z2678" s="487"/>
      <c r="AA2678" s="276">
        <f t="shared" si="339"/>
        <v>0</v>
      </c>
      <c r="AB2678" s="573"/>
      <c r="AC2678" s="487"/>
      <c r="AD2678" s="573"/>
      <c r="AE2678" s="487"/>
      <c r="AF2678" s="577">
        <f t="shared" si="335"/>
        <v>1227921</v>
      </c>
      <c r="AG2678" s="275">
        <f t="shared" si="336"/>
        <v>934483</v>
      </c>
    </row>
    <row r="2679" spans="1:33" ht="12" customHeight="1">
      <c r="A2679" s="744" t="s">
        <v>1274</v>
      </c>
      <c r="B2679" s="703" t="s">
        <v>1821</v>
      </c>
      <c r="C2679" s="959" t="s">
        <v>2021</v>
      </c>
      <c r="D2679" s="704"/>
      <c r="E2679" s="705"/>
      <c r="F2679" s="573"/>
      <c r="G2679" s="487"/>
      <c r="H2679" s="952">
        <v>1200000</v>
      </c>
      <c r="I2679" s="949"/>
      <c r="J2679" s="573"/>
      <c r="K2679" s="487"/>
      <c r="L2679" s="573"/>
      <c r="M2679" s="573"/>
      <c r="N2679" s="456">
        <f t="shared" si="337"/>
        <v>0</v>
      </c>
      <c r="O2679" s="487"/>
      <c r="P2679" s="487"/>
      <c r="Q2679" s="274">
        <f t="shared" si="332"/>
        <v>0</v>
      </c>
      <c r="R2679" s="574">
        <f t="shared" si="333"/>
        <v>1200000</v>
      </c>
      <c r="S2679" s="275">
        <f t="shared" si="334"/>
        <v>0</v>
      </c>
      <c r="T2679" s="575"/>
      <c r="U2679" s="487"/>
      <c r="V2679" s="576"/>
      <c r="W2679" s="573"/>
      <c r="X2679" s="574">
        <f t="shared" si="338"/>
        <v>0</v>
      </c>
      <c r="Y2679" s="487"/>
      <c r="Z2679" s="487"/>
      <c r="AA2679" s="276">
        <f t="shared" si="339"/>
        <v>0</v>
      </c>
      <c r="AB2679" s="573"/>
      <c r="AC2679" s="487"/>
      <c r="AD2679" s="573"/>
      <c r="AE2679" s="487"/>
      <c r="AF2679" s="577">
        <f t="shared" si="335"/>
        <v>1200000</v>
      </c>
      <c r="AG2679" s="275">
        <f t="shared" si="336"/>
        <v>0</v>
      </c>
    </row>
    <row r="2680" spans="1:33" ht="12" customHeight="1">
      <c r="A2680" s="744" t="s">
        <v>1274</v>
      </c>
      <c r="B2680" s="703" t="s">
        <v>1821</v>
      </c>
      <c r="C2680" s="959" t="s">
        <v>2022</v>
      </c>
      <c r="D2680" s="704"/>
      <c r="E2680" s="705"/>
      <c r="F2680" s="573"/>
      <c r="G2680" s="487"/>
      <c r="H2680" s="952">
        <v>2000000</v>
      </c>
      <c r="I2680" s="949">
        <v>176812</v>
      </c>
      <c r="J2680" s="573"/>
      <c r="K2680" s="487"/>
      <c r="L2680" s="573"/>
      <c r="M2680" s="573"/>
      <c r="N2680" s="456">
        <f t="shared" si="337"/>
        <v>0</v>
      </c>
      <c r="O2680" s="487"/>
      <c r="P2680" s="487"/>
      <c r="Q2680" s="274">
        <f t="shared" si="332"/>
        <v>0</v>
      </c>
      <c r="R2680" s="574">
        <f t="shared" si="333"/>
        <v>2000000</v>
      </c>
      <c r="S2680" s="275">
        <f t="shared" si="334"/>
        <v>176812</v>
      </c>
      <c r="T2680" s="575"/>
      <c r="U2680" s="487"/>
      <c r="V2680" s="576"/>
      <c r="W2680" s="573"/>
      <c r="X2680" s="574">
        <f t="shared" si="338"/>
        <v>0</v>
      </c>
      <c r="Y2680" s="487"/>
      <c r="Z2680" s="487"/>
      <c r="AA2680" s="276">
        <f t="shared" si="339"/>
        <v>0</v>
      </c>
      <c r="AB2680" s="573"/>
      <c r="AC2680" s="487"/>
      <c r="AD2680" s="573"/>
      <c r="AE2680" s="487"/>
      <c r="AF2680" s="577">
        <f t="shared" si="335"/>
        <v>2000000</v>
      </c>
      <c r="AG2680" s="275">
        <f t="shared" si="336"/>
        <v>176812</v>
      </c>
    </row>
    <row r="2681" spans="1:33" ht="12" customHeight="1">
      <c r="A2681" s="744" t="s">
        <v>1274</v>
      </c>
      <c r="B2681" s="703" t="s">
        <v>1821</v>
      </c>
      <c r="C2681" s="747" t="s">
        <v>1251</v>
      </c>
      <c r="D2681" s="746"/>
      <c r="E2681" s="697"/>
      <c r="F2681" s="518"/>
      <c r="G2681" s="487"/>
      <c r="H2681" s="518">
        <v>1227921</v>
      </c>
      <c r="I2681" s="487">
        <v>934483</v>
      </c>
      <c r="J2681" s="573"/>
      <c r="K2681" s="487"/>
      <c r="L2681" s="573"/>
      <c r="M2681" s="573"/>
      <c r="N2681" s="456">
        <f t="shared" si="337"/>
        <v>0</v>
      </c>
      <c r="O2681" s="487"/>
      <c r="P2681" s="487"/>
      <c r="Q2681" s="274">
        <f t="shared" si="332"/>
        <v>0</v>
      </c>
      <c r="R2681" s="574">
        <f t="shared" si="333"/>
        <v>1227921</v>
      </c>
      <c r="S2681" s="275">
        <f t="shared" si="334"/>
        <v>934483</v>
      </c>
      <c r="T2681" s="575"/>
      <c r="U2681" s="487"/>
      <c r="V2681" s="576"/>
      <c r="W2681" s="573"/>
      <c r="X2681" s="574">
        <f t="shared" si="338"/>
        <v>0</v>
      </c>
      <c r="Y2681" s="487"/>
      <c r="Z2681" s="487"/>
      <c r="AA2681" s="276">
        <f t="shared" si="339"/>
        <v>0</v>
      </c>
      <c r="AB2681" s="573"/>
      <c r="AC2681" s="487"/>
      <c r="AD2681" s="573"/>
      <c r="AE2681" s="487"/>
      <c r="AF2681" s="577">
        <f t="shared" si="335"/>
        <v>1227921</v>
      </c>
      <c r="AG2681" s="275">
        <f t="shared" si="336"/>
        <v>934483</v>
      </c>
    </row>
    <row r="2682" spans="1:33" ht="12" customHeight="1">
      <c r="A2682" s="744" t="s">
        <v>1274</v>
      </c>
      <c r="B2682" s="703" t="s">
        <v>1821</v>
      </c>
      <c r="C2682" s="700" t="s">
        <v>242</v>
      </c>
      <c r="D2682" s="696"/>
      <c r="E2682" s="697"/>
      <c r="F2682" s="573"/>
      <c r="G2682" s="487"/>
      <c r="H2682" s="576">
        <v>14850</v>
      </c>
      <c r="I2682" s="487">
        <v>0</v>
      </c>
      <c r="J2682" s="573"/>
      <c r="K2682" s="487"/>
      <c r="L2682" s="573"/>
      <c r="M2682" s="573"/>
      <c r="N2682" s="456">
        <f t="shared" si="337"/>
        <v>0</v>
      </c>
      <c r="O2682" s="487"/>
      <c r="P2682" s="487"/>
      <c r="Q2682" s="274">
        <f t="shared" si="332"/>
        <v>0</v>
      </c>
      <c r="R2682" s="574">
        <f t="shared" si="333"/>
        <v>14850</v>
      </c>
      <c r="S2682" s="275">
        <f t="shared" si="334"/>
        <v>0</v>
      </c>
      <c r="T2682" s="575"/>
      <c r="U2682" s="487"/>
      <c r="V2682" s="576"/>
      <c r="W2682" s="573"/>
      <c r="X2682" s="574">
        <f t="shared" si="338"/>
        <v>0</v>
      </c>
      <c r="Y2682" s="487"/>
      <c r="Z2682" s="487"/>
      <c r="AA2682" s="276">
        <f t="shared" si="339"/>
        <v>0</v>
      </c>
      <c r="AB2682" s="573"/>
      <c r="AC2682" s="487"/>
      <c r="AD2682" s="573"/>
      <c r="AE2682" s="487"/>
      <c r="AF2682" s="577">
        <f t="shared" si="335"/>
        <v>14850</v>
      </c>
      <c r="AG2682" s="275">
        <f t="shared" si="336"/>
        <v>0</v>
      </c>
    </row>
    <row r="2683" spans="1:33" ht="12" customHeight="1">
      <c r="A2683" s="744" t="s">
        <v>1274</v>
      </c>
      <c r="B2683" s="703" t="s">
        <v>1821</v>
      </c>
      <c r="C2683" s="700" t="s">
        <v>1252</v>
      </c>
      <c r="D2683" s="704"/>
      <c r="E2683" s="705"/>
      <c r="F2683" s="573"/>
      <c r="G2683" s="487"/>
      <c r="H2683" s="518">
        <v>0</v>
      </c>
      <c r="I2683" s="487">
        <v>176812</v>
      </c>
      <c r="J2683" s="573"/>
      <c r="K2683" s="487"/>
      <c r="L2683" s="573"/>
      <c r="M2683" s="573"/>
      <c r="N2683" s="456">
        <f t="shared" si="337"/>
        <v>0</v>
      </c>
      <c r="O2683" s="487"/>
      <c r="P2683" s="487"/>
      <c r="Q2683" s="274">
        <f t="shared" si="332"/>
        <v>0</v>
      </c>
      <c r="R2683" s="574">
        <f t="shared" si="333"/>
        <v>0</v>
      </c>
      <c r="S2683" s="275">
        <f t="shared" si="334"/>
        <v>176812</v>
      </c>
      <c r="T2683" s="575"/>
      <c r="U2683" s="487"/>
      <c r="V2683" s="576"/>
      <c r="W2683" s="573"/>
      <c r="X2683" s="574">
        <f t="shared" si="338"/>
        <v>0</v>
      </c>
      <c r="Y2683" s="487"/>
      <c r="Z2683" s="487"/>
      <c r="AA2683" s="276">
        <f t="shared" si="339"/>
        <v>0</v>
      </c>
      <c r="AB2683" s="573"/>
      <c r="AC2683" s="487"/>
      <c r="AD2683" s="573"/>
      <c r="AE2683" s="487"/>
      <c r="AF2683" s="577">
        <f t="shared" si="335"/>
        <v>0</v>
      </c>
      <c r="AG2683" s="275">
        <f t="shared" si="336"/>
        <v>176812</v>
      </c>
    </row>
    <row r="2684" spans="1:33" ht="12" customHeight="1">
      <c r="A2684" s="744" t="s">
        <v>1274</v>
      </c>
      <c r="B2684" s="703" t="s">
        <v>1821</v>
      </c>
      <c r="C2684" s="747" t="s">
        <v>1253</v>
      </c>
      <c r="D2684" s="746"/>
      <c r="E2684" s="697"/>
      <c r="F2684" s="518"/>
      <c r="G2684" s="487"/>
      <c r="H2684" s="518">
        <v>50000</v>
      </c>
      <c r="I2684" s="487">
        <v>20083</v>
      </c>
      <c r="J2684" s="573"/>
      <c r="K2684" s="487"/>
      <c r="L2684" s="573"/>
      <c r="M2684" s="573"/>
      <c r="N2684" s="456">
        <f t="shared" si="337"/>
        <v>0</v>
      </c>
      <c r="O2684" s="487"/>
      <c r="P2684" s="487"/>
      <c r="Q2684" s="274">
        <f t="shared" si="332"/>
        <v>0</v>
      </c>
      <c r="R2684" s="574">
        <f t="shared" si="333"/>
        <v>50000</v>
      </c>
      <c r="S2684" s="275">
        <f t="shared" si="334"/>
        <v>20083</v>
      </c>
      <c r="T2684" s="575"/>
      <c r="U2684" s="487"/>
      <c r="V2684" s="576"/>
      <c r="W2684" s="573"/>
      <c r="X2684" s="574">
        <f t="shared" si="338"/>
        <v>0</v>
      </c>
      <c r="Y2684" s="487"/>
      <c r="Z2684" s="487"/>
      <c r="AA2684" s="276">
        <f t="shared" si="339"/>
        <v>0</v>
      </c>
      <c r="AB2684" s="573"/>
      <c r="AC2684" s="487"/>
      <c r="AD2684" s="573"/>
      <c r="AE2684" s="487"/>
      <c r="AF2684" s="577">
        <f t="shared" si="335"/>
        <v>50000</v>
      </c>
      <c r="AG2684" s="275">
        <f t="shared" si="336"/>
        <v>20083</v>
      </c>
    </row>
    <row r="2685" spans="1:33" ht="12" customHeight="1">
      <c r="A2685" s="744" t="s">
        <v>1274</v>
      </c>
      <c r="B2685" s="703" t="s">
        <v>1821</v>
      </c>
      <c r="C2685" s="700" t="s">
        <v>246</v>
      </c>
      <c r="D2685" s="696"/>
      <c r="E2685" s="697"/>
      <c r="F2685" s="573"/>
      <c r="G2685" s="487"/>
      <c r="H2685" s="576">
        <v>2017536</v>
      </c>
      <c r="I2685" s="487">
        <v>1536287</v>
      </c>
      <c r="J2685" s="573"/>
      <c r="K2685" s="487"/>
      <c r="L2685" s="573"/>
      <c r="M2685" s="573"/>
      <c r="N2685" s="456">
        <f t="shared" si="337"/>
        <v>0</v>
      </c>
      <c r="O2685" s="487"/>
      <c r="P2685" s="487"/>
      <c r="Q2685" s="274">
        <f t="shared" si="332"/>
        <v>0</v>
      </c>
      <c r="R2685" s="574">
        <f t="shared" si="333"/>
        <v>2017536</v>
      </c>
      <c r="S2685" s="275">
        <f t="shared" si="334"/>
        <v>1536287</v>
      </c>
      <c r="T2685" s="575"/>
      <c r="U2685" s="487"/>
      <c r="V2685" s="576"/>
      <c r="W2685" s="573"/>
      <c r="X2685" s="574">
        <f t="shared" si="338"/>
        <v>0</v>
      </c>
      <c r="Y2685" s="487"/>
      <c r="Z2685" s="487"/>
      <c r="AA2685" s="276">
        <f t="shared" si="339"/>
        <v>0</v>
      </c>
      <c r="AB2685" s="573"/>
      <c r="AC2685" s="487"/>
      <c r="AD2685" s="573"/>
      <c r="AE2685" s="487"/>
      <c r="AF2685" s="577">
        <f t="shared" si="335"/>
        <v>2017536</v>
      </c>
      <c r="AG2685" s="275">
        <f t="shared" si="336"/>
        <v>1536287</v>
      </c>
    </row>
    <row r="2686" spans="1:33" ht="12" customHeight="1">
      <c r="A2686" s="744" t="s">
        <v>1274</v>
      </c>
      <c r="B2686" s="703" t="s">
        <v>1821</v>
      </c>
      <c r="C2686" s="747" t="s">
        <v>1254</v>
      </c>
      <c r="D2686" s="746"/>
      <c r="E2686" s="697"/>
      <c r="F2686" s="518"/>
      <c r="G2686" s="487"/>
      <c r="H2686" s="518">
        <v>300000</v>
      </c>
      <c r="I2686" s="487">
        <v>245844</v>
      </c>
      <c r="J2686" s="573"/>
      <c r="K2686" s="487"/>
      <c r="L2686" s="573"/>
      <c r="M2686" s="573"/>
      <c r="N2686" s="456">
        <f t="shared" si="337"/>
        <v>0</v>
      </c>
      <c r="O2686" s="487"/>
      <c r="P2686" s="487"/>
      <c r="Q2686" s="274">
        <f t="shared" si="332"/>
        <v>0</v>
      </c>
      <c r="R2686" s="574">
        <f t="shared" si="333"/>
        <v>300000</v>
      </c>
      <c r="S2686" s="275">
        <f t="shared" si="334"/>
        <v>245844</v>
      </c>
      <c r="T2686" s="575"/>
      <c r="U2686" s="487"/>
      <c r="V2686" s="576"/>
      <c r="W2686" s="573"/>
      <c r="X2686" s="574">
        <f t="shared" si="338"/>
        <v>0</v>
      </c>
      <c r="Y2686" s="487"/>
      <c r="Z2686" s="487"/>
      <c r="AA2686" s="276">
        <f t="shared" si="339"/>
        <v>0</v>
      </c>
      <c r="AB2686" s="573"/>
      <c r="AC2686" s="487"/>
      <c r="AD2686" s="573"/>
      <c r="AE2686" s="487"/>
      <c r="AF2686" s="577">
        <f t="shared" si="335"/>
        <v>300000</v>
      </c>
      <c r="AG2686" s="275">
        <f t="shared" si="336"/>
        <v>245844</v>
      </c>
    </row>
    <row r="2687" spans="1:33" ht="12" customHeight="1">
      <c r="A2687" s="744" t="s">
        <v>1274</v>
      </c>
      <c r="B2687" s="703" t="s">
        <v>1821</v>
      </c>
      <c r="C2687" s="961" t="s">
        <v>2023</v>
      </c>
      <c r="D2687" s="746"/>
      <c r="E2687" s="697"/>
      <c r="F2687" s="518"/>
      <c r="G2687" s="487"/>
      <c r="H2687" s="952">
        <v>30000000</v>
      </c>
      <c r="I2687" s="487"/>
      <c r="J2687" s="573"/>
      <c r="K2687" s="487"/>
      <c r="L2687" s="573"/>
      <c r="M2687" s="573"/>
      <c r="N2687" s="456">
        <f t="shared" si="337"/>
        <v>0</v>
      </c>
      <c r="O2687" s="487"/>
      <c r="P2687" s="487"/>
      <c r="Q2687" s="274">
        <f t="shared" si="332"/>
        <v>0</v>
      </c>
      <c r="R2687" s="574">
        <f t="shared" si="333"/>
        <v>30000000</v>
      </c>
      <c r="S2687" s="275">
        <f t="shared" si="334"/>
        <v>0</v>
      </c>
      <c r="T2687" s="575"/>
      <c r="U2687" s="487"/>
      <c r="V2687" s="576"/>
      <c r="W2687" s="573"/>
      <c r="X2687" s="574">
        <f t="shared" si="338"/>
        <v>0</v>
      </c>
      <c r="Y2687" s="487"/>
      <c r="Z2687" s="487"/>
      <c r="AA2687" s="276">
        <f t="shared" si="339"/>
        <v>0</v>
      </c>
      <c r="AB2687" s="573"/>
      <c r="AC2687" s="487"/>
      <c r="AD2687" s="573"/>
      <c r="AE2687" s="487"/>
      <c r="AF2687" s="577">
        <f t="shared" si="335"/>
        <v>30000000</v>
      </c>
      <c r="AG2687" s="275">
        <f t="shared" si="336"/>
        <v>0</v>
      </c>
    </row>
    <row r="2688" spans="1:33" ht="12" customHeight="1">
      <c r="A2688" s="744" t="s">
        <v>1274</v>
      </c>
      <c r="B2688" s="703" t="s">
        <v>1794</v>
      </c>
      <c r="C2688" s="300" t="s">
        <v>849</v>
      </c>
      <c r="D2688" s="696"/>
      <c r="E2688" s="697"/>
      <c r="F2688" s="573"/>
      <c r="G2688" s="487"/>
      <c r="H2688" s="573"/>
      <c r="I2688" s="487"/>
      <c r="J2688" s="573"/>
      <c r="K2688" s="487"/>
      <c r="L2688" s="573"/>
      <c r="M2688" s="573"/>
      <c r="N2688" s="456">
        <f t="shared" si="337"/>
        <v>0</v>
      </c>
      <c r="O2688" s="487"/>
      <c r="P2688" s="487"/>
      <c r="Q2688" s="274">
        <f t="shared" si="332"/>
        <v>0</v>
      </c>
      <c r="R2688" s="574">
        <f t="shared" si="333"/>
        <v>0</v>
      </c>
      <c r="S2688" s="275">
        <f t="shared" si="334"/>
        <v>0</v>
      </c>
      <c r="T2688" s="575"/>
      <c r="U2688" s="487"/>
      <c r="V2688" s="576"/>
      <c r="W2688" s="573"/>
      <c r="X2688" s="574">
        <f t="shared" si="338"/>
        <v>0</v>
      </c>
      <c r="Y2688" s="487"/>
      <c r="Z2688" s="487"/>
      <c r="AA2688" s="276">
        <f t="shared" si="339"/>
        <v>0</v>
      </c>
      <c r="AB2688" s="573"/>
      <c r="AC2688" s="487"/>
      <c r="AD2688" s="573"/>
      <c r="AE2688" s="487"/>
      <c r="AF2688" s="577">
        <f t="shared" si="335"/>
        <v>0</v>
      </c>
      <c r="AG2688" s="275">
        <f t="shared" si="336"/>
        <v>0</v>
      </c>
    </row>
    <row r="2689" spans="1:33" ht="12" customHeight="1">
      <c r="A2689" s="744" t="s">
        <v>1274</v>
      </c>
      <c r="B2689" s="703" t="s">
        <v>1795</v>
      </c>
      <c r="C2689" s="297" t="s">
        <v>957</v>
      </c>
      <c r="D2689" s="696"/>
      <c r="E2689" s="697"/>
      <c r="F2689" s="573"/>
      <c r="G2689" s="487"/>
      <c r="H2689" s="573"/>
      <c r="I2689" s="487"/>
      <c r="J2689" s="573"/>
      <c r="K2689" s="487"/>
      <c r="L2689" s="573"/>
      <c r="M2689" s="573"/>
      <c r="N2689" s="456">
        <f t="shared" si="337"/>
        <v>0</v>
      </c>
      <c r="O2689" s="487"/>
      <c r="P2689" s="487"/>
      <c r="Q2689" s="274">
        <f t="shared" si="332"/>
        <v>0</v>
      </c>
      <c r="R2689" s="574">
        <f t="shared" si="333"/>
        <v>0</v>
      </c>
      <c r="S2689" s="275">
        <f t="shared" si="334"/>
        <v>0</v>
      </c>
      <c r="T2689" s="575"/>
      <c r="U2689" s="487"/>
      <c r="V2689" s="576"/>
      <c r="W2689" s="573"/>
      <c r="X2689" s="574">
        <f t="shared" si="338"/>
        <v>0</v>
      </c>
      <c r="Y2689" s="487"/>
      <c r="Z2689" s="487"/>
      <c r="AA2689" s="276">
        <f t="shared" si="339"/>
        <v>0</v>
      </c>
      <c r="AB2689" s="573"/>
      <c r="AC2689" s="487"/>
      <c r="AD2689" s="573"/>
      <c r="AE2689" s="487"/>
      <c r="AF2689" s="577">
        <f t="shared" si="335"/>
        <v>0</v>
      </c>
      <c r="AG2689" s="275">
        <f t="shared" si="336"/>
        <v>0</v>
      </c>
    </row>
    <row r="2690" spans="1:33" ht="12" customHeight="1">
      <c r="A2690" s="744" t="s">
        <v>1274</v>
      </c>
      <c r="B2690" s="703" t="s">
        <v>1795</v>
      </c>
      <c r="C2690" s="747" t="s">
        <v>51</v>
      </c>
      <c r="D2690" s="696"/>
      <c r="E2690" s="697"/>
      <c r="F2690" s="573"/>
      <c r="G2690" s="487"/>
      <c r="H2690" s="573"/>
      <c r="I2690" s="487"/>
      <c r="J2690" s="573"/>
      <c r="K2690" s="487"/>
      <c r="L2690" s="573"/>
      <c r="M2690" s="573"/>
      <c r="N2690" s="456">
        <f t="shared" si="337"/>
        <v>0</v>
      </c>
      <c r="O2690" s="487"/>
      <c r="P2690" s="487"/>
      <c r="Q2690" s="274">
        <f t="shared" si="332"/>
        <v>0</v>
      </c>
      <c r="R2690" s="574">
        <f t="shared" si="333"/>
        <v>0</v>
      </c>
      <c r="S2690" s="275">
        <f t="shared" si="334"/>
        <v>0</v>
      </c>
      <c r="T2690" s="575">
        <v>2959776</v>
      </c>
      <c r="U2690" s="487">
        <v>2220550</v>
      </c>
      <c r="V2690" s="576"/>
      <c r="W2690" s="573"/>
      <c r="X2690" s="574">
        <f t="shared" si="338"/>
        <v>0</v>
      </c>
      <c r="Y2690" s="487"/>
      <c r="Z2690" s="487"/>
      <c r="AA2690" s="276">
        <f t="shared" si="339"/>
        <v>0</v>
      </c>
      <c r="AB2690" s="573"/>
      <c r="AC2690" s="487"/>
      <c r="AD2690" s="573"/>
      <c r="AE2690" s="487"/>
      <c r="AF2690" s="577">
        <f t="shared" si="335"/>
        <v>2959776</v>
      </c>
      <c r="AG2690" s="275">
        <f t="shared" si="336"/>
        <v>2220550</v>
      </c>
    </row>
    <row r="2691" spans="1:33" ht="12" customHeight="1">
      <c r="A2691" s="744" t="s">
        <v>1274</v>
      </c>
      <c r="B2691" s="703" t="s">
        <v>1795</v>
      </c>
      <c r="C2691" s="747" t="s">
        <v>243</v>
      </c>
      <c r="D2691" s="746"/>
      <c r="E2691" s="697"/>
      <c r="F2691" s="518"/>
      <c r="G2691" s="487"/>
      <c r="H2691" s="573"/>
      <c r="I2691" s="487"/>
      <c r="J2691" s="573"/>
      <c r="K2691" s="487"/>
      <c r="L2691" s="573"/>
      <c r="M2691" s="573"/>
      <c r="N2691" s="456">
        <f t="shared" si="337"/>
        <v>0</v>
      </c>
      <c r="O2691" s="487"/>
      <c r="P2691" s="487"/>
      <c r="Q2691" s="274">
        <f t="shared" si="332"/>
        <v>0</v>
      </c>
      <c r="R2691" s="574">
        <f t="shared" si="333"/>
        <v>0</v>
      </c>
      <c r="S2691" s="275">
        <f t="shared" si="334"/>
        <v>0</v>
      </c>
      <c r="T2691" s="518">
        <v>32812</v>
      </c>
      <c r="U2691" s="487">
        <v>13645</v>
      </c>
      <c r="V2691" s="576"/>
      <c r="W2691" s="573"/>
      <c r="X2691" s="574">
        <f t="shared" si="338"/>
        <v>0</v>
      </c>
      <c r="Y2691" s="487"/>
      <c r="Z2691" s="487"/>
      <c r="AA2691" s="276">
        <f t="shared" si="339"/>
        <v>0</v>
      </c>
      <c r="AB2691" s="573"/>
      <c r="AC2691" s="487"/>
      <c r="AD2691" s="573"/>
      <c r="AE2691" s="487"/>
      <c r="AF2691" s="577">
        <f t="shared" si="335"/>
        <v>32812</v>
      </c>
      <c r="AG2691" s="275">
        <f t="shared" si="336"/>
        <v>13645</v>
      </c>
    </row>
    <row r="2692" spans="1:33" ht="12" customHeight="1">
      <c r="A2692" s="744" t="s">
        <v>1274</v>
      </c>
      <c r="B2692" s="703" t="s">
        <v>1795</v>
      </c>
      <c r="C2692" s="959" t="s">
        <v>790</v>
      </c>
      <c r="D2692" s="746"/>
      <c r="E2692" s="697"/>
      <c r="F2692" s="518"/>
      <c r="G2692" s="487"/>
      <c r="H2692" s="573"/>
      <c r="I2692" s="487"/>
      <c r="J2692" s="573"/>
      <c r="K2692" s="487"/>
      <c r="L2692" s="573"/>
      <c r="M2692" s="573"/>
      <c r="N2692" s="456">
        <f t="shared" si="337"/>
        <v>0</v>
      </c>
      <c r="O2692" s="487"/>
      <c r="P2692" s="487"/>
      <c r="Q2692" s="274">
        <f t="shared" si="332"/>
        <v>0</v>
      </c>
      <c r="R2692" s="574">
        <f t="shared" si="333"/>
        <v>0</v>
      </c>
      <c r="S2692" s="275">
        <f t="shared" si="334"/>
        <v>0</v>
      </c>
      <c r="T2692" s="965">
        <v>600000</v>
      </c>
      <c r="U2692" s="949">
        <v>469860</v>
      </c>
      <c r="V2692" s="576"/>
      <c r="W2692" s="573"/>
      <c r="X2692" s="574">
        <f t="shared" si="338"/>
        <v>0</v>
      </c>
      <c r="Y2692" s="487"/>
      <c r="Z2692" s="487"/>
      <c r="AA2692" s="276">
        <f t="shared" si="339"/>
        <v>0</v>
      </c>
      <c r="AB2692" s="573"/>
      <c r="AC2692" s="487"/>
      <c r="AD2692" s="573"/>
      <c r="AE2692" s="487"/>
      <c r="AF2692" s="577">
        <f t="shared" si="335"/>
        <v>600000</v>
      </c>
      <c r="AG2692" s="275">
        <f t="shared" si="336"/>
        <v>469860</v>
      </c>
    </row>
    <row r="2693" spans="1:33" ht="12" customHeight="1">
      <c r="A2693" s="744" t="s">
        <v>1274</v>
      </c>
      <c r="B2693" s="703" t="s">
        <v>1795</v>
      </c>
      <c r="C2693" s="959" t="s">
        <v>2027</v>
      </c>
      <c r="D2693" s="746"/>
      <c r="E2693" s="697"/>
      <c r="F2693" s="518"/>
      <c r="G2693" s="487"/>
      <c r="H2693" s="573"/>
      <c r="I2693" s="487"/>
      <c r="J2693" s="573"/>
      <c r="K2693" s="487"/>
      <c r="L2693" s="573"/>
      <c r="M2693" s="573"/>
      <c r="N2693" s="456">
        <f t="shared" si="337"/>
        <v>0</v>
      </c>
      <c r="O2693" s="487"/>
      <c r="P2693" s="487"/>
      <c r="Q2693" s="274">
        <f t="shared" si="332"/>
        <v>0</v>
      </c>
      <c r="R2693" s="574">
        <f t="shared" si="333"/>
        <v>0</v>
      </c>
      <c r="S2693" s="275">
        <f t="shared" si="334"/>
        <v>0</v>
      </c>
      <c r="T2693" s="965">
        <v>75000</v>
      </c>
      <c r="U2693" s="949"/>
      <c r="V2693" s="576"/>
      <c r="W2693" s="573"/>
      <c r="X2693" s="574">
        <f t="shared" si="338"/>
        <v>0</v>
      </c>
      <c r="Y2693" s="487"/>
      <c r="Z2693" s="487"/>
      <c r="AA2693" s="276">
        <f t="shared" si="339"/>
        <v>0</v>
      </c>
      <c r="AB2693" s="573"/>
      <c r="AC2693" s="487"/>
      <c r="AD2693" s="573"/>
      <c r="AE2693" s="487"/>
      <c r="AF2693" s="577">
        <f t="shared" si="335"/>
        <v>75000</v>
      </c>
      <c r="AG2693" s="275">
        <f t="shared" si="336"/>
        <v>0</v>
      </c>
    </row>
    <row r="2694" spans="1:33" ht="12" customHeight="1">
      <c r="A2694" s="744" t="s">
        <v>1274</v>
      </c>
      <c r="B2694" s="703" t="s">
        <v>1795</v>
      </c>
      <c r="C2694" s="747" t="s">
        <v>50</v>
      </c>
      <c r="D2694" s="746"/>
      <c r="E2694" s="697"/>
      <c r="F2694" s="518"/>
      <c r="G2694" s="487"/>
      <c r="H2694" s="573"/>
      <c r="I2694" s="487"/>
      <c r="J2694" s="573"/>
      <c r="K2694" s="487"/>
      <c r="L2694" s="573"/>
      <c r="M2694" s="573"/>
      <c r="N2694" s="456">
        <f t="shared" si="337"/>
        <v>0</v>
      </c>
      <c r="O2694" s="487"/>
      <c r="P2694" s="487"/>
      <c r="Q2694" s="274">
        <f t="shared" si="332"/>
        <v>0</v>
      </c>
      <c r="R2694" s="574">
        <f t="shared" si="333"/>
        <v>0</v>
      </c>
      <c r="S2694" s="275">
        <f t="shared" si="334"/>
        <v>0</v>
      </c>
      <c r="T2694" s="518">
        <v>1323000</v>
      </c>
      <c r="U2694" s="487">
        <v>1415382</v>
      </c>
      <c r="V2694" s="576"/>
      <c r="W2694" s="573"/>
      <c r="X2694" s="574">
        <f t="shared" si="338"/>
        <v>0</v>
      </c>
      <c r="Y2694" s="487"/>
      <c r="Z2694" s="487"/>
      <c r="AA2694" s="276">
        <f t="shared" si="339"/>
        <v>0</v>
      </c>
      <c r="AB2694" s="573"/>
      <c r="AC2694" s="487"/>
      <c r="AD2694" s="573"/>
      <c r="AE2694" s="487"/>
      <c r="AF2694" s="577">
        <f t="shared" si="335"/>
        <v>1323000</v>
      </c>
      <c r="AG2694" s="275">
        <f t="shared" si="336"/>
        <v>1415382</v>
      </c>
    </row>
    <row r="2695" spans="1:33" ht="12" customHeight="1">
      <c r="A2695" s="744" t="s">
        <v>1274</v>
      </c>
      <c r="B2695" s="703" t="s">
        <v>1795</v>
      </c>
      <c r="C2695" s="747" t="s">
        <v>1243</v>
      </c>
      <c r="D2695" s="746"/>
      <c r="E2695" s="697"/>
      <c r="F2695" s="518"/>
      <c r="G2695" s="487"/>
      <c r="H2695" s="573"/>
      <c r="I2695" s="487"/>
      <c r="J2695" s="573"/>
      <c r="K2695" s="487"/>
      <c r="L2695" s="573"/>
      <c r="M2695" s="573"/>
      <c r="N2695" s="456">
        <f t="shared" si="337"/>
        <v>0</v>
      </c>
      <c r="O2695" s="487"/>
      <c r="P2695" s="487"/>
      <c r="Q2695" s="274">
        <f t="shared" si="332"/>
        <v>0</v>
      </c>
      <c r="R2695" s="574">
        <f t="shared" si="333"/>
        <v>0</v>
      </c>
      <c r="S2695" s="275">
        <f t="shared" si="334"/>
        <v>0</v>
      </c>
      <c r="T2695" s="518">
        <v>53389</v>
      </c>
      <c r="U2695" s="487">
        <v>30791</v>
      </c>
      <c r="V2695" s="576"/>
      <c r="W2695" s="573"/>
      <c r="X2695" s="574">
        <f t="shared" si="338"/>
        <v>0</v>
      </c>
      <c r="Y2695" s="487"/>
      <c r="Z2695" s="487"/>
      <c r="AA2695" s="276">
        <f t="shared" si="339"/>
        <v>0</v>
      </c>
      <c r="AB2695" s="573"/>
      <c r="AC2695" s="487"/>
      <c r="AD2695" s="573"/>
      <c r="AE2695" s="487"/>
      <c r="AF2695" s="577">
        <f t="shared" si="335"/>
        <v>53389</v>
      </c>
      <c r="AG2695" s="275">
        <f t="shared" si="336"/>
        <v>30791</v>
      </c>
    </row>
    <row r="2696" spans="1:33" ht="12" customHeight="1">
      <c r="A2696" s="744" t="s">
        <v>1274</v>
      </c>
      <c r="B2696" s="703" t="s">
        <v>1795</v>
      </c>
      <c r="C2696" s="959" t="s">
        <v>2024</v>
      </c>
      <c r="D2696" s="746"/>
      <c r="E2696" s="697"/>
      <c r="F2696" s="518"/>
      <c r="G2696" s="487"/>
      <c r="H2696" s="573"/>
      <c r="I2696" s="487"/>
      <c r="J2696" s="573"/>
      <c r="K2696" s="487"/>
      <c r="L2696" s="573"/>
      <c r="M2696" s="573"/>
      <c r="N2696" s="456">
        <f t="shared" si="337"/>
        <v>0</v>
      </c>
      <c r="O2696" s="487"/>
      <c r="P2696" s="487"/>
      <c r="Q2696" s="274">
        <f t="shared" si="332"/>
        <v>0</v>
      </c>
      <c r="R2696" s="574">
        <f t="shared" si="333"/>
        <v>0</v>
      </c>
      <c r="S2696" s="275">
        <f t="shared" si="334"/>
        <v>0</v>
      </c>
      <c r="T2696" s="964"/>
      <c r="U2696" s="487"/>
      <c r="V2696" s="576"/>
      <c r="W2696" s="573"/>
      <c r="X2696" s="574">
        <f t="shared" si="338"/>
        <v>0</v>
      </c>
      <c r="Y2696" s="487"/>
      <c r="Z2696" s="487"/>
      <c r="AA2696" s="276">
        <f t="shared" si="339"/>
        <v>0</v>
      </c>
      <c r="AB2696" s="573"/>
      <c r="AC2696" s="487"/>
      <c r="AD2696" s="573"/>
      <c r="AE2696" s="487"/>
      <c r="AF2696" s="577">
        <f t="shared" si="335"/>
        <v>0</v>
      </c>
      <c r="AG2696" s="275">
        <f t="shared" si="336"/>
        <v>0</v>
      </c>
    </row>
    <row r="2697" spans="1:33" ht="12" customHeight="1">
      <c r="A2697" s="744" t="s">
        <v>1274</v>
      </c>
      <c r="B2697" s="703" t="s">
        <v>1795</v>
      </c>
      <c r="C2697" s="959" t="s">
        <v>2025</v>
      </c>
      <c r="D2697" s="746"/>
      <c r="E2697" s="697"/>
      <c r="F2697" s="518"/>
      <c r="G2697" s="487"/>
      <c r="H2697" s="952">
        <v>130000</v>
      </c>
      <c r="I2697" s="487"/>
      <c r="J2697" s="573"/>
      <c r="K2697" s="487"/>
      <c r="L2697" s="573"/>
      <c r="M2697" s="573"/>
      <c r="N2697" s="456">
        <f t="shared" si="337"/>
        <v>0</v>
      </c>
      <c r="O2697" s="487"/>
      <c r="P2697" s="487"/>
      <c r="Q2697" s="274">
        <f t="shared" si="332"/>
        <v>0</v>
      </c>
      <c r="R2697" s="574">
        <f t="shared" si="333"/>
        <v>130000</v>
      </c>
      <c r="S2697" s="275">
        <f t="shared" si="334"/>
        <v>0</v>
      </c>
      <c r="T2697" s="964"/>
      <c r="U2697" s="487"/>
      <c r="V2697" s="576"/>
      <c r="W2697" s="573"/>
      <c r="X2697" s="574">
        <f t="shared" si="338"/>
        <v>0</v>
      </c>
      <c r="Y2697" s="487"/>
      <c r="Z2697" s="487"/>
      <c r="AA2697" s="276">
        <f t="shared" si="339"/>
        <v>0</v>
      </c>
      <c r="AB2697" s="573"/>
      <c r="AC2697" s="487"/>
      <c r="AD2697" s="573"/>
      <c r="AE2697" s="487"/>
      <c r="AF2697" s="577">
        <f t="shared" si="335"/>
        <v>130000</v>
      </c>
      <c r="AG2697" s="275">
        <f t="shared" si="336"/>
        <v>0</v>
      </c>
    </row>
    <row r="2698" spans="1:33" ht="12" customHeight="1">
      <c r="A2698" s="744" t="s">
        <v>1274</v>
      </c>
      <c r="B2698" s="703" t="s">
        <v>1795</v>
      </c>
      <c r="C2698" s="959" t="s">
        <v>2026</v>
      </c>
      <c r="D2698" s="746"/>
      <c r="E2698" s="697"/>
      <c r="F2698" s="518"/>
      <c r="G2698" s="487"/>
      <c r="H2698" s="952">
        <v>150000</v>
      </c>
      <c r="I2698" s="487"/>
      <c r="J2698" s="573"/>
      <c r="K2698" s="487"/>
      <c r="L2698" s="573"/>
      <c r="M2698" s="573"/>
      <c r="N2698" s="456">
        <f t="shared" si="337"/>
        <v>0</v>
      </c>
      <c r="O2698" s="487"/>
      <c r="P2698" s="487"/>
      <c r="Q2698" s="274">
        <f t="shared" ref="Q2698:Q2761" si="340">SUM(O2698:P2698)</f>
        <v>0</v>
      </c>
      <c r="R2698" s="574">
        <f t="shared" ref="R2698:R2761" si="341">SUM(F2698,H2698,J2698,L2698)</f>
        <v>150000</v>
      </c>
      <c r="S2698" s="275">
        <f t="shared" ref="S2698:S2761" si="342">SUM(G2698,I2698,K2698,O2698)</f>
        <v>0</v>
      </c>
      <c r="T2698" s="964"/>
      <c r="U2698" s="487"/>
      <c r="V2698" s="576"/>
      <c r="W2698" s="573"/>
      <c r="X2698" s="574">
        <f t="shared" si="338"/>
        <v>0</v>
      </c>
      <c r="Y2698" s="487"/>
      <c r="Z2698" s="487"/>
      <c r="AA2698" s="276">
        <f t="shared" si="339"/>
        <v>0</v>
      </c>
      <c r="AB2698" s="573"/>
      <c r="AC2698" s="487"/>
      <c r="AD2698" s="573"/>
      <c r="AE2698" s="487"/>
      <c r="AF2698" s="577">
        <f t="shared" ref="AF2698:AF2761" si="343">SUM(R2698,T2698,V2698,AB2698,AD2698)</f>
        <v>150000</v>
      </c>
      <c r="AG2698" s="275">
        <f t="shared" ref="AG2698:AG2761" si="344">SUM(S2698,U2698,Y2698,AC2698,AE2698)</f>
        <v>0</v>
      </c>
    </row>
    <row r="2699" spans="1:33" ht="12" customHeight="1">
      <c r="A2699" s="744" t="s">
        <v>1274</v>
      </c>
      <c r="B2699" s="703" t="s">
        <v>1796</v>
      </c>
      <c r="C2699" s="297" t="s">
        <v>956</v>
      </c>
      <c r="D2699" s="696"/>
      <c r="E2699" s="697"/>
      <c r="F2699" s="573"/>
      <c r="G2699" s="487"/>
      <c r="H2699" s="952">
        <v>200000</v>
      </c>
      <c r="I2699" s="487"/>
      <c r="J2699" s="573"/>
      <c r="K2699" s="487"/>
      <c r="L2699" s="573"/>
      <c r="M2699" s="573"/>
      <c r="N2699" s="456">
        <f t="shared" si="337"/>
        <v>0</v>
      </c>
      <c r="O2699" s="487"/>
      <c r="P2699" s="487"/>
      <c r="Q2699" s="274">
        <f t="shared" si="340"/>
        <v>0</v>
      </c>
      <c r="R2699" s="574">
        <f t="shared" si="341"/>
        <v>200000</v>
      </c>
      <c r="S2699" s="275">
        <f t="shared" si="342"/>
        <v>0</v>
      </c>
      <c r="T2699" s="575"/>
      <c r="U2699" s="487"/>
      <c r="V2699" s="576"/>
      <c r="W2699" s="573"/>
      <c r="X2699" s="574">
        <f t="shared" si="338"/>
        <v>0</v>
      </c>
      <c r="Y2699" s="487"/>
      <c r="Z2699" s="487"/>
      <c r="AA2699" s="276">
        <f t="shared" si="339"/>
        <v>0</v>
      </c>
      <c r="AB2699" s="573"/>
      <c r="AC2699" s="487"/>
      <c r="AD2699" s="573"/>
      <c r="AE2699" s="487"/>
      <c r="AF2699" s="577">
        <f t="shared" si="343"/>
        <v>200000</v>
      </c>
      <c r="AG2699" s="275">
        <f t="shared" si="344"/>
        <v>0</v>
      </c>
    </row>
    <row r="2700" spans="1:33" ht="12" customHeight="1">
      <c r="A2700" s="744" t="s">
        <v>1274</v>
      </c>
      <c r="B2700" s="703" t="s">
        <v>1796</v>
      </c>
      <c r="C2700" s="747" t="s">
        <v>52</v>
      </c>
      <c r="D2700" s="696"/>
      <c r="E2700" s="697"/>
      <c r="F2700" s="573"/>
      <c r="G2700" s="487"/>
      <c r="H2700" s="573"/>
      <c r="I2700" s="487"/>
      <c r="J2700" s="573"/>
      <c r="K2700" s="487"/>
      <c r="L2700" s="573"/>
      <c r="M2700" s="573"/>
      <c r="N2700" s="456">
        <f t="shared" si="337"/>
        <v>0</v>
      </c>
      <c r="O2700" s="487"/>
      <c r="P2700" s="487"/>
      <c r="Q2700" s="274">
        <f t="shared" si="340"/>
        <v>0</v>
      </c>
      <c r="R2700" s="574">
        <f t="shared" si="341"/>
        <v>0</v>
      </c>
      <c r="S2700" s="275">
        <f t="shared" si="342"/>
        <v>0</v>
      </c>
      <c r="T2700" s="965">
        <f>5306014+2167146</f>
        <v>7473160</v>
      </c>
      <c r="U2700" s="487">
        <v>6357482</v>
      </c>
      <c r="V2700" s="576"/>
      <c r="W2700" s="573"/>
      <c r="X2700" s="574">
        <f t="shared" si="338"/>
        <v>0</v>
      </c>
      <c r="Y2700" s="487"/>
      <c r="Z2700" s="487"/>
      <c r="AA2700" s="276">
        <f t="shared" si="339"/>
        <v>0</v>
      </c>
      <c r="AB2700" s="573"/>
      <c r="AC2700" s="487"/>
      <c r="AD2700" s="573"/>
      <c r="AE2700" s="487"/>
      <c r="AF2700" s="577">
        <f t="shared" si="343"/>
        <v>7473160</v>
      </c>
      <c r="AG2700" s="275">
        <f t="shared" si="344"/>
        <v>6357482</v>
      </c>
    </row>
    <row r="2701" spans="1:33" ht="12" customHeight="1">
      <c r="A2701" s="744" t="s">
        <v>1274</v>
      </c>
      <c r="B2701" s="703" t="s">
        <v>1796</v>
      </c>
      <c r="C2701" s="747" t="s">
        <v>248</v>
      </c>
      <c r="D2701" s="746"/>
      <c r="E2701" s="697"/>
      <c r="F2701" s="518"/>
      <c r="G2701" s="487"/>
      <c r="H2701" s="573"/>
      <c r="I2701" s="487"/>
      <c r="J2701" s="573"/>
      <c r="K2701" s="487"/>
      <c r="L2701" s="573"/>
      <c r="M2701" s="573"/>
      <c r="N2701" s="456">
        <f t="shared" si="337"/>
        <v>0</v>
      </c>
      <c r="O2701" s="487"/>
      <c r="P2701" s="487"/>
      <c r="Q2701" s="274">
        <f t="shared" si="340"/>
        <v>0</v>
      </c>
      <c r="R2701" s="574">
        <f t="shared" si="341"/>
        <v>0</v>
      </c>
      <c r="S2701" s="275">
        <f t="shared" si="342"/>
        <v>0</v>
      </c>
      <c r="T2701" s="575">
        <v>475571</v>
      </c>
      <c r="U2701" s="487">
        <v>0</v>
      </c>
      <c r="V2701" s="576"/>
      <c r="W2701" s="573"/>
      <c r="X2701" s="574">
        <f t="shared" si="338"/>
        <v>0</v>
      </c>
      <c r="Y2701" s="487"/>
      <c r="Z2701" s="487"/>
      <c r="AA2701" s="276">
        <f t="shared" si="339"/>
        <v>0</v>
      </c>
      <c r="AB2701" s="573"/>
      <c r="AC2701" s="487"/>
      <c r="AD2701" s="573"/>
      <c r="AE2701" s="487"/>
      <c r="AF2701" s="577">
        <f t="shared" si="343"/>
        <v>475571</v>
      </c>
      <c r="AG2701" s="275">
        <f t="shared" si="344"/>
        <v>0</v>
      </c>
    </row>
    <row r="2702" spans="1:33" ht="12" customHeight="1">
      <c r="A2702" s="744" t="s">
        <v>1274</v>
      </c>
      <c r="B2702" s="703" t="s">
        <v>1796</v>
      </c>
      <c r="C2702" s="747" t="s">
        <v>46</v>
      </c>
      <c r="D2702" s="746"/>
      <c r="E2702" s="697"/>
      <c r="F2702" s="518"/>
      <c r="G2702" s="487"/>
      <c r="H2702" s="573"/>
      <c r="I2702" s="487"/>
      <c r="J2702" s="573"/>
      <c r="K2702" s="487"/>
      <c r="L2702" s="573"/>
      <c r="M2702" s="573"/>
      <c r="N2702" s="456">
        <f t="shared" si="337"/>
        <v>0</v>
      </c>
      <c r="O2702" s="487"/>
      <c r="P2702" s="487"/>
      <c r="Q2702" s="274">
        <f t="shared" si="340"/>
        <v>0</v>
      </c>
      <c r="R2702" s="574">
        <f t="shared" si="341"/>
        <v>0</v>
      </c>
      <c r="S2702" s="275">
        <f t="shared" si="342"/>
        <v>0</v>
      </c>
      <c r="T2702" s="575">
        <v>5294514</v>
      </c>
      <c r="U2702" s="487">
        <v>3711316</v>
      </c>
      <c r="V2702" s="576"/>
      <c r="W2702" s="573"/>
      <c r="X2702" s="574">
        <f t="shared" si="338"/>
        <v>0</v>
      </c>
      <c r="Y2702" s="487"/>
      <c r="Z2702" s="487"/>
      <c r="AA2702" s="276">
        <f t="shared" si="339"/>
        <v>0</v>
      </c>
      <c r="AB2702" s="573"/>
      <c r="AC2702" s="487"/>
      <c r="AD2702" s="573"/>
      <c r="AE2702" s="487"/>
      <c r="AF2702" s="577">
        <f t="shared" si="343"/>
        <v>5294514</v>
      </c>
      <c r="AG2702" s="275">
        <f t="shared" si="344"/>
        <v>3711316</v>
      </c>
    </row>
    <row r="2703" spans="1:33" ht="12" customHeight="1">
      <c r="A2703" s="744" t="s">
        <v>1274</v>
      </c>
      <c r="B2703" s="703" t="s">
        <v>1796</v>
      </c>
      <c r="C2703" s="959" t="s">
        <v>2028</v>
      </c>
      <c r="D2703" s="746"/>
      <c r="E2703" s="697"/>
      <c r="F2703" s="518"/>
      <c r="G2703" s="487"/>
      <c r="H2703" s="573"/>
      <c r="I2703" s="487"/>
      <c r="J2703" s="573"/>
      <c r="K2703" s="487"/>
      <c r="L2703" s="573"/>
      <c r="M2703" s="573"/>
      <c r="N2703" s="456">
        <f t="shared" si="337"/>
        <v>0</v>
      </c>
      <c r="O2703" s="487"/>
      <c r="P2703" s="487"/>
      <c r="Q2703" s="274">
        <f t="shared" si="340"/>
        <v>0</v>
      </c>
      <c r="R2703" s="574">
        <f t="shared" si="341"/>
        <v>0</v>
      </c>
      <c r="S2703" s="275">
        <f t="shared" si="342"/>
        <v>0</v>
      </c>
      <c r="T2703" s="958">
        <v>1200000</v>
      </c>
      <c r="U2703" s="949">
        <v>3000000</v>
      </c>
      <c r="V2703" s="576"/>
      <c r="W2703" s="573"/>
      <c r="X2703" s="574">
        <f t="shared" si="338"/>
        <v>0</v>
      </c>
      <c r="Y2703" s="487"/>
      <c r="Z2703" s="487"/>
      <c r="AA2703" s="276">
        <f t="shared" si="339"/>
        <v>0</v>
      </c>
      <c r="AB2703" s="573"/>
      <c r="AC2703" s="487"/>
      <c r="AD2703" s="573"/>
      <c r="AE2703" s="487"/>
      <c r="AF2703" s="577">
        <f t="shared" si="343"/>
        <v>1200000</v>
      </c>
      <c r="AG2703" s="275">
        <f t="shared" si="344"/>
        <v>3000000</v>
      </c>
    </row>
    <row r="2704" spans="1:33" ht="12" customHeight="1">
      <c r="A2704" s="744" t="s">
        <v>1274</v>
      </c>
      <c r="B2704" s="703" t="s">
        <v>1796</v>
      </c>
      <c r="C2704" s="959" t="s">
        <v>2029</v>
      </c>
      <c r="D2704" s="746"/>
      <c r="E2704" s="697"/>
      <c r="F2704" s="518"/>
      <c r="G2704" s="487"/>
      <c r="H2704" s="573"/>
      <c r="I2704" s="487"/>
      <c r="J2704" s="573"/>
      <c r="K2704" s="487"/>
      <c r="L2704" s="573"/>
      <c r="M2704" s="573"/>
      <c r="N2704" s="456">
        <f t="shared" si="337"/>
        <v>0</v>
      </c>
      <c r="O2704" s="487"/>
      <c r="P2704" s="487"/>
      <c r="Q2704" s="274">
        <f t="shared" si="340"/>
        <v>0</v>
      </c>
      <c r="R2704" s="574">
        <f t="shared" si="341"/>
        <v>0</v>
      </c>
      <c r="S2704" s="275">
        <f t="shared" si="342"/>
        <v>0</v>
      </c>
      <c r="T2704" s="958">
        <v>611175</v>
      </c>
      <c r="U2704" s="949">
        <v>611175</v>
      </c>
      <c r="V2704" s="576"/>
      <c r="W2704" s="573"/>
      <c r="X2704" s="574">
        <f t="shared" si="338"/>
        <v>0</v>
      </c>
      <c r="Y2704" s="487"/>
      <c r="Z2704" s="487"/>
      <c r="AA2704" s="276">
        <f t="shared" si="339"/>
        <v>0</v>
      </c>
      <c r="AB2704" s="573"/>
      <c r="AC2704" s="487"/>
      <c r="AD2704" s="573"/>
      <c r="AE2704" s="487"/>
      <c r="AF2704" s="577">
        <f t="shared" si="343"/>
        <v>611175</v>
      </c>
      <c r="AG2704" s="275">
        <f t="shared" si="344"/>
        <v>611175</v>
      </c>
    </row>
    <row r="2705" spans="1:33" ht="12" customHeight="1">
      <c r="A2705" s="744" t="s">
        <v>1274</v>
      </c>
      <c r="B2705" s="703" t="s">
        <v>1797</v>
      </c>
      <c r="C2705" s="297" t="s">
        <v>955</v>
      </c>
      <c r="D2705" s="696"/>
      <c r="E2705" s="697"/>
      <c r="F2705" s="573"/>
      <c r="G2705" s="487"/>
      <c r="H2705" s="573"/>
      <c r="I2705" s="487"/>
      <c r="J2705" s="573"/>
      <c r="K2705" s="487"/>
      <c r="L2705" s="573"/>
      <c r="M2705" s="573"/>
      <c r="N2705" s="456">
        <f t="shared" si="337"/>
        <v>0</v>
      </c>
      <c r="O2705" s="487"/>
      <c r="P2705" s="487"/>
      <c r="Q2705" s="274">
        <f t="shared" si="340"/>
        <v>0</v>
      </c>
      <c r="R2705" s="574">
        <f t="shared" si="341"/>
        <v>0</v>
      </c>
      <c r="S2705" s="275">
        <f t="shared" si="342"/>
        <v>0</v>
      </c>
      <c r="T2705" s="575"/>
      <c r="U2705" s="487"/>
      <c r="V2705" s="576"/>
      <c r="W2705" s="573"/>
      <c r="X2705" s="574">
        <f t="shared" si="338"/>
        <v>0</v>
      </c>
      <c r="Y2705" s="487"/>
      <c r="Z2705" s="487"/>
      <c r="AA2705" s="276">
        <f t="shared" si="339"/>
        <v>0</v>
      </c>
      <c r="AB2705" s="573"/>
      <c r="AC2705" s="487"/>
      <c r="AD2705" s="573"/>
      <c r="AE2705" s="487"/>
      <c r="AF2705" s="577">
        <f t="shared" si="343"/>
        <v>0</v>
      </c>
      <c r="AG2705" s="275">
        <f t="shared" si="344"/>
        <v>0</v>
      </c>
    </row>
    <row r="2706" spans="1:33" ht="12" customHeight="1">
      <c r="A2706" s="744" t="s">
        <v>1274</v>
      </c>
      <c r="B2706" s="703" t="s">
        <v>1797</v>
      </c>
      <c r="C2706" s="747" t="s">
        <v>1430</v>
      </c>
      <c r="D2706" s="696"/>
      <c r="E2706" s="697"/>
      <c r="F2706" s="573"/>
      <c r="G2706" s="487"/>
      <c r="H2706" s="573"/>
      <c r="I2706" s="487"/>
      <c r="J2706" s="573"/>
      <c r="K2706" s="487"/>
      <c r="L2706" s="573"/>
      <c r="M2706" s="573"/>
      <c r="N2706" s="456">
        <f t="shared" si="337"/>
        <v>0</v>
      </c>
      <c r="O2706" s="487"/>
      <c r="P2706" s="487"/>
      <c r="Q2706" s="274">
        <f t="shared" si="340"/>
        <v>0</v>
      </c>
      <c r="R2706" s="574">
        <f t="shared" si="341"/>
        <v>0</v>
      </c>
      <c r="S2706" s="275">
        <f t="shared" si="342"/>
        <v>0</v>
      </c>
      <c r="T2706" s="1096">
        <v>200257</v>
      </c>
      <c r="U2706" s="487">
        <v>204235</v>
      </c>
      <c r="V2706" s="576"/>
      <c r="W2706" s="573"/>
      <c r="X2706" s="574">
        <f t="shared" si="338"/>
        <v>0</v>
      </c>
      <c r="Y2706" s="487"/>
      <c r="Z2706" s="487"/>
      <c r="AA2706" s="276">
        <f t="shared" si="339"/>
        <v>0</v>
      </c>
      <c r="AB2706" s="573"/>
      <c r="AC2706" s="487"/>
      <c r="AD2706" s="573"/>
      <c r="AE2706" s="487"/>
      <c r="AF2706" s="577">
        <f t="shared" si="343"/>
        <v>200257</v>
      </c>
      <c r="AG2706" s="275">
        <f t="shared" si="344"/>
        <v>204235</v>
      </c>
    </row>
    <row r="2707" spans="1:33" ht="12" customHeight="1">
      <c r="A2707" s="744" t="s">
        <v>1274</v>
      </c>
      <c r="B2707" s="703" t="s">
        <v>1798</v>
      </c>
      <c r="C2707" s="297" t="s">
        <v>1606</v>
      </c>
      <c r="D2707" s="696"/>
      <c r="E2707" s="697"/>
      <c r="F2707" s="573"/>
      <c r="G2707" s="487"/>
      <c r="H2707" s="573"/>
      <c r="I2707" s="487"/>
      <c r="J2707" s="573"/>
      <c r="K2707" s="487"/>
      <c r="L2707" s="573"/>
      <c r="M2707" s="573"/>
      <c r="N2707" s="456">
        <f t="shared" ref="N2707:N2770" si="345">SUM(L2707:M2707)</f>
        <v>0</v>
      </c>
      <c r="O2707" s="487"/>
      <c r="P2707" s="487"/>
      <c r="Q2707" s="274">
        <f t="shared" si="340"/>
        <v>0</v>
      </c>
      <c r="R2707" s="574">
        <f t="shared" si="341"/>
        <v>0</v>
      </c>
      <c r="S2707" s="275">
        <f t="shared" si="342"/>
        <v>0</v>
      </c>
      <c r="T2707" s="575"/>
      <c r="U2707" s="487"/>
      <c r="V2707" s="576"/>
      <c r="W2707" s="573"/>
      <c r="X2707" s="574">
        <f t="shared" ref="X2707:X2770" si="346">SUM(V2707:W2707)</f>
        <v>0</v>
      </c>
      <c r="Y2707" s="487"/>
      <c r="Z2707" s="487"/>
      <c r="AA2707" s="276">
        <f t="shared" ref="AA2707:AA2770" si="347">SUM(Y2707:Z2707)</f>
        <v>0</v>
      </c>
      <c r="AB2707" s="573"/>
      <c r="AC2707" s="487"/>
      <c r="AD2707" s="573"/>
      <c r="AE2707" s="487"/>
      <c r="AF2707" s="577">
        <f t="shared" si="343"/>
        <v>0</v>
      </c>
      <c r="AG2707" s="275">
        <f t="shared" si="344"/>
        <v>0</v>
      </c>
    </row>
    <row r="2708" spans="1:33" ht="12" customHeight="1">
      <c r="A2708" s="744" t="s">
        <v>1274</v>
      </c>
      <c r="B2708" s="703" t="s">
        <v>1799</v>
      </c>
      <c r="C2708" s="300" t="s">
        <v>853</v>
      </c>
      <c r="D2708" s="696"/>
      <c r="E2708" s="697"/>
      <c r="F2708" s="573"/>
      <c r="G2708" s="487"/>
      <c r="H2708" s="573"/>
      <c r="I2708" s="487"/>
      <c r="J2708" s="573"/>
      <c r="K2708" s="487"/>
      <c r="L2708" s="573"/>
      <c r="M2708" s="573"/>
      <c r="N2708" s="456">
        <f t="shared" si="345"/>
        <v>0</v>
      </c>
      <c r="O2708" s="487"/>
      <c r="P2708" s="487"/>
      <c r="Q2708" s="274">
        <f t="shared" si="340"/>
        <v>0</v>
      </c>
      <c r="R2708" s="574">
        <f t="shared" si="341"/>
        <v>0</v>
      </c>
      <c r="S2708" s="275">
        <f t="shared" si="342"/>
        <v>0</v>
      </c>
      <c r="T2708" s="575"/>
      <c r="U2708" s="487"/>
      <c r="V2708" s="576"/>
      <c r="W2708" s="573"/>
      <c r="X2708" s="574">
        <f t="shared" si="346"/>
        <v>0</v>
      </c>
      <c r="Y2708" s="487"/>
      <c r="Z2708" s="487"/>
      <c r="AA2708" s="276">
        <f t="shared" si="347"/>
        <v>0</v>
      </c>
      <c r="AB2708" s="573"/>
      <c r="AC2708" s="487"/>
      <c r="AD2708" s="573"/>
      <c r="AE2708" s="487"/>
      <c r="AF2708" s="577">
        <f t="shared" si="343"/>
        <v>0</v>
      </c>
      <c r="AG2708" s="275">
        <f t="shared" si="344"/>
        <v>0</v>
      </c>
    </row>
    <row r="2709" spans="1:33" ht="12" customHeight="1">
      <c r="A2709" s="744" t="s">
        <v>1274</v>
      </c>
      <c r="B2709" s="703" t="s">
        <v>1799</v>
      </c>
      <c r="C2709" s="700" t="s">
        <v>202</v>
      </c>
      <c r="D2709" s="704"/>
      <c r="E2709" s="705"/>
      <c r="F2709" s="573"/>
      <c r="G2709" s="487"/>
      <c r="H2709" s="573"/>
      <c r="I2709" s="487"/>
      <c r="J2709" s="573"/>
      <c r="K2709" s="487"/>
      <c r="L2709" s="573"/>
      <c r="M2709" s="573"/>
      <c r="N2709" s="456">
        <f t="shared" si="345"/>
        <v>0</v>
      </c>
      <c r="O2709" s="487"/>
      <c r="P2709" s="487"/>
      <c r="Q2709" s="274">
        <f t="shared" si="340"/>
        <v>0</v>
      </c>
      <c r="R2709" s="574">
        <f t="shared" si="341"/>
        <v>0</v>
      </c>
      <c r="S2709" s="275">
        <f t="shared" si="342"/>
        <v>0</v>
      </c>
      <c r="T2709" s="952">
        <v>4112500</v>
      </c>
      <c r="U2709" s="487">
        <v>4112500</v>
      </c>
      <c r="V2709" s="576"/>
      <c r="W2709" s="573"/>
      <c r="X2709" s="574">
        <f t="shared" si="346"/>
        <v>0</v>
      </c>
      <c r="Y2709" s="487"/>
      <c r="Z2709" s="487"/>
      <c r="AA2709" s="276">
        <f t="shared" si="347"/>
        <v>0</v>
      </c>
      <c r="AB2709" s="573"/>
      <c r="AC2709" s="487"/>
      <c r="AD2709" s="573"/>
      <c r="AE2709" s="487"/>
      <c r="AF2709" s="577">
        <f t="shared" si="343"/>
        <v>4112500</v>
      </c>
      <c r="AG2709" s="275">
        <f t="shared" si="344"/>
        <v>4112500</v>
      </c>
    </row>
    <row r="2710" spans="1:33" ht="12" customHeight="1">
      <c r="A2710" s="744" t="s">
        <v>1274</v>
      </c>
      <c r="B2710" s="703" t="s">
        <v>1800</v>
      </c>
      <c r="C2710" s="300" t="s">
        <v>858</v>
      </c>
      <c r="D2710" s="696"/>
      <c r="E2710" s="697"/>
      <c r="F2710" s="573"/>
      <c r="G2710" s="487"/>
      <c r="H2710" s="573"/>
      <c r="I2710" s="487"/>
      <c r="J2710" s="573"/>
      <c r="K2710" s="487"/>
      <c r="L2710" s="573"/>
      <c r="M2710" s="573"/>
      <c r="N2710" s="456">
        <f t="shared" si="345"/>
        <v>0</v>
      </c>
      <c r="O2710" s="487"/>
      <c r="P2710" s="487"/>
      <c r="Q2710" s="274">
        <f t="shared" si="340"/>
        <v>0</v>
      </c>
      <c r="R2710" s="574">
        <f t="shared" si="341"/>
        <v>0</v>
      </c>
      <c r="S2710" s="275">
        <f t="shared" si="342"/>
        <v>0</v>
      </c>
      <c r="T2710" s="575"/>
      <c r="U2710" s="487"/>
      <c r="V2710" s="576"/>
      <c r="W2710" s="573"/>
      <c r="X2710" s="574">
        <f t="shared" si="346"/>
        <v>0</v>
      </c>
      <c r="Y2710" s="487"/>
      <c r="Z2710" s="487"/>
      <c r="AA2710" s="276">
        <f t="shared" si="347"/>
        <v>0</v>
      </c>
      <c r="AB2710" s="573"/>
      <c r="AC2710" s="487"/>
      <c r="AD2710" s="573"/>
      <c r="AE2710" s="487"/>
      <c r="AF2710" s="577">
        <f t="shared" si="343"/>
        <v>0</v>
      </c>
      <c r="AG2710" s="275">
        <f t="shared" si="344"/>
        <v>0</v>
      </c>
    </row>
    <row r="2711" spans="1:33" ht="12" customHeight="1">
      <c r="A2711" s="744" t="s">
        <v>1274</v>
      </c>
      <c r="B2711" s="703" t="s">
        <v>1801</v>
      </c>
      <c r="C2711" s="297" t="s">
        <v>859</v>
      </c>
      <c r="D2711" s="696"/>
      <c r="E2711" s="697"/>
      <c r="F2711" s="573"/>
      <c r="G2711" s="487"/>
      <c r="H2711" s="573"/>
      <c r="I2711" s="487"/>
      <c r="J2711" s="573"/>
      <c r="K2711" s="487"/>
      <c r="L2711" s="573"/>
      <c r="M2711" s="573"/>
      <c r="N2711" s="456">
        <f t="shared" si="345"/>
        <v>0</v>
      </c>
      <c r="O2711" s="487"/>
      <c r="P2711" s="487"/>
      <c r="Q2711" s="274">
        <f t="shared" si="340"/>
        <v>0</v>
      </c>
      <c r="R2711" s="574">
        <f t="shared" si="341"/>
        <v>0</v>
      </c>
      <c r="S2711" s="275">
        <f t="shared" si="342"/>
        <v>0</v>
      </c>
      <c r="T2711" s="575"/>
      <c r="U2711" s="487"/>
      <c r="V2711" s="576"/>
      <c r="W2711" s="573"/>
      <c r="X2711" s="574">
        <f t="shared" si="346"/>
        <v>0</v>
      </c>
      <c r="Y2711" s="487"/>
      <c r="Z2711" s="487"/>
      <c r="AA2711" s="276">
        <f t="shared" si="347"/>
        <v>0</v>
      </c>
      <c r="AB2711" s="573"/>
      <c r="AC2711" s="487"/>
      <c r="AD2711" s="573"/>
      <c r="AE2711" s="487"/>
      <c r="AF2711" s="577">
        <f t="shared" si="343"/>
        <v>0</v>
      </c>
      <c r="AG2711" s="275">
        <f t="shared" si="344"/>
        <v>0</v>
      </c>
    </row>
    <row r="2712" spans="1:33" ht="12" customHeight="1">
      <c r="A2712" s="744" t="s">
        <v>1274</v>
      </c>
      <c r="B2712" s="703" t="s">
        <v>1801</v>
      </c>
      <c r="C2712" s="700" t="s">
        <v>703</v>
      </c>
      <c r="D2712" s="696"/>
      <c r="E2712" s="697"/>
      <c r="F2712" s="573"/>
      <c r="G2712" s="487"/>
      <c r="H2712" s="573"/>
      <c r="I2712" s="487"/>
      <c r="J2712" s="573"/>
      <c r="K2712" s="487"/>
      <c r="L2712" s="573"/>
      <c r="M2712" s="573"/>
      <c r="N2712" s="456">
        <f t="shared" si="345"/>
        <v>0</v>
      </c>
      <c r="O2712" s="487"/>
      <c r="P2712" s="487"/>
      <c r="Q2712" s="274">
        <f t="shared" si="340"/>
        <v>0</v>
      </c>
      <c r="R2712" s="574">
        <f t="shared" si="341"/>
        <v>0</v>
      </c>
      <c r="S2712" s="275">
        <f t="shared" si="342"/>
        <v>0</v>
      </c>
      <c r="T2712" s="1096">
        <v>329997</v>
      </c>
      <c r="U2712" s="487">
        <v>283814</v>
      </c>
      <c r="V2712" s="576"/>
      <c r="W2712" s="573"/>
      <c r="X2712" s="574">
        <f t="shared" si="346"/>
        <v>0</v>
      </c>
      <c r="Y2712" s="487"/>
      <c r="Z2712" s="487"/>
      <c r="AA2712" s="276">
        <f t="shared" si="347"/>
        <v>0</v>
      </c>
      <c r="AB2712" s="573"/>
      <c r="AC2712" s="487"/>
      <c r="AD2712" s="573"/>
      <c r="AE2712" s="487"/>
      <c r="AF2712" s="577">
        <f t="shared" si="343"/>
        <v>329997</v>
      </c>
      <c r="AG2712" s="275">
        <f t="shared" si="344"/>
        <v>283814</v>
      </c>
    </row>
    <row r="2713" spans="1:33" ht="12" customHeight="1">
      <c r="A2713" s="744" t="s">
        <v>1274</v>
      </c>
      <c r="B2713" s="703" t="s">
        <v>1801</v>
      </c>
      <c r="C2713" s="700" t="s">
        <v>704</v>
      </c>
      <c r="D2713" s="696"/>
      <c r="E2713" s="697"/>
      <c r="F2713" s="573"/>
      <c r="G2713" s="487"/>
      <c r="H2713" s="573"/>
      <c r="I2713" s="487"/>
      <c r="J2713" s="573"/>
      <c r="K2713" s="487"/>
      <c r="L2713" s="573"/>
      <c r="M2713" s="573"/>
      <c r="N2713" s="456">
        <f t="shared" si="345"/>
        <v>0</v>
      </c>
      <c r="O2713" s="487"/>
      <c r="P2713" s="487"/>
      <c r="Q2713" s="274">
        <f t="shared" si="340"/>
        <v>0</v>
      </c>
      <c r="R2713" s="574">
        <f t="shared" si="341"/>
        <v>0</v>
      </c>
      <c r="S2713" s="275">
        <f t="shared" si="342"/>
        <v>0</v>
      </c>
      <c r="T2713" s="1096">
        <v>128659</v>
      </c>
      <c r="U2713" s="487">
        <v>153213</v>
      </c>
      <c r="V2713" s="576"/>
      <c r="W2713" s="573"/>
      <c r="X2713" s="574">
        <f t="shared" si="346"/>
        <v>0</v>
      </c>
      <c r="Y2713" s="487"/>
      <c r="Z2713" s="487"/>
      <c r="AA2713" s="276">
        <f t="shared" si="347"/>
        <v>0</v>
      </c>
      <c r="AB2713" s="573"/>
      <c r="AC2713" s="487"/>
      <c r="AD2713" s="573"/>
      <c r="AE2713" s="487"/>
      <c r="AF2713" s="577">
        <f t="shared" si="343"/>
        <v>128659</v>
      </c>
      <c r="AG2713" s="275">
        <f t="shared" si="344"/>
        <v>153213</v>
      </c>
    </row>
    <row r="2714" spans="1:33" ht="12" customHeight="1">
      <c r="A2714" s="744" t="s">
        <v>1274</v>
      </c>
      <c r="B2714" s="703" t="s">
        <v>1802</v>
      </c>
      <c r="C2714" s="297" t="s">
        <v>861</v>
      </c>
      <c r="D2714" s="696"/>
      <c r="E2714" s="697"/>
      <c r="F2714" s="573"/>
      <c r="G2714" s="487"/>
      <c r="H2714" s="573"/>
      <c r="I2714" s="487"/>
      <c r="J2714" s="573"/>
      <c r="K2714" s="487"/>
      <c r="L2714" s="573"/>
      <c r="M2714" s="573"/>
      <c r="N2714" s="456">
        <f t="shared" si="345"/>
        <v>0</v>
      </c>
      <c r="O2714" s="487"/>
      <c r="P2714" s="487"/>
      <c r="Q2714" s="274">
        <f t="shared" si="340"/>
        <v>0</v>
      </c>
      <c r="R2714" s="574">
        <f t="shared" si="341"/>
        <v>0</v>
      </c>
      <c r="S2714" s="275">
        <f t="shared" si="342"/>
        <v>0</v>
      </c>
      <c r="T2714" s="575"/>
      <c r="U2714" s="487"/>
      <c r="V2714" s="576"/>
      <c r="W2714" s="573"/>
      <c r="X2714" s="574">
        <f t="shared" si="346"/>
        <v>0</v>
      </c>
      <c r="Y2714" s="487"/>
      <c r="Z2714" s="487"/>
      <c r="AA2714" s="276">
        <f t="shared" si="347"/>
        <v>0</v>
      </c>
      <c r="AB2714" s="573"/>
      <c r="AC2714" s="487"/>
      <c r="AD2714" s="573"/>
      <c r="AE2714" s="487"/>
      <c r="AF2714" s="577">
        <f t="shared" si="343"/>
        <v>0</v>
      </c>
      <c r="AG2714" s="275">
        <f t="shared" si="344"/>
        <v>0</v>
      </c>
    </row>
    <row r="2715" spans="1:33" ht="12" customHeight="1">
      <c r="A2715" s="744" t="s">
        <v>1274</v>
      </c>
      <c r="B2715" s="703" t="s">
        <v>1802</v>
      </c>
      <c r="C2715" s="700" t="s">
        <v>1255</v>
      </c>
      <c r="D2715" s="696"/>
      <c r="E2715" s="697"/>
      <c r="F2715" s="573"/>
      <c r="G2715" s="487"/>
      <c r="H2715" s="573"/>
      <c r="I2715" s="487"/>
      <c r="J2715" s="573"/>
      <c r="K2715" s="487"/>
      <c r="L2715" s="573"/>
      <c r="M2715" s="573"/>
      <c r="N2715" s="456">
        <f t="shared" si="345"/>
        <v>0</v>
      </c>
      <c r="O2715" s="487"/>
      <c r="P2715" s="487"/>
      <c r="Q2715" s="274">
        <f t="shared" si="340"/>
        <v>0</v>
      </c>
      <c r="R2715" s="574">
        <f t="shared" si="341"/>
        <v>0</v>
      </c>
      <c r="S2715" s="275">
        <f t="shared" si="342"/>
        <v>0</v>
      </c>
      <c r="T2715" s="1096">
        <v>0</v>
      </c>
      <c r="U2715" s="487">
        <v>0</v>
      </c>
      <c r="V2715" s="576"/>
      <c r="W2715" s="573"/>
      <c r="X2715" s="574">
        <f t="shared" si="346"/>
        <v>0</v>
      </c>
      <c r="Y2715" s="487"/>
      <c r="Z2715" s="487"/>
      <c r="AA2715" s="276">
        <f t="shared" si="347"/>
        <v>0</v>
      </c>
      <c r="AB2715" s="573"/>
      <c r="AC2715" s="487"/>
      <c r="AD2715" s="573"/>
      <c r="AE2715" s="487"/>
      <c r="AF2715" s="577">
        <f t="shared" si="343"/>
        <v>0</v>
      </c>
      <c r="AG2715" s="275">
        <f t="shared" si="344"/>
        <v>0</v>
      </c>
    </row>
    <row r="2716" spans="1:33" ht="12" customHeight="1">
      <c r="A2716" s="744" t="s">
        <v>1274</v>
      </c>
      <c r="B2716" s="703" t="s">
        <v>1802</v>
      </c>
      <c r="C2716" s="700" t="s">
        <v>526</v>
      </c>
      <c r="D2716" s="696"/>
      <c r="E2716" s="697"/>
      <c r="F2716" s="573"/>
      <c r="G2716" s="487"/>
      <c r="H2716" s="573"/>
      <c r="I2716" s="487"/>
      <c r="J2716" s="573"/>
      <c r="K2716" s="487"/>
      <c r="L2716" s="573"/>
      <c r="M2716" s="573"/>
      <c r="N2716" s="456">
        <f t="shared" si="345"/>
        <v>0</v>
      </c>
      <c r="O2716" s="487"/>
      <c r="P2716" s="487"/>
      <c r="Q2716" s="274">
        <f t="shared" si="340"/>
        <v>0</v>
      </c>
      <c r="R2716" s="574">
        <f t="shared" si="341"/>
        <v>0</v>
      </c>
      <c r="S2716" s="275">
        <f t="shared" si="342"/>
        <v>0</v>
      </c>
      <c r="T2716" s="1096">
        <v>77196</v>
      </c>
      <c r="U2716" s="487">
        <v>89374</v>
      </c>
      <c r="V2716" s="576"/>
      <c r="W2716" s="573"/>
      <c r="X2716" s="574">
        <f t="shared" si="346"/>
        <v>0</v>
      </c>
      <c r="Y2716" s="487"/>
      <c r="Z2716" s="487"/>
      <c r="AA2716" s="276">
        <f t="shared" si="347"/>
        <v>0</v>
      </c>
      <c r="AB2716" s="573"/>
      <c r="AC2716" s="487"/>
      <c r="AD2716" s="573"/>
      <c r="AE2716" s="487"/>
      <c r="AF2716" s="577">
        <f t="shared" si="343"/>
        <v>77196</v>
      </c>
      <c r="AG2716" s="275">
        <f t="shared" si="344"/>
        <v>89374</v>
      </c>
    </row>
    <row r="2717" spans="1:33" ht="12" customHeight="1">
      <c r="A2717" s="744" t="s">
        <v>1274</v>
      </c>
      <c r="B2717" s="703" t="s">
        <v>1802</v>
      </c>
      <c r="C2717" s="700" t="s">
        <v>705</v>
      </c>
      <c r="D2717" s="696"/>
      <c r="E2717" s="697"/>
      <c r="F2717" s="573"/>
      <c r="G2717" s="487"/>
      <c r="H2717" s="573"/>
      <c r="I2717" s="487"/>
      <c r="J2717" s="573"/>
      <c r="K2717" s="487"/>
      <c r="L2717" s="573"/>
      <c r="M2717" s="573"/>
      <c r="N2717" s="456">
        <f t="shared" si="345"/>
        <v>0</v>
      </c>
      <c r="O2717" s="487"/>
      <c r="P2717" s="487"/>
      <c r="Q2717" s="274">
        <f t="shared" si="340"/>
        <v>0</v>
      </c>
      <c r="R2717" s="574">
        <f t="shared" si="341"/>
        <v>0</v>
      </c>
      <c r="S2717" s="275">
        <f t="shared" si="342"/>
        <v>0</v>
      </c>
      <c r="T2717" s="1096">
        <v>1473986</v>
      </c>
      <c r="U2717" s="487">
        <v>1419069</v>
      </c>
      <c r="V2717" s="576"/>
      <c r="W2717" s="573"/>
      <c r="X2717" s="574">
        <f t="shared" si="346"/>
        <v>0</v>
      </c>
      <c r="Y2717" s="487"/>
      <c r="Z2717" s="487"/>
      <c r="AA2717" s="276">
        <f t="shared" si="347"/>
        <v>0</v>
      </c>
      <c r="AB2717" s="573"/>
      <c r="AC2717" s="487"/>
      <c r="AD2717" s="573"/>
      <c r="AE2717" s="487"/>
      <c r="AF2717" s="577">
        <f t="shared" si="343"/>
        <v>1473986</v>
      </c>
      <c r="AG2717" s="275">
        <f t="shared" si="344"/>
        <v>1419069</v>
      </c>
    </row>
    <row r="2718" spans="1:33" ht="12" customHeight="1">
      <c r="A2718" s="744" t="s">
        <v>1274</v>
      </c>
      <c r="B2718" s="703" t="s">
        <v>1802</v>
      </c>
      <c r="C2718" s="700" t="s">
        <v>1878</v>
      </c>
      <c r="D2718" s="696"/>
      <c r="E2718" s="697"/>
      <c r="F2718" s="573"/>
      <c r="G2718" s="487"/>
      <c r="H2718" s="573"/>
      <c r="I2718" s="487"/>
      <c r="J2718" s="573"/>
      <c r="K2718" s="487"/>
      <c r="L2718" s="573"/>
      <c r="M2718" s="573"/>
      <c r="N2718" s="456">
        <f t="shared" si="345"/>
        <v>0</v>
      </c>
      <c r="O2718" s="487"/>
      <c r="P2718" s="487"/>
      <c r="Q2718" s="274">
        <f t="shared" si="340"/>
        <v>0</v>
      </c>
      <c r="R2718" s="574">
        <f t="shared" si="341"/>
        <v>0</v>
      </c>
      <c r="S2718" s="275">
        <f t="shared" si="342"/>
        <v>0</v>
      </c>
      <c r="T2718" s="1096">
        <v>373996</v>
      </c>
      <c r="U2718" s="487">
        <v>436637</v>
      </c>
      <c r="V2718" s="576"/>
      <c r="W2718" s="573"/>
      <c r="X2718" s="574">
        <f t="shared" si="346"/>
        <v>0</v>
      </c>
      <c r="Y2718" s="487"/>
      <c r="Z2718" s="487"/>
      <c r="AA2718" s="276">
        <f t="shared" si="347"/>
        <v>0</v>
      </c>
      <c r="AB2718" s="573"/>
      <c r="AC2718" s="487"/>
      <c r="AD2718" s="573"/>
      <c r="AE2718" s="487"/>
      <c r="AF2718" s="577">
        <f t="shared" si="343"/>
        <v>373996</v>
      </c>
      <c r="AG2718" s="275">
        <f t="shared" si="344"/>
        <v>436637</v>
      </c>
    </row>
    <row r="2719" spans="1:33" ht="12" customHeight="1">
      <c r="A2719" s="744" t="s">
        <v>1274</v>
      </c>
      <c r="B2719" s="703" t="s">
        <v>1802</v>
      </c>
      <c r="C2719" s="700" t="s">
        <v>54</v>
      </c>
      <c r="D2719" s="696"/>
      <c r="E2719" s="697"/>
      <c r="F2719" s="573"/>
      <c r="G2719" s="487"/>
      <c r="H2719" s="573"/>
      <c r="I2719" s="487"/>
      <c r="J2719" s="573"/>
      <c r="K2719" s="487"/>
      <c r="L2719" s="573"/>
      <c r="M2719" s="573"/>
      <c r="N2719" s="456">
        <f t="shared" si="345"/>
        <v>0</v>
      </c>
      <c r="O2719" s="487"/>
      <c r="P2719" s="487"/>
      <c r="Q2719" s="274">
        <f t="shared" si="340"/>
        <v>0</v>
      </c>
      <c r="R2719" s="574">
        <f t="shared" si="341"/>
        <v>0</v>
      </c>
      <c r="S2719" s="275">
        <f t="shared" si="342"/>
        <v>0</v>
      </c>
      <c r="T2719" s="575"/>
      <c r="U2719" s="487"/>
      <c r="V2719" s="576"/>
      <c r="W2719" s="573"/>
      <c r="X2719" s="574">
        <f t="shared" si="346"/>
        <v>0</v>
      </c>
      <c r="Y2719" s="487"/>
      <c r="Z2719" s="487"/>
      <c r="AA2719" s="276">
        <f t="shared" si="347"/>
        <v>0</v>
      </c>
      <c r="AB2719" s="573"/>
      <c r="AC2719" s="487"/>
      <c r="AD2719" s="573"/>
      <c r="AE2719" s="487"/>
      <c r="AF2719" s="577">
        <f t="shared" si="343"/>
        <v>0</v>
      </c>
      <c r="AG2719" s="275">
        <f t="shared" si="344"/>
        <v>0</v>
      </c>
    </row>
    <row r="2720" spans="1:33" ht="12" customHeight="1">
      <c r="A2720" s="744" t="s">
        <v>1274</v>
      </c>
      <c r="B2720" s="703" t="s">
        <v>1803</v>
      </c>
      <c r="C2720" s="297" t="s">
        <v>954</v>
      </c>
      <c r="D2720" s="696"/>
      <c r="E2720" s="697"/>
      <c r="F2720" s="573"/>
      <c r="G2720" s="487"/>
      <c r="H2720" s="573"/>
      <c r="I2720" s="487"/>
      <c r="J2720" s="573"/>
      <c r="K2720" s="487"/>
      <c r="L2720" s="573"/>
      <c r="M2720" s="573"/>
      <c r="N2720" s="456">
        <f t="shared" si="345"/>
        <v>0</v>
      </c>
      <c r="O2720" s="487"/>
      <c r="P2720" s="487"/>
      <c r="Q2720" s="274">
        <f t="shared" si="340"/>
        <v>0</v>
      </c>
      <c r="R2720" s="574">
        <f t="shared" si="341"/>
        <v>0</v>
      </c>
      <c r="S2720" s="275">
        <f t="shared" si="342"/>
        <v>0</v>
      </c>
      <c r="T2720" s="575"/>
      <c r="U2720" s="487"/>
      <c r="V2720" s="576"/>
      <c r="W2720" s="573"/>
      <c r="X2720" s="574">
        <f t="shared" si="346"/>
        <v>0</v>
      </c>
      <c r="Y2720" s="487"/>
      <c r="Z2720" s="487"/>
      <c r="AA2720" s="276">
        <f t="shared" si="347"/>
        <v>0</v>
      </c>
      <c r="AB2720" s="573"/>
      <c r="AC2720" s="487"/>
      <c r="AD2720" s="573"/>
      <c r="AE2720" s="487"/>
      <c r="AF2720" s="577">
        <f t="shared" si="343"/>
        <v>0</v>
      </c>
      <c r="AG2720" s="275">
        <f t="shared" si="344"/>
        <v>0</v>
      </c>
    </row>
    <row r="2721" spans="1:33" ht="12" customHeight="1">
      <c r="A2721" s="744" t="s">
        <v>1274</v>
      </c>
      <c r="B2721" s="703" t="s">
        <v>1803</v>
      </c>
      <c r="C2721" s="747" t="s">
        <v>1256</v>
      </c>
      <c r="D2721" s="746"/>
      <c r="E2721" s="697"/>
      <c r="F2721" s="518"/>
      <c r="G2721" s="487"/>
      <c r="H2721" s="573"/>
      <c r="I2721" s="487"/>
      <c r="J2721" s="573"/>
      <c r="K2721" s="487"/>
      <c r="L2721" s="573"/>
      <c r="M2721" s="573"/>
      <c r="N2721" s="456">
        <f t="shared" si="345"/>
        <v>0</v>
      </c>
      <c r="O2721" s="487"/>
      <c r="P2721" s="487"/>
      <c r="Q2721" s="274">
        <f t="shared" si="340"/>
        <v>0</v>
      </c>
      <c r="R2721" s="574">
        <f t="shared" si="341"/>
        <v>0</v>
      </c>
      <c r="S2721" s="275">
        <f t="shared" si="342"/>
        <v>0</v>
      </c>
      <c r="T2721" s="518">
        <v>294640</v>
      </c>
      <c r="U2721" s="487">
        <v>292391</v>
      </c>
      <c r="V2721" s="576"/>
      <c r="W2721" s="573"/>
      <c r="X2721" s="574">
        <f t="shared" si="346"/>
        <v>0</v>
      </c>
      <c r="Y2721" s="487"/>
      <c r="Z2721" s="487"/>
      <c r="AA2721" s="276">
        <f t="shared" si="347"/>
        <v>0</v>
      </c>
      <c r="AB2721" s="573"/>
      <c r="AC2721" s="487"/>
      <c r="AD2721" s="573"/>
      <c r="AE2721" s="487"/>
      <c r="AF2721" s="577">
        <f t="shared" si="343"/>
        <v>294640</v>
      </c>
      <c r="AG2721" s="275">
        <f t="shared" si="344"/>
        <v>292391</v>
      </c>
    </row>
    <row r="2722" spans="1:33" ht="12" customHeight="1">
      <c r="A2722" s="744" t="s">
        <v>1274</v>
      </c>
      <c r="B2722" s="703" t="s">
        <v>1803</v>
      </c>
      <c r="C2722" s="747" t="s">
        <v>53</v>
      </c>
      <c r="D2722" s="746"/>
      <c r="E2722" s="697"/>
      <c r="F2722" s="518"/>
      <c r="G2722" s="487"/>
      <c r="H2722" s="573"/>
      <c r="I2722" s="487"/>
      <c r="J2722" s="573"/>
      <c r="K2722" s="487"/>
      <c r="L2722" s="573"/>
      <c r="M2722" s="573"/>
      <c r="N2722" s="456">
        <f t="shared" si="345"/>
        <v>0</v>
      </c>
      <c r="O2722" s="487"/>
      <c r="P2722" s="487"/>
      <c r="Q2722" s="274">
        <f t="shared" si="340"/>
        <v>0</v>
      </c>
      <c r="R2722" s="574">
        <f t="shared" si="341"/>
        <v>0</v>
      </c>
      <c r="S2722" s="275">
        <f t="shared" si="342"/>
        <v>0</v>
      </c>
      <c r="T2722" s="518">
        <v>10274</v>
      </c>
      <c r="U2722" s="487">
        <v>8142</v>
      </c>
      <c r="V2722" s="576"/>
      <c r="W2722" s="573"/>
      <c r="X2722" s="574">
        <f t="shared" si="346"/>
        <v>0</v>
      </c>
      <c r="Y2722" s="487"/>
      <c r="Z2722" s="487"/>
      <c r="AA2722" s="276">
        <f t="shared" si="347"/>
        <v>0</v>
      </c>
      <c r="AB2722" s="573"/>
      <c r="AC2722" s="487"/>
      <c r="AD2722" s="573"/>
      <c r="AE2722" s="487"/>
      <c r="AF2722" s="577">
        <f t="shared" si="343"/>
        <v>10274</v>
      </c>
      <c r="AG2722" s="275">
        <f t="shared" si="344"/>
        <v>8142</v>
      </c>
    </row>
    <row r="2723" spans="1:33" ht="12" customHeight="1">
      <c r="A2723" s="744" t="s">
        <v>1274</v>
      </c>
      <c r="B2723" s="703" t="s">
        <v>1804</v>
      </c>
      <c r="C2723" s="300" t="s">
        <v>418</v>
      </c>
      <c r="D2723" s="696"/>
      <c r="E2723" s="697"/>
      <c r="F2723" s="573"/>
      <c r="G2723" s="487"/>
      <c r="H2723" s="573"/>
      <c r="I2723" s="487"/>
      <c r="J2723" s="573"/>
      <c r="K2723" s="487"/>
      <c r="L2723" s="573"/>
      <c r="M2723" s="573"/>
      <c r="N2723" s="456">
        <f t="shared" si="345"/>
        <v>0</v>
      </c>
      <c r="O2723" s="487"/>
      <c r="P2723" s="487"/>
      <c r="Q2723" s="274">
        <f t="shared" si="340"/>
        <v>0</v>
      </c>
      <c r="R2723" s="574">
        <f t="shared" si="341"/>
        <v>0</v>
      </c>
      <c r="S2723" s="275">
        <f t="shared" si="342"/>
        <v>0</v>
      </c>
      <c r="T2723" s="575"/>
      <c r="U2723" s="487"/>
      <c r="V2723" s="576"/>
      <c r="W2723" s="573"/>
      <c r="X2723" s="574">
        <f t="shared" si="346"/>
        <v>0</v>
      </c>
      <c r="Y2723" s="487"/>
      <c r="Z2723" s="487"/>
      <c r="AA2723" s="276">
        <f t="shared" si="347"/>
        <v>0</v>
      </c>
      <c r="AB2723" s="573"/>
      <c r="AC2723" s="487"/>
      <c r="AD2723" s="573"/>
      <c r="AE2723" s="487"/>
      <c r="AF2723" s="577">
        <f t="shared" si="343"/>
        <v>0</v>
      </c>
      <c r="AG2723" s="275">
        <f t="shared" si="344"/>
        <v>0</v>
      </c>
    </row>
    <row r="2724" spans="1:33" ht="12" customHeight="1">
      <c r="A2724" s="744" t="s">
        <v>1274</v>
      </c>
      <c r="B2724" s="703" t="s">
        <v>1805</v>
      </c>
      <c r="C2724" s="488" t="s">
        <v>419</v>
      </c>
      <c r="D2724" s="696"/>
      <c r="E2724" s="697"/>
      <c r="F2724" s="573"/>
      <c r="G2724" s="487"/>
      <c r="H2724" s="573"/>
      <c r="I2724" s="487"/>
      <c r="J2724" s="573"/>
      <c r="K2724" s="487"/>
      <c r="L2724" s="573"/>
      <c r="M2724" s="573"/>
      <c r="N2724" s="456">
        <f t="shared" si="345"/>
        <v>0</v>
      </c>
      <c r="O2724" s="487"/>
      <c r="P2724" s="487"/>
      <c r="Q2724" s="274">
        <f t="shared" si="340"/>
        <v>0</v>
      </c>
      <c r="R2724" s="574">
        <f t="shared" si="341"/>
        <v>0</v>
      </c>
      <c r="S2724" s="275">
        <f t="shared" si="342"/>
        <v>0</v>
      </c>
      <c r="T2724" s="575"/>
      <c r="U2724" s="487"/>
      <c r="V2724" s="576"/>
      <c r="W2724" s="573"/>
      <c r="X2724" s="574">
        <f t="shared" si="346"/>
        <v>0</v>
      </c>
      <c r="Y2724" s="487"/>
      <c r="Z2724" s="487"/>
      <c r="AA2724" s="276">
        <f t="shared" si="347"/>
        <v>0</v>
      </c>
      <c r="AB2724" s="573"/>
      <c r="AC2724" s="487"/>
      <c r="AD2724" s="573"/>
      <c r="AE2724" s="487"/>
      <c r="AF2724" s="577">
        <f t="shared" si="343"/>
        <v>0</v>
      </c>
      <c r="AG2724" s="275">
        <f t="shared" si="344"/>
        <v>0</v>
      </c>
    </row>
    <row r="2725" spans="1:33" ht="12" customHeight="1">
      <c r="A2725" s="744" t="s">
        <v>1274</v>
      </c>
      <c r="B2725" s="703" t="s">
        <v>1805</v>
      </c>
      <c r="C2725" s="301" t="s">
        <v>55</v>
      </c>
      <c r="D2725" s="696"/>
      <c r="E2725" s="697"/>
      <c r="F2725" s="573"/>
      <c r="G2725" s="487"/>
      <c r="H2725" s="573"/>
      <c r="I2725" s="487"/>
      <c r="J2725" s="573"/>
      <c r="K2725" s="487"/>
      <c r="L2725" s="573"/>
      <c r="M2725" s="573"/>
      <c r="N2725" s="456">
        <f t="shared" si="345"/>
        <v>0</v>
      </c>
      <c r="O2725" s="487"/>
      <c r="P2725" s="487"/>
      <c r="Q2725" s="274">
        <f t="shared" si="340"/>
        <v>0</v>
      </c>
      <c r="R2725" s="574">
        <f t="shared" si="341"/>
        <v>0</v>
      </c>
      <c r="S2725" s="275">
        <f t="shared" si="342"/>
        <v>0</v>
      </c>
      <c r="T2725" s="575"/>
      <c r="U2725" s="487"/>
      <c r="V2725" s="576"/>
      <c r="W2725" s="573"/>
      <c r="X2725" s="574">
        <f t="shared" si="346"/>
        <v>0</v>
      </c>
      <c r="Y2725" s="487"/>
      <c r="Z2725" s="487"/>
      <c r="AA2725" s="276">
        <f t="shared" si="347"/>
        <v>0</v>
      </c>
      <c r="AB2725" s="573"/>
      <c r="AC2725" s="487"/>
      <c r="AD2725" s="573"/>
      <c r="AE2725" s="487"/>
      <c r="AF2725" s="577">
        <f t="shared" si="343"/>
        <v>0</v>
      </c>
      <c r="AG2725" s="275">
        <f t="shared" si="344"/>
        <v>0</v>
      </c>
    </row>
    <row r="2726" spans="1:33" ht="12" customHeight="1">
      <c r="A2726" s="744" t="s">
        <v>1274</v>
      </c>
      <c r="B2726" s="701" t="s">
        <v>1510</v>
      </c>
      <c r="C2726" s="702" t="s">
        <v>421</v>
      </c>
      <c r="D2726" s="704"/>
      <c r="E2726" s="705"/>
      <c r="F2726" s="573"/>
      <c r="G2726" s="487"/>
      <c r="H2726" s="573"/>
      <c r="I2726" s="487"/>
      <c r="J2726" s="573"/>
      <c r="K2726" s="487"/>
      <c r="L2726" s="573"/>
      <c r="M2726" s="573"/>
      <c r="N2726" s="456">
        <f t="shared" si="345"/>
        <v>0</v>
      </c>
      <c r="O2726" s="487"/>
      <c r="P2726" s="487"/>
      <c r="Q2726" s="274">
        <f t="shared" si="340"/>
        <v>0</v>
      </c>
      <c r="R2726" s="574">
        <f t="shared" si="341"/>
        <v>0</v>
      </c>
      <c r="S2726" s="275">
        <f t="shared" si="342"/>
        <v>0</v>
      </c>
      <c r="T2726" s="518">
        <v>0</v>
      </c>
      <c r="U2726" s="487"/>
      <c r="V2726" s="576"/>
      <c r="W2726" s="573"/>
      <c r="X2726" s="574">
        <f t="shared" si="346"/>
        <v>0</v>
      </c>
      <c r="Y2726" s="487"/>
      <c r="Z2726" s="487"/>
      <c r="AA2726" s="276">
        <f t="shared" si="347"/>
        <v>0</v>
      </c>
      <c r="AB2726" s="573"/>
      <c r="AC2726" s="487"/>
      <c r="AD2726" s="573"/>
      <c r="AE2726" s="487"/>
      <c r="AF2726" s="577">
        <f t="shared" si="343"/>
        <v>0</v>
      </c>
      <c r="AG2726" s="275">
        <f t="shared" si="344"/>
        <v>0</v>
      </c>
    </row>
    <row r="2727" spans="1:33" ht="12" customHeight="1">
      <c r="A2727" s="744" t="s">
        <v>1274</v>
      </c>
      <c r="B2727" s="701" t="s">
        <v>1511</v>
      </c>
      <c r="C2727" s="702" t="s">
        <v>1883</v>
      </c>
      <c r="D2727" s="704"/>
      <c r="E2727" s="705"/>
      <c r="F2727" s="573"/>
      <c r="G2727" s="487"/>
      <c r="H2727" s="573"/>
      <c r="I2727" s="487"/>
      <c r="J2727" s="573"/>
      <c r="K2727" s="487"/>
      <c r="L2727" s="573"/>
      <c r="M2727" s="573"/>
      <c r="N2727" s="456">
        <f t="shared" si="345"/>
        <v>0</v>
      </c>
      <c r="O2727" s="487"/>
      <c r="P2727" s="487"/>
      <c r="Q2727" s="274">
        <f t="shared" si="340"/>
        <v>0</v>
      </c>
      <c r="R2727" s="574">
        <f t="shared" si="341"/>
        <v>0</v>
      </c>
      <c r="S2727" s="275">
        <f t="shared" si="342"/>
        <v>0</v>
      </c>
      <c r="T2727" s="518"/>
      <c r="U2727" s="487"/>
      <c r="V2727" s="576"/>
      <c r="W2727" s="573"/>
      <c r="X2727" s="574">
        <f t="shared" si="346"/>
        <v>0</v>
      </c>
      <c r="Y2727" s="487"/>
      <c r="Z2727" s="487"/>
      <c r="AA2727" s="276">
        <f t="shared" si="347"/>
        <v>0</v>
      </c>
      <c r="AB2727" s="573"/>
      <c r="AC2727" s="487"/>
      <c r="AD2727" s="573"/>
      <c r="AE2727" s="487"/>
      <c r="AF2727" s="577">
        <f t="shared" si="343"/>
        <v>0</v>
      </c>
      <c r="AG2727" s="275">
        <f t="shared" si="344"/>
        <v>0</v>
      </c>
    </row>
    <row r="2728" spans="1:33" ht="12" customHeight="1">
      <c r="A2728" s="744" t="s">
        <v>1274</v>
      </c>
      <c r="B2728" s="701" t="s">
        <v>1412</v>
      </c>
      <c r="C2728" s="702" t="s">
        <v>1761</v>
      </c>
      <c r="D2728" s="704"/>
      <c r="E2728" s="705"/>
      <c r="F2728" s="573"/>
      <c r="G2728" s="487"/>
      <c r="H2728" s="573"/>
      <c r="I2728" s="487"/>
      <c r="J2728" s="573"/>
      <c r="K2728" s="487"/>
      <c r="L2728" s="573"/>
      <c r="M2728" s="573"/>
      <c r="N2728" s="456">
        <f t="shared" si="345"/>
        <v>0</v>
      </c>
      <c r="O2728" s="487"/>
      <c r="P2728" s="487"/>
      <c r="Q2728" s="274">
        <f t="shared" si="340"/>
        <v>0</v>
      </c>
      <c r="R2728" s="574">
        <f t="shared" si="341"/>
        <v>0</v>
      </c>
      <c r="S2728" s="275">
        <f t="shared" si="342"/>
        <v>0</v>
      </c>
      <c r="T2728" s="573">
        <v>121150108</v>
      </c>
      <c r="U2728" s="487">
        <v>128330948</v>
      </c>
      <c r="V2728" s="576"/>
      <c r="W2728" s="573"/>
      <c r="X2728" s="574">
        <f t="shared" si="346"/>
        <v>0</v>
      </c>
      <c r="Y2728" s="487"/>
      <c r="Z2728" s="487"/>
      <c r="AA2728" s="276">
        <f t="shared" si="347"/>
        <v>0</v>
      </c>
      <c r="AB2728" s="573"/>
      <c r="AC2728" s="487"/>
      <c r="AD2728" s="573"/>
      <c r="AE2728" s="487"/>
      <c r="AF2728" s="577">
        <f t="shared" si="343"/>
        <v>121150108</v>
      </c>
      <c r="AG2728" s="275">
        <f t="shared" si="344"/>
        <v>128330948</v>
      </c>
    </row>
    <row r="2729" spans="1:33" ht="12" customHeight="1">
      <c r="A2729" s="744" t="s">
        <v>1274</v>
      </c>
      <c r="B2729" s="701" t="s">
        <v>1413</v>
      </c>
      <c r="C2729" s="702" t="s">
        <v>422</v>
      </c>
      <c r="D2729" s="704"/>
      <c r="E2729" s="705"/>
      <c r="F2729" s="573"/>
      <c r="G2729" s="487"/>
      <c r="H2729" s="573"/>
      <c r="I2729" s="487"/>
      <c r="J2729" s="573"/>
      <c r="K2729" s="487"/>
      <c r="L2729" s="573"/>
      <c r="M2729" s="573"/>
      <c r="N2729" s="456">
        <f t="shared" si="345"/>
        <v>0</v>
      </c>
      <c r="O2729" s="487"/>
      <c r="P2729" s="487"/>
      <c r="Q2729" s="274">
        <f t="shared" si="340"/>
        <v>0</v>
      </c>
      <c r="R2729" s="574">
        <f t="shared" si="341"/>
        <v>0</v>
      </c>
      <c r="S2729" s="275">
        <f t="shared" si="342"/>
        <v>0</v>
      </c>
      <c r="T2729" s="518">
        <v>0</v>
      </c>
      <c r="U2729" s="487"/>
      <c r="V2729" s="576"/>
      <c r="W2729" s="573"/>
      <c r="X2729" s="574">
        <f t="shared" si="346"/>
        <v>0</v>
      </c>
      <c r="Y2729" s="487"/>
      <c r="Z2729" s="487"/>
      <c r="AA2729" s="276">
        <f t="shared" si="347"/>
        <v>0</v>
      </c>
      <c r="AB2729" s="573"/>
      <c r="AC2729" s="487"/>
      <c r="AD2729" s="573"/>
      <c r="AE2729" s="487"/>
      <c r="AF2729" s="577">
        <f t="shared" si="343"/>
        <v>0</v>
      </c>
      <c r="AG2729" s="275">
        <f t="shared" si="344"/>
        <v>0</v>
      </c>
    </row>
    <row r="2730" spans="1:33" ht="12" customHeight="1">
      <c r="A2730" s="744" t="s">
        <v>1274</v>
      </c>
      <c r="B2730" s="701" t="s">
        <v>1582</v>
      </c>
      <c r="C2730" s="702" t="s">
        <v>1883</v>
      </c>
      <c r="D2730" s="704"/>
      <c r="E2730" s="705"/>
      <c r="F2730" s="573"/>
      <c r="G2730" s="487"/>
      <c r="H2730" s="573"/>
      <c r="I2730" s="487"/>
      <c r="J2730" s="573"/>
      <c r="K2730" s="487"/>
      <c r="L2730" s="573"/>
      <c r="M2730" s="573"/>
      <c r="N2730" s="456">
        <f t="shared" si="345"/>
        <v>0</v>
      </c>
      <c r="O2730" s="487"/>
      <c r="P2730" s="487"/>
      <c r="Q2730" s="274">
        <f t="shared" si="340"/>
        <v>0</v>
      </c>
      <c r="R2730" s="574">
        <f t="shared" si="341"/>
        <v>0</v>
      </c>
      <c r="S2730" s="275">
        <f t="shared" si="342"/>
        <v>0</v>
      </c>
      <c r="T2730" s="518"/>
      <c r="U2730" s="487"/>
      <c r="V2730" s="576"/>
      <c r="W2730" s="573"/>
      <c r="X2730" s="574">
        <f t="shared" si="346"/>
        <v>0</v>
      </c>
      <c r="Y2730" s="487"/>
      <c r="Z2730" s="487"/>
      <c r="AA2730" s="276">
        <f t="shared" si="347"/>
        <v>0</v>
      </c>
      <c r="AB2730" s="573"/>
      <c r="AC2730" s="487"/>
      <c r="AD2730" s="573"/>
      <c r="AE2730" s="487"/>
      <c r="AF2730" s="577">
        <f t="shared" si="343"/>
        <v>0</v>
      </c>
      <c r="AG2730" s="275">
        <f t="shared" si="344"/>
        <v>0</v>
      </c>
    </row>
    <row r="2731" spans="1:33" ht="12" customHeight="1">
      <c r="A2731" s="744" t="s">
        <v>1274</v>
      </c>
      <c r="B2731" s="701" t="s">
        <v>1583</v>
      </c>
      <c r="C2731" s="702" t="s">
        <v>1761</v>
      </c>
      <c r="D2731" s="704"/>
      <c r="E2731" s="705"/>
      <c r="F2731" s="573"/>
      <c r="G2731" s="487"/>
      <c r="H2731" s="573"/>
      <c r="I2731" s="487"/>
      <c r="J2731" s="573"/>
      <c r="K2731" s="487"/>
      <c r="L2731" s="573"/>
      <c r="M2731" s="573"/>
      <c r="N2731" s="456">
        <f t="shared" si="345"/>
        <v>0</v>
      </c>
      <c r="O2731" s="487"/>
      <c r="P2731" s="487"/>
      <c r="Q2731" s="274">
        <f t="shared" si="340"/>
        <v>0</v>
      </c>
      <c r="R2731" s="574">
        <f t="shared" si="341"/>
        <v>0</v>
      </c>
      <c r="S2731" s="275">
        <f t="shared" si="342"/>
        <v>0</v>
      </c>
      <c r="T2731" s="573">
        <v>26577434</v>
      </c>
      <c r="U2731" s="487">
        <v>27958041</v>
      </c>
      <c r="V2731" s="576"/>
      <c r="W2731" s="573"/>
      <c r="X2731" s="574">
        <f t="shared" si="346"/>
        <v>0</v>
      </c>
      <c r="Y2731" s="487"/>
      <c r="Z2731" s="487"/>
      <c r="AA2731" s="276">
        <f t="shared" si="347"/>
        <v>0</v>
      </c>
      <c r="AB2731" s="573"/>
      <c r="AC2731" s="487"/>
      <c r="AD2731" s="573"/>
      <c r="AE2731" s="487"/>
      <c r="AF2731" s="577">
        <f t="shared" si="343"/>
        <v>26577434</v>
      </c>
      <c r="AG2731" s="275">
        <f t="shared" si="344"/>
        <v>27958041</v>
      </c>
    </row>
    <row r="2732" spans="1:33" ht="12" customHeight="1">
      <c r="A2732" s="744" t="s">
        <v>1274</v>
      </c>
      <c r="B2732" s="703" t="s">
        <v>1805</v>
      </c>
      <c r="C2732" s="301" t="s">
        <v>56</v>
      </c>
      <c r="D2732" s="696"/>
      <c r="E2732" s="697"/>
      <c r="F2732" s="573"/>
      <c r="G2732" s="487"/>
      <c r="H2732" s="573"/>
      <c r="I2732" s="487"/>
      <c r="J2732" s="573"/>
      <c r="K2732" s="487"/>
      <c r="L2732" s="573"/>
      <c r="M2732" s="573"/>
      <c r="N2732" s="456">
        <f t="shared" si="345"/>
        <v>0</v>
      </c>
      <c r="O2732" s="487"/>
      <c r="P2732" s="487"/>
      <c r="Q2732" s="274">
        <f t="shared" si="340"/>
        <v>0</v>
      </c>
      <c r="R2732" s="574">
        <f t="shared" si="341"/>
        <v>0</v>
      </c>
      <c r="S2732" s="275">
        <f t="shared" si="342"/>
        <v>0</v>
      </c>
      <c r="T2732" s="518"/>
      <c r="U2732" s="487"/>
      <c r="V2732" s="576"/>
      <c r="W2732" s="573"/>
      <c r="X2732" s="574">
        <f t="shared" si="346"/>
        <v>0</v>
      </c>
      <c r="Y2732" s="487"/>
      <c r="Z2732" s="487"/>
      <c r="AA2732" s="276">
        <f t="shared" si="347"/>
        <v>0</v>
      </c>
      <c r="AB2732" s="573"/>
      <c r="AC2732" s="487"/>
      <c r="AD2732" s="573"/>
      <c r="AE2732" s="487"/>
      <c r="AF2732" s="577">
        <f t="shared" si="343"/>
        <v>0</v>
      </c>
      <c r="AG2732" s="275">
        <f t="shared" si="344"/>
        <v>0</v>
      </c>
    </row>
    <row r="2733" spans="1:33" ht="12" customHeight="1">
      <c r="A2733" s="744" t="s">
        <v>1274</v>
      </c>
      <c r="B2733" s="701" t="s">
        <v>1510</v>
      </c>
      <c r="C2733" s="702" t="s">
        <v>421</v>
      </c>
      <c r="D2733" s="704"/>
      <c r="E2733" s="705"/>
      <c r="F2733" s="573"/>
      <c r="G2733" s="487"/>
      <c r="H2733" s="573"/>
      <c r="I2733" s="487"/>
      <c r="J2733" s="573"/>
      <c r="K2733" s="487"/>
      <c r="L2733" s="573"/>
      <c r="M2733" s="573"/>
      <c r="N2733" s="456">
        <f t="shared" si="345"/>
        <v>0</v>
      </c>
      <c r="O2733" s="487"/>
      <c r="P2733" s="487"/>
      <c r="Q2733" s="274">
        <f t="shared" si="340"/>
        <v>0</v>
      </c>
      <c r="R2733" s="574">
        <f t="shared" si="341"/>
        <v>0</v>
      </c>
      <c r="S2733" s="275">
        <f t="shared" si="342"/>
        <v>0</v>
      </c>
      <c r="T2733" s="518">
        <v>0</v>
      </c>
      <c r="U2733" s="487"/>
      <c r="V2733" s="576"/>
      <c r="W2733" s="573"/>
      <c r="X2733" s="574">
        <f t="shared" si="346"/>
        <v>0</v>
      </c>
      <c r="Y2733" s="487"/>
      <c r="Z2733" s="487"/>
      <c r="AA2733" s="276">
        <f t="shared" si="347"/>
        <v>0</v>
      </c>
      <c r="AB2733" s="573"/>
      <c r="AC2733" s="487"/>
      <c r="AD2733" s="573"/>
      <c r="AE2733" s="487"/>
      <c r="AF2733" s="577">
        <f t="shared" si="343"/>
        <v>0</v>
      </c>
      <c r="AG2733" s="275">
        <f t="shared" si="344"/>
        <v>0</v>
      </c>
    </row>
    <row r="2734" spans="1:33" ht="12" customHeight="1">
      <c r="A2734" s="744" t="s">
        <v>1274</v>
      </c>
      <c r="B2734" s="701" t="s">
        <v>1511</v>
      </c>
      <c r="C2734" s="702" t="s">
        <v>1883</v>
      </c>
      <c r="D2734" s="704"/>
      <c r="E2734" s="705"/>
      <c r="F2734" s="573"/>
      <c r="G2734" s="487"/>
      <c r="H2734" s="573"/>
      <c r="I2734" s="487"/>
      <c r="J2734" s="573"/>
      <c r="K2734" s="487"/>
      <c r="L2734" s="573"/>
      <c r="M2734" s="573"/>
      <c r="N2734" s="456">
        <f t="shared" si="345"/>
        <v>0</v>
      </c>
      <c r="O2734" s="487"/>
      <c r="P2734" s="487"/>
      <c r="Q2734" s="274">
        <f t="shared" si="340"/>
        <v>0</v>
      </c>
      <c r="R2734" s="574">
        <f t="shared" si="341"/>
        <v>0</v>
      </c>
      <c r="S2734" s="275">
        <f t="shared" si="342"/>
        <v>0</v>
      </c>
      <c r="T2734" s="750"/>
      <c r="U2734" s="487"/>
      <c r="V2734" s="576"/>
      <c r="W2734" s="573"/>
      <c r="X2734" s="574">
        <f t="shared" si="346"/>
        <v>0</v>
      </c>
      <c r="Y2734" s="487"/>
      <c r="Z2734" s="487"/>
      <c r="AA2734" s="276">
        <f t="shared" si="347"/>
        <v>0</v>
      </c>
      <c r="AB2734" s="573"/>
      <c r="AC2734" s="487"/>
      <c r="AD2734" s="573"/>
      <c r="AE2734" s="487"/>
      <c r="AF2734" s="577">
        <f t="shared" si="343"/>
        <v>0</v>
      </c>
      <c r="AG2734" s="275">
        <f t="shared" si="344"/>
        <v>0</v>
      </c>
    </row>
    <row r="2735" spans="1:33" ht="12" customHeight="1">
      <c r="A2735" s="744" t="s">
        <v>1274</v>
      </c>
      <c r="B2735" s="701" t="s">
        <v>1412</v>
      </c>
      <c r="C2735" s="702" t="s">
        <v>1761</v>
      </c>
      <c r="D2735" s="704"/>
      <c r="E2735" s="705"/>
      <c r="F2735" s="573"/>
      <c r="G2735" s="487"/>
      <c r="H2735" s="573"/>
      <c r="I2735" s="487"/>
      <c r="J2735" s="573"/>
      <c r="K2735" s="487"/>
      <c r="L2735" s="573"/>
      <c r="M2735" s="573"/>
      <c r="N2735" s="456">
        <f t="shared" si="345"/>
        <v>0</v>
      </c>
      <c r="O2735" s="487"/>
      <c r="P2735" s="487"/>
      <c r="Q2735" s="274">
        <f t="shared" si="340"/>
        <v>0</v>
      </c>
      <c r="R2735" s="574">
        <f t="shared" si="341"/>
        <v>0</v>
      </c>
      <c r="S2735" s="275">
        <f t="shared" si="342"/>
        <v>0</v>
      </c>
      <c r="T2735" s="573">
        <v>46256165</v>
      </c>
      <c r="U2735" s="487">
        <v>46453437</v>
      </c>
      <c r="V2735" s="576"/>
      <c r="W2735" s="573"/>
      <c r="X2735" s="574">
        <f t="shared" si="346"/>
        <v>0</v>
      </c>
      <c r="Y2735" s="487"/>
      <c r="Z2735" s="487"/>
      <c r="AA2735" s="276">
        <f t="shared" si="347"/>
        <v>0</v>
      </c>
      <c r="AB2735" s="573"/>
      <c r="AC2735" s="487"/>
      <c r="AD2735" s="573"/>
      <c r="AE2735" s="487"/>
      <c r="AF2735" s="577">
        <f t="shared" si="343"/>
        <v>46256165</v>
      </c>
      <c r="AG2735" s="275">
        <f t="shared" si="344"/>
        <v>46453437</v>
      </c>
    </row>
    <row r="2736" spans="1:33" ht="12" customHeight="1">
      <c r="A2736" s="744" t="s">
        <v>1274</v>
      </c>
      <c r="B2736" s="701" t="s">
        <v>1413</v>
      </c>
      <c r="C2736" s="702" t="s">
        <v>422</v>
      </c>
      <c r="D2736" s="704"/>
      <c r="E2736" s="705"/>
      <c r="F2736" s="573"/>
      <c r="G2736" s="487"/>
      <c r="H2736" s="573"/>
      <c r="I2736" s="487"/>
      <c r="J2736" s="573"/>
      <c r="K2736" s="487"/>
      <c r="L2736" s="573"/>
      <c r="M2736" s="573"/>
      <c r="N2736" s="456">
        <f t="shared" si="345"/>
        <v>0</v>
      </c>
      <c r="O2736" s="487"/>
      <c r="P2736" s="487"/>
      <c r="Q2736" s="274">
        <f t="shared" si="340"/>
        <v>0</v>
      </c>
      <c r="R2736" s="574">
        <f t="shared" si="341"/>
        <v>0</v>
      </c>
      <c r="S2736" s="275">
        <f t="shared" si="342"/>
        <v>0</v>
      </c>
      <c r="T2736" s="518">
        <v>0</v>
      </c>
      <c r="U2736" s="487"/>
      <c r="V2736" s="576"/>
      <c r="W2736" s="573"/>
      <c r="X2736" s="574">
        <f t="shared" si="346"/>
        <v>0</v>
      </c>
      <c r="Y2736" s="487"/>
      <c r="Z2736" s="487"/>
      <c r="AA2736" s="276">
        <f t="shared" si="347"/>
        <v>0</v>
      </c>
      <c r="AB2736" s="573"/>
      <c r="AC2736" s="487"/>
      <c r="AD2736" s="573"/>
      <c r="AE2736" s="487"/>
      <c r="AF2736" s="577">
        <f t="shared" si="343"/>
        <v>0</v>
      </c>
      <c r="AG2736" s="275">
        <f t="shared" si="344"/>
        <v>0</v>
      </c>
    </row>
    <row r="2737" spans="1:33" ht="12" customHeight="1">
      <c r="A2737" s="744" t="s">
        <v>1274</v>
      </c>
      <c r="B2737" s="701" t="s">
        <v>1582</v>
      </c>
      <c r="C2737" s="702" t="s">
        <v>1883</v>
      </c>
      <c r="D2737" s="704"/>
      <c r="E2737" s="705"/>
      <c r="F2737" s="573"/>
      <c r="G2737" s="487"/>
      <c r="H2737" s="573"/>
      <c r="I2737" s="487"/>
      <c r="J2737" s="573"/>
      <c r="K2737" s="487"/>
      <c r="L2737" s="573"/>
      <c r="M2737" s="573"/>
      <c r="N2737" s="456">
        <f t="shared" si="345"/>
        <v>0</v>
      </c>
      <c r="O2737" s="487"/>
      <c r="P2737" s="487"/>
      <c r="Q2737" s="274">
        <f t="shared" si="340"/>
        <v>0</v>
      </c>
      <c r="R2737" s="574">
        <f t="shared" si="341"/>
        <v>0</v>
      </c>
      <c r="S2737" s="275">
        <f t="shared" si="342"/>
        <v>0</v>
      </c>
      <c r="T2737" s="750"/>
      <c r="U2737" s="487"/>
      <c r="V2737" s="576"/>
      <c r="W2737" s="573"/>
      <c r="X2737" s="574">
        <f t="shared" si="346"/>
        <v>0</v>
      </c>
      <c r="Y2737" s="487"/>
      <c r="Z2737" s="487"/>
      <c r="AA2737" s="276">
        <f t="shared" si="347"/>
        <v>0</v>
      </c>
      <c r="AB2737" s="573"/>
      <c r="AC2737" s="487"/>
      <c r="AD2737" s="573"/>
      <c r="AE2737" s="487"/>
      <c r="AF2737" s="577">
        <f t="shared" si="343"/>
        <v>0</v>
      </c>
      <c r="AG2737" s="275">
        <f t="shared" si="344"/>
        <v>0</v>
      </c>
    </row>
    <row r="2738" spans="1:33" ht="12" customHeight="1">
      <c r="A2738" s="744" t="s">
        <v>1274</v>
      </c>
      <c r="B2738" s="701" t="s">
        <v>1583</v>
      </c>
      <c r="C2738" s="702" t="s">
        <v>1761</v>
      </c>
      <c r="D2738" s="704"/>
      <c r="E2738" s="705"/>
      <c r="F2738" s="573"/>
      <c r="G2738" s="487"/>
      <c r="H2738" s="573"/>
      <c r="I2738" s="487"/>
      <c r="J2738" s="573"/>
      <c r="K2738" s="487"/>
      <c r="L2738" s="573"/>
      <c r="M2738" s="573"/>
      <c r="N2738" s="456">
        <f t="shared" si="345"/>
        <v>0</v>
      </c>
      <c r="O2738" s="487"/>
      <c r="P2738" s="487"/>
      <c r="Q2738" s="274">
        <f t="shared" si="340"/>
        <v>0</v>
      </c>
      <c r="R2738" s="574">
        <f t="shared" si="341"/>
        <v>0</v>
      </c>
      <c r="S2738" s="275">
        <f t="shared" si="342"/>
        <v>0</v>
      </c>
      <c r="T2738" s="573">
        <v>743835</v>
      </c>
      <c r="U2738" s="487">
        <v>546563</v>
      </c>
      <c r="V2738" s="576"/>
      <c r="W2738" s="573"/>
      <c r="X2738" s="574">
        <f t="shared" si="346"/>
        <v>0</v>
      </c>
      <c r="Y2738" s="487"/>
      <c r="Z2738" s="487"/>
      <c r="AA2738" s="276">
        <f t="shared" si="347"/>
        <v>0</v>
      </c>
      <c r="AB2738" s="573"/>
      <c r="AC2738" s="487"/>
      <c r="AD2738" s="573"/>
      <c r="AE2738" s="487"/>
      <c r="AF2738" s="577">
        <f t="shared" si="343"/>
        <v>743835</v>
      </c>
      <c r="AG2738" s="275">
        <f t="shared" si="344"/>
        <v>546563</v>
      </c>
    </row>
    <row r="2739" spans="1:33" ht="12" customHeight="1">
      <c r="A2739" s="744" t="s">
        <v>1274</v>
      </c>
      <c r="B2739" s="703" t="s">
        <v>1805</v>
      </c>
      <c r="C2739" s="301" t="s">
        <v>57</v>
      </c>
      <c r="D2739" s="696"/>
      <c r="E2739" s="697"/>
      <c r="F2739" s="573"/>
      <c r="G2739" s="487"/>
      <c r="H2739" s="573"/>
      <c r="I2739" s="487"/>
      <c r="J2739" s="573"/>
      <c r="K2739" s="487"/>
      <c r="L2739" s="573"/>
      <c r="M2739" s="573"/>
      <c r="N2739" s="456">
        <f t="shared" si="345"/>
        <v>0</v>
      </c>
      <c r="O2739" s="487"/>
      <c r="P2739" s="487"/>
      <c r="Q2739" s="274">
        <f t="shared" si="340"/>
        <v>0</v>
      </c>
      <c r="R2739" s="574">
        <f t="shared" si="341"/>
        <v>0</v>
      </c>
      <c r="S2739" s="275">
        <f t="shared" si="342"/>
        <v>0</v>
      </c>
      <c r="T2739" s="575"/>
      <c r="U2739" s="487"/>
      <c r="V2739" s="576"/>
      <c r="W2739" s="573"/>
      <c r="X2739" s="574">
        <f t="shared" si="346"/>
        <v>0</v>
      </c>
      <c r="Y2739" s="487"/>
      <c r="Z2739" s="487"/>
      <c r="AA2739" s="276">
        <f t="shared" si="347"/>
        <v>0</v>
      </c>
      <c r="AB2739" s="573"/>
      <c r="AC2739" s="487"/>
      <c r="AD2739" s="573"/>
      <c r="AE2739" s="487"/>
      <c r="AF2739" s="577">
        <f t="shared" si="343"/>
        <v>0</v>
      </c>
      <c r="AG2739" s="275">
        <f t="shared" si="344"/>
        <v>0</v>
      </c>
    </row>
    <row r="2740" spans="1:33" ht="12" customHeight="1">
      <c r="A2740" s="744" t="s">
        <v>1274</v>
      </c>
      <c r="B2740" s="701" t="s">
        <v>1510</v>
      </c>
      <c r="C2740" s="702" t="s">
        <v>421</v>
      </c>
      <c r="D2740" s="704"/>
      <c r="E2740" s="705"/>
      <c r="F2740" s="573"/>
      <c r="G2740" s="487"/>
      <c r="H2740" s="573"/>
      <c r="I2740" s="487"/>
      <c r="J2740" s="573"/>
      <c r="K2740" s="487"/>
      <c r="L2740" s="573"/>
      <c r="M2740" s="573"/>
      <c r="N2740" s="456">
        <f t="shared" si="345"/>
        <v>0</v>
      </c>
      <c r="O2740" s="487"/>
      <c r="P2740" s="487"/>
      <c r="Q2740" s="274">
        <f t="shared" si="340"/>
        <v>0</v>
      </c>
      <c r="R2740" s="574">
        <f t="shared" si="341"/>
        <v>0</v>
      </c>
      <c r="S2740" s="275">
        <f t="shared" si="342"/>
        <v>0</v>
      </c>
      <c r="T2740" s="518">
        <v>0</v>
      </c>
      <c r="U2740" s="487"/>
      <c r="V2740" s="576"/>
      <c r="W2740" s="573"/>
      <c r="X2740" s="574">
        <f t="shared" si="346"/>
        <v>0</v>
      </c>
      <c r="Y2740" s="487"/>
      <c r="Z2740" s="487"/>
      <c r="AA2740" s="276">
        <f t="shared" si="347"/>
        <v>0</v>
      </c>
      <c r="AB2740" s="573"/>
      <c r="AC2740" s="487"/>
      <c r="AD2740" s="573"/>
      <c r="AE2740" s="487"/>
      <c r="AF2740" s="577">
        <f t="shared" si="343"/>
        <v>0</v>
      </c>
      <c r="AG2740" s="275">
        <f t="shared" si="344"/>
        <v>0</v>
      </c>
    </row>
    <row r="2741" spans="1:33" ht="12" customHeight="1">
      <c r="A2741" s="744" t="s">
        <v>1274</v>
      </c>
      <c r="B2741" s="701" t="s">
        <v>1511</v>
      </c>
      <c r="C2741" s="702" t="s">
        <v>1883</v>
      </c>
      <c r="D2741" s="704"/>
      <c r="E2741" s="705"/>
      <c r="F2741" s="573"/>
      <c r="G2741" s="487"/>
      <c r="H2741" s="573"/>
      <c r="I2741" s="487"/>
      <c r="J2741" s="573"/>
      <c r="K2741" s="487"/>
      <c r="L2741" s="573"/>
      <c r="M2741" s="573"/>
      <c r="N2741" s="456">
        <f t="shared" si="345"/>
        <v>0</v>
      </c>
      <c r="O2741" s="487"/>
      <c r="P2741" s="487"/>
      <c r="Q2741" s="274">
        <f t="shared" si="340"/>
        <v>0</v>
      </c>
      <c r="R2741" s="574">
        <f t="shared" si="341"/>
        <v>0</v>
      </c>
      <c r="S2741" s="275">
        <f t="shared" si="342"/>
        <v>0</v>
      </c>
      <c r="T2741" s="750"/>
      <c r="U2741" s="487"/>
      <c r="V2741" s="576"/>
      <c r="W2741" s="573"/>
      <c r="X2741" s="574">
        <f t="shared" si="346"/>
        <v>0</v>
      </c>
      <c r="Y2741" s="487"/>
      <c r="Z2741" s="487"/>
      <c r="AA2741" s="276">
        <f t="shared" si="347"/>
        <v>0</v>
      </c>
      <c r="AB2741" s="573"/>
      <c r="AC2741" s="487"/>
      <c r="AD2741" s="573"/>
      <c r="AE2741" s="487"/>
      <c r="AF2741" s="577">
        <f t="shared" si="343"/>
        <v>0</v>
      </c>
      <c r="AG2741" s="275">
        <f t="shared" si="344"/>
        <v>0</v>
      </c>
    </row>
    <row r="2742" spans="1:33" ht="12" customHeight="1">
      <c r="A2742" s="744" t="s">
        <v>1274</v>
      </c>
      <c r="B2742" s="701" t="s">
        <v>1412</v>
      </c>
      <c r="C2742" s="702" t="s">
        <v>1761</v>
      </c>
      <c r="D2742" s="704"/>
      <c r="E2742" s="705"/>
      <c r="F2742" s="573"/>
      <c r="G2742" s="487"/>
      <c r="H2742" s="573"/>
      <c r="I2742" s="487"/>
      <c r="J2742" s="573"/>
      <c r="K2742" s="487"/>
      <c r="L2742" s="573"/>
      <c r="M2742" s="573"/>
      <c r="N2742" s="456">
        <f t="shared" si="345"/>
        <v>0</v>
      </c>
      <c r="O2742" s="487"/>
      <c r="P2742" s="487"/>
      <c r="Q2742" s="274">
        <f t="shared" si="340"/>
        <v>0</v>
      </c>
      <c r="R2742" s="574">
        <f t="shared" si="341"/>
        <v>0</v>
      </c>
      <c r="S2742" s="275">
        <f t="shared" si="342"/>
        <v>0</v>
      </c>
      <c r="T2742" s="573">
        <v>31810908</v>
      </c>
      <c r="U2742" s="487">
        <v>32303764</v>
      </c>
      <c r="V2742" s="576"/>
      <c r="W2742" s="573"/>
      <c r="X2742" s="574">
        <f t="shared" si="346"/>
        <v>0</v>
      </c>
      <c r="Y2742" s="487"/>
      <c r="Z2742" s="487"/>
      <c r="AA2742" s="276">
        <f t="shared" si="347"/>
        <v>0</v>
      </c>
      <c r="AB2742" s="573"/>
      <c r="AC2742" s="487"/>
      <c r="AD2742" s="573"/>
      <c r="AE2742" s="487"/>
      <c r="AF2742" s="577">
        <f t="shared" si="343"/>
        <v>31810908</v>
      </c>
      <c r="AG2742" s="275">
        <f t="shared" si="344"/>
        <v>32303764</v>
      </c>
    </row>
    <row r="2743" spans="1:33" ht="12" customHeight="1">
      <c r="A2743" s="744" t="s">
        <v>1274</v>
      </c>
      <c r="B2743" s="701" t="s">
        <v>1413</v>
      </c>
      <c r="C2743" s="702" t="s">
        <v>422</v>
      </c>
      <c r="D2743" s="704"/>
      <c r="E2743" s="705"/>
      <c r="F2743" s="573"/>
      <c r="G2743" s="487"/>
      <c r="H2743" s="573"/>
      <c r="I2743" s="487"/>
      <c r="J2743" s="573"/>
      <c r="K2743" s="487"/>
      <c r="L2743" s="573"/>
      <c r="M2743" s="573"/>
      <c r="N2743" s="456">
        <f t="shared" si="345"/>
        <v>0</v>
      </c>
      <c r="O2743" s="487"/>
      <c r="P2743" s="487"/>
      <c r="Q2743" s="274">
        <f t="shared" si="340"/>
        <v>0</v>
      </c>
      <c r="R2743" s="574">
        <f t="shared" si="341"/>
        <v>0</v>
      </c>
      <c r="S2743" s="275">
        <f t="shared" si="342"/>
        <v>0</v>
      </c>
      <c r="T2743" s="518">
        <v>0</v>
      </c>
      <c r="U2743" s="487"/>
      <c r="V2743" s="576"/>
      <c r="W2743" s="573"/>
      <c r="X2743" s="574">
        <f t="shared" si="346"/>
        <v>0</v>
      </c>
      <c r="Y2743" s="487"/>
      <c r="Z2743" s="487"/>
      <c r="AA2743" s="276">
        <f t="shared" si="347"/>
        <v>0</v>
      </c>
      <c r="AB2743" s="573"/>
      <c r="AC2743" s="487"/>
      <c r="AD2743" s="573"/>
      <c r="AE2743" s="487"/>
      <c r="AF2743" s="577">
        <f t="shared" si="343"/>
        <v>0</v>
      </c>
      <c r="AG2743" s="275">
        <f t="shared" si="344"/>
        <v>0</v>
      </c>
    </row>
    <row r="2744" spans="1:33" ht="12" customHeight="1">
      <c r="A2744" s="744" t="s">
        <v>1274</v>
      </c>
      <c r="B2744" s="701" t="s">
        <v>1582</v>
      </c>
      <c r="C2744" s="702" t="s">
        <v>1883</v>
      </c>
      <c r="D2744" s="704"/>
      <c r="E2744" s="705"/>
      <c r="F2744" s="573"/>
      <c r="G2744" s="487"/>
      <c r="H2744" s="573"/>
      <c r="I2744" s="487"/>
      <c r="J2744" s="573"/>
      <c r="K2744" s="487"/>
      <c r="L2744" s="573"/>
      <c r="M2744" s="573"/>
      <c r="N2744" s="456">
        <f t="shared" si="345"/>
        <v>0</v>
      </c>
      <c r="O2744" s="487"/>
      <c r="P2744" s="487"/>
      <c r="Q2744" s="274">
        <f t="shared" si="340"/>
        <v>0</v>
      </c>
      <c r="R2744" s="574">
        <f t="shared" si="341"/>
        <v>0</v>
      </c>
      <c r="S2744" s="275">
        <f t="shared" si="342"/>
        <v>0</v>
      </c>
      <c r="T2744" s="750"/>
      <c r="U2744" s="487"/>
      <c r="V2744" s="576"/>
      <c r="W2744" s="573"/>
      <c r="X2744" s="574">
        <f t="shared" si="346"/>
        <v>0</v>
      </c>
      <c r="Y2744" s="487"/>
      <c r="Z2744" s="487"/>
      <c r="AA2744" s="276">
        <f t="shared" si="347"/>
        <v>0</v>
      </c>
      <c r="AB2744" s="573"/>
      <c r="AC2744" s="487"/>
      <c r="AD2744" s="573"/>
      <c r="AE2744" s="487"/>
      <c r="AF2744" s="577">
        <f t="shared" si="343"/>
        <v>0</v>
      </c>
      <c r="AG2744" s="275">
        <f t="shared" si="344"/>
        <v>0</v>
      </c>
    </row>
    <row r="2745" spans="1:33" ht="12" customHeight="1">
      <c r="A2745" s="744" t="s">
        <v>1274</v>
      </c>
      <c r="B2745" s="701" t="s">
        <v>1583</v>
      </c>
      <c r="C2745" s="702" t="s">
        <v>1761</v>
      </c>
      <c r="D2745" s="704"/>
      <c r="E2745" s="705"/>
      <c r="F2745" s="573"/>
      <c r="G2745" s="487"/>
      <c r="H2745" s="573"/>
      <c r="I2745" s="487"/>
      <c r="J2745" s="573"/>
      <c r="K2745" s="487"/>
      <c r="L2745" s="573"/>
      <c r="M2745" s="573"/>
      <c r="N2745" s="456">
        <f t="shared" si="345"/>
        <v>0</v>
      </c>
      <c r="O2745" s="487"/>
      <c r="P2745" s="487"/>
      <c r="Q2745" s="274">
        <f t="shared" si="340"/>
        <v>0</v>
      </c>
      <c r="R2745" s="574">
        <f t="shared" si="341"/>
        <v>0</v>
      </c>
      <c r="S2745" s="275">
        <f t="shared" si="342"/>
        <v>0</v>
      </c>
      <c r="T2745" s="573">
        <v>9104582</v>
      </c>
      <c r="U2745" s="487">
        <v>9973476</v>
      </c>
      <c r="V2745" s="576"/>
      <c r="W2745" s="573"/>
      <c r="X2745" s="574">
        <f t="shared" si="346"/>
        <v>0</v>
      </c>
      <c r="Y2745" s="487"/>
      <c r="Z2745" s="487"/>
      <c r="AA2745" s="276">
        <f t="shared" si="347"/>
        <v>0</v>
      </c>
      <c r="AB2745" s="573"/>
      <c r="AC2745" s="487"/>
      <c r="AD2745" s="573"/>
      <c r="AE2745" s="487"/>
      <c r="AF2745" s="577">
        <f t="shared" si="343"/>
        <v>9104582</v>
      </c>
      <c r="AG2745" s="275">
        <f t="shared" si="344"/>
        <v>9973476</v>
      </c>
    </row>
    <row r="2746" spans="1:33" ht="12" customHeight="1">
      <c r="A2746" s="744" t="s">
        <v>1274</v>
      </c>
      <c r="B2746" s="703" t="s">
        <v>1805</v>
      </c>
      <c r="C2746" s="301" t="s">
        <v>58</v>
      </c>
      <c r="D2746" s="696"/>
      <c r="E2746" s="697"/>
      <c r="F2746" s="573"/>
      <c r="G2746" s="487"/>
      <c r="H2746" s="573"/>
      <c r="I2746" s="487"/>
      <c r="J2746" s="573"/>
      <c r="K2746" s="487"/>
      <c r="L2746" s="573"/>
      <c r="M2746" s="573"/>
      <c r="N2746" s="456">
        <f t="shared" si="345"/>
        <v>0</v>
      </c>
      <c r="O2746" s="487"/>
      <c r="P2746" s="487"/>
      <c r="Q2746" s="274">
        <f t="shared" si="340"/>
        <v>0</v>
      </c>
      <c r="R2746" s="574">
        <f t="shared" si="341"/>
        <v>0</v>
      </c>
      <c r="S2746" s="275">
        <f t="shared" si="342"/>
        <v>0</v>
      </c>
      <c r="T2746" s="575"/>
      <c r="U2746" s="487"/>
      <c r="V2746" s="576"/>
      <c r="W2746" s="573"/>
      <c r="X2746" s="574">
        <f t="shared" si="346"/>
        <v>0</v>
      </c>
      <c r="Y2746" s="487"/>
      <c r="Z2746" s="487"/>
      <c r="AA2746" s="276">
        <f t="shared" si="347"/>
        <v>0</v>
      </c>
      <c r="AB2746" s="573"/>
      <c r="AC2746" s="487"/>
      <c r="AD2746" s="573"/>
      <c r="AE2746" s="487"/>
      <c r="AF2746" s="577">
        <f t="shared" si="343"/>
        <v>0</v>
      </c>
      <c r="AG2746" s="275">
        <f t="shared" si="344"/>
        <v>0</v>
      </c>
    </row>
    <row r="2747" spans="1:33" ht="12" customHeight="1">
      <c r="A2747" s="744" t="s">
        <v>1274</v>
      </c>
      <c r="B2747" s="701" t="s">
        <v>1510</v>
      </c>
      <c r="C2747" s="702" t="s">
        <v>421</v>
      </c>
      <c r="D2747" s="704"/>
      <c r="E2747" s="705"/>
      <c r="F2747" s="573"/>
      <c r="G2747" s="487"/>
      <c r="H2747" s="573"/>
      <c r="I2747" s="487"/>
      <c r="J2747" s="573"/>
      <c r="K2747" s="487"/>
      <c r="L2747" s="573"/>
      <c r="M2747" s="573"/>
      <c r="N2747" s="456">
        <f t="shared" si="345"/>
        <v>0</v>
      </c>
      <c r="O2747" s="487"/>
      <c r="P2747" s="487"/>
      <c r="Q2747" s="274">
        <f t="shared" si="340"/>
        <v>0</v>
      </c>
      <c r="R2747" s="574">
        <f t="shared" si="341"/>
        <v>0</v>
      </c>
      <c r="S2747" s="275">
        <f t="shared" si="342"/>
        <v>0</v>
      </c>
      <c r="T2747" s="518">
        <v>0</v>
      </c>
      <c r="U2747" s="487"/>
      <c r="V2747" s="576"/>
      <c r="W2747" s="573"/>
      <c r="X2747" s="574">
        <f t="shared" si="346"/>
        <v>0</v>
      </c>
      <c r="Y2747" s="487"/>
      <c r="Z2747" s="487"/>
      <c r="AA2747" s="276">
        <f t="shared" si="347"/>
        <v>0</v>
      </c>
      <c r="AB2747" s="573"/>
      <c r="AC2747" s="487"/>
      <c r="AD2747" s="573"/>
      <c r="AE2747" s="487"/>
      <c r="AF2747" s="577">
        <f t="shared" si="343"/>
        <v>0</v>
      </c>
      <c r="AG2747" s="275">
        <f t="shared" si="344"/>
        <v>0</v>
      </c>
    </row>
    <row r="2748" spans="1:33" ht="12" customHeight="1">
      <c r="A2748" s="744" t="s">
        <v>1274</v>
      </c>
      <c r="B2748" s="701" t="s">
        <v>1511</v>
      </c>
      <c r="C2748" s="702" t="s">
        <v>1883</v>
      </c>
      <c r="D2748" s="704"/>
      <c r="E2748" s="705"/>
      <c r="F2748" s="573"/>
      <c r="G2748" s="487"/>
      <c r="H2748" s="573"/>
      <c r="I2748" s="487"/>
      <c r="J2748" s="573"/>
      <c r="K2748" s="487"/>
      <c r="L2748" s="573"/>
      <c r="M2748" s="573"/>
      <c r="N2748" s="456">
        <f t="shared" si="345"/>
        <v>0</v>
      </c>
      <c r="O2748" s="487"/>
      <c r="P2748" s="487"/>
      <c r="Q2748" s="274">
        <f t="shared" si="340"/>
        <v>0</v>
      </c>
      <c r="R2748" s="574">
        <f t="shared" si="341"/>
        <v>0</v>
      </c>
      <c r="S2748" s="275">
        <f t="shared" si="342"/>
        <v>0</v>
      </c>
      <c r="T2748" s="750"/>
      <c r="U2748" s="487"/>
      <c r="V2748" s="576"/>
      <c r="W2748" s="573"/>
      <c r="X2748" s="574">
        <f t="shared" si="346"/>
        <v>0</v>
      </c>
      <c r="Y2748" s="487"/>
      <c r="Z2748" s="487"/>
      <c r="AA2748" s="276">
        <f t="shared" si="347"/>
        <v>0</v>
      </c>
      <c r="AB2748" s="573"/>
      <c r="AC2748" s="487"/>
      <c r="AD2748" s="573"/>
      <c r="AE2748" s="487"/>
      <c r="AF2748" s="577">
        <f t="shared" si="343"/>
        <v>0</v>
      </c>
      <c r="AG2748" s="275">
        <f t="shared" si="344"/>
        <v>0</v>
      </c>
    </row>
    <row r="2749" spans="1:33" ht="12" customHeight="1">
      <c r="A2749" s="744" t="s">
        <v>1274</v>
      </c>
      <c r="B2749" s="701" t="s">
        <v>1412</v>
      </c>
      <c r="C2749" s="702" t="s">
        <v>1761</v>
      </c>
      <c r="D2749" s="704"/>
      <c r="E2749" s="705"/>
      <c r="F2749" s="573"/>
      <c r="G2749" s="487"/>
      <c r="H2749" s="573"/>
      <c r="I2749" s="487"/>
      <c r="J2749" s="573"/>
      <c r="K2749" s="487"/>
      <c r="L2749" s="573"/>
      <c r="M2749" s="573"/>
      <c r="N2749" s="456">
        <f t="shared" si="345"/>
        <v>0</v>
      </c>
      <c r="O2749" s="487"/>
      <c r="P2749" s="487"/>
      <c r="Q2749" s="274">
        <f t="shared" si="340"/>
        <v>0</v>
      </c>
      <c r="R2749" s="574">
        <f t="shared" si="341"/>
        <v>0</v>
      </c>
      <c r="S2749" s="275">
        <f t="shared" si="342"/>
        <v>0</v>
      </c>
      <c r="T2749" s="751">
        <v>5380736</v>
      </c>
      <c r="U2749" s="487">
        <v>5591280</v>
      </c>
      <c r="V2749" s="576"/>
      <c r="W2749" s="573"/>
      <c r="X2749" s="574">
        <f t="shared" si="346"/>
        <v>0</v>
      </c>
      <c r="Y2749" s="487"/>
      <c r="Z2749" s="487"/>
      <c r="AA2749" s="276">
        <f t="shared" si="347"/>
        <v>0</v>
      </c>
      <c r="AB2749" s="573"/>
      <c r="AC2749" s="487"/>
      <c r="AD2749" s="573"/>
      <c r="AE2749" s="487"/>
      <c r="AF2749" s="577">
        <f t="shared" si="343"/>
        <v>5380736</v>
      </c>
      <c r="AG2749" s="275">
        <f t="shared" si="344"/>
        <v>5591280</v>
      </c>
    </row>
    <row r="2750" spans="1:33" ht="12" customHeight="1">
      <c r="A2750" s="744" t="s">
        <v>1274</v>
      </c>
      <c r="B2750" s="701" t="s">
        <v>1413</v>
      </c>
      <c r="C2750" s="702" t="s">
        <v>422</v>
      </c>
      <c r="D2750" s="704"/>
      <c r="E2750" s="705"/>
      <c r="F2750" s="573"/>
      <c r="G2750" s="487"/>
      <c r="H2750" s="573"/>
      <c r="I2750" s="487"/>
      <c r="J2750" s="573"/>
      <c r="K2750" s="487"/>
      <c r="L2750" s="573"/>
      <c r="M2750" s="573"/>
      <c r="N2750" s="456">
        <f t="shared" si="345"/>
        <v>0</v>
      </c>
      <c r="O2750" s="487"/>
      <c r="P2750" s="487"/>
      <c r="Q2750" s="274">
        <f t="shared" si="340"/>
        <v>0</v>
      </c>
      <c r="R2750" s="574">
        <f t="shared" si="341"/>
        <v>0</v>
      </c>
      <c r="S2750" s="275">
        <f t="shared" si="342"/>
        <v>0</v>
      </c>
      <c r="T2750" s="518">
        <v>0</v>
      </c>
      <c r="U2750" s="487"/>
      <c r="V2750" s="576"/>
      <c r="W2750" s="573"/>
      <c r="X2750" s="574">
        <f t="shared" si="346"/>
        <v>0</v>
      </c>
      <c r="Y2750" s="487"/>
      <c r="Z2750" s="487"/>
      <c r="AA2750" s="276">
        <f t="shared" si="347"/>
        <v>0</v>
      </c>
      <c r="AB2750" s="573"/>
      <c r="AC2750" s="487"/>
      <c r="AD2750" s="573"/>
      <c r="AE2750" s="487"/>
      <c r="AF2750" s="577">
        <f t="shared" si="343"/>
        <v>0</v>
      </c>
      <c r="AG2750" s="275">
        <f t="shared" si="344"/>
        <v>0</v>
      </c>
    </row>
    <row r="2751" spans="1:33" ht="12" customHeight="1">
      <c r="A2751" s="744" t="s">
        <v>1274</v>
      </c>
      <c r="B2751" s="701" t="s">
        <v>1582</v>
      </c>
      <c r="C2751" s="702" t="s">
        <v>1883</v>
      </c>
      <c r="D2751" s="704"/>
      <c r="E2751" s="705"/>
      <c r="F2751" s="573"/>
      <c r="G2751" s="487"/>
      <c r="H2751" s="573"/>
      <c r="I2751" s="487"/>
      <c r="J2751" s="573"/>
      <c r="K2751" s="487"/>
      <c r="L2751" s="573"/>
      <c r="M2751" s="573"/>
      <c r="N2751" s="456">
        <f t="shared" si="345"/>
        <v>0</v>
      </c>
      <c r="O2751" s="487"/>
      <c r="P2751" s="487"/>
      <c r="Q2751" s="274">
        <f t="shared" si="340"/>
        <v>0</v>
      </c>
      <c r="R2751" s="574">
        <f t="shared" si="341"/>
        <v>0</v>
      </c>
      <c r="S2751" s="275">
        <f t="shared" si="342"/>
        <v>0</v>
      </c>
      <c r="T2751" s="750"/>
      <c r="U2751" s="487"/>
      <c r="V2751" s="576"/>
      <c r="W2751" s="573"/>
      <c r="X2751" s="574">
        <f t="shared" si="346"/>
        <v>0</v>
      </c>
      <c r="Y2751" s="487"/>
      <c r="Z2751" s="487"/>
      <c r="AA2751" s="276">
        <f t="shared" si="347"/>
        <v>0</v>
      </c>
      <c r="AB2751" s="573"/>
      <c r="AC2751" s="487"/>
      <c r="AD2751" s="573"/>
      <c r="AE2751" s="487"/>
      <c r="AF2751" s="577">
        <f t="shared" si="343"/>
        <v>0</v>
      </c>
      <c r="AG2751" s="275">
        <f t="shared" si="344"/>
        <v>0</v>
      </c>
    </row>
    <row r="2752" spans="1:33" ht="12" customHeight="1">
      <c r="A2752" s="744" t="s">
        <v>1274</v>
      </c>
      <c r="B2752" s="701" t="s">
        <v>1583</v>
      </c>
      <c r="C2752" s="702" t="s">
        <v>1761</v>
      </c>
      <c r="D2752" s="704"/>
      <c r="E2752" s="705"/>
      <c r="F2752" s="573"/>
      <c r="G2752" s="487"/>
      <c r="H2752" s="573"/>
      <c r="I2752" s="487"/>
      <c r="J2752" s="573"/>
      <c r="K2752" s="487"/>
      <c r="L2752" s="573"/>
      <c r="M2752" s="573"/>
      <c r="N2752" s="456">
        <f t="shared" si="345"/>
        <v>0</v>
      </c>
      <c r="O2752" s="487"/>
      <c r="P2752" s="487"/>
      <c r="Q2752" s="274">
        <f t="shared" si="340"/>
        <v>0</v>
      </c>
      <c r="R2752" s="574">
        <f t="shared" si="341"/>
        <v>0</v>
      </c>
      <c r="S2752" s="275">
        <f t="shared" si="342"/>
        <v>0</v>
      </c>
      <c r="T2752" s="573">
        <v>2386870</v>
      </c>
      <c r="U2752" s="487">
        <v>2484830</v>
      </c>
      <c r="V2752" s="576"/>
      <c r="W2752" s="573"/>
      <c r="X2752" s="574">
        <f t="shared" si="346"/>
        <v>0</v>
      </c>
      <c r="Y2752" s="487"/>
      <c r="Z2752" s="487"/>
      <c r="AA2752" s="276">
        <f t="shared" si="347"/>
        <v>0</v>
      </c>
      <c r="AB2752" s="573"/>
      <c r="AC2752" s="487"/>
      <c r="AD2752" s="573"/>
      <c r="AE2752" s="487"/>
      <c r="AF2752" s="577">
        <f t="shared" si="343"/>
        <v>2386870</v>
      </c>
      <c r="AG2752" s="275">
        <f t="shared" si="344"/>
        <v>2484830</v>
      </c>
    </row>
    <row r="2753" spans="1:33" ht="12" customHeight="1">
      <c r="A2753" s="744" t="s">
        <v>1274</v>
      </c>
      <c r="B2753" s="703" t="s">
        <v>1805</v>
      </c>
      <c r="C2753" s="301" t="s">
        <v>59</v>
      </c>
      <c r="D2753" s="696"/>
      <c r="E2753" s="697"/>
      <c r="F2753" s="573"/>
      <c r="G2753" s="487"/>
      <c r="H2753" s="573"/>
      <c r="I2753" s="487"/>
      <c r="J2753" s="573"/>
      <c r="K2753" s="487"/>
      <c r="L2753" s="573"/>
      <c r="M2753" s="573"/>
      <c r="N2753" s="456">
        <f t="shared" si="345"/>
        <v>0</v>
      </c>
      <c r="O2753" s="487"/>
      <c r="P2753" s="487"/>
      <c r="Q2753" s="274">
        <f t="shared" si="340"/>
        <v>0</v>
      </c>
      <c r="R2753" s="574">
        <f t="shared" si="341"/>
        <v>0</v>
      </c>
      <c r="S2753" s="275">
        <f t="shared" si="342"/>
        <v>0</v>
      </c>
      <c r="T2753" s="575"/>
      <c r="U2753" s="487"/>
      <c r="V2753" s="576"/>
      <c r="W2753" s="573"/>
      <c r="X2753" s="574">
        <f t="shared" si="346"/>
        <v>0</v>
      </c>
      <c r="Y2753" s="487"/>
      <c r="Z2753" s="487"/>
      <c r="AA2753" s="276">
        <f t="shared" si="347"/>
        <v>0</v>
      </c>
      <c r="AB2753" s="573"/>
      <c r="AC2753" s="487"/>
      <c r="AD2753" s="573"/>
      <c r="AE2753" s="487"/>
      <c r="AF2753" s="577">
        <f t="shared" si="343"/>
        <v>0</v>
      </c>
      <c r="AG2753" s="275">
        <f t="shared" si="344"/>
        <v>0</v>
      </c>
    </row>
    <row r="2754" spans="1:33" ht="12" customHeight="1">
      <c r="A2754" s="744" t="s">
        <v>1274</v>
      </c>
      <c r="B2754" s="701" t="s">
        <v>1510</v>
      </c>
      <c r="C2754" s="702" t="s">
        <v>421</v>
      </c>
      <c r="D2754" s="704"/>
      <c r="E2754" s="705"/>
      <c r="F2754" s="573"/>
      <c r="G2754" s="487"/>
      <c r="H2754" s="573"/>
      <c r="I2754" s="487"/>
      <c r="J2754" s="573"/>
      <c r="K2754" s="487"/>
      <c r="L2754" s="573"/>
      <c r="M2754" s="573"/>
      <c r="N2754" s="456">
        <f t="shared" si="345"/>
        <v>0</v>
      </c>
      <c r="O2754" s="487"/>
      <c r="P2754" s="487"/>
      <c r="Q2754" s="274">
        <f t="shared" si="340"/>
        <v>0</v>
      </c>
      <c r="R2754" s="574">
        <f t="shared" si="341"/>
        <v>0</v>
      </c>
      <c r="S2754" s="275">
        <f t="shared" si="342"/>
        <v>0</v>
      </c>
      <c r="T2754" s="575"/>
      <c r="U2754" s="487"/>
      <c r="V2754" s="576"/>
      <c r="W2754" s="573"/>
      <c r="X2754" s="574">
        <f t="shared" si="346"/>
        <v>0</v>
      </c>
      <c r="Y2754" s="487"/>
      <c r="Z2754" s="487"/>
      <c r="AA2754" s="276">
        <f t="shared" si="347"/>
        <v>0</v>
      </c>
      <c r="AB2754" s="573"/>
      <c r="AC2754" s="487"/>
      <c r="AD2754" s="573"/>
      <c r="AE2754" s="487"/>
      <c r="AF2754" s="577">
        <f t="shared" si="343"/>
        <v>0</v>
      </c>
      <c r="AG2754" s="275">
        <f t="shared" si="344"/>
        <v>0</v>
      </c>
    </row>
    <row r="2755" spans="1:33" ht="12" customHeight="1">
      <c r="A2755" s="744" t="s">
        <v>1274</v>
      </c>
      <c r="B2755" s="701" t="s">
        <v>1511</v>
      </c>
      <c r="C2755" s="702" t="s">
        <v>1883</v>
      </c>
      <c r="D2755" s="704"/>
      <c r="E2755" s="705"/>
      <c r="F2755" s="573"/>
      <c r="G2755" s="487"/>
      <c r="H2755" s="573"/>
      <c r="I2755" s="487"/>
      <c r="J2755" s="573"/>
      <c r="K2755" s="487"/>
      <c r="L2755" s="573"/>
      <c r="M2755" s="573"/>
      <c r="N2755" s="456">
        <f t="shared" si="345"/>
        <v>0</v>
      </c>
      <c r="O2755" s="487"/>
      <c r="P2755" s="487"/>
      <c r="Q2755" s="274">
        <f t="shared" si="340"/>
        <v>0</v>
      </c>
      <c r="R2755" s="574">
        <f t="shared" si="341"/>
        <v>0</v>
      </c>
      <c r="S2755" s="275">
        <f t="shared" si="342"/>
        <v>0</v>
      </c>
      <c r="T2755" s="965">
        <v>21793965</v>
      </c>
      <c r="U2755" s="487">
        <v>18554748</v>
      </c>
      <c r="V2755" s="576"/>
      <c r="W2755" s="573"/>
      <c r="X2755" s="574">
        <f t="shared" si="346"/>
        <v>0</v>
      </c>
      <c r="Y2755" s="487"/>
      <c r="Z2755" s="487"/>
      <c r="AA2755" s="276">
        <f t="shared" si="347"/>
        <v>0</v>
      </c>
      <c r="AB2755" s="573"/>
      <c r="AC2755" s="487"/>
      <c r="AD2755" s="573"/>
      <c r="AE2755" s="487"/>
      <c r="AF2755" s="577">
        <f t="shared" si="343"/>
        <v>21793965</v>
      </c>
      <c r="AG2755" s="275">
        <f t="shared" si="344"/>
        <v>18554748</v>
      </c>
    </row>
    <row r="2756" spans="1:33" ht="12" customHeight="1">
      <c r="A2756" s="744" t="s">
        <v>1274</v>
      </c>
      <c r="B2756" s="701" t="s">
        <v>1412</v>
      </c>
      <c r="C2756" s="702" t="s">
        <v>1761</v>
      </c>
      <c r="D2756" s="704"/>
      <c r="E2756" s="705"/>
      <c r="F2756" s="573"/>
      <c r="G2756" s="487"/>
      <c r="H2756" s="573"/>
      <c r="I2756" s="487"/>
      <c r="J2756" s="573"/>
      <c r="K2756" s="487"/>
      <c r="L2756" s="573"/>
      <c r="M2756" s="573"/>
      <c r="N2756" s="456">
        <f t="shared" si="345"/>
        <v>0</v>
      </c>
      <c r="O2756" s="487"/>
      <c r="P2756" s="487"/>
      <c r="Q2756" s="274">
        <f t="shared" si="340"/>
        <v>0</v>
      </c>
      <c r="R2756" s="574">
        <f t="shared" si="341"/>
        <v>0</v>
      </c>
      <c r="S2756" s="275">
        <f t="shared" si="342"/>
        <v>0</v>
      </c>
      <c r="T2756" s="575"/>
      <c r="U2756" s="487"/>
      <c r="V2756" s="576"/>
      <c r="W2756" s="573"/>
      <c r="X2756" s="574">
        <f t="shared" si="346"/>
        <v>0</v>
      </c>
      <c r="Y2756" s="487"/>
      <c r="Z2756" s="487"/>
      <c r="AA2756" s="276">
        <f t="shared" si="347"/>
        <v>0</v>
      </c>
      <c r="AB2756" s="573"/>
      <c r="AC2756" s="487"/>
      <c r="AD2756" s="573"/>
      <c r="AE2756" s="487"/>
      <c r="AF2756" s="577">
        <f t="shared" si="343"/>
        <v>0</v>
      </c>
      <c r="AG2756" s="275">
        <f t="shared" si="344"/>
        <v>0</v>
      </c>
    </row>
    <row r="2757" spans="1:33" ht="12" customHeight="1">
      <c r="A2757" s="744" t="s">
        <v>1274</v>
      </c>
      <c r="B2757" s="701" t="s">
        <v>1413</v>
      </c>
      <c r="C2757" s="702" t="s">
        <v>422</v>
      </c>
      <c r="D2757" s="704"/>
      <c r="E2757" s="705"/>
      <c r="F2757" s="573"/>
      <c r="G2757" s="487"/>
      <c r="H2757" s="573"/>
      <c r="I2757" s="487"/>
      <c r="J2757" s="573"/>
      <c r="K2757" s="487"/>
      <c r="L2757" s="573"/>
      <c r="M2757" s="573"/>
      <c r="N2757" s="456">
        <f t="shared" si="345"/>
        <v>0</v>
      </c>
      <c r="O2757" s="487"/>
      <c r="P2757" s="487"/>
      <c r="Q2757" s="274">
        <f t="shared" si="340"/>
        <v>0</v>
      </c>
      <c r="R2757" s="574">
        <f t="shared" si="341"/>
        <v>0</v>
      </c>
      <c r="S2757" s="275">
        <f t="shared" si="342"/>
        <v>0</v>
      </c>
      <c r="T2757" s="575"/>
      <c r="U2757" s="487"/>
      <c r="V2757" s="576"/>
      <c r="W2757" s="573"/>
      <c r="X2757" s="574">
        <f t="shared" si="346"/>
        <v>0</v>
      </c>
      <c r="Y2757" s="487"/>
      <c r="Z2757" s="487"/>
      <c r="AA2757" s="276">
        <f t="shared" si="347"/>
        <v>0</v>
      </c>
      <c r="AB2757" s="573"/>
      <c r="AC2757" s="487"/>
      <c r="AD2757" s="573"/>
      <c r="AE2757" s="487"/>
      <c r="AF2757" s="577">
        <f t="shared" si="343"/>
        <v>0</v>
      </c>
      <c r="AG2757" s="275">
        <f t="shared" si="344"/>
        <v>0</v>
      </c>
    </row>
    <row r="2758" spans="1:33" ht="12" customHeight="1">
      <c r="A2758" s="744" t="s">
        <v>1274</v>
      </c>
      <c r="B2758" s="701" t="s">
        <v>1582</v>
      </c>
      <c r="C2758" s="702" t="s">
        <v>1883</v>
      </c>
      <c r="D2758" s="704"/>
      <c r="E2758" s="705"/>
      <c r="F2758" s="573"/>
      <c r="G2758" s="487"/>
      <c r="H2758" s="573"/>
      <c r="I2758" s="487"/>
      <c r="J2758" s="573"/>
      <c r="K2758" s="487"/>
      <c r="L2758" s="573"/>
      <c r="M2758" s="573"/>
      <c r="N2758" s="456">
        <f t="shared" si="345"/>
        <v>0</v>
      </c>
      <c r="O2758" s="487"/>
      <c r="P2758" s="487"/>
      <c r="Q2758" s="274">
        <f t="shared" si="340"/>
        <v>0</v>
      </c>
      <c r="R2758" s="574">
        <f t="shared" si="341"/>
        <v>0</v>
      </c>
      <c r="S2758" s="275">
        <f t="shared" si="342"/>
        <v>0</v>
      </c>
      <c r="T2758" s="965">
        <v>5315872</v>
      </c>
      <c r="U2758" s="487">
        <v>5076818</v>
      </c>
      <c r="V2758" s="576"/>
      <c r="W2758" s="573"/>
      <c r="X2758" s="574">
        <f t="shared" si="346"/>
        <v>0</v>
      </c>
      <c r="Y2758" s="487"/>
      <c r="Z2758" s="487"/>
      <c r="AA2758" s="276">
        <f t="shared" si="347"/>
        <v>0</v>
      </c>
      <c r="AB2758" s="573"/>
      <c r="AC2758" s="487"/>
      <c r="AD2758" s="573"/>
      <c r="AE2758" s="487"/>
      <c r="AF2758" s="577">
        <f t="shared" si="343"/>
        <v>5315872</v>
      </c>
      <c r="AG2758" s="275">
        <f t="shared" si="344"/>
        <v>5076818</v>
      </c>
    </row>
    <row r="2759" spans="1:33" ht="12" customHeight="1">
      <c r="A2759" s="744" t="s">
        <v>1274</v>
      </c>
      <c r="B2759" s="701" t="s">
        <v>1583</v>
      </c>
      <c r="C2759" s="702" t="s">
        <v>1761</v>
      </c>
      <c r="D2759" s="704"/>
      <c r="E2759" s="705"/>
      <c r="F2759" s="573"/>
      <c r="G2759" s="487"/>
      <c r="H2759" s="573"/>
      <c r="I2759" s="487"/>
      <c r="J2759" s="573"/>
      <c r="K2759" s="487"/>
      <c r="L2759" s="573"/>
      <c r="M2759" s="573"/>
      <c r="N2759" s="456">
        <f t="shared" si="345"/>
        <v>0</v>
      </c>
      <c r="O2759" s="487"/>
      <c r="P2759" s="487"/>
      <c r="Q2759" s="274">
        <f t="shared" si="340"/>
        <v>0</v>
      </c>
      <c r="R2759" s="574">
        <f t="shared" si="341"/>
        <v>0</v>
      </c>
      <c r="S2759" s="275">
        <f t="shared" si="342"/>
        <v>0</v>
      </c>
      <c r="T2759" s="575"/>
      <c r="U2759" s="487"/>
      <c r="V2759" s="576"/>
      <c r="W2759" s="573"/>
      <c r="X2759" s="574">
        <f t="shared" si="346"/>
        <v>0</v>
      </c>
      <c r="Y2759" s="487"/>
      <c r="Z2759" s="487"/>
      <c r="AA2759" s="276">
        <f t="shared" si="347"/>
        <v>0</v>
      </c>
      <c r="AB2759" s="573"/>
      <c r="AC2759" s="487"/>
      <c r="AD2759" s="573"/>
      <c r="AE2759" s="487"/>
      <c r="AF2759" s="577">
        <f t="shared" si="343"/>
        <v>0</v>
      </c>
      <c r="AG2759" s="275">
        <f t="shared" si="344"/>
        <v>0</v>
      </c>
    </row>
    <row r="2760" spans="1:33" ht="12" customHeight="1">
      <c r="A2760" s="744" t="s">
        <v>1274</v>
      </c>
      <c r="B2760" s="701" t="s">
        <v>1805</v>
      </c>
      <c r="C2760" s="315" t="s">
        <v>132</v>
      </c>
      <c r="D2760" s="704"/>
      <c r="E2760" s="705"/>
      <c r="F2760" s="573"/>
      <c r="G2760" s="487"/>
      <c r="H2760" s="573"/>
      <c r="I2760" s="487"/>
      <c r="J2760" s="573"/>
      <c r="K2760" s="487"/>
      <c r="L2760" s="573"/>
      <c r="M2760" s="573"/>
      <c r="N2760" s="456">
        <f t="shared" si="345"/>
        <v>0</v>
      </c>
      <c r="O2760" s="487"/>
      <c r="P2760" s="487"/>
      <c r="Q2760" s="274">
        <f t="shared" si="340"/>
        <v>0</v>
      </c>
      <c r="R2760" s="574">
        <f t="shared" si="341"/>
        <v>0</v>
      </c>
      <c r="S2760" s="275">
        <f t="shared" si="342"/>
        <v>0</v>
      </c>
      <c r="T2760" s="575"/>
      <c r="U2760" s="487"/>
      <c r="V2760" s="576"/>
      <c r="W2760" s="573"/>
      <c r="X2760" s="574">
        <f t="shared" si="346"/>
        <v>0</v>
      </c>
      <c r="Y2760" s="487"/>
      <c r="Z2760" s="487"/>
      <c r="AA2760" s="276">
        <f t="shared" si="347"/>
        <v>0</v>
      </c>
      <c r="AB2760" s="573"/>
      <c r="AC2760" s="487"/>
      <c r="AD2760" s="573"/>
      <c r="AE2760" s="487"/>
      <c r="AF2760" s="577">
        <f t="shared" si="343"/>
        <v>0</v>
      </c>
      <c r="AG2760" s="275">
        <f t="shared" si="344"/>
        <v>0</v>
      </c>
    </row>
    <row r="2761" spans="1:33" ht="12" customHeight="1">
      <c r="A2761" s="744" t="s">
        <v>1274</v>
      </c>
      <c r="B2761" s="701" t="s">
        <v>1882</v>
      </c>
      <c r="C2761" s="702" t="s">
        <v>1883</v>
      </c>
      <c r="D2761" s="704"/>
      <c r="E2761" s="705"/>
      <c r="F2761" s="573"/>
      <c r="G2761" s="487"/>
      <c r="H2761" s="573"/>
      <c r="I2761" s="487"/>
      <c r="J2761" s="573"/>
      <c r="K2761" s="487"/>
      <c r="L2761" s="573"/>
      <c r="M2761" s="573"/>
      <c r="N2761" s="456">
        <f t="shared" si="345"/>
        <v>0</v>
      </c>
      <c r="O2761" s="487"/>
      <c r="P2761" s="487"/>
      <c r="Q2761" s="274">
        <f t="shared" si="340"/>
        <v>0</v>
      </c>
      <c r="R2761" s="574">
        <f t="shared" si="341"/>
        <v>0</v>
      </c>
      <c r="S2761" s="275">
        <f t="shared" si="342"/>
        <v>0</v>
      </c>
      <c r="T2761" s="575"/>
      <c r="U2761" s="487"/>
      <c r="V2761" s="576"/>
      <c r="W2761" s="573"/>
      <c r="X2761" s="574">
        <f t="shared" si="346"/>
        <v>0</v>
      </c>
      <c r="Y2761" s="487"/>
      <c r="Z2761" s="487"/>
      <c r="AA2761" s="276">
        <f t="shared" si="347"/>
        <v>0</v>
      </c>
      <c r="AB2761" s="573"/>
      <c r="AC2761" s="487"/>
      <c r="AD2761" s="573"/>
      <c r="AE2761" s="487"/>
      <c r="AF2761" s="577">
        <f t="shared" si="343"/>
        <v>0</v>
      </c>
      <c r="AG2761" s="275">
        <f t="shared" si="344"/>
        <v>0</v>
      </c>
    </row>
    <row r="2762" spans="1:33" ht="12" customHeight="1">
      <c r="A2762" s="744" t="s">
        <v>1274</v>
      </c>
      <c r="B2762" s="701" t="s">
        <v>1763</v>
      </c>
      <c r="C2762" s="702" t="s">
        <v>1761</v>
      </c>
      <c r="D2762" s="704"/>
      <c r="E2762" s="705"/>
      <c r="F2762" s="573"/>
      <c r="G2762" s="487"/>
      <c r="H2762" s="573"/>
      <c r="I2762" s="487"/>
      <c r="J2762" s="573"/>
      <c r="K2762" s="487"/>
      <c r="L2762" s="573"/>
      <c r="M2762" s="573"/>
      <c r="N2762" s="456">
        <f t="shared" si="345"/>
        <v>0</v>
      </c>
      <c r="O2762" s="487"/>
      <c r="P2762" s="487"/>
      <c r="Q2762" s="274">
        <f t="shared" ref="Q2762:Q2825" si="348">SUM(O2762:P2762)</f>
        <v>0</v>
      </c>
      <c r="R2762" s="574">
        <f t="shared" ref="R2762:R2825" si="349">SUM(F2762,H2762,J2762,L2762)</f>
        <v>0</v>
      </c>
      <c r="S2762" s="275">
        <f t="shared" ref="S2762:S2825" si="350">SUM(G2762,I2762,K2762,O2762)</f>
        <v>0</v>
      </c>
      <c r="T2762" s="965">
        <v>1300000</v>
      </c>
      <c r="U2762" s="949">
        <v>1700000</v>
      </c>
      <c r="V2762" s="576"/>
      <c r="W2762" s="573"/>
      <c r="X2762" s="574">
        <f t="shared" si="346"/>
        <v>0</v>
      </c>
      <c r="Y2762" s="487"/>
      <c r="Z2762" s="487"/>
      <c r="AA2762" s="276">
        <f t="shared" si="347"/>
        <v>0</v>
      </c>
      <c r="AB2762" s="573"/>
      <c r="AC2762" s="487"/>
      <c r="AD2762" s="573"/>
      <c r="AE2762" s="487"/>
      <c r="AF2762" s="577">
        <f t="shared" ref="AF2762:AF2825" si="351">SUM(R2762,T2762,V2762,AB2762,AD2762)</f>
        <v>1300000</v>
      </c>
      <c r="AG2762" s="275">
        <f t="shared" ref="AG2762:AG2825" si="352">SUM(S2762,U2762,Y2762,AC2762,AE2762)</f>
        <v>1700000</v>
      </c>
    </row>
    <row r="2763" spans="1:33" ht="12" customHeight="1">
      <c r="A2763" s="744" t="s">
        <v>1274</v>
      </c>
      <c r="B2763" s="701" t="s">
        <v>1805</v>
      </c>
      <c r="C2763" s="301" t="s">
        <v>133</v>
      </c>
      <c r="D2763" s="704"/>
      <c r="E2763" s="705"/>
      <c r="F2763" s="573"/>
      <c r="G2763" s="487"/>
      <c r="H2763" s="573"/>
      <c r="I2763" s="487"/>
      <c r="J2763" s="573"/>
      <c r="K2763" s="487"/>
      <c r="L2763" s="573"/>
      <c r="M2763" s="573"/>
      <c r="N2763" s="456">
        <f t="shared" si="345"/>
        <v>0</v>
      </c>
      <c r="O2763" s="487"/>
      <c r="P2763" s="487"/>
      <c r="Q2763" s="274">
        <f t="shared" si="348"/>
        <v>0</v>
      </c>
      <c r="R2763" s="574">
        <f t="shared" si="349"/>
        <v>0</v>
      </c>
      <c r="S2763" s="275">
        <f t="shared" si="350"/>
        <v>0</v>
      </c>
      <c r="T2763" s="752"/>
      <c r="U2763" s="487"/>
      <c r="V2763" s="576"/>
      <c r="W2763" s="573"/>
      <c r="X2763" s="574">
        <f t="shared" si="346"/>
        <v>0</v>
      </c>
      <c r="Y2763" s="487"/>
      <c r="Z2763" s="487"/>
      <c r="AA2763" s="276">
        <f t="shared" si="347"/>
        <v>0</v>
      </c>
      <c r="AB2763" s="573"/>
      <c r="AC2763" s="487"/>
      <c r="AD2763" s="573"/>
      <c r="AE2763" s="487"/>
      <c r="AF2763" s="577">
        <f t="shared" si="351"/>
        <v>0</v>
      </c>
      <c r="AG2763" s="275">
        <f t="shared" si="352"/>
        <v>0</v>
      </c>
    </row>
    <row r="2764" spans="1:33" ht="12" customHeight="1">
      <c r="A2764" s="744" t="s">
        <v>1274</v>
      </c>
      <c r="B2764" s="701" t="s">
        <v>1805</v>
      </c>
      <c r="C2764" s="959" t="s">
        <v>2030</v>
      </c>
      <c r="D2764" s="704"/>
      <c r="E2764" s="705"/>
      <c r="F2764" s="573"/>
      <c r="G2764" s="487"/>
      <c r="H2764" s="573"/>
      <c r="I2764" s="487"/>
      <c r="J2764" s="573"/>
      <c r="K2764" s="487"/>
      <c r="L2764" s="573"/>
      <c r="M2764" s="573"/>
      <c r="N2764" s="456">
        <f t="shared" si="345"/>
        <v>0</v>
      </c>
      <c r="O2764" s="487"/>
      <c r="P2764" s="487"/>
      <c r="Q2764" s="274">
        <f t="shared" si="348"/>
        <v>0</v>
      </c>
      <c r="R2764" s="574">
        <f t="shared" si="349"/>
        <v>0</v>
      </c>
      <c r="S2764" s="275">
        <f t="shared" si="350"/>
        <v>0</v>
      </c>
      <c r="T2764" s="965">
        <v>129187</v>
      </c>
      <c r="U2764" s="949">
        <v>109138</v>
      </c>
      <c r="V2764" s="576"/>
      <c r="W2764" s="573"/>
      <c r="X2764" s="574">
        <f t="shared" si="346"/>
        <v>0</v>
      </c>
      <c r="Y2764" s="487"/>
      <c r="Z2764" s="487"/>
      <c r="AA2764" s="276">
        <f t="shared" si="347"/>
        <v>0</v>
      </c>
      <c r="AB2764" s="573"/>
      <c r="AC2764" s="487"/>
      <c r="AD2764" s="573"/>
      <c r="AE2764" s="487"/>
      <c r="AF2764" s="577">
        <f t="shared" si="351"/>
        <v>129187</v>
      </c>
      <c r="AG2764" s="275">
        <f t="shared" si="352"/>
        <v>109138</v>
      </c>
    </row>
    <row r="2765" spans="1:33" ht="12" customHeight="1">
      <c r="A2765" s="744" t="s">
        <v>1274</v>
      </c>
      <c r="B2765" s="701" t="s">
        <v>1805</v>
      </c>
      <c r="C2765" s="959" t="s">
        <v>2031</v>
      </c>
      <c r="D2765" s="704"/>
      <c r="E2765" s="705"/>
      <c r="F2765" s="573"/>
      <c r="G2765" s="487"/>
      <c r="H2765" s="573"/>
      <c r="I2765" s="487"/>
      <c r="J2765" s="573"/>
      <c r="K2765" s="487"/>
      <c r="L2765" s="573"/>
      <c r="M2765" s="573"/>
      <c r="N2765" s="456">
        <f t="shared" si="345"/>
        <v>0</v>
      </c>
      <c r="O2765" s="487"/>
      <c r="P2765" s="487"/>
      <c r="Q2765" s="274">
        <f t="shared" si="348"/>
        <v>0</v>
      </c>
      <c r="R2765" s="574">
        <f t="shared" si="349"/>
        <v>0</v>
      </c>
      <c r="S2765" s="275">
        <f t="shared" si="350"/>
        <v>0</v>
      </c>
      <c r="T2765" s="965">
        <v>1700000</v>
      </c>
      <c r="U2765" s="949"/>
      <c r="V2765" s="576"/>
      <c r="W2765" s="573"/>
      <c r="X2765" s="574">
        <f t="shared" si="346"/>
        <v>0</v>
      </c>
      <c r="Y2765" s="487"/>
      <c r="Z2765" s="487"/>
      <c r="AA2765" s="276">
        <f t="shared" si="347"/>
        <v>0</v>
      </c>
      <c r="AB2765" s="573"/>
      <c r="AC2765" s="487"/>
      <c r="AD2765" s="573"/>
      <c r="AE2765" s="487"/>
      <c r="AF2765" s="577">
        <f t="shared" si="351"/>
        <v>1700000</v>
      </c>
      <c r="AG2765" s="275">
        <f t="shared" si="352"/>
        <v>0</v>
      </c>
    </row>
    <row r="2766" spans="1:33" ht="12" customHeight="1">
      <c r="A2766" s="744" t="s">
        <v>1274</v>
      </c>
      <c r="B2766" s="703" t="s">
        <v>1806</v>
      </c>
      <c r="C2766" s="488" t="s">
        <v>912</v>
      </c>
      <c r="D2766" s="696"/>
      <c r="E2766" s="697"/>
      <c r="F2766" s="573"/>
      <c r="G2766" s="487"/>
      <c r="H2766" s="573"/>
      <c r="I2766" s="487"/>
      <c r="J2766" s="573"/>
      <c r="K2766" s="487"/>
      <c r="L2766" s="573"/>
      <c r="M2766" s="573"/>
      <c r="N2766" s="456">
        <f t="shared" si="345"/>
        <v>0</v>
      </c>
      <c r="O2766" s="487"/>
      <c r="P2766" s="487"/>
      <c r="Q2766" s="274">
        <f t="shared" si="348"/>
        <v>0</v>
      </c>
      <c r="R2766" s="574">
        <f t="shared" si="349"/>
        <v>0</v>
      </c>
      <c r="S2766" s="275">
        <f t="shared" si="350"/>
        <v>0</v>
      </c>
      <c r="T2766" s="575"/>
      <c r="U2766" s="487"/>
      <c r="V2766" s="576"/>
      <c r="W2766" s="573"/>
      <c r="X2766" s="574">
        <f t="shared" si="346"/>
        <v>0</v>
      </c>
      <c r="Y2766" s="487"/>
      <c r="Z2766" s="487"/>
      <c r="AA2766" s="276">
        <f t="shared" si="347"/>
        <v>0</v>
      </c>
      <c r="AB2766" s="573"/>
      <c r="AC2766" s="487"/>
      <c r="AD2766" s="573"/>
      <c r="AE2766" s="487"/>
      <c r="AF2766" s="577">
        <f t="shared" si="351"/>
        <v>0</v>
      </c>
      <c r="AG2766" s="275">
        <f t="shared" si="352"/>
        <v>0</v>
      </c>
    </row>
    <row r="2767" spans="1:33" ht="12" customHeight="1" thickBot="1">
      <c r="A2767" s="744" t="s">
        <v>1274</v>
      </c>
      <c r="B2767" s="703" t="s">
        <v>1807</v>
      </c>
      <c r="C2767" s="488" t="s">
        <v>1879</v>
      </c>
      <c r="D2767" s="696"/>
      <c r="E2767" s="697"/>
      <c r="F2767" s="573"/>
      <c r="G2767" s="487"/>
      <c r="H2767" s="573"/>
      <c r="I2767" s="487"/>
      <c r="J2767" s="573"/>
      <c r="K2767" s="487"/>
      <c r="L2767" s="573"/>
      <c r="M2767" s="573"/>
      <c r="N2767" s="456">
        <f t="shared" si="345"/>
        <v>0</v>
      </c>
      <c r="O2767" s="487"/>
      <c r="P2767" s="487"/>
      <c r="Q2767" s="274">
        <f t="shared" si="348"/>
        <v>0</v>
      </c>
      <c r="R2767" s="574">
        <f t="shared" si="349"/>
        <v>0</v>
      </c>
      <c r="S2767" s="275">
        <f t="shared" si="350"/>
        <v>0</v>
      </c>
      <c r="T2767" s="800"/>
      <c r="U2767" s="487"/>
      <c r="V2767" s="576"/>
      <c r="W2767" s="573"/>
      <c r="X2767" s="574">
        <f t="shared" si="346"/>
        <v>0</v>
      </c>
      <c r="Y2767" s="487"/>
      <c r="Z2767" s="487"/>
      <c r="AA2767" s="276">
        <f t="shared" si="347"/>
        <v>0</v>
      </c>
      <c r="AB2767" s="573"/>
      <c r="AC2767" s="487"/>
      <c r="AD2767" s="573"/>
      <c r="AE2767" s="487"/>
      <c r="AF2767" s="577">
        <f t="shared" si="351"/>
        <v>0</v>
      </c>
      <c r="AG2767" s="275">
        <f t="shared" si="352"/>
        <v>0</v>
      </c>
    </row>
    <row r="2768" spans="1:33" ht="12" customHeight="1">
      <c r="A2768" s="744" t="s">
        <v>1274</v>
      </c>
      <c r="B2768" s="703" t="s">
        <v>1807</v>
      </c>
      <c r="C2768" s="301" t="s">
        <v>131</v>
      </c>
      <c r="D2768" s="696"/>
      <c r="E2768" s="697"/>
      <c r="F2768" s="573"/>
      <c r="G2768" s="487"/>
      <c r="H2768" s="573"/>
      <c r="I2768" s="487"/>
      <c r="J2768" s="573"/>
      <c r="K2768" s="487"/>
      <c r="L2768" s="573"/>
      <c r="M2768" s="573"/>
      <c r="N2768" s="456">
        <f t="shared" si="345"/>
        <v>0</v>
      </c>
      <c r="O2768" s="487"/>
      <c r="P2768" s="487"/>
      <c r="Q2768" s="274">
        <f t="shared" si="348"/>
        <v>0</v>
      </c>
      <c r="R2768" s="574">
        <f t="shared" si="349"/>
        <v>0</v>
      </c>
      <c r="S2768" s="275">
        <f t="shared" si="350"/>
        <v>0</v>
      </c>
      <c r="T2768" s="518">
        <v>0</v>
      </c>
      <c r="U2768" s="487"/>
      <c r="V2768" s="576"/>
      <c r="W2768" s="573"/>
      <c r="X2768" s="574">
        <f t="shared" si="346"/>
        <v>0</v>
      </c>
      <c r="Y2768" s="487"/>
      <c r="Z2768" s="487"/>
      <c r="AA2768" s="276">
        <f t="shared" si="347"/>
        <v>0</v>
      </c>
      <c r="AB2768" s="573"/>
      <c r="AC2768" s="487"/>
      <c r="AD2768" s="573"/>
      <c r="AE2768" s="487"/>
      <c r="AF2768" s="577">
        <f t="shared" si="351"/>
        <v>0</v>
      </c>
      <c r="AG2768" s="275">
        <f t="shared" si="352"/>
        <v>0</v>
      </c>
    </row>
    <row r="2769" spans="1:33" ht="12" customHeight="1">
      <c r="A2769" s="744" t="s">
        <v>1274</v>
      </c>
      <c r="B2769" s="701" t="s">
        <v>1766</v>
      </c>
      <c r="C2769" s="702" t="s">
        <v>1883</v>
      </c>
      <c r="D2769" s="704"/>
      <c r="E2769" s="705"/>
      <c r="F2769" s="573"/>
      <c r="G2769" s="487"/>
      <c r="H2769" s="573"/>
      <c r="I2769" s="487"/>
      <c r="J2769" s="573"/>
      <c r="K2769" s="487"/>
      <c r="L2769" s="573"/>
      <c r="M2769" s="573"/>
      <c r="N2769" s="456">
        <f t="shared" si="345"/>
        <v>0</v>
      </c>
      <c r="O2769" s="487"/>
      <c r="P2769" s="487"/>
      <c r="Q2769" s="274">
        <f t="shared" si="348"/>
        <v>0</v>
      </c>
      <c r="R2769" s="574">
        <f t="shared" si="349"/>
        <v>0</v>
      </c>
      <c r="S2769" s="275">
        <f t="shared" si="350"/>
        <v>0</v>
      </c>
      <c r="T2769" s="966">
        <f>22188449+7766604</f>
        <v>29955053</v>
      </c>
      <c r="U2769" s="949">
        <v>29844497</v>
      </c>
      <c r="V2769" s="576"/>
      <c r="W2769" s="573"/>
      <c r="X2769" s="574">
        <f t="shared" si="346"/>
        <v>0</v>
      </c>
      <c r="Y2769" s="487"/>
      <c r="Z2769" s="487"/>
      <c r="AA2769" s="276">
        <f t="shared" si="347"/>
        <v>0</v>
      </c>
      <c r="AB2769" s="573"/>
      <c r="AC2769" s="487"/>
      <c r="AD2769" s="573"/>
      <c r="AE2769" s="487"/>
      <c r="AF2769" s="577">
        <f t="shared" si="351"/>
        <v>29955053</v>
      </c>
      <c r="AG2769" s="275">
        <f t="shared" si="352"/>
        <v>29844497</v>
      </c>
    </row>
    <row r="2770" spans="1:33" ht="12" customHeight="1">
      <c r="A2770" s="744" t="s">
        <v>1274</v>
      </c>
      <c r="B2770" s="701" t="s">
        <v>1767</v>
      </c>
      <c r="C2770" s="702" t="s">
        <v>1761</v>
      </c>
      <c r="D2770" s="704"/>
      <c r="E2770" s="705"/>
      <c r="F2770" s="573"/>
      <c r="G2770" s="487"/>
      <c r="H2770" s="573"/>
      <c r="I2770" s="487"/>
      <c r="J2770" s="573"/>
      <c r="K2770" s="487"/>
      <c r="L2770" s="573"/>
      <c r="M2770" s="573"/>
      <c r="N2770" s="456">
        <f t="shared" si="345"/>
        <v>0</v>
      </c>
      <c r="O2770" s="487"/>
      <c r="P2770" s="487"/>
      <c r="Q2770" s="274">
        <f t="shared" si="348"/>
        <v>0</v>
      </c>
      <c r="R2770" s="574">
        <f t="shared" si="349"/>
        <v>0</v>
      </c>
      <c r="S2770" s="275">
        <f t="shared" si="350"/>
        <v>0</v>
      </c>
      <c r="T2770" s="794"/>
      <c r="U2770" s="487"/>
      <c r="V2770" s="576"/>
      <c r="W2770" s="573"/>
      <c r="X2770" s="574">
        <f t="shared" si="346"/>
        <v>0</v>
      </c>
      <c r="Y2770" s="487"/>
      <c r="Z2770" s="487"/>
      <c r="AA2770" s="276">
        <f t="shared" si="347"/>
        <v>0</v>
      </c>
      <c r="AB2770" s="573"/>
      <c r="AC2770" s="487"/>
      <c r="AD2770" s="573"/>
      <c r="AE2770" s="487"/>
      <c r="AF2770" s="577">
        <f t="shared" si="351"/>
        <v>0</v>
      </c>
      <c r="AG2770" s="275">
        <f t="shared" si="352"/>
        <v>0</v>
      </c>
    </row>
    <row r="2771" spans="1:33" ht="12" customHeight="1">
      <c r="A2771" s="753" t="s">
        <v>1283</v>
      </c>
      <c r="B2771" s="754" t="s">
        <v>1776</v>
      </c>
      <c r="C2771" s="755" t="s">
        <v>134</v>
      </c>
      <c r="D2771" s="709">
        <v>221759</v>
      </c>
      <c r="E2771" s="710">
        <v>1</v>
      </c>
      <c r="F2771" s="573">
        <v>202406600</v>
      </c>
      <c r="G2771" s="487">
        <v>178669100</v>
      </c>
      <c r="H2771" s="573"/>
      <c r="I2771" s="487"/>
      <c r="J2771" s="573"/>
      <c r="K2771" s="487"/>
      <c r="L2771" s="573">
        <v>176406500</v>
      </c>
      <c r="M2771" s="573">
        <v>2750357</v>
      </c>
      <c r="N2771" s="456">
        <f t="shared" ref="N2771:N2834" si="353">SUM(L2771:M2771)</f>
        <v>179156857</v>
      </c>
      <c r="O2771" s="487">
        <v>187709000</v>
      </c>
      <c r="P2771" s="487">
        <v>2778630</v>
      </c>
      <c r="Q2771" s="274">
        <f t="shared" si="348"/>
        <v>190487630</v>
      </c>
      <c r="R2771" s="574">
        <f t="shared" si="349"/>
        <v>378813100</v>
      </c>
      <c r="S2771" s="275">
        <f t="shared" si="350"/>
        <v>366378100</v>
      </c>
      <c r="T2771" s="575"/>
      <c r="U2771" s="487"/>
      <c r="V2771" s="576"/>
      <c r="W2771" s="573"/>
      <c r="X2771" s="574">
        <f t="shared" ref="X2771:X2834" si="354">SUM(V2771:W2771)</f>
        <v>0</v>
      </c>
      <c r="Y2771" s="487"/>
      <c r="Z2771" s="487"/>
      <c r="AA2771" s="276">
        <f t="shared" ref="AA2771:AA2834" si="355">SUM(Y2771:Z2771)</f>
        <v>0</v>
      </c>
      <c r="AB2771" s="573"/>
      <c r="AC2771" s="487"/>
      <c r="AD2771" s="573"/>
      <c r="AE2771" s="487"/>
      <c r="AF2771" s="577">
        <f t="shared" si="351"/>
        <v>378813100</v>
      </c>
      <c r="AG2771" s="275">
        <f t="shared" si="352"/>
        <v>366378100</v>
      </c>
    </row>
    <row r="2772" spans="1:33" ht="12" customHeight="1">
      <c r="A2772" s="753" t="s">
        <v>1283</v>
      </c>
      <c r="B2772" s="754" t="s">
        <v>1778</v>
      </c>
      <c r="C2772" s="302" t="s">
        <v>135</v>
      </c>
      <c r="D2772" s="709">
        <v>221759</v>
      </c>
      <c r="E2772" s="710">
        <v>1</v>
      </c>
      <c r="F2772" s="573"/>
      <c r="G2772" s="487"/>
      <c r="H2772" s="573"/>
      <c r="I2772" s="487"/>
      <c r="J2772" s="573"/>
      <c r="K2772" s="487"/>
      <c r="L2772" s="573"/>
      <c r="M2772" s="573"/>
      <c r="N2772" s="456">
        <f t="shared" si="353"/>
        <v>0</v>
      </c>
      <c r="O2772" s="487"/>
      <c r="P2772" s="487"/>
      <c r="Q2772" s="274">
        <f t="shared" si="348"/>
        <v>0</v>
      </c>
      <c r="R2772" s="574">
        <f t="shared" si="349"/>
        <v>0</v>
      </c>
      <c r="S2772" s="275">
        <f t="shared" si="350"/>
        <v>0</v>
      </c>
      <c r="T2772" s="575"/>
      <c r="U2772" s="487"/>
      <c r="V2772" s="576"/>
      <c r="W2772" s="573"/>
      <c r="X2772" s="574">
        <f t="shared" si="354"/>
        <v>0</v>
      </c>
      <c r="Y2772" s="487"/>
      <c r="Z2772" s="487"/>
      <c r="AA2772" s="276">
        <f t="shared" si="355"/>
        <v>0</v>
      </c>
      <c r="AB2772" s="573"/>
      <c r="AC2772" s="487"/>
      <c r="AD2772" s="573"/>
      <c r="AE2772" s="487"/>
      <c r="AF2772" s="577">
        <f t="shared" si="351"/>
        <v>0</v>
      </c>
      <c r="AG2772" s="275">
        <f t="shared" si="352"/>
        <v>0</v>
      </c>
    </row>
    <row r="2773" spans="1:33" ht="12" customHeight="1">
      <c r="A2773" s="753" t="s">
        <v>1283</v>
      </c>
      <c r="B2773" s="754" t="s">
        <v>1778</v>
      </c>
      <c r="C2773" s="756" t="s">
        <v>136</v>
      </c>
      <c r="D2773" s="709">
        <v>221759</v>
      </c>
      <c r="E2773" s="710">
        <v>1</v>
      </c>
      <c r="F2773" s="573"/>
      <c r="G2773" s="487"/>
      <c r="H2773" s="573">
        <v>2743100</v>
      </c>
      <c r="I2773" s="487">
        <v>2601900</v>
      </c>
      <c r="J2773" s="573"/>
      <c r="K2773" s="487"/>
      <c r="L2773" s="573"/>
      <c r="M2773" s="573"/>
      <c r="N2773" s="456">
        <f t="shared" si="353"/>
        <v>0</v>
      </c>
      <c r="O2773" s="487"/>
      <c r="P2773" s="487"/>
      <c r="Q2773" s="274">
        <f t="shared" si="348"/>
        <v>0</v>
      </c>
      <c r="R2773" s="574">
        <f t="shared" si="349"/>
        <v>2743100</v>
      </c>
      <c r="S2773" s="275">
        <f t="shared" si="350"/>
        <v>2601900</v>
      </c>
      <c r="T2773" s="575"/>
      <c r="U2773" s="487"/>
      <c r="V2773" s="576"/>
      <c r="W2773" s="573"/>
      <c r="X2773" s="574">
        <f t="shared" si="354"/>
        <v>0</v>
      </c>
      <c r="Y2773" s="487"/>
      <c r="Z2773" s="487"/>
      <c r="AA2773" s="276">
        <f t="shared" si="355"/>
        <v>0</v>
      </c>
      <c r="AB2773" s="573"/>
      <c r="AC2773" s="487"/>
      <c r="AD2773" s="573"/>
      <c r="AE2773" s="487"/>
      <c r="AF2773" s="577">
        <f t="shared" si="351"/>
        <v>2743100</v>
      </c>
      <c r="AG2773" s="275">
        <f t="shared" si="352"/>
        <v>2601900</v>
      </c>
    </row>
    <row r="2774" spans="1:33" ht="12" customHeight="1">
      <c r="A2774" s="753" t="s">
        <v>1283</v>
      </c>
      <c r="B2774" s="754" t="s">
        <v>1778</v>
      </c>
      <c r="C2774" s="756" t="s">
        <v>137</v>
      </c>
      <c r="D2774" s="709">
        <v>221759</v>
      </c>
      <c r="E2774" s="710">
        <v>1</v>
      </c>
      <c r="F2774" s="573"/>
      <c r="G2774" s="487"/>
      <c r="H2774" s="573">
        <v>1605900</v>
      </c>
      <c r="I2774" s="487">
        <v>1519600</v>
      </c>
      <c r="J2774" s="573"/>
      <c r="K2774" s="487"/>
      <c r="L2774" s="573"/>
      <c r="M2774" s="573"/>
      <c r="N2774" s="456">
        <f t="shared" si="353"/>
        <v>0</v>
      </c>
      <c r="O2774" s="487"/>
      <c r="P2774" s="487"/>
      <c r="Q2774" s="274">
        <f t="shared" si="348"/>
        <v>0</v>
      </c>
      <c r="R2774" s="574">
        <f t="shared" si="349"/>
        <v>1605900</v>
      </c>
      <c r="S2774" s="275">
        <f t="shared" si="350"/>
        <v>1519600</v>
      </c>
      <c r="T2774" s="575"/>
      <c r="U2774" s="487"/>
      <c r="V2774" s="576"/>
      <c r="W2774" s="573"/>
      <c r="X2774" s="574">
        <f t="shared" si="354"/>
        <v>0</v>
      </c>
      <c r="Y2774" s="487"/>
      <c r="Z2774" s="487"/>
      <c r="AA2774" s="276">
        <f t="shared" si="355"/>
        <v>0</v>
      </c>
      <c r="AB2774" s="573"/>
      <c r="AC2774" s="487"/>
      <c r="AD2774" s="573"/>
      <c r="AE2774" s="487"/>
      <c r="AF2774" s="577">
        <f t="shared" si="351"/>
        <v>1605900</v>
      </c>
      <c r="AG2774" s="275">
        <f t="shared" si="352"/>
        <v>1519600</v>
      </c>
    </row>
    <row r="2775" spans="1:33" ht="12" customHeight="1">
      <c r="A2775" s="753" t="s">
        <v>1283</v>
      </c>
      <c r="B2775" s="754" t="s">
        <v>1778</v>
      </c>
      <c r="C2775" s="756" t="s">
        <v>138</v>
      </c>
      <c r="D2775" s="709">
        <v>221759</v>
      </c>
      <c r="E2775" s="710">
        <v>1</v>
      </c>
      <c r="F2775" s="573"/>
      <c r="G2775" s="487"/>
      <c r="H2775" s="573">
        <v>4980000</v>
      </c>
      <c r="I2775" s="487">
        <v>4806500</v>
      </c>
      <c r="J2775" s="573"/>
      <c r="K2775" s="487"/>
      <c r="L2775" s="573"/>
      <c r="M2775" s="573"/>
      <c r="N2775" s="456">
        <f t="shared" si="353"/>
        <v>0</v>
      </c>
      <c r="O2775" s="487"/>
      <c r="P2775" s="487"/>
      <c r="Q2775" s="274">
        <f t="shared" si="348"/>
        <v>0</v>
      </c>
      <c r="R2775" s="574">
        <f t="shared" si="349"/>
        <v>4980000</v>
      </c>
      <c r="S2775" s="275">
        <f t="shared" si="350"/>
        <v>4806500</v>
      </c>
      <c r="T2775" s="575"/>
      <c r="U2775" s="487"/>
      <c r="V2775" s="576"/>
      <c r="W2775" s="573"/>
      <c r="X2775" s="574">
        <f t="shared" si="354"/>
        <v>0</v>
      </c>
      <c r="Y2775" s="487"/>
      <c r="Z2775" s="487"/>
      <c r="AA2775" s="276">
        <f t="shared" si="355"/>
        <v>0</v>
      </c>
      <c r="AB2775" s="573"/>
      <c r="AC2775" s="487"/>
      <c r="AD2775" s="573"/>
      <c r="AE2775" s="487"/>
      <c r="AF2775" s="577">
        <f t="shared" si="351"/>
        <v>4980000</v>
      </c>
      <c r="AG2775" s="275">
        <f t="shared" si="352"/>
        <v>4806500</v>
      </c>
    </row>
    <row r="2776" spans="1:33" ht="12" customHeight="1">
      <c r="A2776" s="753" t="s">
        <v>1283</v>
      </c>
      <c r="B2776" s="754" t="s">
        <v>1780</v>
      </c>
      <c r="C2776" s="302" t="s">
        <v>1769</v>
      </c>
      <c r="D2776" s="709">
        <v>221759</v>
      </c>
      <c r="E2776" s="710">
        <v>1</v>
      </c>
      <c r="F2776" s="573"/>
      <c r="G2776" s="487"/>
      <c r="H2776" s="573">
        <v>30095000</v>
      </c>
      <c r="I2776" s="487">
        <v>28694300</v>
      </c>
      <c r="J2776" s="573"/>
      <c r="K2776" s="487"/>
      <c r="L2776" s="573"/>
      <c r="M2776" s="573"/>
      <c r="N2776" s="456">
        <f t="shared" si="353"/>
        <v>0</v>
      </c>
      <c r="O2776" s="487"/>
      <c r="P2776" s="487"/>
      <c r="Q2776" s="274">
        <f t="shared" si="348"/>
        <v>0</v>
      </c>
      <c r="R2776" s="574">
        <f t="shared" si="349"/>
        <v>30095000</v>
      </c>
      <c r="S2776" s="275">
        <f t="shared" si="350"/>
        <v>28694300</v>
      </c>
      <c r="T2776" s="575"/>
      <c r="U2776" s="487"/>
      <c r="V2776" s="576"/>
      <c r="W2776" s="573"/>
      <c r="X2776" s="574">
        <f t="shared" si="354"/>
        <v>0</v>
      </c>
      <c r="Y2776" s="487"/>
      <c r="Z2776" s="487"/>
      <c r="AA2776" s="276">
        <f t="shared" si="355"/>
        <v>0</v>
      </c>
      <c r="AB2776" s="573"/>
      <c r="AC2776" s="487"/>
      <c r="AD2776" s="573"/>
      <c r="AE2776" s="487"/>
      <c r="AF2776" s="577">
        <f t="shared" si="351"/>
        <v>30095000</v>
      </c>
      <c r="AG2776" s="275">
        <f t="shared" si="352"/>
        <v>28694300</v>
      </c>
    </row>
    <row r="2777" spans="1:33" ht="12" customHeight="1">
      <c r="A2777" s="753" t="s">
        <v>1283</v>
      </c>
      <c r="B2777" s="754" t="s">
        <v>1781</v>
      </c>
      <c r="C2777" s="302" t="s">
        <v>1768</v>
      </c>
      <c r="D2777" s="709">
        <v>221759</v>
      </c>
      <c r="E2777" s="710">
        <v>1</v>
      </c>
      <c r="F2777" s="573"/>
      <c r="G2777" s="487"/>
      <c r="H2777" s="573">
        <v>25183200</v>
      </c>
      <c r="I2777" s="487">
        <v>23841500</v>
      </c>
      <c r="J2777" s="573"/>
      <c r="K2777" s="487"/>
      <c r="L2777" s="573"/>
      <c r="M2777" s="573"/>
      <c r="N2777" s="456">
        <f t="shared" si="353"/>
        <v>0</v>
      </c>
      <c r="O2777" s="487"/>
      <c r="P2777" s="487"/>
      <c r="Q2777" s="274">
        <f t="shared" si="348"/>
        <v>0</v>
      </c>
      <c r="R2777" s="574">
        <f t="shared" si="349"/>
        <v>25183200</v>
      </c>
      <c r="S2777" s="275">
        <f t="shared" si="350"/>
        <v>23841500</v>
      </c>
      <c r="T2777" s="575"/>
      <c r="U2777" s="487"/>
      <c r="V2777" s="576"/>
      <c r="W2777" s="573"/>
      <c r="X2777" s="574">
        <f t="shared" si="354"/>
        <v>0</v>
      </c>
      <c r="Y2777" s="487"/>
      <c r="Z2777" s="487"/>
      <c r="AA2777" s="276">
        <f t="shared" si="355"/>
        <v>0</v>
      </c>
      <c r="AB2777" s="573"/>
      <c r="AC2777" s="487"/>
      <c r="AD2777" s="573"/>
      <c r="AE2777" s="487"/>
      <c r="AF2777" s="577">
        <f t="shared" si="351"/>
        <v>25183200</v>
      </c>
      <c r="AG2777" s="275">
        <f t="shared" si="352"/>
        <v>23841500</v>
      </c>
    </row>
    <row r="2778" spans="1:33" ht="12" customHeight="1">
      <c r="A2778" s="753" t="s">
        <v>1283</v>
      </c>
      <c r="B2778" s="754" t="s">
        <v>1776</v>
      </c>
      <c r="C2778" s="755" t="s">
        <v>88</v>
      </c>
      <c r="D2778" s="709">
        <v>220862</v>
      </c>
      <c r="E2778" s="710">
        <v>2</v>
      </c>
      <c r="F2778" s="573">
        <v>127736800</v>
      </c>
      <c r="G2778" s="487">
        <v>113093400</v>
      </c>
      <c r="H2778" s="573"/>
      <c r="I2778" s="487"/>
      <c r="J2778" s="573"/>
      <c r="K2778" s="487"/>
      <c r="L2778" s="573">
        <v>102021731</v>
      </c>
      <c r="M2778" s="573">
        <v>4095136</v>
      </c>
      <c r="N2778" s="456">
        <f t="shared" si="353"/>
        <v>106116867</v>
      </c>
      <c r="O2778" s="487">
        <v>109324948</v>
      </c>
      <c r="P2778" s="487">
        <v>3975136</v>
      </c>
      <c r="Q2778" s="274">
        <f t="shared" si="348"/>
        <v>113300084</v>
      </c>
      <c r="R2778" s="574">
        <f t="shared" si="349"/>
        <v>229758531</v>
      </c>
      <c r="S2778" s="275">
        <f t="shared" si="350"/>
        <v>222418348</v>
      </c>
      <c r="T2778" s="575"/>
      <c r="U2778" s="487"/>
      <c r="V2778" s="576"/>
      <c r="W2778" s="573"/>
      <c r="X2778" s="574">
        <f t="shared" si="354"/>
        <v>0</v>
      </c>
      <c r="Y2778" s="487"/>
      <c r="Z2778" s="487"/>
      <c r="AA2778" s="276">
        <f t="shared" si="355"/>
        <v>0</v>
      </c>
      <c r="AB2778" s="573"/>
      <c r="AC2778" s="487"/>
      <c r="AD2778" s="573"/>
      <c r="AE2778" s="487"/>
      <c r="AF2778" s="577">
        <f t="shared" si="351"/>
        <v>229758531</v>
      </c>
      <c r="AG2778" s="275">
        <f t="shared" si="352"/>
        <v>222418348</v>
      </c>
    </row>
    <row r="2779" spans="1:33" ht="12" customHeight="1">
      <c r="A2779" s="753" t="s">
        <v>1283</v>
      </c>
      <c r="B2779" s="754" t="s">
        <v>1776</v>
      </c>
      <c r="C2779" s="755" t="s">
        <v>89</v>
      </c>
      <c r="D2779" s="709">
        <v>220075</v>
      </c>
      <c r="E2779" s="710">
        <v>3</v>
      </c>
      <c r="F2779" s="573">
        <v>64168100</v>
      </c>
      <c r="G2779" s="487">
        <v>57792100</v>
      </c>
      <c r="H2779" s="573"/>
      <c r="I2779" s="487"/>
      <c r="J2779" s="573"/>
      <c r="K2779" s="487"/>
      <c r="L2779" s="573">
        <v>60832000</v>
      </c>
      <c r="M2779" s="573">
        <v>2123000</v>
      </c>
      <c r="N2779" s="456">
        <f t="shared" si="353"/>
        <v>62955000</v>
      </c>
      <c r="O2779" s="487">
        <v>68232000</v>
      </c>
      <c r="P2779" s="487">
        <v>2498000</v>
      </c>
      <c r="Q2779" s="274">
        <f t="shared" si="348"/>
        <v>70730000</v>
      </c>
      <c r="R2779" s="574">
        <f t="shared" si="349"/>
        <v>125000100</v>
      </c>
      <c r="S2779" s="275">
        <f t="shared" si="350"/>
        <v>126024100</v>
      </c>
      <c r="T2779" s="575"/>
      <c r="U2779" s="487"/>
      <c r="V2779" s="576"/>
      <c r="W2779" s="573"/>
      <c r="X2779" s="574">
        <f t="shared" si="354"/>
        <v>0</v>
      </c>
      <c r="Y2779" s="487"/>
      <c r="Z2779" s="487"/>
      <c r="AA2779" s="276">
        <f t="shared" si="355"/>
        <v>0</v>
      </c>
      <c r="AB2779" s="573"/>
      <c r="AC2779" s="487"/>
      <c r="AD2779" s="573"/>
      <c r="AE2779" s="487"/>
      <c r="AF2779" s="577">
        <f t="shared" si="351"/>
        <v>125000100</v>
      </c>
      <c r="AG2779" s="275">
        <f t="shared" si="352"/>
        <v>126024100</v>
      </c>
    </row>
    <row r="2780" spans="1:33" ht="12" customHeight="1">
      <c r="A2780" s="753" t="s">
        <v>1283</v>
      </c>
      <c r="B2780" s="754" t="s">
        <v>1793</v>
      </c>
      <c r="C2780" s="756" t="s">
        <v>1614</v>
      </c>
      <c r="D2780" s="709">
        <v>220075</v>
      </c>
      <c r="E2780" s="710">
        <v>3</v>
      </c>
      <c r="F2780" s="573"/>
      <c r="G2780" s="487"/>
      <c r="H2780" s="573"/>
      <c r="I2780" s="487"/>
      <c r="J2780" s="573"/>
      <c r="K2780" s="487"/>
      <c r="L2780" s="573"/>
      <c r="M2780" s="573"/>
      <c r="N2780" s="456">
        <f t="shared" si="353"/>
        <v>0</v>
      </c>
      <c r="O2780" s="487"/>
      <c r="P2780" s="487"/>
      <c r="Q2780" s="274">
        <f t="shared" si="348"/>
        <v>0</v>
      </c>
      <c r="R2780" s="574">
        <f t="shared" si="349"/>
        <v>0</v>
      </c>
      <c r="S2780" s="275">
        <f t="shared" si="350"/>
        <v>0</v>
      </c>
      <c r="T2780" s="575"/>
      <c r="U2780" s="487"/>
      <c r="V2780" s="576"/>
      <c r="W2780" s="573"/>
      <c r="X2780" s="574">
        <f t="shared" si="354"/>
        <v>0</v>
      </c>
      <c r="Y2780" s="487"/>
      <c r="Z2780" s="487"/>
      <c r="AA2780" s="276">
        <f t="shared" si="355"/>
        <v>0</v>
      </c>
      <c r="AB2780" s="573">
        <v>29028900</v>
      </c>
      <c r="AC2780" s="487">
        <v>27619200</v>
      </c>
      <c r="AD2780" s="573">
        <v>5520500</v>
      </c>
      <c r="AE2780" s="487">
        <v>6082000</v>
      </c>
      <c r="AF2780" s="577">
        <f t="shared" si="351"/>
        <v>34549400</v>
      </c>
      <c r="AG2780" s="275">
        <f t="shared" si="352"/>
        <v>33701200</v>
      </c>
    </row>
    <row r="2781" spans="1:33" ht="12" customHeight="1">
      <c r="A2781" s="753" t="s">
        <v>1283</v>
      </c>
      <c r="B2781" s="754" t="s">
        <v>1776</v>
      </c>
      <c r="C2781" s="755" t="s">
        <v>90</v>
      </c>
      <c r="D2781" s="709">
        <v>220978</v>
      </c>
      <c r="E2781" s="710">
        <v>3</v>
      </c>
      <c r="F2781" s="573">
        <v>102015300</v>
      </c>
      <c r="G2781" s="487">
        <v>91965400</v>
      </c>
      <c r="H2781" s="573"/>
      <c r="I2781" s="487"/>
      <c r="J2781" s="573"/>
      <c r="K2781" s="487"/>
      <c r="L2781" s="573">
        <v>107241720</v>
      </c>
      <c r="M2781" s="573">
        <v>5800000</v>
      </c>
      <c r="N2781" s="456">
        <f t="shared" si="353"/>
        <v>113041720</v>
      </c>
      <c r="O2781" s="487">
        <v>115588113</v>
      </c>
      <c r="P2781" s="487">
        <v>8825000</v>
      </c>
      <c r="Q2781" s="274">
        <f t="shared" si="348"/>
        <v>124413113</v>
      </c>
      <c r="R2781" s="574">
        <f t="shared" si="349"/>
        <v>209257020</v>
      </c>
      <c r="S2781" s="275">
        <f t="shared" si="350"/>
        <v>207553513</v>
      </c>
      <c r="T2781" s="575"/>
      <c r="U2781" s="487"/>
      <c r="V2781" s="576"/>
      <c r="W2781" s="573"/>
      <c r="X2781" s="574">
        <f t="shared" si="354"/>
        <v>0</v>
      </c>
      <c r="Y2781" s="487"/>
      <c r="Z2781" s="487"/>
      <c r="AA2781" s="276">
        <f t="shared" si="355"/>
        <v>0</v>
      </c>
      <c r="AB2781" s="573"/>
      <c r="AC2781" s="487"/>
      <c r="AD2781" s="573"/>
      <c r="AE2781" s="487"/>
      <c r="AF2781" s="577">
        <f t="shared" si="351"/>
        <v>209257020</v>
      </c>
      <c r="AG2781" s="275">
        <f t="shared" si="352"/>
        <v>207553513</v>
      </c>
    </row>
    <row r="2782" spans="1:33" ht="12" customHeight="1">
      <c r="A2782" s="753" t="s">
        <v>1283</v>
      </c>
      <c r="B2782" s="754" t="s">
        <v>1776</v>
      </c>
      <c r="C2782" s="753" t="s">
        <v>91</v>
      </c>
      <c r="D2782" s="709">
        <v>221838</v>
      </c>
      <c r="E2782" s="710">
        <v>3</v>
      </c>
      <c r="F2782" s="573">
        <v>43585900</v>
      </c>
      <c r="G2782" s="487">
        <v>38448300</v>
      </c>
      <c r="H2782" s="573"/>
      <c r="I2782" s="487"/>
      <c r="J2782" s="573"/>
      <c r="K2782" s="487"/>
      <c r="L2782" s="573">
        <v>59567400</v>
      </c>
      <c r="M2782" s="573">
        <v>1122900</v>
      </c>
      <c r="N2782" s="456">
        <f t="shared" si="353"/>
        <v>60690300</v>
      </c>
      <c r="O2782" s="487">
        <v>53419100</v>
      </c>
      <c r="P2782" s="487">
        <v>1306500</v>
      </c>
      <c r="Q2782" s="274">
        <f t="shared" si="348"/>
        <v>54725600</v>
      </c>
      <c r="R2782" s="574">
        <f t="shared" si="349"/>
        <v>103153300</v>
      </c>
      <c r="S2782" s="275">
        <f t="shared" si="350"/>
        <v>91867400</v>
      </c>
      <c r="T2782" s="575"/>
      <c r="U2782" s="487"/>
      <c r="V2782" s="576"/>
      <c r="W2782" s="573"/>
      <c r="X2782" s="574">
        <f t="shared" si="354"/>
        <v>0</v>
      </c>
      <c r="Y2782" s="487"/>
      <c r="Z2782" s="487"/>
      <c r="AA2782" s="276">
        <f t="shared" si="355"/>
        <v>0</v>
      </c>
      <c r="AB2782" s="573"/>
      <c r="AC2782" s="487"/>
      <c r="AD2782" s="573"/>
      <c r="AE2782" s="487"/>
      <c r="AF2782" s="577">
        <f t="shared" si="351"/>
        <v>103153300</v>
      </c>
      <c r="AG2782" s="275">
        <f t="shared" si="352"/>
        <v>91867400</v>
      </c>
    </row>
    <row r="2783" spans="1:33" ht="12" customHeight="1">
      <c r="A2783" s="753" t="s">
        <v>1283</v>
      </c>
      <c r="B2783" s="754" t="s">
        <v>1780</v>
      </c>
      <c r="C2783" s="302" t="s">
        <v>1768</v>
      </c>
      <c r="D2783" s="709">
        <v>221838</v>
      </c>
      <c r="E2783" s="710">
        <v>3</v>
      </c>
      <c r="F2783" s="573"/>
      <c r="G2783" s="487"/>
      <c r="H2783" s="573"/>
      <c r="I2783" s="487"/>
      <c r="J2783" s="573"/>
      <c r="K2783" s="487"/>
      <c r="L2783" s="573"/>
      <c r="M2783" s="573"/>
      <c r="N2783" s="456">
        <f t="shared" si="353"/>
        <v>0</v>
      </c>
      <c r="O2783" s="487"/>
      <c r="P2783" s="487"/>
      <c r="Q2783" s="274">
        <f t="shared" si="348"/>
        <v>0</v>
      </c>
      <c r="R2783" s="574">
        <f t="shared" si="349"/>
        <v>0</v>
      </c>
      <c r="S2783" s="275">
        <f t="shared" si="350"/>
        <v>0</v>
      </c>
      <c r="T2783" s="575"/>
      <c r="U2783" s="487"/>
      <c r="V2783" s="576"/>
      <c r="W2783" s="573"/>
      <c r="X2783" s="574">
        <f t="shared" si="354"/>
        <v>0</v>
      </c>
      <c r="Y2783" s="487"/>
      <c r="Z2783" s="487"/>
      <c r="AA2783" s="276">
        <f t="shared" si="355"/>
        <v>0</v>
      </c>
      <c r="AB2783" s="573"/>
      <c r="AC2783" s="487"/>
      <c r="AD2783" s="573"/>
      <c r="AE2783" s="487"/>
      <c r="AF2783" s="577">
        <f t="shared" si="351"/>
        <v>0</v>
      </c>
      <c r="AG2783" s="275">
        <f t="shared" si="352"/>
        <v>0</v>
      </c>
    </row>
    <row r="2784" spans="1:33" ht="12" customHeight="1">
      <c r="A2784" s="753" t="s">
        <v>1283</v>
      </c>
      <c r="B2784" s="754" t="s">
        <v>1780</v>
      </c>
      <c r="C2784" s="756" t="s">
        <v>92</v>
      </c>
      <c r="D2784" s="709">
        <v>221838</v>
      </c>
      <c r="E2784" s="710">
        <v>3</v>
      </c>
      <c r="F2784" s="573"/>
      <c r="G2784" s="487"/>
      <c r="H2784" s="573">
        <v>531200</v>
      </c>
      <c r="I2784" s="487">
        <v>503100</v>
      </c>
      <c r="J2784" s="573"/>
      <c r="K2784" s="487"/>
      <c r="L2784" s="573"/>
      <c r="M2784" s="573"/>
      <c r="N2784" s="456">
        <f t="shared" si="353"/>
        <v>0</v>
      </c>
      <c r="O2784" s="487"/>
      <c r="P2784" s="487"/>
      <c r="Q2784" s="274">
        <f t="shared" si="348"/>
        <v>0</v>
      </c>
      <c r="R2784" s="574">
        <f t="shared" si="349"/>
        <v>531200</v>
      </c>
      <c r="S2784" s="275">
        <f t="shared" si="350"/>
        <v>503100</v>
      </c>
      <c r="T2784" s="575"/>
      <c r="U2784" s="487"/>
      <c r="V2784" s="576"/>
      <c r="W2784" s="573"/>
      <c r="X2784" s="574">
        <f t="shared" si="354"/>
        <v>0</v>
      </c>
      <c r="Y2784" s="487"/>
      <c r="Z2784" s="487"/>
      <c r="AA2784" s="276">
        <f t="shared" si="355"/>
        <v>0</v>
      </c>
      <c r="AB2784" s="573"/>
      <c r="AC2784" s="487"/>
      <c r="AD2784" s="573"/>
      <c r="AE2784" s="487"/>
      <c r="AF2784" s="577">
        <f t="shared" si="351"/>
        <v>531200</v>
      </c>
      <c r="AG2784" s="275">
        <f t="shared" si="352"/>
        <v>503100</v>
      </c>
    </row>
    <row r="2785" spans="1:33" ht="12" customHeight="1">
      <c r="A2785" s="753" t="s">
        <v>1283</v>
      </c>
      <c r="B2785" s="754" t="s">
        <v>1776</v>
      </c>
      <c r="C2785" s="755" t="s">
        <v>93</v>
      </c>
      <c r="D2785" s="709">
        <v>221740</v>
      </c>
      <c r="E2785" s="710">
        <v>3</v>
      </c>
      <c r="F2785" s="573">
        <v>47447000</v>
      </c>
      <c r="G2785" s="487">
        <v>42102800</v>
      </c>
      <c r="H2785" s="573"/>
      <c r="I2785" s="487"/>
      <c r="J2785" s="573"/>
      <c r="K2785" s="487"/>
      <c r="L2785" s="573">
        <v>42033515</v>
      </c>
      <c r="M2785" s="573">
        <v>2500000</v>
      </c>
      <c r="N2785" s="456">
        <f t="shared" si="353"/>
        <v>44533515</v>
      </c>
      <c r="O2785" s="487">
        <v>45816144</v>
      </c>
      <c r="P2785" s="487">
        <v>2500000</v>
      </c>
      <c r="Q2785" s="274">
        <f t="shared" si="348"/>
        <v>48316144</v>
      </c>
      <c r="R2785" s="574">
        <f t="shared" si="349"/>
        <v>89480515</v>
      </c>
      <c r="S2785" s="275">
        <f t="shared" si="350"/>
        <v>87918944</v>
      </c>
      <c r="T2785" s="575"/>
      <c r="U2785" s="487"/>
      <c r="V2785" s="576"/>
      <c r="W2785" s="573"/>
      <c r="X2785" s="574">
        <f t="shared" si="354"/>
        <v>0</v>
      </c>
      <c r="Y2785" s="487"/>
      <c r="Z2785" s="487"/>
      <c r="AA2785" s="276">
        <f t="shared" si="355"/>
        <v>0</v>
      </c>
      <c r="AB2785" s="573"/>
      <c r="AC2785" s="487"/>
      <c r="AD2785" s="573"/>
      <c r="AE2785" s="487"/>
      <c r="AF2785" s="577">
        <f t="shared" si="351"/>
        <v>89480515</v>
      </c>
      <c r="AG2785" s="275">
        <f t="shared" si="352"/>
        <v>87918944</v>
      </c>
    </row>
    <row r="2786" spans="1:33" ht="12" customHeight="1">
      <c r="A2786" s="753" t="s">
        <v>1283</v>
      </c>
      <c r="B2786" s="754" t="s">
        <v>1776</v>
      </c>
      <c r="C2786" s="755" t="s">
        <v>94</v>
      </c>
      <c r="D2786" s="709">
        <v>219602</v>
      </c>
      <c r="E2786" s="710">
        <v>4</v>
      </c>
      <c r="F2786" s="573">
        <v>37279100</v>
      </c>
      <c r="G2786" s="487">
        <v>32935800</v>
      </c>
      <c r="H2786" s="573"/>
      <c r="I2786" s="487"/>
      <c r="J2786" s="573"/>
      <c r="K2786" s="487"/>
      <c r="L2786" s="573">
        <v>37858300</v>
      </c>
      <c r="M2786" s="573">
        <v>1630000</v>
      </c>
      <c r="N2786" s="456">
        <f t="shared" si="353"/>
        <v>39488300</v>
      </c>
      <c r="O2786" s="487">
        <v>41586000</v>
      </c>
      <c r="P2786" s="487">
        <v>1630000</v>
      </c>
      <c r="Q2786" s="274">
        <f t="shared" si="348"/>
        <v>43216000</v>
      </c>
      <c r="R2786" s="574">
        <f t="shared" si="349"/>
        <v>75137400</v>
      </c>
      <c r="S2786" s="275">
        <f t="shared" si="350"/>
        <v>74521800</v>
      </c>
      <c r="T2786" s="575"/>
      <c r="U2786" s="487"/>
      <c r="V2786" s="576"/>
      <c r="W2786" s="573"/>
      <c r="X2786" s="574">
        <f t="shared" si="354"/>
        <v>0</v>
      </c>
      <c r="Y2786" s="487"/>
      <c r="Z2786" s="487"/>
      <c r="AA2786" s="276">
        <f t="shared" si="355"/>
        <v>0</v>
      </c>
      <c r="AB2786" s="573"/>
      <c r="AC2786" s="487"/>
      <c r="AD2786" s="573"/>
      <c r="AE2786" s="487"/>
      <c r="AF2786" s="577">
        <f t="shared" si="351"/>
        <v>75137400</v>
      </c>
      <c r="AG2786" s="275">
        <f t="shared" si="352"/>
        <v>74521800</v>
      </c>
    </row>
    <row r="2787" spans="1:33" ht="12" customHeight="1">
      <c r="A2787" s="753" t="s">
        <v>1283</v>
      </c>
      <c r="B2787" s="754" t="s">
        <v>1776</v>
      </c>
      <c r="C2787" s="755" t="s">
        <v>95</v>
      </c>
      <c r="D2787" s="709">
        <v>221847</v>
      </c>
      <c r="E2787" s="710">
        <v>4</v>
      </c>
      <c r="F2787" s="573">
        <v>53439400</v>
      </c>
      <c r="G2787" s="487">
        <v>45198900</v>
      </c>
      <c r="H2787" s="573"/>
      <c r="I2787" s="487"/>
      <c r="J2787" s="573"/>
      <c r="K2787" s="487"/>
      <c r="L2787" s="573">
        <v>44364400</v>
      </c>
      <c r="M2787" s="573">
        <v>519000</v>
      </c>
      <c r="N2787" s="456">
        <f t="shared" si="353"/>
        <v>44883400</v>
      </c>
      <c r="O2787" s="487">
        <v>49566800</v>
      </c>
      <c r="P2787" s="487">
        <v>536900</v>
      </c>
      <c r="Q2787" s="274">
        <f t="shared" si="348"/>
        <v>50103700</v>
      </c>
      <c r="R2787" s="574">
        <f t="shared" si="349"/>
        <v>97803800</v>
      </c>
      <c r="S2787" s="275">
        <f t="shared" si="350"/>
        <v>94765700</v>
      </c>
      <c r="T2787" s="575"/>
      <c r="U2787" s="487"/>
      <c r="V2787" s="576"/>
      <c r="W2787" s="573"/>
      <c r="X2787" s="574">
        <f t="shared" si="354"/>
        <v>0</v>
      </c>
      <c r="Y2787" s="487"/>
      <c r="Z2787" s="487"/>
      <c r="AA2787" s="276">
        <f t="shared" si="355"/>
        <v>0</v>
      </c>
      <c r="AB2787" s="573"/>
      <c r="AC2787" s="487"/>
      <c r="AD2787" s="573"/>
      <c r="AE2787" s="487"/>
      <c r="AF2787" s="577">
        <f t="shared" si="351"/>
        <v>97803800</v>
      </c>
      <c r="AG2787" s="275">
        <f t="shared" si="352"/>
        <v>94765700</v>
      </c>
    </row>
    <row r="2788" spans="1:33" ht="12" customHeight="1">
      <c r="A2788" s="753" t="s">
        <v>1283</v>
      </c>
      <c r="B2788" s="754" t="s">
        <v>1776</v>
      </c>
      <c r="C2788" s="755" t="s">
        <v>96</v>
      </c>
      <c r="D2788" s="709">
        <v>221768</v>
      </c>
      <c r="E2788" s="710">
        <v>5</v>
      </c>
      <c r="F2788" s="573">
        <v>33868100</v>
      </c>
      <c r="G2788" s="487">
        <v>30386700</v>
      </c>
      <c r="H2788" s="573"/>
      <c r="I2788" s="487"/>
      <c r="J2788" s="573"/>
      <c r="K2788" s="487"/>
      <c r="L2788" s="573">
        <v>31574563</v>
      </c>
      <c r="M2788" s="573">
        <v>1040000</v>
      </c>
      <c r="N2788" s="456">
        <f t="shared" si="353"/>
        <v>32614563</v>
      </c>
      <c r="O2788" s="487">
        <v>34358563</v>
      </c>
      <c r="P2788" s="487">
        <v>1070000</v>
      </c>
      <c r="Q2788" s="274">
        <f t="shared" si="348"/>
        <v>35428563</v>
      </c>
      <c r="R2788" s="574">
        <f t="shared" si="349"/>
        <v>65442663</v>
      </c>
      <c r="S2788" s="275">
        <f t="shared" si="350"/>
        <v>64745263</v>
      </c>
      <c r="T2788" s="575"/>
      <c r="U2788" s="487"/>
      <c r="V2788" s="576"/>
      <c r="W2788" s="573"/>
      <c r="X2788" s="574">
        <f t="shared" si="354"/>
        <v>0</v>
      </c>
      <c r="Y2788" s="487"/>
      <c r="Z2788" s="487"/>
      <c r="AA2788" s="276">
        <f t="shared" si="355"/>
        <v>0</v>
      </c>
      <c r="AB2788" s="573"/>
      <c r="AC2788" s="487"/>
      <c r="AD2788" s="573"/>
      <c r="AE2788" s="487"/>
      <c r="AF2788" s="577">
        <f t="shared" si="351"/>
        <v>65442663</v>
      </c>
      <c r="AG2788" s="275">
        <f t="shared" si="352"/>
        <v>64745263</v>
      </c>
    </row>
    <row r="2789" spans="1:33" ht="12" customHeight="1">
      <c r="A2789" s="753" t="s">
        <v>1283</v>
      </c>
      <c r="B2789" s="754" t="s">
        <v>1776</v>
      </c>
      <c r="C2789" s="755" t="s">
        <v>97</v>
      </c>
      <c r="D2789" s="709">
        <v>219824</v>
      </c>
      <c r="E2789" s="710">
        <v>8</v>
      </c>
      <c r="F2789" s="573">
        <v>25114500</v>
      </c>
      <c r="G2789" s="487">
        <v>23667300</v>
      </c>
      <c r="H2789" s="573"/>
      <c r="I2789" s="487"/>
      <c r="J2789" s="573"/>
      <c r="K2789" s="487"/>
      <c r="L2789" s="573">
        <v>18450000</v>
      </c>
      <c r="M2789" s="573"/>
      <c r="N2789" s="456">
        <f t="shared" si="353"/>
        <v>18450000</v>
      </c>
      <c r="O2789" s="487">
        <v>19795000</v>
      </c>
      <c r="P2789" s="487"/>
      <c r="Q2789" s="274">
        <f t="shared" si="348"/>
        <v>19795000</v>
      </c>
      <c r="R2789" s="574">
        <f t="shared" si="349"/>
        <v>43564500</v>
      </c>
      <c r="S2789" s="275">
        <f t="shared" si="350"/>
        <v>43462300</v>
      </c>
      <c r="T2789" s="575"/>
      <c r="U2789" s="487"/>
      <c r="V2789" s="576"/>
      <c r="W2789" s="573"/>
      <c r="X2789" s="574">
        <f t="shared" si="354"/>
        <v>0</v>
      </c>
      <c r="Y2789" s="487"/>
      <c r="Z2789" s="487"/>
      <c r="AA2789" s="276">
        <f t="shared" si="355"/>
        <v>0</v>
      </c>
      <c r="AB2789" s="573"/>
      <c r="AC2789" s="487"/>
      <c r="AD2789" s="573"/>
      <c r="AE2789" s="487"/>
      <c r="AF2789" s="577">
        <f t="shared" si="351"/>
        <v>43564500</v>
      </c>
      <c r="AG2789" s="275">
        <f t="shared" si="352"/>
        <v>43462300</v>
      </c>
    </row>
    <row r="2790" spans="1:33" ht="12" customHeight="1">
      <c r="A2790" s="753" t="s">
        <v>1283</v>
      </c>
      <c r="B2790" s="754" t="s">
        <v>1776</v>
      </c>
      <c r="C2790" s="755" t="s">
        <v>98</v>
      </c>
      <c r="D2790" s="709">
        <v>221643</v>
      </c>
      <c r="E2790" s="710">
        <v>8</v>
      </c>
      <c r="F2790" s="573">
        <v>22076300</v>
      </c>
      <c r="G2790" s="487">
        <v>20741200</v>
      </c>
      <c r="H2790" s="573"/>
      <c r="I2790" s="487"/>
      <c r="J2790" s="573"/>
      <c r="K2790" s="487"/>
      <c r="L2790" s="573">
        <v>19225000</v>
      </c>
      <c r="M2790" s="573">
        <v>260000</v>
      </c>
      <c r="N2790" s="456">
        <f t="shared" si="353"/>
        <v>19485000</v>
      </c>
      <c r="O2790" s="487">
        <v>21300000</v>
      </c>
      <c r="P2790" s="487">
        <v>260000</v>
      </c>
      <c r="Q2790" s="274">
        <f t="shared" si="348"/>
        <v>21560000</v>
      </c>
      <c r="R2790" s="574">
        <f t="shared" si="349"/>
        <v>41301300</v>
      </c>
      <c r="S2790" s="275">
        <f t="shared" si="350"/>
        <v>42041200</v>
      </c>
      <c r="T2790" s="575"/>
      <c r="U2790" s="487"/>
      <c r="V2790" s="576"/>
      <c r="W2790" s="573"/>
      <c r="X2790" s="574">
        <f t="shared" si="354"/>
        <v>0</v>
      </c>
      <c r="Y2790" s="487"/>
      <c r="Z2790" s="487"/>
      <c r="AA2790" s="276">
        <f t="shared" si="355"/>
        <v>0</v>
      </c>
      <c r="AB2790" s="573"/>
      <c r="AC2790" s="487"/>
      <c r="AD2790" s="573"/>
      <c r="AE2790" s="487"/>
      <c r="AF2790" s="577">
        <f t="shared" si="351"/>
        <v>41301300</v>
      </c>
      <c r="AG2790" s="275">
        <f t="shared" si="352"/>
        <v>42041200</v>
      </c>
    </row>
    <row r="2791" spans="1:33" ht="12" customHeight="1">
      <c r="A2791" s="753" t="s">
        <v>1283</v>
      </c>
      <c r="B2791" s="754" t="s">
        <v>1776</v>
      </c>
      <c r="C2791" s="755" t="s">
        <v>99</v>
      </c>
      <c r="D2791" s="709">
        <v>221485</v>
      </c>
      <c r="E2791" s="710">
        <v>8</v>
      </c>
      <c r="F2791" s="573">
        <v>40275100</v>
      </c>
      <c r="G2791" s="487">
        <v>37845200</v>
      </c>
      <c r="H2791" s="573"/>
      <c r="I2791" s="487"/>
      <c r="J2791" s="573"/>
      <c r="K2791" s="487"/>
      <c r="L2791" s="573">
        <v>27285800</v>
      </c>
      <c r="M2791" s="573"/>
      <c r="N2791" s="456">
        <f t="shared" si="353"/>
        <v>27285800</v>
      </c>
      <c r="O2791" s="487">
        <v>27638640</v>
      </c>
      <c r="P2791" s="487"/>
      <c r="Q2791" s="274">
        <f t="shared" si="348"/>
        <v>27638640</v>
      </c>
      <c r="R2791" s="574">
        <f t="shared" si="349"/>
        <v>67560900</v>
      </c>
      <c r="S2791" s="275">
        <f t="shared" si="350"/>
        <v>65483840</v>
      </c>
      <c r="T2791" s="575"/>
      <c r="U2791" s="487"/>
      <c r="V2791" s="576"/>
      <c r="W2791" s="573"/>
      <c r="X2791" s="574">
        <f t="shared" si="354"/>
        <v>0</v>
      </c>
      <c r="Y2791" s="487"/>
      <c r="Z2791" s="487"/>
      <c r="AA2791" s="276">
        <f t="shared" si="355"/>
        <v>0</v>
      </c>
      <c r="AB2791" s="573"/>
      <c r="AC2791" s="487"/>
      <c r="AD2791" s="573"/>
      <c r="AE2791" s="487"/>
      <c r="AF2791" s="577">
        <f t="shared" si="351"/>
        <v>67560900</v>
      </c>
      <c r="AG2791" s="275">
        <f t="shared" si="352"/>
        <v>65483840</v>
      </c>
    </row>
    <row r="2792" spans="1:33" ht="12" customHeight="1">
      <c r="A2792" s="753" t="s">
        <v>1283</v>
      </c>
      <c r="B2792" s="754" t="s">
        <v>1776</v>
      </c>
      <c r="C2792" s="755" t="s">
        <v>100</v>
      </c>
      <c r="D2792" s="709">
        <v>219879</v>
      </c>
      <c r="E2792" s="710">
        <v>9</v>
      </c>
      <c r="F2792" s="573">
        <v>10948100</v>
      </c>
      <c r="G2792" s="487">
        <v>10271300</v>
      </c>
      <c r="H2792" s="573"/>
      <c r="I2792" s="487"/>
      <c r="J2792" s="573"/>
      <c r="K2792" s="487"/>
      <c r="L2792" s="573">
        <v>6265800</v>
      </c>
      <c r="M2792" s="573"/>
      <c r="N2792" s="456">
        <f t="shared" si="353"/>
        <v>6265800</v>
      </c>
      <c r="O2792" s="487">
        <v>7075600</v>
      </c>
      <c r="P2792" s="487"/>
      <c r="Q2792" s="274">
        <f t="shared" si="348"/>
        <v>7075600</v>
      </c>
      <c r="R2792" s="574">
        <f t="shared" si="349"/>
        <v>17213900</v>
      </c>
      <c r="S2792" s="275">
        <f t="shared" si="350"/>
        <v>17346900</v>
      </c>
      <c r="T2792" s="575"/>
      <c r="U2792" s="487"/>
      <c r="V2792" s="576"/>
      <c r="W2792" s="573"/>
      <c r="X2792" s="574">
        <f t="shared" si="354"/>
        <v>0</v>
      </c>
      <c r="Y2792" s="487"/>
      <c r="Z2792" s="487"/>
      <c r="AA2792" s="276">
        <f t="shared" si="355"/>
        <v>0</v>
      </c>
      <c r="AB2792" s="573"/>
      <c r="AC2792" s="487"/>
      <c r="AD2792" s="573"/>
      <c r="AE2792" s="487"/>
      <c r="AF2792" s="577">
        <f t="shared" si="351"/>
        <v>17213900</v>
      </c>
      <c r="AG2792" s="275">
        <f t="shared" si="352"/>
        <v>17346900</v>
      </c>
    </row>
    <row r="2793" spans="1:33" ht="12" customHeight="1">
      <c r="A2793" s="753" t="s">
        <v>1283</v>
      </c>
      <c r="B2793" s="754" t="s">
        <v>1776</v>
      </c>
      <c r="C2793" s="755" t="s">
        <v>101</v>
      </c>
      <c r="D2793" s="709">
        <v>219888</v>
      </c>
      <c r="E2793" s="710">
        <v>9</v>
      </c>
      <c r="F2793" s="573">
        <v>14142400</v>
      </c>
      <c r="G2793" s="487">
        <v>13246700</v>
      </c>
      <c r="H2793" s="573"/>
      <c r="I2793" s="487"/>
      <c r="J2793" s="573"/>
      <c r="K2793" s="487"/>
      <c r="L2793" s="573">
        <v>9320400</v>
      </c>
      <c r="M2793" s="573"/>
      <c r="N2793" s="456">
        <f t="shared" si="353"/>
        <v>9320400</v>
      </c>
      <c r="O2793" s="487">
        <v>9956000</v>
      </c>
      <c r="P2793" s="487"/>
      <c r="Q2793" s="274">
        <f t="shared" si="348"/>
        <v>9956000</v>
      </c>
      <c r="R2793" s="574">
        <f t="shared" si="349"/>
        <v>23462800</v>
      </c>
      <c r="S2793" s="275">
        <f t="shared" si="350"/>
        <v>23202700</v>
      </c>
      <c r="T2793" s="575"/>
      <c r="U2793" s="487"/>
      <c r="V2793" s="576"/>
      <c r="W2793" s="573"/>
      <c r="X2793" s="574">
        <f t="shared" si="354"/>
        <v>0</v>
      </c>
      <c r="Y2793" s="487"/>
      <c r="Z2793" s="487"/>
      <c r="AA2793" s="276">
        <f t="shared" si="355"/>
        <v>0</v>
      </c>
      <c r="AB2793" s="573"/>
      <c r="AC2793" s="487"/>
      <c r="AD2793" s="573"/>
      <c r="AE2793" s="487"/>
      <c r="AF2793" s="577">
        <f t="shared" si="351"/>
        <v>23462800</v>
      </c>
      <c r="AG2793" s="275">
        <f t="shared" si="352"/>
        <v>23202700</v>
      </c>
    </row>
    <row r="2794" spans="1:33" ht="12" customHeight="1">
      <c r="A2794" s="753" t="s">
        <v>1283</v>
      </c>
      <c r="B2794" s="754" t="s">
        <v>1776</v>
      </c>
      <c r="C2794" s="755" t="s">
        <v>124</v>
      </c>
      <c r="D2794" s="709">
        <v>220400</v>
      </c>
      <c r="E2794" s="710">
        <v>9</v>
      </c>
      <c r="F2794" s="573">
        <v>13277200</v>
      </c>
      <c r="G2794" s="487">
        <v>12393900</v>
      </c>
      <c r="H2794" s="573"/>
      <c r="I2794" s="487"/>
      <c r="J2794" s="573"/>
      <c r="K2794" s="487"/>
      <c r="L2794" s="573">
        <v>9858200</v>
      </c>
      <c r="M2794" s="573"/>
      <c r="N2794" s="456">
        <f t="shared" si="353"/>
        <v>9858200</v>
      </c>
      <c r="O2794" s="487">
        <v>10434300</v>
      </c>
      <c r="P2794" s="487"/>
      <c r="Q2794" s="274">
        <f t="shared" si="348"/>
        <v>10434300</v>
      </c>
      <c r="R2794" s="574">
        <f t="shared" si="349"/>
        <v>23135400</v>
      </c>
      <c r="S2794" s="275">
        <f t="shared" si="350"/>
        <v>22828200</v>
      </c>
      <c r="T2794" s="575"/>
      <c r="U2794" s="487"/>
      <c r="V2794" s="576"/>
      <c r="W2794" s="573"/>
      <c r="X2794" s="574">
        <f t="shared" si="354"/>
        <v>0</v>
      </c>
      <c r="Y2794" s="487"/>
      <c r="Z2794" s="487"/>
      <c r="AA2794" s="276">
        <f t="shared" si="355"/>
        <v>0</v>
      </c>
      <c r="AB2794" s="573"/>
      <c r="AC2794" s="487"/>
      <c r="AD2794" s="573"/>
      <c r="AE2794" s="487"/>
      <c r="AF2794" s="577">
        <f t="shared" si="351"/>
        <v>23135400</v>
      </c>
      <c r="AG2794" s="275">
        <f t="shared" si="352"/>
        <v>22828200</v>
      </c>
    </row>
    <row r="2795" spans="1:33" ht="12" customHeight="1">
      <c r="A2795" s="753" t="s">
        <v>1283</v>
      </c>
      <c r="B2795" s="754" t="s">
        <v>1776</v>
      </c>
      <c r="C2795" s="755" t="s">
        <v>125</v>
      </c>
      <c r="D2795" s="709">
        <v>221096</v>
      </c>
      <c r="E2795" s="710">
        <v>9</v>
      </c>
      <c r="F2795" s="573">
        <v>11035500</v>
      </c>
      <c r="G2795" s="487">
        <v>10302500</v>
      </c>
      <c r="H2795" s="573"/>
      <c r="I2795" s="487"/>
      <c r="J2795" s="573"/>
      <c r="K2795" s="487"/>
      <c r="L2795" s="573">
        <v>8320160</v>
      </c>
      <c r="M2795" s="573"/>
      <c r="N2795" s="456">
        <f t="shared" si="353"/>
        <v>8320160</v>
      </c>
      <c r="O2795" s="487">
        <v>9476000</v>
      </c>
      <c r="P2795" s="487"/>
      <c r="Q2795" s="274">
        <f t="shared" si="348"/>
        <v>9476000</v>
      </c>
      <c r="R2795" s="574">
        <f t="shared" si="349"/>
        <v>19355660</v>
      </c>
      <c r="S2795" s="275">
        <f t="shared" si="350"/>
        <v>19778500</v>
      </c>
      <c r="T2795" s="575"/>
      <c r="U2795" s="487"/>
      <c r="V2795" s="576"/>
      <c r="W2795" s="573"/>
      <c r="X2795" s="574">
        <f t="shared" si="354"/>
        <v>0</v>
      </c>
      <c r="Y2795" s="487"/>
      <c r="Z2795" s="487"/>
      <c r="AA2795" s="276">
        <f t="shared" si="355"/>
        <v>0</v>
      </c>
      <c r="AB2795" s="573"/>
      <c r="AC2795" s="487"/>
      <c r="AD2795" s="573"/>
      <c r="AE2795" s="487"/>
      <c r="AF2795" s="577">
        <f t="shared" si="351"/>
        <v>19355660</v>
      </c>
      <c r="AG2795" s="275">
        <f t="shared" si="352"/>
        <v>19778500</v>
      </c>
    </row>
    <row r="2796" spans="1:33" ht="12" customHeight="1">
      <c r="A2796" s="753" t="s">
        <v>1283</v>
      </c>
      <c r="B2796" s="754" t="s">
        <v>1776</v>
      </c>
      <c r="C2796" s="753" t="s">
        <v>126</v>
      </c>
      <c r="D2796" s="709">
        <v>221184</v>
      </c>
      <c r="E2796" s="710">
        <v>9</v>
      </c>
      <c r="F2796" s="573">
        <v>16435300</v>
      </c>
      <c r="G2796" s="487">
        <v>15375500</v>
      </c>
      <c r="H2796" s="573"/>
      <c r="I2796" s="487"/>
      <c r="J2796" s="573"/>
      <c r="K2796" s="487"/>
      <c r="L2796" s="573">
        <v>14146300</v>
      </c>
      <c r="M2796" s="573"/>
      <c r="N2796" s="456">
        <f t="shared" si="353"/>
        <v>14146300</v>
      </c>
      <c r="O2796" s="487">
        <v>16933000</v>
      </c>
      <c r="P2796" s="487"/>
      <c r="Q2796" s="274">
        <f t="shared" si="348"/>
        <v>16933000</v>
      </c>
      <c r="R2796" s="574">
        <f t="shared" si="349"/>
        <v>30581600</v>
      </c>
      <c r="S2796" s="275">
        <f t="shared" si="350"/>
        <v>32308500</v>
      </c>
      <c r="T2796" s="575"/>
      <c r="U2796" s="487"/>
      <c r="V2796" s="576"/>
      <c r="W2796" s="573"/>
      <c r="X2796" s="574">
        <f t="shared" si="354"/>
        <v>0</v>
      </c>
      <c r="Y2796" s="487"/>
      <c r="Z2796" s="487"/>
      <c r="AA2796" s="276">
        <f t="shared" si="355"/>
        <v>0</v>
      </c>
      <c r="AB2796" s="573"/>
      <c r="AC2796" s="487"/>
      <c r="AD2796" s="573"/>
      <c r="AE2796" s="487"/>
      <c r="AF2796" s="577">
        <f t="shared" si="351"/>
        <v>30581600</v>
      </c>
      <c r="AG2796" s="275">
        <f t="shared" si="352"/>
        <v>32308500</v>
      </c>
    </row>
    <row r="2797" spans="1:33" ht="12" customHeight="1">
      <c r="A2797" s="753" t="s">
        <v>1283</v>
      </c>
      <c r="B2797" s="754" t="s">
        <v>1776</v>
      </c>
      <c r="C2797" s="755" t="s">
        <v>127</v>
      </c>
      <c r="D2797" s="709">
        <v>221908</v>
      </c>
      <c r="E2797" s="710">
        <v>9</v>
      </c>
      <c r="F2797" s="573">
        <v>13277200</v>
      </c>
      <c r="G2797" s="487">
        <v>12442600</v>
      </c>
      <c r="H2797" s="573"/>
      <c r="I2797" s="487"/>
      <c r="J2797" s="573"/>
      <c r="K2797" s="487"/>
      <c r="L2797" s="573">
        <v>10516500</v>
      </c>
      <c r="M2797" s="573"/>
      <c r="N2797" s="456">
        <f t="shared" si="353"/>
        <v>10516500</v>
      </c>
      <c r="O2797" s="487">
        <v>11651400</v>
      </c>
      <c r="P2797" s="487"/>
      <c r="Q2797" s="274">
        <f t="shared" si="348"/>
        <v>11651400</v>
      </c>
      <c r="R2797" s="574">
        <f t="shared" si="349"/>
        <v>23793700</v>
      </c>
      <c r="S2797" s="275">
        <f t="shared" si="350"/>
        <v>24094000</v>
      </c>
      <c r="T2797" s="575"/>
      <c r="U2797" s="487"/>
      <c r="V2797" s="576"/>
      <c r="W2797" s="573"/>
      <c r="X2797" s="574">
        <f t="shared" si="354"/>
        <v>0</v>
      </c>
      <c r="Y2797" s="487"/>
      <c r="Z2797" s="487"/>
      <c r="AA2797" s="276">
        <f t="shared" si="355"/>
        <v>0</v>
      </c>
      <c r="AB2797" s="573"/>
      <c r="AC2797" s="487"/>
      <c r="AD2797" s="573"/>
      <c r="AE2797" s="487"/>
      <c r="AF2797" s="577">
        <f t="shared" si="351"/>
        <v>23793700</v>
      </c>
      <c r="AG2797" s="275">
        <f t="shared" si="352"/>
        <v>24094000</v>
      </c>
    </row>
    <row r="2798" spans="1:33" ht="12" customHeight="1">
      <c r="A2798" s="753" t="s">
        <v>1283</v>
      </c>
      <c r="B2798" s="754" t="s">
        <v>1776</v>
      </c>
      <c r="C2798" s="753" t="s">
        <v>128</v>
      </c>
      <c r="D2798" s="709">
        <v>221397</v>
      </c>
      <c r="E2798" s="710">
        <v>9</v>
      </c>
      <c r="F2798" s="573">
        <v>19201700</v>
      </c>
      <c r="G2798" s="487">
        <v>18044100</v>
      </c>
      <c r="H2798" s="573"/>
      <c r="I2798" s="487"/>
      <c r="J2798" s="573"/>
      <c r="K2798" s="487"/>
      <c r="L2798" s="573">
        <v>12062622</v>
      </c>
      <c r="M2798" s="573"/>
      <c r="N2798" s="456">
        <f t="shared" si="353"/>
        <v>12062622</v>
      </c>
      <c r="O2798" s="487">
        <v>12612422</v>
      </c>
      <c r="P2798" s="487"/>
      <c r="Q2798" s="274">
        <f t="shared" si="348"/>
        <v>12612422</v>
      </c>
      <c r="R2798" s="574">
        <f t="shared" si="349"/>
        <v>31264322</v>
      </c>
      <c r="S2798" s="275">
        <f t="shared" si="350"/>
        <v>30656522</v>
      </c>
      <c r="T2798" s="575"/>
      <c r="U2798" s="487"/>
      <c r="V2798" s="576"/>
      <c r="W2798" s="573"/>
      <c r="X2798" s="574">
        <f t="shared" si="354"/>
        <v>0</v>
      </c>
      <c r="Y2798" s="487"/>
      <c r="Z2798" s="487"/>
      <c r="AA2798" s="276">
        <f t="shared" si="355"/>
        <v>0</v>
      </c>
      <c r="AB2798" s="573"/>
      <c r="AC2798" s="487"/>
      <c r="AD2798" s="573"/>
      <c r="AE2798" s="487"/>
      <c r="AF2798" s="577">
        <f t="shared" si="351"/>
        <v>31264322</v>
      </c>
      <c r="AG2798" s="275">
        <f t="shared" si="352"/>
        <v>30656522</v>
      </c>
    </row>
    <row r="2799" spans="1:33" ht="12" customHeight="1">
      <c r="A2799" s="753" t="s">
        <v>1283</v>
      </c>
      <c r="B2799" s="754" t="s">
        <v>1776</v>
      </c>
      <c r="C2799" s="755" t="s">
        <v>129</v>
      </c>
      <c r="D2799" s="709">
        <v>222053</v>
      </c>
      <c r="E2799" s="710">
        <v>9</v>
      </c>
      <c r="F2799" s="573">
        <v>19311700</v>
      </c>
      <c r="G2799" s="487">
        <v>18134900</v>
      </c>
      <c r="H2799" s="573"/>
      <c r="I2799" s="487"/>
      <c r="J2799" s="573"/>
      <c r="K2799" s="487"/>
      <c r="L2799" s="573">
        <v>13964578</v>
      </c>
      <c r="M2799" s="573"/>
      <c r="N2799" s="456">
        <f t="shared" si="353"/>
        <v>13964578</v>
      </c>
      <c r="O2799" s="487">
        <v>15116343</v>
      </c>
      <c r="P2799" s="487"/>
      <c r="Q2799" s="274">
        <f t="shared" si="348"/>
        <v>15116343</v>
      </c>
      <c r="R2799" s="574">
        <f t="shared" si="349"/>
        <v>33276278</v>
      </c>
      <c r="S2799" s="275">
        <f t="shared" si="350"/>
        <v>33251243</v>
      </c>
      <c r="T2799" s="575"/>
      <c r="U2799" s="487"/>
      <c r="V2799" s="576"/>
      <c r="W2799" s="573"/>
      <c r="X2799" s="574">
        <f t="shared" si="354"/>
        <v>0</v>
      </c>
      <c r="Y2799" s="487"/>
      <c r="Z2799" s="487"/>
      <c r="AA2799" s="276">
        <f t="shared" si="355"/>
        <v>0</v>
      </c>
      <c r="AB2799" s="573"/>
      <c r="AC2799" s="487"/>
      <c r="AD2799" s="573"/>
      <c r="AE2799" s="487"/>
      <c r="AF2799" s="577">
        <f t="shared" si="351"/>
        <v>33276278</v>
      </c>
      <c r="AG2799" s="275">
        <f t="shared" si="352"/>
        <v>33251243</v>
      </c>
    </row>
    <row r="2800" spans="1:33" ht="12" customHeight="1">
      <c r="A2800" s="753" t="s">
        <v>1283</v>
      </c>
      <c r="B2800" s="754" t="s">
        <v>1776</v>
      </c>
      <c r="C2800" s="755" t="s">
        <v>130</v>
      </c>
      <c r="D2800" s="709">
        <v>222062</v>
      </c>
      <c r="E2800" s="710">
        <v>9</v>
      </c>
      <c r="F2800" s="573">
        <v>19498100</v>
      </c>
      <c r="G2800" s="487">
        <v>18347900</v>
      </c>
      <c r="H2800" s="573"/>
      <c r="I2800" s="487"/>
      <c r="J2800" s="573"/>
      <c r="K2800" s="487"/>
      <c r="L2800" s="573">
        <v>12171000</v>
      </c>
      <c r="M2800" s="573"/>
      <c r="N2800" s="456">
        <f t="shared" si="353"/>
        <v>12171000</v>
      </c>
      <c r="O2800" s="487">
        <v>14233800</v>
      </c>
      <c r="P2800" s="487"/>
      <c r="Q2800" s="274">
        <f t="shared" si="348"/>
        <v>14233800</v>
      </c>
      <c r="R2800" s="574">
        <f t="shared" si="349"/>
        <v>31669100</v>
      </c>
      <c r="S2800" s="275">
        <f t="shared" si="350"/>
        <v>32581700</v>
      </c>
      <c r="T2800" s="575"/>
      <c r="U2800" s="487"/>
      <c r="V2800" s="576"/>
      <c r="W2800" s="573"/>
      <c r="X2800" s="574">
        <f t="shared" si="354"/>
        <v>0</v>
      </c>
      <c r="Y2800" s="487"/>
      <c r="Z2800" s="487"/>
      <c r="AA2800" s="276">
        <f t="shared" si="355"/>
        <v>0</v>
      </c>
      <c r="AB2800" s="573"/>
      <c r="AC2800" s="487"/>
      <c r="AD2800" s="573"/>
      <c r="AE2800" s="487"/>
      <c r="AF2800" s="577">
        <f t="shared" si="351"/>
        <v>31669100</v>
      </c>
      <c r="AG2800" s="275">
        <f t="shared" si="352"/>
        <v>32581700</v>
      </c>
    </row>
    <row r="2801" spans="1:33" ht="12" customHeight="1">
      <c r="A2801" s="753" t="s">
        <v>1283</v>
      </c>
      <c r="B2801" s="754" t="s">
        <v>1776</v>
      </c>
      <c r="C2801" s="755" t="s">
        <v>931</v>
      </c>
      <c r="D2801" s="709">
        <v>220057</v>
      </c>
      <c r="E2801" s="710">
        <v>10</v>
      </c>
      <c r="F2801" s="573">
        <v>7702800</v>
      </c>
      <c r="G2801" s="487">
        <v>7190000</v>
      </c>
      <c r="H2801" s="573"/>
      <c r="I2801" s="487"/>
      <c r="J2801" s="573"/>
      <c r="K2801" s="487"/>
      <c r="L2801" s="573">
        <v>5160600</v>
      </c>
      <c r="M2801" s="573"/>
      <c r="N2801" s="456">
        <f t="shared" si="353"/>
        <v>5160600</v>
      </c>
      <c r="O2801" s="487">
        <v>5644700</v>
      </c>
      <c r="P2801" s="487"/>
      <c r="Q2801" s="274">
        <f t="shared" si="348"/>
        <v>5644700</v>
      </c>
      <c r="R2801" s="574">
        <f t="shared" si="349"/>
        <v>12863400</v>
      </c>
      <c r="S2801" s="275">
        <f t="shared" si="350"/>
        <v>12834700</v>
      </c>
      <c r="T2801" s="575"/>
      <c r="U2801" s="487"/>
      <c r="V2801" s="576"/>
      <c r="W2801" s="573"/>
      <c r="X2801" s="574">
        <f t="shared" si="354"/>
        <v>0</v>
      </c>
      <c r="Y2801" s="487"/>
      <c r="Z2801" s="487"/>
      <c r="AA2801" s="276">
        <f t="shared" si="355"/>
        <v>0</v>
      </c>
      <c r="AB2801" s="573"/>
      <c r="AC2801" s="487"/>
      <c r="AD2801" s="573"/>
      <c r="AE2801" s="487"/>
      <c r="AF2801" s="577">
        <f t="shared" si="351"/>
        <v>12863400</v>
      </c>
      <c r="AG2801" s="275">
        <f t="shared" si="352"/>
        <v>12834700</v>
      </c>
    </row>
    <row r="2802" spans="1:33" ht="12" customHeight="1">
      <c r="A2802" s="753" t="s">
        <v>1283</v>
      </c>
      <c r="B2802" s="754" t="s">
        <v>1776</v>
      </c>
      <c r="C2802" s="755" t="s">
        <v>932</v>
      </c>
      <c r="D2802" s="709">
        <v>219596</v>
      </c>
      <c r="E2802" s="710">
        <v>13</v>
      </c>
      <c r="F2802" s="573">
        <v>1372100</v>
      </c>
      <c r="G2802" s="487">
        <v>1302100</v>
      </c>
      <c r="H2802" s="573"/>
      <c r="I2802" s="487"/>
      <c r="J2802" s="573"/>
      <c r="K2802" s="487"/>
      <c r="L2802" s="573">
        <v>376600</v>
      </c>
      <c r="M2802" s="573"/>
      <c r="N2802" s="456">
        <f t="shared" si="353"/>
        <v>376600</v>
      </c>
      <c r="O2802" s="487">
        <v>419200.90250954352</v>
      </c>
      <c r="P2802" s="487"/>
      <c r="Q2802" s="274">
        <f t="shared" si="348"/>
        <v>419200.90250954352</v>
      </c>
      <c r="R2802" s="574">
        <f t="shared" si="349"/>
        <v>1748700</v>
      </c>
      <c r="S2802" s="275">
        <f t="shared" si="350"/>
        <v>1721300.9025095436</v>
      </c>
      <c r="T2802" s="575"/>
      <c r="U2802" s="487"/>
      <c r="V2802" s="576"/>
      <c r="W2802" s="573"/>
      <c r="X2802" s="574">
        <f t="shared" si="354"/>
        <v>0</v>
      </c>
      <c r="Y2802" s="487"/>
      <c r="Z2802" s="487"/>
      <c r="AA2802" s="276">
        <f t="shared" si="355"/>
        <v>0</v>
      </c>
      <c r="AB2802" s="573"/>
      <c r="AC2802" s="487"/>
      <c r="AD2802" s="573"/>
      <c r="AE2802" s="487"/>
      <c r="AF2802" s="577">
        <f t="shared" si="351"/>
        <v>1748700</v>
      </c>
      <c r="AG2802" s="275">
        <f t="shared" si="352"/>
        <v>1721300.9025095436</v>
      </c>
    </row>
    <row r="2803" spans="1:33" ht="12" customHeight="1">
      <c r="A2803" s="753" t="s">
        <v>1283</v>
      </c>
      <c r="B2803" s="754" t="s">
        <v>1776</v>
      </c>
      <c r="C2803" s="753" t="s">
        <v>933</v>
      </c>
      <c r="D2803" s="709" t="s">
        <v>934</v>
      </c>
      <c r="E2803" s="710">
        <v>13</v>
      </c>
      <c r="F2803" s="573">
        <v>3154000</v>
      </c>
      <c r="G2803" s="487">
        <v>2993100</v>
      </c>
      <c r="H2803" s="573"/>
      <c r="I2803" s="487"/>
      <c r="J2803" s="573"/>
      <c r="K2803" s="487"/>
      <c r="L2803" s="573">
        <v>1320000</v>
      </c>
      <c r="M2803" s="573"/>
      <c r="N2803" s="456">
        <f t="shared" si="353"/>
        <v>1320000</v>
      </c>
      <c r="O2803" s="487">
        <v>1469318.0863319102</v>
      </c>
      <c r="P2803" s="487"/>
      <c r="Q2803" s="274">
        <f t="shared" si="348"/>
        <v>1469318.0863319102</v>
      </c>
      <c r="R2803" s="574">
        <f t="shared" si="349"/>
        <v>4474000</v>
      </c>
      <c r="S2803" s="275">
        <f t="shared" si="350"/>
        <v>4462418.0863319105</v>
      </c>
      <c r="T2803" s="575"/>
      <c r="U2803" s="487"/>
      <c r="V2803" s="576"/>
      <c r="W2803" s="573"/>
      <c r="X2803" s="574">
        <f t="shared" si="354"/>
        <v>0</v>
      </c>
      <c r="Y2803" s="487"/>
      <c r="Z2803" s="487"/>
      <c r="AA2803" s="276">
        <f t="shared" si="355"/>
        <v>0</v>
      </c>
      <c r="AB2803" s="573"/>
      <c r="AC2803" s="487"/>
      <c r="AD2803" s="573"/>
      <c r="AE2803" s="487"/>
      <c r="AF2803" s="577">
        <f t="shared" si="351"/>
        <v>4474000</v>
      </c>
      <c r="AG2803" s="275">
        <f t="shared" si="352"/>
        <v>4462418.0863319105</v>
      </c>
    </row>
    <row r="2804" spans="1:33" ht="12" customHeight="1">
      <c r="A2804" s="753" t="s">
        <v>1283</v>
      </c>
      <c r="B2804" s="754" t="s">
        <v>1776</v>
      </c>
      <c r="C2804" s="755" t="s">
        <v>935</v>
      </c>
      <c r="D2804" s="709">
        <v>219921</v>
      </c>
      <c r="E2804" s="710">
        <v>13</v>
      </c>
      <c r="F2804" s="573">
        <v>1150600</v>
      </c>
      <c r="G2804" s="487">
        <v>1091900</v>
      </c>
      <c r="H2804" s="573"/>
      <c r="I2804" s="487"/>
      <c r="J2804" s="573"/>
      <c r="K2804" s="487"/>
      <c r="L2804" s="573">
        <v>230000</v>
      </c>
      <c r="M2804" s="573"/>
      <c r="N2804" s="456">
        <f t="shared" si="353"/>
        <v>230000</v>
      </c>
      <c r="O2804" s="487">
        <v>256017.54534571164</v>
      </c>
      <c r="P2804" s="487"/>
      <c r="Q2804" s="274">
        <f t="shared" si="348"/>
        <v>256017.54534571164</v>
      </c>
      <c r="R2804" s="574">
        <f t="shared" si="349"/>
        <v>1380600</v>
      </c>
      <c r="S2804" s="275">
        <f t="shared" si="350"/>
        <v>1347917.5453457115</v>
      </c>
      <c r="T2804" s="575"/>
      <c r="U2804" s="487"/>
      <c r="V2804" s="576"/>
      <c r="W2804" s="573"/>
      <c r="X2804" s="574">
        <f t="shared" si="354"/>
        <v>0</v>
      </c>
      <c r="Y2804" s="487"/>
      <c r="Z2804" s="487"/>
      <c r="AA2804" s="276">
        <f t="shared" si="355"/>
        <v>0</v>
      </c>
      <c r="AB2804" s="573"/>
      <c r="AC2804" s="487"/>
      <c r="AD2804" s="573"/>
      <c r="AE2804" s="487"/>
      <c r="AF2804" s="577">
        <f t="shared" si="351"/>
        <v>1380600</v>
      </c>
      <c r="AG2804" s="275">
        <f t="shared" si="352"/>
        <v>1347917.5453457115</v>
      </c>
    </row>
    <row r="2805" spans="1:33" ht="12" customHeight="1">
      <c r="A2805" s="753" t="s">
        <v>1283</v>
      </c>
      <c r="B2805" s="754" t="s">
        <v>1776</v>
      </c>
      <c r="C2805" s="755" t="s">
        <v>936</v>
      </c>
      <c r="D2805" s="709">
        <v>221591</v>
      </c>
      <c r="E2805" s="710">
        <v>13</v>
      </c>
      <c r="F2805" s="573">
        <v>2301600</v>
      </c>
      <c r="G2805" s="487">
        <v>2184200</v>
      </c>
      <c r="H2805" s="573"/>
      <c r="I2805" s="487"/>
      <c r="J2805" s="573"/>
      <c r="K2805" s="487"/>
      <c r="L2805" s="573">
        <v>590000</v>
      </c>
      <c r="M2805" s="573"/>
      <c r="N2805" s="456">
        <f t="shared" si="353"/>
        <v>590000</v>
      </c>
      <c r="O2805" s="487">
        <v>656740.65979986906</v>
      </c>
      <c r="P2805" s="487"/>
      <c r="Q2805" s="274">
        <f t="shared" si="348"/>
        <v>656740.65979986906</v>
      </c>
      <c r="R2805" s="574">
        <f t="shared" si="349"/>
        <v>2891600</v>
      </c>
      <c r="S2805" s="275">
        <f t="shared" si="350"/>
        <v>2840940.6597998692</v>
      </c>
      <c r="T2805" s="575"/>
      <c r="U2805" s="487"/>
      <c r="V2805" s="576"/>
      <c r="W2805" s="573"/>
      <c r="X2805" s="574">
        <f t="shared" si="354"/>
        <v>0</v>
      </c>
      <c r="Y2805" s="487"/>
      <c r="Z2805" s="487"/>
      <c r="AA2805" s="276">
        <f t="shared" si="355"/>
        <v>0</v>
      </c>
      <c r="AB2805" s="573"/>
      <c r="AC2805" s="487"/>
      <c r="AD2805" s="573"/>
      <c r="AE2805" s="487"/>
      <c r="AF2805" s="577">
        <f t="shared" si="351"/>
        <v>2891600</v>
      </c>
      <c r="AG2805" s="275">
        <f t="shared" si="352"/>
        <v>2840940.6597998692</v>
      </c>
    </row>
    <row r="2806" spans="1:33" ht="12" customHeight="1">
      <c r="A2806" s="753" t="s">
        <v>1283</v>
      </c>
      <c r="B2806" s="754" t="s">
        <v>1776</v>
      </c>
      <c r="C2806" s="755" t="s">
        <v>937</v>
      </c>
      <c r="D2806" s="709">
        <v>221430</v>
      </c>
      <c r="E2806" s="710">
        <v>13</v>
      </c>
      <c r="F2806" s="573">
        <v>1584300</v>
      </c>
      <c r="G2806" s="487">
        <v>1503500</v>
      </c>
      <c r="H2806" s="573"/>
      <c r="I2806" s="487"/>
      <c r="J2806" s="573"/>
      <c r="K2806" s="487"/>
      <c r="L2806" s="573">
        <v>384500</v>
      </c>
      <c r="M2806" s="573"/>
      <c r="N2806" s="456">
        <f t="shared" si="353"/>
        <v>384500</v>
      </c>
      <c r="O2806" s="487">
        <v>427994.54863228748</v>
      </c>
      <c r="P2806" s="487"/>
      <c r="Q2806" s="274">
        <f t="shared" si="348"/>
        <v>427994.54863228748</v>
      </c>
      <c r="R2806" s="574">
        <f t="shared" si="349"/>
        <v>1968800</v>
      </c>
      <c r="S2806" s="275">
        <f t="shared" si="350"/>
        <v>1931494.5486322874</v>
      </c>
      <c r="T2806" s="575"/>
      <c r="U2806" s="487"/>
      <c r="V2806" s="576"/>
      <c r="W2806" s="573"/>
      <c r="X2806" s="574">
        <f t="shared" si="354"/>
        <v>0</v>
      </c>
      <c r="Y2806" s="487"/>
      <c r="Z2806" s="487"/>
      <c r="AA2806" s="276">
        <f t="shared" si="355"/>
        <v>0</v>
      </c>
      <c r="AB2806" s="573"/>
      <c r="AC2806" s="487"/>
      <c r="AD2806" s="573"/>
      <c r="AE2806" s="487"/>
      <c r="AF2806" s="577">
        <f t="shared" si="351"/>
        <v>1968800</v>
      </c>
      <c r="AG2806" s="275">
        <f t="shared" si="352"/>
        <v>1931494.5486322874</v>
      </c>
    </row>
    <row r="2807" spans="1:33" ht="12" customHeight="1">
      <c r="A2807" s="753" t="s">
        <v>1283</v>
      </c>
      <c r="B2807" s="754" t="s">
        <v>1776</v>
      </c>
      <c r="C2807" s="755" t="s">
        <v>938</v>
      </c>
      <c r="D2807" s="709">
        <v>219994</v>
      </c>
      <c r="E2807" s="710">
        <v>13</v>
      </c>
      <c r="F2807" s="573">
        <v>2345200</v>
      </c>
      <c r="G2807" s="487">
        <v>2225600</v>
      </c>
      <c r="H2807" s="573"/>
      <c r="I2807" s="487"/>
      <c r="J2807" s="573"/>
      <c r="K2807" s="487"/>
      <c r="L2807" s="573">
        <v>742000</v>
      </c>
      <c r="M2807" s="573"/>
      <c r="N2807" s="456">
        <f t="shared" si="353"/>
        <v>742000</v>
      </c>
      <c r="O2807" s="487">
        <v>825934.86368051323</v>
      </c>
      <c r="P2807" s="487"/>
      <c r="Q2807" s="274">
        <f t="shared" si="348"/>
        <v>825934.86368051323</v>
      </c>
      <c r="R2807" s="574">
        <f t="shared" si="349"/>
        <v>3087200</v>
      </c>
      <c r="S2807" s="275">
        <f t="shared" si="350"/>
        <v>3051534.8636805131</v>
      </c>
      <c r="T2807" s="575"/>
      <c r="U2807" s="487"/>
      <c r="V2807" s="576"/>
      <c r="W2807" s="573"/>
      <c r="X2807" s="574">
        <f t="shared" si="354"/>
        <v>0</v>
      </c>
      <c r="Y2807" s="487"/>
      <c r="Z2807" s="487"/>
      <c r="AA2807" s="276">
        <f t="shared" si="355"/>
        <v>0</v>
      </c>
      <c r="AB2807" s="573"/>
      <c r="AC2807" s="487"/>
      <c r="AD2807" s="573"/>
      <c r="AE2807" s="487"/>
      <c r="AF2807" s="577">
        <f t="shared" si="351"/>
        <v>3087200</v>
      </c>
      <c r="AG2807" s="275">
        <f t="shared" si="352"/>
        <v>3051534.8636805131</v>
      </c>
    </row>
    <row r="2808" spans="1:33" ht="12" customHeight="1">
      <c r="A2808" s="753" t="s">
        <v>1283</v>
      </c>
      <c r="B2808" s="754" t="s">
        <v>1776</v>
      </c>
      <c r="C2808" s="755" t="s">
        <v>939</v>
      </c>
      <c r="D2808" s="709">
        <v>220127</v>
      </c>
      <c r="E2808" s="710">
        <v>13</v>
      </c>
      <c r="F2808" s="573">
        <v>1517200</v>
      </c>
      <c r="G2808" s="487">
        <v>1439800</v>
      </c>
      <c r="H2808" s="573"/>
      <c r="I2808" s="487"/>
      <c r="J2808" s="573"/>
      <c r="K2808" s="487"/>
      <c r="L2808" s="573">
        <v>791900</v>
      </c>
      <c r="M2808" s="573"/>
      <c r="N2808" s="456">
        <f t="shared" si="353"/>
        <v>791900</v>
      </c>
      <c r="O2808" s="487">
        <v>881479.53982290882</v>
      </c>
      <c r="P2808" s="487"/>
      <c r="Q2808" s="274">
        <f t="shared" si="348"/>
        <v>881479.53982290882</v>
      </c>
      <c r="R2808" s="574">
        <f t="shared" si="349"/>
        <v>2309100</v>
      </c>
      <c r="S2808" s="275">
        <f t="shared" si="350"/>
        <v>2321279.539822909</v>
      </c>
      <c r="T2808" s="575"/>
      <c r="U2808" s="487"/>
      <c r="V2808" s="576"/>
      <c r="W2808" s="573"/>
      <c r="X2808" s="574">
        <f t="shared" si="354"/>
        <v>0</v>
      </c>
      <c r="Y2808" s="487"/>
      <c r="Z2808" s="487"/>
      <c r="AA2808" s="276">
        <f t="shared" si="355"/>
        <v>0</v>
      </c>
      <c r="AB2808" s="573"/>
      <c r="AC2808" s="487"/>
      <c r="AD2808" s="573"/>
      <c r="AE2808" s="487"/>
      <c r="AF2808" s="577">
        <f t="shared" si="351"/>
        <v>2309100</v>
      </c>
      <c r="AG2808" s="275">
        <f t="shared" si="352"/>
        <v>2321279.539822909</v>
      </c>
    </row>
    <row r="2809" spans="1:33" ht="12" customHeight="1">
      <c r="A2809" s="753" t="s">
        <v>1283</v>
      </c>
      <c r="B2809" s="754" t="s">
        <v>1776</v>
      </c>
      <c r="C2809" s="755" t="s">
        <v>940</v>
      </c>
      <c r="D2809" s="709">
        <v>220251</v>
      </c>
      <c r="E2809" s="710">
        <v>13</v>
      </c>
      <c r="F2809" s="573">
        <v>1416000</v>
      </c>
      <c r="G2809" s="487">
        <v>1343800</v>
      </c>
      <c r="H2809" s="573"/>
      <c r="I2809" s="487"/>
      <c r="J2809" s="573"/>
      <c r="K2809" s="487"/>
      <c r="L2809" s="573">
        <v>365700</v>
      </c>
      <c r="M2809" s="573"/>
      <c r="N2809" s="456">
        <f t="shared" si="353"/>
        <v>365700</v>
      </c>
      <c r="O2809" s="487">
        <v>407067.89709968149</v>
      </c>
      <c r="P2809" s="487"/>
      <c r="Q2809" s="274">
        <f t="shared" si="348"/>
        <v>407067.89709968149</v>
      </c>
      <c r="R2809" s="574">
        <f t="shared" si="349"/>
        <v>1781700</v>
      </c>
      <c r="S2809" s="275">
        <f t="shared" si="350"/>
        <v>1750867.8970996814</v>
      </c>
      <c r="T2809" s="575"/>
      <c r="U2809" s="487"/>
      <c r="V2809" s="576"/>
      <c r="W2809" s="573"/>
      <c r="X2809" s="574">
        <f t="shared" si="354"/>
        <v>0</v>
      </c>
      <c r="Y2809" s="487"/>
      <c r="Z2809" s="487"/>
      <c r="AA2809" s="276">
        <f t="shared" si="355"/>
        <v>0</v>
      </c>
      <c r="AB2809" s="573"/>
      <c r="AC2809" s="487"/>
      <c r="AD2809" s="573"/>
      <c r="AE2809" s="487"/>
      <c r="AF2809" s="577">
        <f t="shared" si="351"/>
        <v>1781700</v>
      </c>
      <c r="AG2809" s="275">
        <f t="shared" si="352"/>
        <v>1750867.8970996814</v>
      </c>
    </row>
    <row r="2810" spans="1:33" ht="12" customHeight="1">
      <c r="A2810" s="753" t="s">
        <v>1283</v>
      </c>
      <c r="B2810" s="754" t="s">
        <v>1776</v>
      </c>
      <c r="C2810" s="755" t="s">
        <v>941</v>
      </c>
      <c r="D2810" s="709">
        <v>220279</v>
      </c>
      <c r="E2810" s="710">
        <v>13</v>
      </c>
      <c r="F2810" s="573">
        <v>1126400</v>
      </c>
      <c r="G2810" s="487">
        <v>1069000</v>
      </c>
      <c r="H2810" s="573"/>
      <c r="I2810" s="487"/>
      <c r="J2810" s="573"/>
      <c r="K2810" s="487"/>
      <c r="L2810" s="573">
        <v>374500</v>
      </c>
      <c r="M2810" s="573"/>
      <c r="N2810" s="456">
        <f t="shared" si="353"/>
        <v>374500</v>
      </c>
      <c r="O2810" s="487">
        <v>416863.35100856092</v>
      </c>
      <c r="P2810" s="487"/>
      <c r="Q2810" s="274">
        <f t="shared" si="348"/>
        <v>416863.35100856092</v>
      </c>
      <c r="R2810" s="574">
        <f t="shared" si="349"/>
        <v>1500900</v>
      </c>
      <c r="S2810" s="275">
        <f t="shared" si="350"/>
        <v>1485863.351008561</v>
      </c>
      <c r="T2810" s="575"/>
      <c r="U2810" s="487"/>
      <c r="V2810" s="576"/>
      <c r="W2810" s="573"/>
      <c r="X2810" s="574">
        <f t="shared" si="354"/>
        <v>0</v>
      </c>
      <c r="Y2810" s="487"/>
      <c r="Z2810" s="487"/>
      <c r="AA2810" s="276">
        <f t="shared" si="355"/>
        <v>0</v>
      </c>
      <c r="AB2810" s="573"/>
      <c r="AC2810" s="487"/>
      <c r="AD2810" s="573"/>
      <c r="AE2810" s="487"/>
      <c r="AF2810" s="577">
        <f t="shared" si="351"/>
        <v>1500900</v>
      </c>
      <c r="AG2810" s="275">
        <f t="shared" si="352"/>
        <v>1485863.351008561</v>
      </c>
    </row>
    <row r="2811" spans="1:33" ht="12" customHeight="1">
      <c r="A2811" s="753" t="s">
        <v>1283</v>
      </c>
      <c r="B2811" s="754" t="s">
        <v>1776</v>
      </c>
      <c r="C2811" s="755" t="s">
        <v>942</v>
      </c>
      <c r="D2811" s="709">
        <v>220321</v>
      </c>
      <c r="E2811" s="710">
        <v>13</v>
      </c>
      <c r="F2811" s="573">
        <v>1540800</v>
      </c>
      <c r="G2811" s="487">
        <v>1462200</v>
      </c>
      <c r="H2811" s="573"/>
      <c r="I2811" s="487"/>
      <c r="J2811" s="573"/>
      <c r="K2811" s="487"/>
      <c r="L2811" s="573">
        <v>722000</v>
      </c>
      <c r="M2811" s="573"/>
      <c r="N2811" s="456">
        <f t="shared" si="353"/>
        <v>722000</v>
      </c>
      <c r="O2811" s="487">
        <v>803672.4684330601</v>
      </c>
      <c r="P2811" s="487"/>
      <c r="Q2811" s="274">
        <f t="shared" si="348"/>
        <v>803672.4684330601</v>
      </c>
      <c r="R2811" s="574">
        <f t="shared" si="349"/>
        <v>2262800</v>
      </c>
      <c r="S2811" s="275">
        <f t="shared" si="350"/>
        <v>2265872.4684330602</v>
      </c>
      <c r="T2811" s="575"/>
      <c r="U2811" s="487"/>
      <c r="V2811" s="576"/>
      <c r="W2811" s="573"/>
      <c r="X2811" s="574">
        <f t="shared" si="354"/>
        <v>0</v>
      </c>
      <c r="Y2811" s="487"/>
      <c r="Z2811" s="487"/>
      <c r="AA2811" s="276">
        <f t="shared" si="355"/>
        <v>0</v>
      </c>
      <c r="AB2811" s="573"/>
      <c r="AC2811" s="487"/>
      <c r="AD2811" s="573"/>
      <c r="AE2811" s="487"/>
      <c r="AF2811" s="577">
        <f t="shared" si="351"/>
        <v>2262800</v>
      </c>
      <c r="AG2811" s="275">
        <f t="shared" si="352"/>
        <v>2265872.4684330602</v>
      </c>
    </row>
    <row r="2812" spans="1:33" ht="12" customHeight="1">
      <c r="A2812" s="753" t="s">
        <v>1283</v>
      </c>
      <c r="B2812" s="754" t="s">
        <v>1776</v>
      </c>
      <c r="C2812" s="755" t="s">
        <v>943</v>
      </c>
      <c r="D2812" s="709">
        <v>220394</v>
      </c>
      <c r="E2812" s="710">
        <v>13</v>
      </c>
      <c r="F2812" s="573">
        <v>1321400</v>
      </c>
      <c r="G2812" s="487">
        <v>1254000</v>
      </c>
      <c r="H2812" s="573"/>
      <c r="I2812" s="487"/>
      <c r="J2812" s="573"/>
      <c r="K2812" s="487"/>
      <c r="L2812" s="573">
        <v>260000</v>
      </c>
      <c r="M2812" s="573"/>
      <c r="N2812" s="456">
        <f t="shared" si="353"/>
        <v>260000</v>
      </c>
      <c r="O2812" s="487">
        <v>289411.13821689144</v>
      </c>
      <c r="P2812" s="487"/>
      <c r="Q2812" s="274">
        <f t="shared" si="348"/>
        <v>289411.13821689144</v>
      </c>
      <c r="R2812" s="574">
        <f t="shared" si="349"/>
        <v>1581400</v>
      </c>
      <c r="S2812" s="275">
        <f t="shared" si="350"/>
        <v>1543411.1382168913</v>
      </c>
      <c r="T2812" s="575"/>
      <c r="U2812" s="487"/>
      <c r="V2812" s="576"/>
      <c r="W2812" s="573"/>
      <c r="X2812" s="574">
        <f t="shared" si="354"/>
        <v>0</v>
      </c>
      <c r="Y2812" s="487"/>
      <c r="Z2812" s="487"/>
      <c r="AA2812" s="276">
        <f t="shared" si="355"/>
        <v>0</v>
      </c>
      <c r="AB2812" s="573"/>
      <c r="AC2812" s="487"/>
      <c r="AD2812" s="573"/>
      <c r="AE2812" s="487"/>
      <c r="AF2812" s="577">
        <f t="shared" si="351"/>
        <v>1581400</v>
      </c>
      <c r="AG2812" s="275">
        <f t="shared" si="352"/>
        <v>1543411.1382168913</v>
      </c>
    </row>
    <row r="2813" spans="1:33" ht="12" customHeight="1">
      <c r="A2813" s="753" t="s">
        <v>1283</v>
      </c>
      <c r="B2813" s="754" t="s">
        <v>1776</v>
      </c>
      <c r="C2813" s="755" t="s">
        <v>944</v>
      </c>
      <c r="D2813" s="709">
        <v>221616</v>
      </c>
      <c r="E2813" s="710">
        <v>13</v>
      </c>
      <c r="F2813" s="573">
        <v>3044700</v>
      </c>
      <c r="G2813" s="487">
        <v>2889400</v>
      </c>
      <c r="H2813" s="573"/>
      <c r="I2813" s="487"/>
      <c r="J2813" s="573"/>
      <c r="K2813" s="487"/>
      <c r="L2813" s="573">
        <v>853000</v>
      </c>
      <c r="M2813" s="573"/>
      <c r="N2813" s="456">
        <f t="shared" si="353"/>
        <v>853000</v>
      </c>
      <c r="O2813" s="487">
        <v>949491.15730387834</v>
      </c>
      <c r="P2813" s="487"/>
      <c r="Q2813" s="274">
        <f t="shared" si="348"/>
        <v>949491.15730387834</v>
      </c>
      <c r="R2813" s="574">
        <f t="shared" si="349"/>
        <v>3897700</v>
      </c>
      <c r="S2813" s="275">
        <f t="shared" si="350"/>
        <v>3838891.1573038781</v>
      </c>
      <c r="T2813" s="575"/>
      <c r="U2813" s="487"/>
      <c r="V2813" s="576"/>
      <c r="W2813" s="573"/>
      <c r="X2813" s="574">
        <f t="shared" si="354"/>
        <v>0</v>
      </c>
      <c r="Y2813" s="487"/>
      <c r="Z2813" s="487"/>
      <c r="AA2813" s="276">
        <f t="shared" si="355"/>
        <v>0</v>
      </c>
      <c r="AB2813" s="573"/>
      <c r="AC2813" s="487"/>
      <c r="AD2813" s="573"/>
      <c r="AE2813" s="487"/>
      <c r="AF2813" s="577">
        <f t="shared" si="351"/>
        <v>3897700</v>
      </c>
      <c r="AG2813" s="275">
        <f t="shared" si="352"/>
        <v>3838891.1573038781</v>
      </c>
    </row>
    <row r="2814" spans="1:33" ht="12" customHeight="1">
      <c r="A2814" s="753" t="s">
        <v>1283</v>
      </c>
      <c r="B2814" s="754" t="s">
        <v>1776</v>
      </c>
      <c r="C2814" s="755" t="s">
        <v>945</v>
      </c>
      <c r="D2814" s="709">
        <v>221625</v>
      </c>
      <c r="E2814" s="710">
        <v>13</v>
      </c>
      <c r="F2814" s="573">
        <v>3188000</v>
      </c>
      <c r="G2814" s="487">
        <v>3025400</v>
      </c>
      <c r="H2814" s="573"/>
      <c r="I2814" s="487"/>
      <c r="J2814" s="573"/>
      <c r="K2814" s="487"/>
      <c r="L2814" s="573">
        <v>1005000</v>
      </c>
      <c r="M2814" s="573"/>
      <c r="N2814" s="456">
        <f t="shared" si="353"/>
        <v>1005000</v>
      </c>
      <c r="O2814" s="487">
        <v>1118685.3611845227</v>
      </c>
      <c r="P2814" s="487"/>
      <c r="Q2814" s="274">
        <f t="shared" si="348"/>
        <v>1118685.3611845227</v>
      </c>
      <c r="R2814" s="574">
        <f t="shared" si="349"/>
        <v>4193000</v>
      </c>
      <c r="S2814" s="275">
        <f t="shared" si="350"/>
        <v>4144085.3611845225</v>
      </c>
      <c r="T2814" s="575"/>
      <c r="U2814" s="487"/>
      <c r="V2814" s="576"/>
      <c r="W2814" s="573"/>
      <c r="X2814" s="574">
        <f t="shared" si="354"/>
        <v>0</v>
      </c>
      <c r="Y2814" s="487"/>
      <c r="Z2814" s="487"/>
      <c r="AA2814" s="276">
        <f t="shared" si="355"/>
        <v>0</v>
      </c>
      <c r="AB2814" s="573"/>
      <c r="AC2814" s="487"/>
      <c r="AD2814" s="573"/>
      <c r="AE2814" s="487"/>
      <c r="AF2814" s="577">
        <f t="shared" si="351"/>
        <v>4193000</v>
      </c>
      <c r="AG2814" s="275">
        <f t="shared" si="352"/>
        <v>4144085.3611845225</v>
      </c>
    </row>
    <row r="2815" spans="1:33" ht="12" customHeight="1">
      <c r="A2815" s="753" t="s">
        <v>1283</v>
      </c>
      <c r="B2815" s="754" t="s">
        <v>1776</v>
      </c>
      <c r="C2815" s="755" t="s">
        <v>946</v>
      </c>
      <c r="D2815" s="709">
        <v>220640</v>
      </c>
      <c r="E2815" s="710">
        <v>13</v>
      </c>
      <c r="F2815" s="573">
        <v>2121000</v>
      </c>
      <c r="G2815" s="487">
        <v>2012800</v>
      </c>
      <c r="H2815" s="573"/>
      <c r="I2815" s="487"/>
      <c r="J2815" s="573"/>
      <c r="K2815" s="487"/>
      <c r="L2815" s="573">
        <v>701000</v>
      </c>
      <c r="M2815" s="573"/>
      <c r="N2815" s="456">
        <f t="shared" si="353"/>
        <v>701000</v>
      </c>
      <c r="O2815" s="487">
        <v>780296.95342323417</v>
      </c>
      <c r="P2815" s="487"/>
      <c r="Q2815" s="274">
        <f t="shared" si="348"/>
        <v>780296.95342323417</v>
      </c>
      <c r="R2815" s="574">
        <f t="shared" si="349"/>
        <v>2822000</v>
      </c>
      <c r="S2815" s="275">
        <f t="shared" si="350"/>
        <v>2793096.9534232342</v>
      </c>
      <c r="T2815" s="575"/>
      <c r="U2815" s="487"/>
      <c r="V2815" s="576"/>
      <c r="W2815" s="573"/>
      <c r="X2815" s="574">
        <f t="shared" si="354"/>
        <v>0</v>
      </c>
      <c r="Y2815" s="487"/>
      <c r="Z2815" s="487"/>
      <c r="AA2815" s="276">
        <f t="shared" si="355"/>
        <v>0</v>
      </c>
      <c r="AB2815" s="573"/>
      <c r="AC2815" s="487"/>
      <c r="AD2815" s="573"/>
      <c r="AE2815" s="487"/>
      <c r="AF2815" s="577">
        <f t="shared" si="351"/>
        <v>2822000</v>
      </c>
      <c r="AG2815" s="275">
        <f t="shared" si="352"/>
        <v>2793096.9534232342</v>
      </c>
    </row>
    <row r="2816" spans="1:33" ht="12" customHeight="1">
      <c r="A2816" s="753" t="s">
        <v>1283</v>
      </c>
      <c r="B2816" s="754" t="s">
        <v>1776</v>
      </c>
      <c r="C2816" s="753" t="s">
        <v>947</v>
      </c>
      <c r="D2816" s="709">
        <v>220756</v>
      </c>
      <c r="E2816" s="710">
        <v>13</v>
      </c>
      <c r="F2816" s="573">
        <v>1270600</v>
      </c>
      <c r="G2816" s="487">
        <v>1205800</v>
      </c>
      <c r="H2816" s="573"/>
      <c r="I2816" s="487"/>
      <c r="J2816" s="573"/>
      <c r="K2816" s="487"/>
      <c r="L2816" s="573">
        <v>404200</v>
      </c>
      <c r="M2816" s="573"/>
      <c r="N2816" s="456">
        <f t="shared" si="353"/>
        <v>404200</v>
      </c>
      <c r="O2816" s="487">
        <v>449923.00795102888</v>
      </c>
      <c r="P2816" s="487"/>
      <c r="Q2816" s="274">
        <f t="shared" si="348"/>
        <v>449923.00795102888</v>
      </c>
      <c r="R2816" s="574">
        <f t="shared" si="349"/>
        <v>1674800</v>
      </c>
      <c r="S2816" s="275">
        <f t="shared" si="350"/>
        <v>1655723.0079510289</v>
      </c>
      <c r="T2816" s="575"/>
      <c r="U2816" s="487"/>
      <c r="V2816" s="576"/>
      <c r="W2816" s="573"/>
      <c r="X2816" s="574">
        <f t="shared" si="354"/>
        <v>0</v>
      </c>
      <c r="Y2816" s="487"/>
      <c r="Z2816" s="487"/>
      <c r="AA2816" s="276">
        <f t="shared" si="355"/>
        <v>0</v>
      </c>
      <c r="AB2816" s="573"/>
      <c r="AC2816" s="487"/>
      <c r="AD2816" s="573"/>
      <c r="AE2816" s="487"/>
      <c r="AF2816" s="577">
        <f t="shared" si="351"/>
        <v>1674800</v>
      </c>
      <c r="AG2816" s="275">
        <f t="shared" si="352"/>
        <v>1655723.0079510289</v>
      </c>
    </row>
    <row r="2817" spans="1:33" ht="12" customHeight="1">
      <c r="A2817" s="753" t="s">
        <v>1283</v>
      </c>
      <c r="B2817" s="754" t="s">
        <v>1776</v>
      </c>
      <c r="C2817" s="755" t="s">
        <v>948</v>
      </c>
      <c r="D2817" s="709">
        <v>221607</v>
      </c>
      <c r="E2817" s="710">
        <v>13</v>
      </c>
      <c r="F2817" s="573">
        <v>1392600</v>
      </c>
      <c r="G2817" s="487">
        <v>1321600</v>
      </c>
      <c r="H2817" s="573"/>
      <c r="I2817" s="487"/>
      <c r="J2817" s="573"/>
      <c r="K2817" s="487"/>
      <c r="L2817" s="573">
        <v>443500</v>
      </c>
      <c r="M2817" s="573"/>
      <c r="N2817" s="456">
        <f t="shared" si="353"/>
        <v>443500</v>
      </c>
      <c r="O2817" s="487">
        <v>493668.6146122744</v>
      </c>
      <c r="P2817" s="487"/>
      <c r="Q2817" s="274">
        <f t="shared" si="348"/>
        <v>493668.6146122744</v>
      </c>
      <c r="R2817" s="574">
        <f t="shared" si="349"/>
        <v>1836100</v>
      </c>
      <c r="S2817" s="275">
        <f t="shared" si="350"/>
        <v>1815268.6146122743</v>
      </c>
      <c r="T2817" s="575"/>
      <c r="U2817" s="487"/>
      <c r="V2817" s="576"/>
      <c r="W2817" s="573"/>
      <c r="X2817" s="574">
        <f t="shared" si="354"/>
        <v>0</v>
      </c>
      <c r="Y2817" s="487"/>
      <c r="Z2817" s="487"/>
      <c r="AA2817" s="276">
        <f t="shared" si="355"/>
        <v>0</v>
      </c>
      <c r="AB2817" s="573"/>
      <c r="AC2817" s="487"/>
      <c r="AD2817" s="573"/>
      <c r="AE2817" s="487"/>
      <c r="AF2817" s="577">
        <f t="shared" si="351"/>
        <v>1836100</v>
      </c>
      <c r="AG2817" s="275">
        <f t="shared" si="352"/>
        <v>1815268.6146122743</v>
      </c>
    </row>
    <row r="2818" spans="1:33" ht="12" customHeight="1">
      <c r="A2818" s="753" t="s">
        <v>1283</v>
      </c>
      <c r="B2818" s="754" t="s">
        <v>1776</v>
      </c>
      <c r="C2818" s="757" t="s">
        <v>949</v>
      </c>
      <c r="D2818" s="709">
        <v>220853</v>
      </c>
      <c r="E2818" s="710">
        <v>13</v>
      </c>
      <c r="F2818" s="573">
        <v>4215700</v>
      </c>
      <c r="G2818" s="487">
        <v>4000700</v>
      </c>
      <c r="H2818" s="573"/>
      <c r="I2818" s="487"/>
      <c r="J2818" s="573"/>
      <c r="K2818" s="487"/>
      <c r="L2818" s="573">
        <v>1579600</v>
      </c>
      <c r="M2818" s="573"/>
      <c r="N2818" s="456">
        <f t="shared" si="353"/>
        <v>1579600</v>
      </c>
      <c r="O2818" s="487">
        <v>1758283.9766438527</v>
      </c>
      <c r="P2818" s="487"/>
      <c r="Q2818" s="274">
        <f t="shared" si="348"/>
        <v>1758283.9766438527</v>
      </c>
      <c r="R2818" s="574">
        <f t="shared" si="349"/>
        <v>5795300</v>
      </c>
      <c r="S2818" s="275">
        <f t="shared" si="350"/>
        <v>5758983.9766438529</v>
      </c>
      <c r="T2818" s="575"/>
      <c r="U2818" s="487"/>
      <c r="V2818" s="576"/>
      <c r="W2818" s="573"/>
      <c r="X2818" s="574">
        <f t="shared" si="354"/>
        <v>0</v>
      </c>
      <c r="Y2818" s="487"/>
      <c r="Z2818" s="487"/>
      <c r="AA2818" s="276">
        <f t="shared" si="355"/>
        <v>0</v>
      </c>
      <c r="AB2818" s="573"/>
      <c r="AC2818" s="487"/>
      <c r="AD2818" s="573"/>
      <c r="AE2818" s="487"/>
      <c r="AF2818" s="577">
        <f t="shared" si="351"/>
        <v>5795300</v>
      </c>
      <c r="AG2818" s="275">
        <f t="shared" si="352"/>
        <v>5758983.9766438529</v>
      </c>
    </row>
    <row r="2819" spans="1:33" ht="12" customHeight="1">
      <c r="A2819" s="753" t="s">
        <v>1283</v>
      </c>
      <c r="B2819" s="754" t="s">
        <v>1776</v>
      </c>
      <c r="C2819" s="755" t="s">
        <v>950</v>
      </c>
      <c r="D2819" s="709">
        <v>221050</v>
      </c>
      <c r="E2819" s="710">
        <v>13</v>
      </c>
      <c r="F2819" s="573">
        <v>3893300</v>
      </c>
      <c r="G2819" s="487">
        <v>3694700</v>
      </c>
      <c r="H2819" s="573"/>
      <c r="I2819" s="487"/>
      <c r="J2819" s="573"/>
      <c r="K2819" s="487"/>
      <c r="L2819" s="573">
        <v>1050000</v>
      </c>
      <c r="M2819" s="573"/>
      <c r="N2819" s="456">
        <f t="shared" si="353"/>
        <v>1050000</v>
      </c>
      <c r="O2819" s="487">
        <v>1168775.7504912922</v>
      </c>
      <c r="P2819" s="487"/>
      <c r="Q2819" s="274">
        <f t="shared" si="348"/>
        <v>1168775.7504912922</v>
      </c>
      <c r="R2819" s="574">
        <f t="shared" si="349"/>
        <v>4943300</v>
      </c>
      <c r="S2819" s="275">
        <f t="shared" si="350"/>
        <v>4863475.7504912922</v>
      </c>
      <c r="T2819" s="575"/>
      <c r="U2819" s="487"/>
      <c r="V2819" s="576"/>
      <c r="W2819" s="573"/>
      <c r="X2819" s="574">
        <f t="shared" si="354"/>
        <v>0</v>
      </c>
      <c r="Y2819" s="487"/>
      <c r="Z2819" s="487"/>
      <c r="AA2819" s="276">
        <f t="shared" si="355"/>
        <v>0</v>
      </c>
      <c r="AB2819" s="573"/>
      <c r="AC2819" s="487"/>
      <c r="AD2819" s="573"/>
      <c r="AE2819" s="487"/>
      <c r="AF2819" s="577">
        <f t="shared" si="351"/>
        <v>4943300</v>
      </c>
      <c r="AG2819" s="275">
        <f t="shared" si="352"/>
        <v>4863475.7504912922</v>
      </c>
    </row>
    <row r="2820" spans="1:33" ht="12" customHeight="1">
      <c r="A2820" s="753" t="s">
        <v>1283</v>
      </c>
      <c r="B2820" s="754" t="s">
        <v>1776</v>
      </c>
      <c r="C2820" s="755" t="s">
        <v>951</v>
      </c>
      <c r="D2820" s="709">
        <v>221102</v>
      </c>
      <c r="E2820" s="710">
        <v>13</v>
      </c>
      <c r="F2820" s="573">
        <v>1724200</v>
      </c>
      <c r="G2820" s="487">
        <v>1636300</v>
      </c>
      <c r="H2820" s="573"/>
      <c r="I2820" s="487"/>
      <c r="J2820" s="573"/>
      <c r="K2820" s="487"/>
      <c r="L2820" s="573">
        <v>640600</v>
      </c>
      <c r="M2820" s="573"/>
      <c r="N2820" s="456">
        <f t="shared" si="353"/>
        <v>640600</v>
      </c>
      <c r="O2820" s="487">
        <v>713064.51977592555</v>
      </c>
      <c r="P2820" s="487"/>
      <c r="Q2820" s="274">
        <f t="shared" si="348"/>
        <v>713064.51977592555</v>
      </c>
      <c r="R2820" s="574">
        <f t="shared" si="349"/>
        <v>2364800</v>
      </c>
      <c r="S2820" s="275">
        <f t="shared" si="350"/>
        <v>2349364.5197759257</v>
      </c>
      <c r="T2820" s="575"/>
      <c r="U2820" s="487"/>
      <c r="V2820" s="576"/>
      <c r="W2820" s="573"/>
      <c r="X2820" s="574">
        <f t="shared" si="354"/>
        <v>0</v>
      </c>
      <c r="Y2820" s="487"/>
      <c r="Z2820" s="487"/>
      <c r="AA2820" s="276">
        <f t="shared" si="355"/>
        <v>0</v>
      </c>
      <c r="AB2820" s="573"/>
      <c r="AC2820" s="487"/>
      <c r="AD2820" s="573"/>
      <c r="AE2820" s="487"/>
      <c r="AF2820" s="577">
        <f t="shared" si="351"/>
        <v>2364800</v>
      </c>
      <c r="AG2820" s="275">
        <f t="shared" si="352"/>
        <v>2349364.5197759257</v>
      </c>
    </row>
    <row r="2821" spans="1:33" ht="12" customHeight="1">
      <c r="A2821" s="753" t="s">
        <v>1283</v>
      </c>
      <c r="B2821" s="754" t="s">
        <v>1776</v>
      </c>
      <c r="C2821" s="755" t="s">
        <v>952</v>
      </c>
      <c r="D2821" s="709">
        <v>248925</v>
      </c>
      <c r="E2821" s="710">
        <v>13</v>
      </c>
      <c r="F2821" s="573">
        <v>3649800</v>
      </c>
      <c r="G2821" s="487">
        <v>3463700</v>
      </c>
      <c r="H2821" s="573"/>
      <c r="I2821" s="487"/>
      <c r="J2821" s="573"/>
      <c r="K2821" s="487"/>
      <c r="L2821" s="573">
        <v>1383000</v>
      </c>
      <c r="M2821" s="573"/>
      <c r="N2821" s="456">
        <f t="shared" si="353"/>
        <v>1383000</v>
      </c>
      <c r="O2821" s="487">
        <v>1539444.6313613879</v>
      </c>
      <c r="P2821" s="487"/>
      <c r="Q2821" s="274">
        <f t="shared" si="348"/>
        <v>1539444.6313613879</v>
      </c>
      <c r="R2821" s="574">
        <f t="shared" si="349"/>
        <v>5032800</v>
      </c>
      <c r="S2821" s="275">
        <f t="shared" si="350"/>
        <v>5003144.6313613877</v>
      </c>
      <c r="T2821" s="575"/>
      <c r="U2821" s="487"/>
      <c r="V2821" s="576"/>
      <c r="W2821" s="573"/>
      <c r="X2821" s="574">
        <f t="shared" si="354"/>
        <v>0</v>
      </c>
      <c r="Y2821" s="487"/>
      <c r="Z2821" s="487"/>
      <c r="AA2821" s="276">
        <f t="shared" si="355"/>
        <v>0</v>
      </c>
      <c r="AB2821" s="573"/>
      <c r="AC2821" s="487"/>
      <c r="AD2821" s="573"/>
      <c r="AE2821" s="487"/>
      <c r="AF2821" s="577">
        <f t="shared" si="351"/>
        <v>5032800</v>
      </c>
      <c r="AG2821" s="275">
        <f t="shared" si="352"/>
        <v>5003144.6313613877</v>
      </c>
    </row>
    <row r="2822" spans="1:33" ht="12" customHeight="1">
      <c r="A2822" s="753" t="s">
        <v>1283</v>
      </c>
      <c r="B2822" s="754" t="s">
        <v>1776</v>
      </c>
      <c r="C2822" s="755" t="s">
        <v>953</v>
      </c>
      <c r="D2822" s="709">
        <v>221236</v>
      </c>
      <c r="E2822" s="710">
        <v>13</v>
      </c>
      <c r="F2822" s="573">
        <v>1382600</v>
      </c>
      <c r="G2822" s="487">
        <v>1312100</v>
      </c>
      <c r="H2822" s="573"/>
      <c r="I2822" s="487"/>
      <c r="J2822" s="573"/>
      <c r="K2822" s="487"/>
      <c r="L2822" s="573">
        <v>366500</v>
      </c>
      <c r="M2822" s="573"/>
      <c r="N2822" s="456">
        <f t="shared" si="353"/>
        <v>366500</v>
      </c>
      <c r="O2822" s="487">
        <v>407958.39290957962</v>
      </c>
      <c r="P2822" s="487"/>
      <c r="Q2822" s="274">
        <f t="shared" si="348"/>
        <v>407958.39290957962</v>
      </c>
      <c r="R2822" s="574">
        <f t="shared" si="349"/>
        <v>1749100</v>
      </c>
      <c r="S2822" s="275">
        <f t="shared" si="350"/>
        <v>1720058.3929095797</v>
      </c>
      <c r="T2822" s="575"/>
      <c r="U2822" s="487"/>
      <c r="V2822" s="576"/>
      <c r="W2822" s="573"/>
      <c r="X2822" s="574">
        <f t="shared" si="354"/>
        <v>0</v>
      </c>
      <c r="Y2822" s="487"/>
      <c r="Z2822" s="487"/>
      <c r="AA2822" s="276">
        <f t="shared" si="355"/>
        <v>0</v>
      </c>
      <c r="AB2822" s="573"/>
      <c r="AC2822" s="487"/>
      <c r="AD2822" s="573"/>
      <c r="AE2822" s="487"/>
      <c r="AF2822" s="577">
        <f t="shared" si="351"/>
        <v>1749100</v>
      </c>
      <c r="AG2822" s="275">
        <f t="shared" si="352"/>
        <v>1720058.3929095797</v>
      </c>
    </row>
    <row r="2823" spans="1:33" ht="12" customHeight="1">
      <c r="A2823" s="753" t="s">
        <v>1283</v>
      </c>
      <c r="B2823" s="754" t="s">
        <v>1776</v>
      </c>
      <c r="C2823" s="755" t="s">
        <v>1257</v>
      </c>
      <c r="D2823" s="709">
        <v>221582</v>
      </c>
      <c r="E2823" s="710">
        <v>13</v>
      </c>
      <c r="F2823" s="573">
        <v>1321500</v>
      </c>
      <c r="G2823" s="487">
        <v>1254100</v>
      </c>
      <c r="H2823" s="573"/>
      <c r="I2823" s="487"/>
      <c r="J2823" s="573"/>
      <c r="K2823" s="487"/>
      <c r="L2823" s="573">
        <v>427300</v>
      </c>
      <c r="M2823" s="573"/>
      <c r="N2823" s="456">
        <f t="shared" si="353"/>
        <v>427300</v>
      </c>
      <c r="O2823" s="487">
        <v>475636.0744618373</v>
      </c>
      <c r="P2823" s="487"/>
      <c r="Q2823" s="274">
        <f t="shared" si="348"/>
        <v>475636.0744618373</v>
      </c>
      <c r="R2823" s="574">
        <f t="shared" si="349"/>
        <v>1748800</v>
      </c>
      <c r="S2823" s="275">
        <f t="shared" si="350"/>
        <v>1729736.0744618373</v>
      </c>
      <c r="T2823" s="575"/>
      <c r="U2823" s="487"/>
      <c r="V2823" s="576"/>
      <c r="W2823" s="573"/>
      <c r="X2823" s="574">
        <f t="shared" si="354"/>
        <v>0</v>
      </c>
      <c r="Y2823" s="487"/>
      <c r="Z2823" s="487"/>
      <c r="AA2823" s="276">
        <f t="shared" si="355"/>
        <v>0</v>
      </c>
      <c r="AB2823" s="573"/>
      <c r="AC2823" s="487"/>
      <c r="AD2823" s="573"/>
      <c r="AE2823" s="487"/>
      <c r="AF2823" s="577">
        <f t="shared" si="351"/>
        <v>1748800</v>
      </c>
      <c r="AG2823" s="275">
        <f t="shared" si="352"/>
        <v>1729736.0744618373</v>
      </c>
    </row>
    <row r="2824" spans="1:33" ht="12" customHeight="1">
      <c r="A2824" s="753" t="s">
        <v>1283</v>
      </c>
      <c r="B2824" s="754" t="s">
        <v>1776</v>
      </c>
      <c r="C2824" s="755" t="s">
        <v>1258</v>
      </c>
      <c r="D2824" s="709">
        <v>221281</v>
      </c>
      <c r="E2824" s="710">
        <v>13</v>
      </c>
      <c r="F2824" s="573">
        <v>1769000</v>
      </c>
      <c r="G2824" s="487">
        <v>1678800</v>
      </c>
      <c r="H2824" s="573"/>
      <c r="I2824" s="487"/>
      <c r="J2824" s="573"/>
      <c r="K2824" s="487"/>
      <c r="L2824" s="573">
        <v>697900</v>
      </c>
      <c r="M2824" s="573"/>
      <c r="N2824" s="456">
        <f t="shared" si="353"/>
        <v>697900</v>
      </c>
      <c r="O2824" s="487">
        <v>776846.28215987899</v>
      </c>
      <c r="P2824" s="487"/>
      <c r="Q2824" s="274">
        <f t="shared" si="348"/>
        <v>776846.28215987899</v>
      </c>
      <c r="R2824" s="574">
        <f t="shared" si="349"/>
        <v>2466900</v>
      </c>
      <c r="S2824" s="275">
        <f t="shared" si="350"/>
        <v>2455646.2821598789</v>
      </c>
      <c r="T2824" s="575"/>
      <c r="U2824" s="487"/>
      <c r="V2824" s="576"/>
      <c r="W2824" s="573"/>
      <c r="X2824" s="574">
        <f t="shared" si="354"/>
        <v>0</v>
      </c>
      <c r="Y2824" s="487"/>
      <c r="Z2824" s="487"/>
      <c r="AA2824" s="276">
        <f t="shared" si="355"/>
        <v>0</v>
      </c>
      <c r="AB2824" s="573"/>
      <c r="AC2824" s="487"/>
      <c r="AD2824" s="573"/>
      <c r="AE2824" s="487"/>
      <c r="AF2824" s="577">
        <f t="shared" si="351"/>
        <v>2466900</v>
      </c>
      <c r="AG2824" s="275">
        <f t="shared" si="352"/>
        <v>2455646.2821598789</v>
      </c>
    </row>
    <row r="2825" spans="1:33" ht="12" customHeight="1">
      <c r="A2825" s="753" t="s">
        <v>1283</v>
      </c>
      <c r="B2825" s="754" t="s">
        <v>1776</v>
      </c>
      <c r="C2825" s="755" t="s">
        <v>1259</v>
      </c>
      <c r="D2825" s="709">
        <v>221333</v>
      </c>
      <c r="E2825" s="710">
        <v>13</v>
      </c>
      <c r="F2825" s="573">
        <v>1403500</v>
      </c>
      <c r="G2825" s="487">
        <v>1331900</v>
      </c>
      <c r="H2825" s="573"/>
      <c r="I2825" s="487"/>
      <c r="J2825" s="573"/>
      <c r="K2825" s="487"/>
      <c r="L2825" s="573">
        <v>463000</v>
      </c>
      <c r="M2825" s="573"/>
      <c r="N2825" s="456">
        <f t="shared" si="353"/>
        <v>463000</v>
      </c>
      <c r="O2825" s="487">
        <v>515374.44997854123</v>
      </c>
      <c r="P2825" s="487"/>
      <c r="Q2825" s="274">
        <f t="shared" si="348"/>
        <v>515374.44997854123</v>
      </c>
      <c r="R2825" s="574">
        <f t="shared" si="349"/>
        <v>1866500</v>
      </c>
      <c r="S2825" s="275">
        <f t="shared" si="350"/>
        <v>1847274.4499785411</v>
      </c>
      <c r="T2825" s="575"/>
      <c r="U2825" s="487"/>
      <c r="V2825" s="576"/>
      <c r="W2825" s="573"/>
      <c r="X2825" s="574">
        <f t="shared" si="354"/>
        <v>0</v>
      </c>
      <c r="Y2825" s="487"/>
      <c r="Z2825" s="487"/>
      <c r="AA2825" s="276">
        <f t="shared" si="355"/>
        <v>0</v>
      </c>
      <c r="AB2825" s="573"/>
      <c r="AC2825" s="487"/>
      <c r="AD2825" s="573"/>
      <c r="AE2825" s="487"/>
      <c r="AF2825" s="577">
        <f t="shared" si="351"/>
        <v>1866500</v>
      </c>
      <c r="AG2825" s="275">
        <f t="shared" si="352"/>
        <v>1847274.4499785411</v>
      </c>
    </row>
    <row r="2826" spans="1:33" ht="12" customHeight="1">
      <c r="A2826" s="753" t="s">
        <v>1283</v>
      </c>
      <c r="B2826" s="754" t="s">
        <v>1776</v>
      </c>
      <c r="C2826" s="755" t="s">
        <v>1260</v>
      </c>
      <c r="D2826" s="709">
        <v>221388</v>
      </c>
      <c r="E2826" s="710">
        <v>13</v>
      </c>
      <c r="F2826" s="573">
        <v>1125600</v>
      </c>
      <c r="G2826" s="487">
        <v>1068200</v>
      </c>
      <c r="H2826" s="573"/>
      <c r="I2826" s="487"/>
      <c r="J2826" s="573"/>
      <c r="K2826" s="487"/>
      <c r="L2826" s="573">
        <v>234900</v>
      </c>
      <c r="M2826" s="573"/>
      <c r="N2826" s="456">
        <f t="shared" si="353"/>
        <v>234900</v>
      </c>
      <c r="O2826" s="487">
        <v>261471.8321813377</v>
      </c>
      <c r="P2826" s="487"/>
      <c r="Q2826" s="274">
        <f t="shared" ref="Q2826:Q2889" si="356">SUM(O2826:P2826)</f>
        <v>261471.8321813377</v>
      </c>
      <c r="R2826" s="574">
        <f t="shared" ref="R2826:R2889" si="357">SUM(F2826,H2826,J2826,L2826)</f>
        <v>1360500</v>
      </c>
      <c r="S2826" s="275">
        <f t="shared" ref="S2826:S2889" si="358">SUM(G2826,I2826,K2826,O2826)</f>
        <v>1329671.8321813378</v>
      </c>
      <c r="T2826" s="575"/>
      <c r="U2826" s="487"/>
      <c r="V2826" s="576"/>
      <c r="W2826" s="573"/>
      <c r="X2826" s="574">
        <f t="shared" si="354"/>
        <v>0</v>
      </c>
      <c r="Y2826" s="487"/>
      <c r="Z2826" s="487"/>
      <c r="AA2826" s="276">
        <f t="shared" si="355"/>
        <v>0</v>
      </c>
      <c r="AB2826" s="573"/>
      <c r="AC2826" s="487"/>
      <c r="AD2826" s="573"/>
      <c r="AE2826" s="487"/>
      <c r="AF2826" s="577">
        <f t="shared" ref="AF2826:AF2889" si="359">SUM(R2826,T2826,V2826,AB2826,AD2826)</f>
        <v>1360500</v>
      </c>
      <c r="AG2826" s="275">
        <f t="shared" ref="AG2826:AG2889" si="360">SUM(S2826,U2826,Y2826,AC2826,AE2826)</f>
        <v>1329671.8321813378</v>
      </c>
    </row>
    <row r="2827" spans="1:33" ht="12" customHeight="1">
      <c r="A2827" s="753" t="s">
        <v>1283</v>
      </c>
      <c r="B2827" s="754" t="s">
        <v>1776</v>
      </c>
      <c r="C2827" s="755" t="s">
        <v>1261</v>
      </c>
      <c r="D2827" s="709">
        <v>221494</v>
      </c>
      <c r="E2827" s="710">
        <v>13</v>
      </c>
      <c r="F2827" s="573">
        <v>1981500</v>
      </c>
      <c r="G2827" s="487">
        <v>1880400</v>
      </c>
      <c r="H2827" s="573"/>
      <c r="I2827" s="487"/>
      <c r="J2827" s="573"/>
      <c r="K2827" s="487"/>
      <c r="L2827" s="573">
        <v>998000</v>
      </c>
      <c r="M2827" s="573"/>
      <c r="N2827" s="456">
        <f t="shared" si="353"/>
        <v>998000</v>
      </c>
      <c r="O2827" s="487">
        <v>1110893.5228479139</v>
      </c>
      <c r="P2827" s="487"/>
      <c r="Q2827" s="274">
        <f t="shared" si="356"/>
        <v>1110893.5228479139</v>
      </c>
      <c r="R2827" s="574">
        <f t="shared" si="357"/>
        <v>2979500</v>
      </c>
      <c r="S2827" s="275">
        <f t="shared" si="358"/>
        <v>2991293.5228479141</v>
      </c>
      <c r="T2827" s="575"/>
      <c r="U2827" s="487"/>
      <c r="V2827" s="576"/>
      <c r="W2827" s="573"/>
      <c r="X2827" s="574">
        <f t="shared" si="354"/>
        <v>0</v>
      </c>
      <c r="Y2827" s="487"/>
      <c r="Z2827" s="487"/>
      <c r="AA2827" s="276">
        <f t="shared" si="355"/>
        <v>0</v>
      </c>
      <c r="AB2827" s="573"/>
      <c r="AC2827" s="487"/>
      <c r="AD2827" s="573"/>
      <c r="AE2827" s="487"/>
      <c r="AF2827" s="577">
        <f t="shared" si="359"/>
        <v>2979500</v>
      </c>
      <c r="AG2827" s="275">
        <f t="shared" si="360"/>
        <v>2991293.5228479141</v>
      </c>
    </row>
    <row r="2828" spans="1:33" ht="12" customHeight="1">
      <c r="A2828" s="753" t="s">
        <v>1283</v>
      </c>
      <c r="B2828" s="754" t="s">
        <v>1776</v>
      </c>
      <c r="C2828" s="755" t="s">
        <v>1262</v>
      </c>
      <c r="D2828" s="709">
        <v>221634</v>
      </c>
      <c r="E2828" s="710">
        <v>13</v>
      </c>
      <c r="F2828" s="573">
        <v>1293800</v>
      </c>
      <c r="G2828" s="487">
        <v>1227800</v>
      </c>
      <c r="H2828" s="573"/>
      <c r="I2828" s="487"/>
      <c r="J2828" s="573"/>
      <c r="K2828" s="487"/>
      <c r="L2828" s="573">
        <v>303700</v>
      </c>
      <c r="M2828" s="573"/>
      <c r="N2828" s="456">
        <f t="shared" si="353"/>
        <v>303700</v>
      </c>
      <c r="O2828" s="487">
        <v>338054.47183257662</v>
      </c>
      <c r="P2828" s="487"/>
      <c r="Q2828" s="274">
        <f t="shared" si="356"/>
        <v>338054.47183257662</v>
      </c>
      <c r="R2828" s="574">
        <f t="shared" si="357"/>
        <v>1597500</v>
      </c>
      <c r="S2828" s="275">
        <f t="shared" si="358"/>
        <v>1565854.4718325767</v>
      </c>
      <c r="T2828" s="575"/>
      <c r="U2828" s="487"/>
      <c r="V2828" s="576"/>
      <c r="W2828" s="573"/>
      <c r="X2828" s="574">
        <f t="shared" si="354"/>
        <v>0</v>
      </c>
      <c r="Y2828" s="487"/>
      <c r="Z2828" s="487"/>
      <c r="AA2828" s="276">
        <f t="shared" si="355"/>
        <v>0</v>
      </c>
      <c r="AB2828" s="573"/>
      <c r="AC2828" s="487"/>
      <c r="AD2828" s="573"/>
      <c r="AE2828" s="487"/>
      <c r="AF2828" s="577">
        <f t="shared" si="359"/>
        <v>1597500</v>
      </c>
      <c r="AG2828" s="275">
        <f t="shared" si="360"/>
        <v>1565854.4718325767</v>
      </c>
    </row>
    <row r="2829" spans="1:33" ht="12" customHeight="1">
      <c r="A2829" s="753" t="s">
        <v>1283</v>
      </c>
      <c r="B2829" s="754" t="s">
        <v>1819</v>
      </c>
      <c r="C2829" s="755" t="s">
        <v>1263</v>
      </c>
      <c r="D2829" s="709">
        <v>221704</v>
      </c>
      <c r="E2829" s="710">
        <v>15</v>
      </c>
      <c r="F2829" s="573"/>
      <c r="G2829" s="487"/>
      <c r="H2829" s="573"/>
      <c r="I2829" s="487"/>
      <c r="J2829" s="573"/>
      <c r="K2829" s="487"/>
      <c r="L2829" s="573"/>
      <c r="M2829" s="573"/>
      <c r="N2829" s="456">
        <f t="shared" si="353"/>
        <v>0</v>
      </c>
      <c r="O2829" s="487"/>
      <c r="P2829" s="487"/>
      <c r="Q2829" s="274">
        <f t="shared" si="356"/>
        <v>0</v>
      </c>
      <c r="R2829" s="574">
        <f t="shared" si="357"/>
        <v>0</v>
      </c>
      <c r="S2829" s="275">
        <f t="shared" si="358"/>
        <v>0</v>
      </c>
      <c r="T2829" s="575"/>
      <c r="U2829" s="487"/>
      <c r="V2829" s="576"/>
      <c r="W2829" s="573"/>
      <c r="X2829" s="574">
        <f t="shared" si="354"/>
        <v>0</v>
      </c>
      <c r="Y2829" s="487"/>
      <c r="Z2829" s="487"/>
      <c r="AA2829" s="276">
        <f t="shared" si="355"/>
        <v>0</v>
      </c>
      <c r="AB2829" s="573"/>
      <c r="AC2829" s="487"/>
      <c r="AD2829" s="573"/>
      <c r="AE2829" s="487"/>
      <c r="AF2829" s="577">
        <f t="shared" si="359"/>
        <v>0</v>
      </c>
      <c r="AG2829" s="275">
        <f t="shared" si="360"/>
        <v>0</v>
      </c>
    </row>
    <row r="2830" spans="1:33" ht="12" customHeight="1">
      <c r="A2830" s="753" t="s">
        <v>1283</v>
      </c>
      <c r="B2830" s="754" t="s">
        <v>1819</v>
      </c>
      <c r="C2830" s="302" t="s">
        <v>1429</v>
      </c>
      <c r="D2830" s="709">
        <v>221704</v>
      </c>
      <c r="E2830" s="710">
        <v>15</v>
      </c>
      <c r="F2830" s="573"/>
      <c r="G2830" s="487"/>
      <c r="H2830" s="573"/>
      <c r="I2830" s="487"/>
      <c r="J2830" s="573"/>
      <c r="K2830" s="487"/>
      <c r="L2830" s="573"/>
      <c r="M2830" s="573"/>
      <c r="N2830" s="456">
        <f t="shared" si="353"/>
        <v>0</v>
      </c>
      <c r="O2830" s="487"/>
      <c r="P2830" s="487"/>
      <c r="Q2830" s="274">
        <f t="shared" si="356"/>
        <v>0</v>
      </c>
      <c r="R2830" s="574">
        <f t="shared" si="357"/>
        <v>0</v>
      </c>
      <c r="S2830" s="275">
        <f t="shared" si="358"/>
        <v>0</v>
      </c>
      <c r="T2830" s="575"/>
      <c r="U2830" s="487"/>
      <c r="V2830" s="576"/>
      <c r="W2830" s="573">
        <v>126700</v>
      </c>
      <c r="X2830" s="574">
        <f t="shared" si="354"/>
        <v>126700</v>
      </c>
      <c r="Y2830" s="487"/>
      <c r="Z2830" s="487">
        <v>205000</v>
      </c>
      <c r="AA2830" s="276">
        <f t="shared" si="355"/>
        <v>205000</v>
      </c>
      <c r="AB2830" s="573">
        <v>83812000</v>
      </c>
      <c r="AC2830" s="487">
        <v>68934900</v>
      </c>
      <c r="AD2830" s="573">
        <v>24793900</v>
      </c>
      <c r="AE2830" s="487">
        <v>28453300</v>
      </c>
      <c r="AF2830" s="577">
        <f t="shared" si="359"/>
        <v>108605900</v>
      </c>
      <c r="AG2830" s="275">
        <f t="shared" si="360"/>
        <v>97388200</v>
      </c>
    </row>
    <row r="2831" spans="1:33" ht="12" customHeight="1">
      <c r="A2831" s="753" t="s">
        <v>1283</v>
      </c>
      <c r="B2831" s="754" t="s">
        <v>1819</v>
      </c>
      <c r="C2831" s="756" t="s">
        <v>1614</v>
      </c>
      <c r="D2831" s="709">
        <v>221704</v>
      </c>
      <c r="E2831" s="710">
        <v>15</v>
      </c>
      <c r="F2831" s="573"/>
      <c r="G2831" s="487"/>
      <c r="H2831" s="573"/>
      <c r="I2831" s="487"/>
      <c r="J2831" s="573"/>
      <c r="K2831" s="487"/>
      <c r="L2831" s="573"/>
      <c r="M2831" s="573"/>
      <c r="N2831" s="456">
        <f t="shared" si="353"/>
        <v>0</v>
      </c>
      <c r="O2831" s="487"/>
      <c r="P2831" s="487"/>
      <c r="Q2831" s="274">
        <f t="shared" si="356"/>
        <v>0</v>
      </c>
      <c r="R2831" s="574">
        <f t="shared" si="357"/>
        <v>0</v>
      </c>
      <c r="S2831" s="275">
        <f t="shared" si="358"/>
        <v>0</v>
      </c>
      <c r="T2831" s="575"/>
      <c r="U2831" s="487"/>
      <c r="V2831" s="576"/>
      <c r="W2831" s="573"/>
      <c r="X2831" s="574">
        <f t="shared" si="354"/>
        <v>0</v>
      </c>
      <c r="Y2831" s="487"/>
      <c r="Z2831" s="487"/>
      <c r="AA2831" s="276">
        <f t="shared" si="355"/>
        <v>0</v>
      </c>
      <c r="AB2831" s="573">
        <v>49340900</v>
      </c>
      <c r="AC2831" s="487">
        <v>46573700</v>
      </c>
      <c r="AD2831" s="573">
        <v>12442100</v>
      </c>
      <c r="AE2831" s="487">
        <v>13142700</v>
      </c>
      <c r="AF2831" s="577">
        <f t="shared" si="359"/>
        <v>61783000</v>
      </c>
      <c r="AG2831" s="275">
        <f t="shared" si="360"/>
        <v>59716400</v>
      </c>
    </row>
    <row r="2832" spans="1:33" ht="12" customHeight="1">
      <c r="A2832" s="753" t="s">
        <v>1283</v>
      </c>
      <c r="B2832" s="754" t="s">
        <v>1819</v>
      </c>
      <c r="C2832" s="756" t="s">
        <v>462</v>
      </c>
      <c r="D2832" s="709">
        <v>221704</v>
      </c>
      <c r="E2832" s="710">
        <v>15</v>
      </c>
      <c r="F2832" s="573"/>
      <c r="G2832" s="487"/>
      <c r="H2832" s="573"/>
      <c r="I2832" s="487"/>
      <c r="J2832" s="573"/>
      <c r="K2832" s="487"/>
      <c r="L2832" s="573"/>
      <c r="M2832" s="573"/>
      <c r="N2832" s="456">
        <f t="shared" si="353"/>
        <v>0</v>
      </c>
      <c r="O2832" s="487"/>
      <c r="P2832" s="487"/>
      <c r="Q2832" s="274">
        <f t="shared" si="356"/>
        <v>0</v>
      </c>
      <c r="R2832" s="574">
        <f t="shared" si="357"/>
        <v>0</v>
      </c>
      <c r="S2832" s="275">
        <f t="shared" si="358"/>
        <v>0</v>
      </c>
      <c r="T2832" s="575"/>
      <c r="U2832" s="487"/>
      <c r="V2832" s="576"/>
      <c r="W2832" s="573"/>
      <c r="X2832" s="574">
        <f t="shared" si="354"/>
        <v>0</v>
      </c>
      <c r="Y2832" s="487"/>
      <c r="Z2832" s="487"/>
      <c r="AA2832" s="276">
        <f t="shared" si="355"/>
        <v>0</v>
      </c>
      <c r="AB2832" s="573">
        <v>17194200</v>
      </c>
      <c r="AC2832" s="487">
        <v>15799600</v>
      </c>
      <c r="AD2832" s="573">
        <v>6021844</v>
      </c>
      <c r="AE2832" s="487">
        <v>7361742</v>
      </c>
      <c r="AF2832" s="577">
        <f t="shared" si="359"/>
        <v>23216044</v>
      </c>
      <c r="AG2832" s="275">
        <f t="shared" si="360"/>
        <v>23161342</v>
      </c>
    </row>
    <row r="2833" spans="1:33" ht="12" customHeight="1">
      <c r="A2833" s="753" t="s">
        <v>1283</v>
      </c>
      <c r="B2833" s="754" t="s">
        <v>1820</v>
      </c>
      <c r="C2833" s="756" t="s">
        <v>1264</v>
      </c>
      <c r="D2833" s="709">
        <v>221704</v>
      </c>
      <c r="E2833" s="710">
        <v>15</v>
      </c>
      <c r="F2833" s="573"/>
      <c r="G2833" s="487"/>
      <c r="H2833" s="573"/>
      <c r="I2833" s="487"/>
      <c r="J2833" s="573"/>
      <c r="K2833" s="487"/>
      <c r="L2833" s="573"/>
      <c r="M2833" s="573"/>
      <c r="N2833" s="456">
        <f t="shared" si="353"/>
        <v>0</v>
      </c>
      <c r="O2833" s="487"/>
      <c r="P2833" s="487"/>
      <c r="Q2833" s="274">
        <f t="shared" si="356"/>
        <v>0</v>
      </c>
      <c r="R2833" s="574">
        <f t="shared" si="357"/>
        <v>0</v>
      </c>
      <c r="S2833" s="275">
        <f t="shared" si="358"/>
        <v>0</v>
      </c>
      <c r="T2833" s="575">
        <v>9274500</v>
      </c>
      <c r="U2833" s="487">
        <v>7821000</v>
      </c>
      <c r="V2833" s="576">
        <v>1500218</v>
      </c>
      <c r="W2833" s="573"/>
      <c r="X2833" s="574">
        <f t="shared" si="354"/>
        <v>1500218</v>
      </c>
      <c r="Y2833" s="487">
        <v>1711900</v>
      </c>
      <c r="Z2833" s="487"/>
      <c r="AA2833" s="276">
        <f t="shared" si="355"/>
        <v>1711900</v>
      </c>
      <c r="AB2833" s="573"/>
      <c r="AC2833" s="487"/>
      <c r="AD2833" s="573"/>
      <c r="AE2833" s="487"/>
      <c r="AF2833" s="577">
        <f t="shared" si="359"/>
        <v>10774718</v>
      </c>
      <c r="AG2833" s="275">
        <f t="shared" si="360"/>
        <v>9532900</v>
      </c>
    </row>
    <row r="2834" spans="1:33" ht="12" customHeight="1" thickBot="1">
      <c r="A2834" s="753" t="s">
        <v>1283</v>
      </c>
      <c r="B2834" s="754" t="s">
        <v>1821</v>
      </c>
      <c r="C2834" s="303" t="s">
        <v>1435</v>
      </c>
      <c r="D2834" s="709"/>
      <c r="E2834" s="710"/>
      <c r="F2834" s="573"/>
      <c r="G2834" s="487"/>
      <c r="H2834" s="573"/>
      <c r="I2834" s="487"/>
      <c r="J2834" s="573"/>
      <c r="K2834" s="487"/>
      <c r="L2834" s="573"/>
      <c r="M2834" s="573"/>
      <c r="N2834" s="456">
        <f t="shared" si="353"/>
        <v>0</v>
      </c>
      <c r="O2834" s="487"/>
      <c r="P2834" s="487"/>
      <c r="Q2834" s="274">
        <f t="shared" si="356"/>
        <v>0</v>
      </c>
      <c r="R2834" s="574">
        <f t="shared" si="357"/>
        <v>0</v>
      </c>
      <c r="S2834" s="275">
        <f t="shared" si="358"/>
        <v>0</v>
      </c>
      <c r="T2834" s="575"/>
      <c r="U2834" s="487"/>
      <c r="V2834" s="576"/>
      <c r="W2834" s="573"/>
      <c r="X2834" s="574">
        <f t="shared" si="354"/>
        <v>0</v>
      </c>
      <c r="Y2834" s="487"/>
      <c r="Z2834" s="487"/>
      <c r="AA2834" s="276">
        <f t="shared" si="355"/>
        <v>0</v>
      </c>
      <c r="AB2834" s="573"/>
      <c r="AC2834" s="487"/>
      <c r="AD2834" s="573"/>
      <c r="AE2834" s="487"/>
      <c r="AF2834" s="577">
        <f t="shared" si="359"/>
        <v>0</v>
      </c>
      <c r="AG2834" s="275">
        <f t="shared" si="360"/>
        <v>0</v>
      </c>
    </row>
    <row r="2835" spans="1:33" ht="12" customHeight="1" thickBot="1">
      <c r="A2835" s="753" t="s">
        <v>1283</v>
      </c>
      <c r="B2835" s="754" t="s">
        <v>1821</v>
      </c>
      <c r="C2835" s="756" t="s">
        <v>1265</v>
      </c>
      <c r="D2835" s="709"/>
      <c r="E2835" s="710"/>
      <c r="F2835" s="573"/>
      <c r="G2835" s="487"/>
      <c r="H2835" s="758">
        <v>395600</v>
      </c>
      <c r="I2835" s="519">
        <v>369000</v>
      </c>
      <c r="J2835" s="759"/>
      <c r="K2835" s="519"/>
      <c r="L2835" s="589"/>
      <c r="M2835" s="573"/>
      <c r="N2835" s="456">
        <f t="shared" ref="N2835:N2898" si="361">SUM(L2835:M2835)</f>
        <v>0</v>
      </c>
      <c r="O2835" s="487"/>
      <c r="P2835" s="487"/>
      <c r="Q2835" s="274">
        <f t="shared" si="356"/>
        <v>0</v>
      </c>
      <c r="R2835" s="574">
        <f t="shared" si="357"/>
        <v>395600</v>
      </c>
      <c r="S2835" s="275">
        <f t="shared" si="358"/>
        <v>369000</v>
      </c>
      <c r="T2835" s="575"/>
      <c r="U2835" s="487"/>
      <c r="V2835" s="576"/>
      <c r="W2835" s="573"/>
      <c r="X2835" s="574">
        <f t="shared" ref="X2835:X2898" si="362">SUM(V2835:W2835)</f>
        <v>0</v>
      </c>
      <c r="Y2835" s="487"/>
      <c r="Z2835" s="487"/>
      <c r="AA2835" s="276">
        <f t="shared" ref="AA2835:AA2898" si="363">SUM(Y2835:Z2835)</f>
        <v>0</v>
      </c>
      <c r="AB2835" s="573"/>
      <c r="AC2835" s="487"/>
      <c r="AD2835" s="573"/>
      <c r="AE2835" s="487"/>
      <c r="AF2835" s="577">
        <f t="shared" si="359"/>
        <v>395600</v>
      </c>
      <c r="AG2835" s="275">
        <f t="shared" si="360"/>
        <v>369000</v>
      </c>
    </row>
    <row r="2836" spans="1:33" ht="12" customHeight="1">
      <c r="A2836" s="753" t="s">
        <v>1283</v>
      </c>
      <c r="B2836" s="754" t="s">
        <v>1794</v>
      </c>
      <c r="C2836" s="303" t="s">
        <v>849</v>
      </c>
      <c r="D2836" s="709"/>
      <c r="E2836" s="710"/>
      <c r="F2836" s="573"/>
      <c r="G2836" s="487"/>
      <c r="H2836" s="573"/>
      <c r="I2836" s="487"/>
      <c r="J2836" s="573"/>
      <c r="K2836" s="487"/>
      <c r="L2836" s="573"/>
      <c r="M2836" s="573"/>
      <c r="N2836" s="456">
        <f t="shared" si="361"/>
        <v>0</v>
      </c>
      <c r="O2836" s="487"/>
      <c r="P2836" s="487"/>
      <c r="Q2836" s="274">
        <f t="shared" si="356"/>
        <v>0</v>
      </c>
      <c r="R2836" s="574">
        <f t="shared" si="357"/>
        <v>0</v>
      </c>
      <c r="S2836" s="275">
        <f t="shared" si="358"/>
        <v>0</v>
      </c>
      <c r="T2836" s="575"/>
      <c r="U2836" s="487"/>
      <c r="V2836" s="576"/>
      <c r="W2836" s="573"/>
      <c r="X2836" s="574">
        <f t="shared" si="362"/>
        <v>0</v>
      </c>
      <c r="Y2836" s="487"/>
      <c r="Z2836" s="487"/>
      <c r="AA2836" s="276">
        <f t="shared" si="363"/>
        <v>0</v>
      </c>
      <c r="AB2836" s="573"/>
      <c r="AC2836" s="487"/>
      <c r="AD2836" s="573"/>
      <c r="AE2836" s="487"/>
      <c r="AF2836" s="577">
        <f t="shared" si="359"/>
        <v>0</v>
      </c>
      <c r="AG2836" s="275">
        <f t="shared" si="360"/>
        <v>0</v>
      </c>
    </row>
    <row r="2837" spans="1:33" ht="12" customHeight="1">
      <c r="A2837" s="753" t="s">
        <v>1283</v>
      </c>
      <c r="B2837" s="754" t="s">
        <v>1795</v>
      </c>
      <c r="C2837" s="302" t="s">
        <v>957</v>
      </c>
      <c r="D2837" s="709"/>
      <c r="E2837" s="710"/>
      <c r="F2837" s="573"/>
      <c r="G2837" s="487"/>
      <c r="H2837" s="573"/>
      <c r="I2837" s="487"/>
      <c r="J2837" s="573"/>
      <c r="K2837" s="487"/>
      <c r="L2837" s="573"/>
      <c r="M2837" s="573"/>
      <c r="N2837" s="456">
        <f t="shared" si="361"/>
        <v>0</v>
      </c>
      <c r="O2837" s="487"/>
      <c r="P2837" s="487"/>
      <c r="Q2837" s="274">
        <f t="shared" si="356"/>
        <v>0</v>
      </c>
      <c r="R2837" s="574">
        <f t="shared" si="357"/>
        <v>0</v>
      </c>
      <c r="S2837" s="275">
        <f t="shared" si="358"/>
        <v>0</v>
      </c>
      <c r="T2837" s="575"/>
      <c r="U2837" s="487"/>
      <c r="V2837" s="576"/>
      <c r="W2837" s="573"/>
      <c r="X2837" s="574">
        <f t="shared" si="362"/>
        <v>0</v>
      </c>
      <c r="Y2837" s="487"/>
      <c r="Z2837" s="487"/>
      <c r="AA2837" s="276">
        <f t="shared" si="363"/>
        <v>0</v>
      </c>
      <c r="AB2837" s="573"/>
      <c r="AC2837" s="487"/>
      <c r="AD2837" s="573"/>
      <c r="AE2837" s="487"/>
      <c r="AF2837" s="577">
        <f t="shared" si="359"/>
        <v>0</v>
      </c>
      <c r="AG2837" s="275">
        <f t="shared" si="360"/>
        <v>0</v>
      </c>
    </row>
    <row r="2838" spans="1:33" ht="12" customHeight="1">
      <c r="A2838" s="753" t="s">
        <v>1283</v>
      </c>
      <c r="B2838" s="754" t="s">
        <v>1795</v>
      </c>
      <c r="C2838" s="756" t="s">
        <v>1266</v>
      </c>
      <c r="D2838" s="709"/>
      <c r="E2838" s="710"/>
      <c r="F2838" s="573"/>
      <c r="G2838" s="487"/>
      <c r="H2838" s="573"/>
      <c r="I2838" s="487"/>
      <c r="J2838" s="573"/>
      <c r="K2838" s="487"/>
      <c r="L2838" s="573"/>
      <c r="M2838" s="573"/>
      <c r="N2838" s="456">
        <f t="shared" si="361"/>
        <v>0</v>
      </c>
      <c r="O2838" s="487"/>
      <c r="P2838" s="487"/>
      <c r="Q2838" s="274">
        <f t="shared" si="356"/>
        <v>0</v>
      </c>
      <c r="R2838" s="574">
        <f t="shared" si="357"/>
        <v>0</v>
      </c>
      <c r="S2838" s="275">
        <f t="shared" si="358"/>
        <v>0</v>
      </c>
      <c r="T2838" s="575">
        <v>2381500</v>
      </c>
      <c r="U2838" s="487">
        <v>2007300</v>
      </c>
      <c r="V2838" s="576"/>
      <c r="W2838" s="573"/>
      <c r="X2838" s="574">
        <f t="shared" si="362"/>
        <v>0</v>
      </c>
      <c r="Y2838" s="487"/>
      <c r="Z2838" s="487"/>
      <c r="AA2838" s="276">
        <f t="shared" si="363"/>
        <v>0</v>
      </c>
      <c r="AB2838" s="573"/>
      <c r="AC2838" s="487"/>
      <c r="AD2838" s="573"/>
      <c r="AE2838" s="487"/>
      <c r="AF2838" s="577">
        <f t="shared" si="359"/>
        <v>2381500</v>
      </c>
      <c r="AG2838" s="275">
        <f t="shared" si="360"/>
        <v>2007300</v>
      </c>
    </row>
    <row r="2839" spans="1:33" ht="12" customHeight="1">
      <c r="A2839" s="753" t="s">
        <v>1283</v>
      </c>
      <c r="B2839" s="754" t="s">
        <v>1795</v>
      </c>
      <c r="C2839" s="756" t="s">
        <v>1267</v>
      </c>
      <c r="D2839" s="709"/>
      <c r="E2839" s="710"/>
      <c r="F2839" s="573"/>
      <c r="G2839" s="487"/>
      <c r="H2839" s="573"/>
      <c r="I2839" s="487"/>
      <c r="J2839" s="573"/>
      <c r="K2839" s="487"/>
      <c r="L2839" s="573"/>
      <c r="M2839" s="573"/>
      <c r="N2839" s="456">
        <f t="shared" si="361"/>
        <v>0</v>
      </c>
      <c r="O2839" s="487"/>
      <c r="P2839" s="487"/>
      <c r="Q2839" s="274">
        <f t="shared" si="356"/>
        <v>0</v>
      </c>
      <c r="R2839" s="574">
        <f t="shared" si="357"/>
        <v>0</v>
      </c>
      <c r="S2839" s="275">
        <f t="shared" si="358"/>
        <v>0</v>
      </c>
      <c r="T2839" s="575">
        <v>9436200</v>
      </c>
      <c r="U2839" s="487">
        <v>8916700</v>
      </c>
      <c r="V2839" s="576"/>
      <c r="W2839" s="573"/>
      <c r="X2839" s="574">
        <f t="shared" si="362"/>
        <v>0</v>
      </c>
      <c r="Y2839" s="487"/>
      <c r="Z2839" s="487"/>
      <c r="AA2839" s="276">
        <f t="shared" si="363"/>
        <v>0</v>
      </c>
      <c r="AB2839" s="573"/>
      <c r="AC2839" s="487"/>
      <c r="AD2839" s="573"/>
      <c r="AE2839" s="487"/>
      <c r="AF2839" s="577">
        <f t="shared" si="359"/>
        <v>9436200</v>
      </c>
      <c r="AG2839" s="275">
        <f t="shared" si="360"/>
        <v>8916700</v>
      </c>
    </row>
    <row r="2840" spans="1:33" ht="12" customHeight="1">
      <c r="A2840" s="753" t="s">
        <v>1283</v>
      </c>
      <c r="B2840" s="754" t="s">
        <v>1797</v>
      </c>
      <c r="C2840" s="302" t="s">
        <v>955</v>
      </c>
      <c r="D2840" s="709"/>
      <c r="E2840" s="710"/>
      <c r="F2840" s="573"/>
      <c r="G2840" s="487"/>
      <c r="H2840" s="573"/>
      <c r="I2840" s="487"/>
      <c r="J2840" s="573"/>
      <c r="K2840" s="487"/>
      <c r="L2840" s="573"/>
      <c r="M2840" s="573"/>
      <c r="N2840" s="456">
        <f t="shared" si="361"/>
        <v>0</v>
      </c>
      <c r="O2840" s="487"/>
      <c r="P2840" s="487"/>
      <c r="Q2840" s="274">
        <f t="shared" si="356"/>
        <v>0</v>
      </c>
      <c r="R2840" s="574">
        <f t="shared" si="357"/>
        <v>0</v>
      </c>
      <c r="S2840" s="275">
        <f t="shared" si="358"/>
        <v>0</v>
      </c>
      <c r="T2840" s="575"/>
      <c r="U2840" s="487"/>
      <c r="V2840" s="576"/>
      <c r="W2840" s="573"/>
      <c r="X2840" s="574">
        <f t="shared" si="362"/>
        <v>0</v>
      </c>
      <c r="Y2840" s="487"/>
      <c r="Z2840" s="487"/>
      <c r="AA2840" s="276">
        <f t="shared" si="363"/>
        <v>0</v>
      </c>
      <c r="AB2840" s="573"/>
      <c r="AC2840" s="487"/>
      <c r="AD2840" s="573"/>
      <c r="AE2840" s="487"/>
      <c r="AF2840" s="577">
        <f t="shared" si="359"/>
        <v>0</v>
      </c>
      <c r="AG2840" s="275">
        <f t="shared" si="360"/>
        <v>0</v>
      </c>
    </row>
    <row r="2841" spans="1:33" ht="12" customHeight="1">
      <c r="A2841" s="753" t="s">
        <v>1283</v>
      </c>
      <c r="B2841" s="754" t="s">
        <v>1797</v>
      </c>
      <c r="C2841" s="756" t="s">
        <v>1430</v>
      </c>
      <c r="D2841" s="709"/>
      <c r="E2841" s="710"/>
      <c r="F2841" s="573"/>
      <c r="G2841" s="487"/>
      <c r="H2841" s="573"/>
      <c r="I2841" s="487"/>
      <c r="J2841" s="573"/>
      <c r="K2841" s="487"/>
      <c r="L2841" s="573"/>
      <c r="M2841" s="573"/>
      <c r="N2841" s="456">
        <f t="shared" si="361"/>
        <v>0</v>
      </c>
      <c r="O2841" s="487"/>
      <c r="P2841" s="487"/>
      <c r="Q2841" s="274">
        <f t="shared" si="356"/>
        <v>0</v>
      </c>
      <c r="R2841" s="574">
        <f t="shared" si="357"/>
        <v>0</v>
      </c>
      <c r="S2841" s="275">
        <f t="shared" si="358"/>
        <v>0</v>
      </c>
      <c r="T2841" s="575"/>
      <c r="U2841" s="487"/>
      <c r="V2841" s="576"/>
      <c r="W2841" s="573"/>
      <c r="X2841" s="574">
        <f t="shared" si="362"/>
        <v>0</v>
      </c>
      <c r="Y2841" s="487"/>
      <c r="Z2841" s="487"/>
      <c r="AA2841" s="276">
        <f t="shared" si="363"/>
        <v>0</v>
      </c>
      <c r="AB2841" s="573"/>
      <c r="AC2841" s="487"/>
      <c r="AD2841" s="573"/>
      <c r="AE2841" s="487"/>
      <c r="AF2841" s="577">
        <f t="shared" si="359"/>
        <v>0</v>
      </c>
      <c r="AG2841" s="275">
        <f t="shared" si="360"/>
        <v>0</v>
      </c>
    </row>
    <row r="2842" spans="1:33" ht="12" customHeight="1">
      <c r="A2842" s="753" t="s">
        <v>1283</v>
      </c>
      <c r="B2842" s="754" t="s">
        <v>1798</v>
      </c>
      <c r="C2842" s="277" t="s">
        <v>1606</v>
      </c>
      <c r="D2842" s="709"/>
      <c r="E2842" s="710"/>
      <c r="F2842" s="573"/>
      <c r="G2842" s="487"/>
      <c r="H2842" s="573"/>
      <c r="I2842" s="487"/>
      <c r="J2842" s="573"/>
      <c r="K2842" s="487"/>
      <c r="L2842" s="573"/>
      <c r="M2842" s="573"/>
      <c r="N2842" s="456">
        <f t="shared" si="361"/>
        <v>0</v>
      </c>
      <c r="O2842" s="487"/>
      <c r="P2842" s="487"/>
      <c r="Q2842" s="274">
        <f t="shared" si="356"/>
        <v>0</v>
      </c>
      <c r="R2842" s="574">
        <f t="shared" si="357"/>
        <v>0</v>
      </c>
      <c r="S2842" s="275">
        <f t="shared" si="358"/>
        <v>0</v>
      </c>
      <c r="T2842" s="575">
        <v>1537400</v>
      </c>
      <c r="U2842" s="487">
        <v>1359400</v>
      </c>
      <c r="V2842" s="576"/>
      <c r="W2842" s="573"/>
      <c r="X2842" s="574">
        <f t="shared" si="362"/>
        <v>0</v>
      </c>
      <c r="Y2842" s="487"/>
      <c r="Z2842" s="487"/>
      <c r="AA2842" s="276">
        <f t="shared" si="363"/>
        <v>0</v>
      </c>
      <c r="AB2842" s="573"/>
      <c r="AC2842" s="487"/>
      <c r="AD2842" s="573"/>
      <c r="AE2842" s="487"/>
      <c r="AF2842" s="577">
        <f t="shared" si="359"/>
        <v>1537400</v>
      </c>
      <c r="AG2842" s="275">
        <f t="shared" si="360"/>
        <v>1359400</v>
      </c>
    </row>
    <row r="2843" spans="1:33" ht="12" customHeight="1">
      <c r="A2843" s="753" t="s">
        <v>1283</v>
      </c>
      <c r="B2843" s="754" t="s">
        <v>1799</v>
      </c>
      <c r="C2843" s="303" t="s">
        <v>853</v>
      </c>
      <c r="D2843" s="709"/>
      <c r="E2843" s="710"/>
      <c r="F2843" s="573"/>
      <c r="G2843" s="487"/>
      <c r="H2843" s="573"/>
      <c r="I2843" s="487"/>
      <c r="J2843" s="573"/>
      <c r="K2843" s="487"/>
      <c r="L2843" s="573"/>
      <c r="M2843" s="573"/>
      <c r="N2843" s="456">
        <f t="shared" si="361"/>
        <v>0</v>
      </c>
      <c r="O2843" s="487"/>
      <c r="P2843" s="487"/>
      <c r="Q2843" s="274">
        <f t="shared" si="356"/>
        <v>0</v>
      </c>
      <c r="R2843" s="574">
        <f t="shared" si="357"/>
        <v>0</v>
      </c>
      <c r="S2843" s="275">
        <f t="shared" si="358"/>
        <v>0</v>
      </c>
      <c r="T2843" s="575"/>
      <c r="U2843" s="487"/>
      <c r="V2843" s="576"/>
      <c r="W2843" s="573"/>
      <c r="X2843" s="574">
        <f t="shared" si="362"/>
        <v>0</v>
      </c>
      <c r="Y2843" s="487"/>
      <c r="Z2843" s="487"/>
      <c r="AA2843" s="276">
        <f t="shared" si="363"/>
        <v>0</v>
      </c>
      <c r="AB2843" s="573"/>
      <c r="AC2843" s="487"/>
      <c r="AD2843" s="573"/>
      <c r="AE2843" s="487"/>
      <c r="AF2843" s="577">
        <f t="shared" si="359"/>
        <v>0</v>
      </c>
      <c r="AG2843" s="275">
        <f t="shared" si="360"/>
        <v>0</v>
      </c>
    </row>
    <row r="2844" spans="1:33" ht="12" customHeight="1">
      <c r="A2844" s="753" t="s">
        <v>1283</v>
      </c>
      <c r="B2844" s="754" t="s">
        <v>1800</v>
      </c>
      <c r="C2844" s="303" t="s">
        <v>858</v>
      </c>
      <c r="D2844" s="709"/>
      <c r="E2844" s="710"/>
      <c r="F2844" s="573"/>
      <c r="G2844" s="487"/>
      <c r="H2844" s="573"/>
      <c r="I2844" s="487"/>
      <c r="J2844" s="573"/>
      <c r="K2844" s="487"/>
      <c r="L2844" s="573"/>
      <c r="M2844" s="573"/>
      <c r="N2844" s="456">
        <f t="shared" si="361"/>
        <v>0</v>
      </c>
      <c r="O2844" s="487"/>
      <c r="P2844" s="487"/>
      <c r="Q2844" s="274">
        <f t="shared" si="356"/>
        <v>0</v>
      </c>
      <c r="R2844" s="574">
        <f t="shared" si="357"/>
        <v>0</v>
      </c>
      <c r="S2844" s="275">
        <f t="shared" si="358"/>
        <v>0</v>
      </c>
      <c r="T2844" s="575"/>
      <c r="U2844" s="487"/>
      <c r="V2844" s="576"/>
      <c r="W2844" s="573"/>
      <c r="X2844" s="574">
        <f t="shared" si="362"/>
        <v>0</v>
      </c>
      <c r="Y2844" s="487"/>
      <c r="Z2844" s="487"/>
      <c r="AA2844" s="276">
        <f t="shared" si="363"/>
        <v>0</v>
      </c>
      <c r="AB2844" s="573"/>
      <c r="AC2844" s="487"/>
      <c r="AD2844" s="573"/>
      <c r="AE2844" s="487"/>
      <c r="AF2844" s="577">
        <f t="shared" si="359"/>
        <v>0</v>
      </c>
      <c r="AG2844" s="275">
        <f t="shared" si="360"/>
        <v>0</v>
      </c>
    </row>
    <row r="2845" spans="1:33" ht="12" customHeight="1">
      <c r="A2845" s="753" t="s">
        <v>1283</v>
      </c>
      <c r="B2845" s="754" t="s">
        <v>1801</v>
      </c>
      <c r="C2845" s="302" t="s">
        <v>859</v>
      </c>
      <c r="D2845" s="709"/>
      <c r="E2845" s="710"/>
      <c r="F2845" s="573"/>
      <c r="G2845" s="487"/>
      <c r="H2845" s="573"/>
      <c r="I2845" s="487"/>
      <c r="J2845" s="573"/>
      <c r="K2845" s="487"/>
      <c r="L2845" s="573"/>
      <c r="M2845" s="573"/>
      <c r="N2845" s="456">
        <f t="shared" si="361"/>
        <v>0</v>
      </c>
      <c r="O2845" s="487"/>
      <c r="P2845" s="487"/>
      <c r="Q2845" s="274">
        <f t="shared" si="356"/>
        <v>0</v>
      </c>
      <c r="R2845" s="574">
        <f t="shared" si="357"/>
        <v>0</v>
      </c>
      <c r="S2845" s="275">
        <f t="shared" si="358"/>
        <v>0</v>
      </c>
      <c r="T2845" s="575">
        <v>2542700</v>
      </c>
      <c r="U2845" s="487">
        <v>2490700</v>
      </c>
      <c r="V2845" s="576"/>
      <c r="W2845" s="573"/>
      <c r="X2845" s="574">
        <f t="shared" si="362"/>
        <v>0</v>
      </c>
      <c r="Y2845" s="487"/>
      <c r="Z2845" s="487"/>
      <c r="AA2845" s="276">
        <f t="shared" si="363"/>
        <v>0</v>
      </c>
      <c r="AB2845" s="573"/>
      <c r="AC2845" s="487"/>
      <c r="AD2845" s="573"/>
      <c r="AE2845" s="487"/>
      <c r="AF2845" s="577">
        <f t="shared" si="359"/>
        <v>2542700</v>
      </c>
      <c r="AG2845" s="275">
        <f t="shared" si="360"/>
        <v>2490700</v>
      </c>
    </row>
    <row r="2846" spans="1:33" ht="12" customHeight="1">
      <c r="A2846" s="753" t="s">
        <v>1283</v>
      </c>
      <c r="B2846" s="754" t="s">
        <v>1801</v>
      </c>
      <c r="C2846" s="760" t="s">
        <v>1268</v>
      </c>
      <c r="D2846" s="709"/>
      <c r="E2846" s="710"/>
      <c r="F2846" s="573"/>
      <c r="G2846" s="487"/>
      <c r="H2846" s="573"/>
      <c r="I2846" s="487"/>
      <c r="J2846" s="573"/>
      <c r="K2846" s="487"/>
      <c r="L2846" s="573"/>
      <c r="M2846" s="573"/>
      <c r="N2846" s="456">
        <f t="shared" si="361"/>
        <v>0</v>
      </c>
      <c r="O2846" s="487"/>
      <c r="P2846" s="487"/>
      <c r="Q2846" s="274">
        <f t="shared" si="356"/>
        <v>0</v>
      </c>
      <c r="R2846" s="574">
        <f t="shared" si="357"/>
        <v>0</v>
      </c>
      <c r="S2846" s="275">
        <f t="shared" si="358"/>
        <v>0</v>
      </c>
      <c r="T2846" s="575"/>
      <c r="U2846" s="487"/>
      <c r="V2846" s="576"/>
      <c r="W2846" s="573"/>
      <c r="X2846" s="574">
        <f t="shared" si="362"/>
        <v>0</v>
      </c>
      <c r="Y2846" s="487"/>
      <c r="Z2846" s="487"/>
      <c r="AA2846" s="276">
        <f t="shared" si="363"/>
        <v>0</v>
      </c>
      <c r="AB2846" s="573"/>
      <c r="AC2846" s="487"/>
      <c r="AD2846" s="573"/>
      <c r="AE2846" s="487"/>
      <c r="AF2846" s="577">
        <f t="shared" si="359"/>
        <v>0</v>
      </c>
      <c r="AG2846" s="275">
        <f t="shared" si="360"/>
        <v>0</v>
      </c>
    </row>
    <row r="2847" spans="1:33" ht="12" customHeight="1">
      <c r="A2847" s="753" t="s">
        <v>1283</v>
      </c>
      <c r="B2847" s="754" t="s">
        <v>1801</v>
      </c>
      <c r="C2847" s="760" t="s">
        <v>704</v>
      </c>
      <c r="D2847" s="709"/>
      <c r="E2847" s="710"/>
      <c r="F2847" s="573"/>
      <c r="G2847" s="487"/>
      <c r="H2847" s="573"/>
      <c r="I2847" s="487"/>
      <c r="J2847" s="573"/>
      <c r="K2847" s="487"/>
      <c r="L2847" s="573"/>
      <c r="M2847" s="573"/>
      <c r="N2847" s="456">
        <f t="shared" si="361"/>
        <v>0</v>
      </c>
      <c r="O2847" s="487"/>
      <c r="P2847" s="487"/>
      <c r="Q2847" s="274">
        <f t="shared" si="356"/>
        <v>0</v>
      </c>
      <c r="R2847" s="574">
        <f t="shared" si="357"/>
        <v>0</v>
      </c>
      <c r="S2847" s="275">
        <f t="shared" si="358"/>
        <v>0</v>
      </c>
      <c r="T2847" s="575"/>
      <c r="U2847" s="487"/>
      <c r="V2847" s="576"/>
      <c r="W2847" s="573"/>
      <c r="X2847" s="574">
        <f t="shared" si="362"/>
        <v>0</v>
      </c>
      <c r="Y2847" s="487"/>
      <c r="Z2847" s="487"/>
      <c r="AA2847" s="276">
        <f t="shared" si="363"/>
        <v>0</v>
      </c>
      <c r="AB2847" s="573"/>
      <c r="AC2847" s="487"/>
      <c r="AD2847" s="573"/>
      <c r="AE2847" s="487"/>
      <c r="AF2847" s="577">
        <f t="shared" si="359"/>
        <v>0</v>
      </c>
      <c r="AG2847" s="275">
        <f t="shared" si="360"/>
        <v>0</v>
      </c>
    </row>
    <row r="2848" spans="1:33" ht="12" customHeight="1">
      <c r="A2848" s="753" t="s">
        <v>1283</v>
      </c>
      <c r="B2848" s="754" t="s">
        <v>1802</v>
      </c>
      <c r="C2848" s="302" t="s">
        <v>861</v>
      </c>
      <c r="D2848" s="709"/>
      <c r="E2848" s="710"/>
      <c r="F2848" s="573"/>
      <c r="G2848" s="487"/>
      <c r="H2848" s="573"/>
      <c r="I2848" s="487"/>
      <c r="J2848" s="573"/>
      <c r="K2848" s="487"/>
      <c r="L2848" s="573"/>
      <c r="M2848" s="573"/>
      <c r="N2848" s="456">
        <f t="shared" si="361"/>
        <v>0</v>
      </c>
      <c r="O2848" s="487"/>
      <c r="P2848" s="487"/>
      <c r="Q2848" s="274">
        <f t="shared" si="356"/>
        <v>0</v>
      </c>
      <c r="R2848" s="574">
        <f t="shared" si="357"/>
        <v>0</v>
      </c>
      <c r="S2848" s="275">
        <f t="shared" si="358"/>
        <v>0</v>
      </c>
      <c r="T2848" s="575"/>
      <c r="U2848" s="487"/>
      <c r="V2848" s="576"/>
      <c r="W2848" s="573"/>
      <c r="X2848" s="574">
        <f t="shared" si="362"/>
        <v>0</v>
      </c>
      <c r="Y2848" s="487"/>
      <c r="Z2848" s="487"/>
      <c r="AA2848" s="276">
        <f t="shared" si="363"/>
        <v>0</v>
      </c>
      <c r="AB2848" s="573"/>
      <c r="AC2848" s="487"/>
      <c r="AD2848" s="573"/>
      <c r="AE2848" s="487"/>
      <c r="AF2848" s="577">
        <f t="shared" si="359"/>
        <v>0</v>
      </c>
      <c r="AG2848" s="275">
        <f t="shared" si="360"/>
        <v>0</v>
      </c>
    </row>
    <row r="2849" spans="1:33" ht="12" customHeight="1">
      <c r="A2849" s="753" t="s">
        <v>1283</v>
      </c>
      <c r="B2849" s="754" t="s">
        <v>1803</v>
      </c>
      <c r="C2849" s="302" t="s">
        <v>954</v>
      </c>
      <c r="D2849" s="709"/>
      <c r="E2849" s="710"/>
      <c r="F2849" s="573"/>
      <c r="G2849" s="487"/>
      <c r="H2849" s="573"/>
      <c r="I2849" s="487"/>
      <c r="J2849" s="573"/>
      <c r="K2849" s="487"/>
      <c r="L2849" s="573"/>
      <c r="M2849" s="573"/>
      <c r="N2849" s="456">
        <f t="shared" si="361"/>
        <v>0</v>
      </c>
      <c r="O2849" s="487"/>
      <c r="P2849" s="487"/>
      <c r="Q2849" s="274">
        <f t="shared" si="356"/>
        <v>0</v>
      </c>
      <c r="R2849" s="574">
        <f t="shared" si="357"/>
        <v>0</v>
      </c>
      <c r="S2849" s="275">
        <f t="shared" si="358"/>
        <v>0</v>
      </c>
      <c r="T2849" s="575"/>
      <c r="U2849" s="487"/>
      <c r="V2849" s="576"/>
      <c r="W2849" s="573"/>
      <c r="X2849" s="574">
        <f t="shared" si="362"/>
        <v>0</v>
      </c>
      <c r="Y2849" s="487"/>
      <c r="Z2849" s="487"/>
      <c r="AA2849" s="276">
        <f t="shared" si="363"/>
        <v>0</v>
      </c>
      <c r="AB2849" s="573"/>
      <c r="AC2849" s="487"/>
      <c r="AD2849" s="573"/>
      <c r="AE2849" s="487"/>
      <c r="AF2849" s="577">
        <f t="shared" si="359"/>
        <v>0</v>
      </c>
      <c r="AG2849" s="275">
        <f t="shared" si="360"/>
        <v>0</v>
      </c>
    </row>
    <row r="2850" spans="1:33" ht="12" customHeight="1">
      <c r="A2850" s="753" t="s">
        <v>1283</v>
      </c>
      <c r="B2850" s="754" t="s">
        <v>1804</v>
      </c>
      <c r="C2850" s="303" t="s">
        <v>418</v>
      </c>
      <c r="D2850" s="709"/>
      <c r="E2850" s="710"/>
      <c r="F2850" s="573"/>
      <c r="G2850" s="487"/>
      <c r="H2850" s="573"/>
      <c r="I2850" s="487"/>
      <c r="J2850" s="573"/>
      <c r="K2850" s="487"/>
      <c r="L2850" s="573"/>
      <c r="M2850" s="573"/>
      <c r="N2850" s="456">
        <f t="shared" si="361"/>
        <v>0</v>
      </c>
      <c r="O2850" s="487"/>
      <c r="P2850" s="487"/>
      <c r="Q2850" s="274">
        <f t="shared" si="356"/>
        <v>0</v>
      </c>
      <c r="R2850" s="574">
        <f t="shared" si="357"/>
        <v>0</v>
      </c>
      <c r="S2850" s="275">
        <f t="shared" si="358"/>
        <v>0</v>
      </c>
      <c r="T2850" s="575"/>
      <c r="U2850" s="487"/>
      <c r="V2850" s="576"/>
      <c r="W2850" s="573"/>
      <c r="X2850" s="574">
        <f t="shared" si="362"/>
        <v>0</v>
      </c>
      <c r="Y2850" s="487"/>
      <c r="Z2850" s="487"/>
      <c r="AA2850" s="276">
        <f t="shared" si="363"/>
        <v>0</v>
      </c>
      <c r="AB2850" s="573"/>
      <c r="AC2850" s="487"/>
      <c r="AD2850" s="573"/>
      <c r="AE2850" s="487"/>
      <c r="AF2850" s="577">
        <f t="shared" si="359"/>
        <v>0</v>
      </c>
      <c r="AG2850" s="275">
        <f t="shared" si="360"/>
        <v>0</v>
      </c>
    </row>
    <row r="2851" spans="1:33" ht="12" customHeight="1">
      <c r="A2851" s="753" t="s">
        <v>1283</v>
      </c>
      <c r="B2851" s="754" t="s">
        <v>1805</v>
      </c>
      <c r="C2851" s="480" t="s">
        <v>419</v>
      </c>
      <c r="D2851" s="709"/>
      <c r="E2851" s="710"/>
      <c r="F2851" s="573"/>
      <c r="G2851" s="487"/>
      <c r="H2851" s="573"/>
      <c r="I2851" s="487"/>
      <c r="J2851" s="573"/>
      <c r="K2851" s="487"/>
      <c r="L2851" s="573"/>
      <c r="M2851" s="573"/>
      <c r="N2851" s="456">
        <f t="shared" si="361"/>
        <v>0</v>
      </c>
      <c r="O2851" s="487"/>
      <c r="P2851" s="487"/>
      <c r="Q2851" s="274">
        <f t="shared" si="356"/>
        <v>0</v>
      </c>
      <c r="R2851" s="574">
        <f t="shared" si="357"/>
        <v>0</v>
      </c>
      <c r="S2851" s="275">
        <f t="shared" si="358"/>
        <v>0</v>
      </c>
      <c r="T2851" s="575"/>
      <c r="U2851" s="487"/>
      <c r="V2851" s="576"/>
      <c r="W2851" s="573"/>
      <c r="X2851" s="574">
        <f t="shared" si="362"/>
        <v>0</v>
      </c>
      <c r="Y2851" s="487"/>
      <c r="Z2851" s="487"/>
      <c r="AA2851" s="276">
        <f t="shared" si="363"/>
        <v>0</v>
      </c>
      <c r="AB2851" s="573"/>
      <c r="AC2851" s="487"/>
      <c r="AD2851" s="573"/>
      <c r="AE2851" s="487"/>
      <c r="AF2851" s="577">
        <f t="shared" si="359"/>
        <v>0</v>
      </c>
      <c r="AG2851" s="275">
        <f t="shared" si="360"/>
        <v>0</v>
      </c>
    </row>
    <row r="2852" spans="1:33" ht="12" customHeight="1">
      <c r="A2852" s="753" t="s">
        <v>1283</v>
      </c>
      <c r="B2852" s="754" t="s">
        <v>1805</v>
      </c>
      <c r="C2852" s="304" t="s">
        <v>1226</v>
      </c>
      <c r="D2852" s="709"/>
      <c r="E2852" s="710"/>
      <c r="F2852" s="573"/>
      <c r="G2852" s="487"/>
      <c r="H2852" s="573"/>
      <c r="I2852" s="487"/>
      <c r="J2852" s="573"/>
      <c r="K2852" s="487"/>
      <c r="L2852" s="573"/>
      <c r="M2852" s="573"/>
      <c r="N2852" s="456">
        <f t="shared" si="361"/>
        <v>0</v>
      </c>
      <c r="O2852" s="487"/>
      <c r="P2852" s="487"/>
      <c r="Q2852" s="274">
        <f t="shared" si="356"/>
        <v>0</v>
      </c>
      <c r="R2852" s="574">
        <f t="shared" si="357"/>
        <v>0</v>
      </c>
      <c r="S2852" s="275">
        <f t="shared" si="358"/>
        <v>0</v>
      </c>
      <c r="T2852" s="575"/>
      <c r="U2852" s="487"/>
      <c r="V2852" s="576"/>
      <c r="W2852" s="573"/>
      <c r="X2852" s="574">
        <f t="shared" si="362"/>
        <v>0</v>
      </c>
      <c r="Y2852" s="487"/>
      <c r="Z2852" s="487"/>
      <c r="AA2852" s="276">
        <f t="shared" si="363"/>
        <v>0</v>
      </c>
      <c r="AB2852" s="573"/>
      <c r="AC2852" s="487"/>
      <c r="AD2852" s="573"/>
      <c r="AE2852" s="487"/>
      <c r="AF2852" s="577">
        <f t="shared" si="359"/>
        <v>0</v>
      </c>
      <c r="AG2852" s="275">
        <f t="shared" si="360"/>
        <v>0</v>
      </c>
    </row>
    <row r="2853" spans="1:33" ht="12" customHeight="1">
      <c r="A2853" s="753" t="s">
        <v>1283</v>
      </c>
      <c r="B2853" s="714" t="s">
        <v>1510</v>
      </c>
      <c r="C2853" s="713" t="s">
        <v>421</v>
      </c>
      <c r="D2853" s="717"/>
      <c r="E2853" s="718"/>
      <c r="F2853" s="573"/>
      <c r="G2853" s="487"/>
      <c r="H2853" s="573"/>
      <c r="I2853" s="487"/>
      <c r="J2853" s="573"/>
      <c r="K2853" s="487"/>
      <c r="L2853" s="573"/>
      <c r="M2853" s="573"/>
      <c r="N2853" s="456">
        <f t="shared" si="361"/>
        <v>0</v>
      </c>
      <c r="O2853" s="487"/>
      <c r="P2853" s="487"/>
      <c r="Q2853" s="274">
        <f t="shared" si="356"/>
        <v>0</v>
      </c>
      <c r="R2853" s="574">
        <f t="shared" si="357"/>
        <v>0</v>
      </c>
      <c r="S2853" s="275">
        <f t="shared" si="358"/>
        <v>0</v>
      </c>
      <c r="T2853" s="575"/>
      <c r="U2853" s="487"/>
      <c r="V2853" s="576"/>
      <c r="W2853" s="573"/>
      <c r="X2853" s="574">
        <f t="shared" si="362"/>
        <v>0</v>
      </c>
      <c r="Y2853" s="487"/>
      <c r="Z2853" s="487"/>
      <c r="AA2853" s="276">
        <f t="shared" si="363"/>
        <v>0</v>
      </c>
      <c r="AB2853" s="573"/>
      <c r="AC2853" s="487"/>
      <c r="AD2853" s="573"/>
      <c r="AE2853" s="487"/>
      <c r="AF2853" s="577">
        <f t="shared" si="359"/>
        <v>0</v>
      </c>
      <c r="AG2853" s="275">
        <f t="shared" si="360"/>
        <v>0</v>
      </c>
    </row>
    <row r="2854" spans="1:33" ht="12" customHeight="1">
      <c r="A2854" s="753" t="s">
        <v>1283</v>
      </c>
      <c r="B2854" s="714" t="s">
        <v>1511</v>
      </c>
      <c r="C2854" s="713" t="s">
        <v>1883</v>
      </c>
      <c r="D2854" s="717"/>
      <c r="E2854" s="718"/>
      <c r="F2854" s="573"/>
      <c r="G2854" s="487"/>
      <c r="H2854" s="573"/>
      <c r="I2854" s="487"/>
      <c r="J2854" s="573"/>
      <c r="K2854" s="487"/>
      <c r="L2854" s="573"/>
      <c r="M2854" s="573"/>
      <c r="N2854" s="456">
        <f t="shared" si="361"/>
        <v>0</v>
      </c>
      <c r="O2854" s="487"/>
      <c r="P2854" s="487"/>
      <c r="Q2854" s="274">
        <f t="shared" si="356"/>
        <v>0</v>
      </c>
      <c r="R2854" s="574">
        <f t="shared" si="357"/>
        <v>0</v>
      </c>
      <c r="S2854" s="275">
        <f t="shared" si="358"/>
        <v>0</v>
      </c>
      <c r="T2854" s="575">
        <v>87522700</v>
      </c>
      <c r="U2854" s="487">
        <v>98067700</v>
      </c>
      <c r="V2854" s="576"/>
      <c r="W2854" s="573"/>
      <c r="X2854" s="574">
        <f t="shared" si="362"/>
        <v>0</v>
      </c>
      <c r="Y2854" s="487"/>
      <c r="Z2854" s="487"/>
      <c r="AA2854" s="276">
        <f t="shared" si="363"/>
        <v>0</v>
      </c>
      <c r="AB2854" s="573"/>
      <c r="AC2854" s="487"/>
      <c r="AD2854" s="573"/>
      <c r="AE2854" s="487"/>
      <c r="AF2854" s="577">
        <f t="shared" si="359"/>
        <v>87522700</v>
      </c>
      <c r="AG2854" s="275">
        <f t="shared" si="360"/>
        <v>98067700</v>
      </c>
    </row>
    <row r="2855" spans="1:33" ht="12" customHeight="1">
      <c r="A2855" s="753" t="s">
        <v>1283</v>
      </c>
      <c r="B2855" s="714" t="s">
        <v>1412</v>
      </c>
      <c r="C2855" s="713" t="s">
        <v>1761</v>
      </c>
      <c r="D2855" s="717"/>
      <c r="E2855" s="718"/>
      <c r="F2855" s="573"/>
      <c r="G2855" s="487"/>
      <c r="H2855" s="573"/>
      <c r="I2855" s="487"/>
      <c r="J2855" s="573"/>
      <c r="K2855" s="487"/>
      <c r="L2855" s="573"/>
      <c r="M2855" s="573"/>
      <c r="N2855" s="456">
        <f t="shared" si="361"/>
        <v>0</v>
      </c>
      <c r="O2855" s="487"/>
      <c r="P2855" s="487"/>
      <c r="Q2855" s="274">
        <f t="shared" si="356"/>
        <v>0</v>
      </c>
      <c r="R2855" s="574">
        <f t="shared" si="357"/>
        <v>0</v>
      </c>
      <c r="S2855" s="275">
        <f t="shared" si="358"/>
        <v>0</v>
      </c>
      <c r="T2855" s="575">
        <v>135310300</v>
      </c>
      <c r="U2855" s="487">
        <v>176737500</v>
      </c>
      <c r="V2855" s="576"/>
      <c r="W2855" s="573"/>
      <c r="X2855" s="574">
        <f t="shared" si="362"/>
        <v>0</v>
      </c>
      <c r="Y2855" s="487"/>
      <c r="Z2855" s="487"/>
      <c r="AA2855" s="276">
        <f t="shared" si="363"/>
        <v>0</v>
      </c>
      <c r="AB2855" s="573"/>
      <c r="AC2855" s="487"/>
      <c r="AD2855" s="573"/>
      <c r="AE2855" s="487"/>
      <c r="AF2855" s="577">
        <f t="shared" si="359"/>
        <v>135310300</v>
      </c>
      <c r="AG2855" s="275">
        <f t="shared" si="360"/>
        <v>176737500</v>
      </c>
    </row>
    <row r="2856" spans="1:33" ht="12" customHeight="1">
      <c r="A2856" s="753" t="s">
        <v>1283</v>
      </c>
      <c r="B2856" s="714" t="s">
        <v>1413</v>
      </c>
      <c r="C2856" s="713" t="s">
        <v>422</v>
      </c>
      <c r="D2856" s="717"/>
      <c r="E2856" s="718"/>
      <c r="F2856" s="573"/>
      <c r="G2856" s="487"/>
      <c r="H2856" s="573"/>
      <c r="I2856" s="487"/>
      <c r="J2856" s="573"/>
      <c r="K2856" s="487"/>
      <c r="L2856" s="573"/>
      <c r="M2856" s="573"/>
      <c r="N2856" s="456">
        <f t="shared" si="361"/>
        <v>0</v>
      </c>
      <c r="O2856" s="487"/>
      <c r="P2856" s="487"/>
      <c r="Q2856" s="274">
        <f t="shared" si="356"/>
        <v>0</v>
      </c>
      <c r="R2856" s="574">
        <f t="shared" si="357"/>
        <v>0</v>
      </c>
      <c r="S2856" s="275">
        <f t="shared" si="358"/>
        <v>0</v>
      </c>
      <c r="T2856" s="575"/>
      <c r="U2856" s="487"/>
      <c r="V2856" s="576"/>
      <c r="W2856" s="573"/>
      <c r="X2856" s="574">
        <f t="shared" si="362"/>
        <v>0</v>
      </c>
      <c r="Y2856" s="487"/>
      <c r="Z2856" s="487"/>
      <c r="AA2856" s="276">
        <f t="shared" si="363"/>
        <v>0</v>
      </c>
      <c r="AB2856" s="573"/>
      <c r="AC2856" s="487"/>
      <c r="AD2856" s="573"/>
      <c r="AE2856" s="487"/>
      <c r="AF2856" s="577">
        <f t="shared" si="359"/>
        <v>0</v>
      </c>
      <c r="AG2856" s="275">
        <f t="shared" si="360"/>
        <v>0</v>
      </c>
    </row>
    <row r="2857" spans="1:33" ht="12" customHeight="1">
      <c r="A2857" s="753" t="s">
        <v>1283</v>
      </c>
      <c r="B2857" s="714" t="s">
        <v>1582</v>
      </c>
      <c r="C2857" s="713" t="s">
        <v>1883</v>
      </c>
      <c r="D2857" s="717"/>
      <c r="E2857" s="718"/>
      <c r="F2857" s="573"/>
      <c r="G2857" s="487"/>
      <c r="H2857" s="573"/>
      <c r="I2857" s="487"/>
      <c r="J2857" s="573"/>
      <c r="K2857" s="487"/>
      <c r="L2857" s="573"/>
      <c r="M2857" s="573"/>
      <c r="N2857" s="456">
        <f t="shared" si="361"/>
        <v>0</v>
      </c>
      <c r="O2857" s="487"/>
      <c r="P2857" s="487"/>
      <c r="Q2857" s="274">
        <f t="shared" si="356"/>
        <v>0</v>
      </c>
      <c r="R2857" s="574">
        <f t="shared" si="357"/>
        <v>0</v>
      </c>
      <c r="S2857" s="275">
        <f t="shared" si="358"/>
        <v>0</v>
      </c>
      <c r="T2857" s="575">
        <v>36962500</v>
      </c>
      <c r="U2857" s="487">
        <v>39591500</v>
      </c>
      <c r="V2857" s="576"/>
      <c r="W2857" s="573"/>
      <c r="X2857" s="574">
        <f t="shared" si="362"/>
        <v>0</v>
      </c>
      <c r="Y2857" s="487"/>
      <c r="Z2857" s="487"/>
      <c r="AA2857" s="276">
        <f t="shared" si="363"/>
        <v>0</v>
      </c>
      <c r="AB2857" s="573"/>
      <c r="AC2857" s="487"/>
      <c r="AD2857" s="573"/>
      <c r="AE2857" s="487"/>
      <c r="AF2857" s="577">
        <f t="shared" si="359"/>
        <v>36962500</v>
      </c>
      <c r="AG2857" s="275">
        <f t="shared" si="360"/>
        <v>39591500</v>
      </c>
    </row>
    <row r="2858" spans="1:33" ht="12" customHeight="1">
      <c r="A2858" s="753" t="s">
        <v>1283</v>
      </c>
      <c r="B2858" s="714" t="s">
        <v>1583</v>
      </c>
      <c r="C2858" s="713" t="s">
        <v>1761</v>
      </c>
      <c r="D2858" s="717"/>
      <c r="E2858" s="718"/>
      <c r="F2858" s="573"/>
      <c r="G2858" s="487"/>
      <c r="H2858" s="573"/>
      <c r="I2858" s="487"/>
      <c r="J2858" s="573"/>
      <c r="K2858" s="487"/>
      <c r="L2858" s="573"/>
      <c r="M2858" s="573"/>
      <c r="N2858" s="456">
        <f t="shared" si="361"/>
        <v>0</v>
      </c>
      <c r="O2858" s="487"/>
      <c r="P2858" s="487"/>
      <c r="Q2858" s="274">
        <f t="shared" si="356"/>
        <v>0</v>
      </c>
      <c r="R2858" s="574">
        <f t="shared" si="357"/>
        <v>0</v>
      </c>
      <c r="S2858" s="275">
        <f t="shared" si="358"/>
        <v>0</v>
      </c>
      <c r="T2858" s="575">
        <v>31170600</v>
      </c>
      <c r="U2858" s="487">
        <v>38103600</v>
      </c>
      <c r="V2858" s="576"/>
      <c r="W2858" s="573"/>
      <c r="X2858" s="574">
        <f t="shared" si="362"/>
        <v>0</v>
      </c>
      <c r="Y2858" s="487"/>
      <c r="Z2858" s="487"/>
      <c r="AA2858" s="276">
        <f t="shared" si="363"/>
        <v>0</v>
      </c>
      <c r="AB2858" s="573"/>
      <c r="AC2858" s="487"/>
      <c r="AD2858" s="573"/>
      <c r="AE2858" s="487"/>
      <c r="AF2858" s="577">
        <f t="shared" si="359"/>
        <v>31170600</v>
      </c>
      <c r="AG2858" s="275">
        <f t="shared" si="360"/>
        <v>38103600</v>
      </c>
    </row>
    <row r="2859" spans="1:33" ht="12" customHeight="1">
      <c r="A2859" s="753" t="s">
        <v>1283</v>
      </c>
      <c r="B2859" s="714" t="s">
        <v>1806</v>
      </c>
      <c r="C2859" s="475" t="s">
        <v>193</v>
      </c>
      <c r="D2859" s="717"/>
      <c r="E2859" s="718"/>
      <c r="F2859" s="573"/>
      <c r="G2859" s="487"/>
      <c r="H2859" s="573"/>
      <c r="I2859" s="487"/>
      <c r="J2859" s="573"/>
      <c r="K2859" s="487"/>
      <c r="L2859" s="573"/>
      <c r="M2859" s="573"/>
      <c r="N2859" s="456">
        <f t="shared" si="361"/>
        <v>0</v>
      </c>
      <c r="O2859" s="487"/>
      <c r="P2859" s="487"/>
      <c r="Q2859" s="274">
        <f t="shared" si="356"/>
        <v>0</v>
      </c>
      <c r="R2859" s="574">
        <f t="shared" si="357"/>
        <v>0</v>
      </c>
      <c r="S2859" s="275">
        <f t="shared" si="358"/>
        <v>0</v>
      </c>
      <c r="T2859" s="1153" t="s">
        <v>1227</v>
      </c>
      <c r="U2859" s="487"/>
      <c r="V2859" s="576"/>
      <c r="W2859" s="573"/>
      <c r="X2859" s="574">
        <f t="shared" si="362"/>
        <v>0</v>
      </c>
      <c r="Y2859" s="487"/>
      <c r="Z2859" s="487"/>
      <c r="AA2859" s="276">
        <f t="shared" si="363"/>
        <v>0</v>
      </c>
      <c r="AB2859" s="573"/>
      <c r="AC2859" s="487"/>
      <c r="AD2859" s="573"/>
      <c r="AE2859" s="487"/>
      <c r="AF2859" s="577">
        <f t="shared" si="359"/>
        <v>0</v>
      </c>
      <c r="AG2859" s="275">
        <f t="shared" si="360"/>
        <v>0</v>
      </c>
    </row>
    <row r="2860" spans="1:33" ht="12" customHeight="1">
      <c r="A2860" s="753" t="s">
        <v>1283</v>
      </c>
      <c r="B2860" s="714" t="s">
        <v>1764</v>
      </c>
      <c r="C2860" s="713" t="s">
        <v>1883</v>
      </c>
      <c r="D2860" s="717"/>
      <c r="E2860" s="718"/>
      <c r="F2860" s="573"/>
      <c r="G2860" s="487"/>
      <c r="H2860" s="573"/>
      <c r="I2860" s="487"/>
      <c r="J2860" s="573"/>
      <c r="K2860" s="487"/>
      <c r="L2860" s="573"/>
      <c r="M2860" s="573"/>
      <c r="N2860" s="456">
        <f t="shared" si="361"/>
        <v>0</v>
      </c>
      <c r="O2860" s="487"/>
      <c r="P2860" s="487"/>
      <c r="Q2860" s="274">
        <f t="shared" si="356"/>
        <v>0</v>
      </c>
      <c r="R2860" s="574">
        <f t="shared" si="357"/>
        <v>0</v>
      </c>
      <c r="S2860" s="275">
        <f t="shared" si="358"/>
        <v>0</v>
      </c>
      <c r="T2860" s="1154"/>
      <c r="U2860" s="487"/>
      <c r="V2860" s="576"/>
      <c r="W2860" s="573"/>
      <c r="X2860" s="574">
        <f t="shared" si="362"/>
        <v>0</v>
      </c>
      <c r="Y2860" s="487"/>
      <c r="Z2860" s="487"/>
      <c r="AA2860" s="276">
        <f t="shared" si="363"/>
        <v>0</v>
      </c>
      <c r="AB2860" s="573"/>
      <c r="AC2860" s="487"/>
      <c r="AD2860" s="573"/>
      <c r="AE2860" s="487"/>
      <c r="AF2860" s="577">
        <f t="shared" si="359"/>
        <v>0</v>
      </c>
      <c r="AG2860" s="275">
        <f t="shared" si="360"/>
        <v>0</v>
      </c>
    </row>
    <row r="2861" spans="1:33" ht="12" customHeight="1">
      <c r="A2861" s="753" t="s">
        <v>1283</v>
      </c>
      <c r="B2861" s="714" t="s">
        <v>1765</v>
      </c>
      <c r="C2861" s="713" t="s">
        <v>1761</v>
      </c>
      <c r="D2861" s="717"/>
      <c r="E2861" s="718"/>
      <c r="F2861" s="573"/>
      <c r="G2861" s="487"/>
      <c r="H2861" s="573"/>
      <c r="I2861" s="487"/>
      <c r="J2861" s="573"/>
      <c r="K2861" s="487"/>
      <c r="L2861" s="573"/>
      <c r="M2861" s="573"/>
      <c r="N2861" s="456">
        <f t="shared" si="361"/>
        <v>0</v>
      </c>
      <c r="O2861" s="487"/>
      <c r="P2861" s="487"/>
      <c r="Q2861" s="274">
        <f t="shared" si="356"/>
        <v>0</v>
      </c>
      <c r="R2861" s="574">
        <f t="shared" si="357"/>
        <v>0</v>
      </c>
      <c r="S2861" s="275">
        <f t="shared" si="358"/>
        <v>0</v>
      </c>
      <c r="T2861" s="1154"/>
      <c r="U2861" s="487"/>
      <c r="V2861" s="576"/>
      <c r="W2861" s="573"/>
      <c r="X2861" s="574">
        <f t="shared" si="362"/>
        <v>0</v>
      </c>
      <c r="Y2861" s="487"/>
      <c r="Z2861" s="487"/>
      <c r="AA2861" s="276">
        <f t="shared" si="363"/>
        <v>0</v>
      </c>
      <c r="AB2861" s="573"/>
      <c r="AC2861" s="487"/>
      <c r="AD2861" s="573"/>
      <c r="AE2861" s="487"/>
      <c r="AF2861" s="577">
        <f t="shared" si="359"/>
        <v>0</v>
      </c>
      <c r="AG2861" s="275">
        <f t="shared" si="360"/>
        <v>0</v>
      </c>
    </row>
    <row r="2862" spans="1:33" ht="12" customHeight="1">
      <c r="A2862" s="753" t="s">
        <v>1283</v>
      </c>
      <c r="B2862" s="754" t="s">
        <v>1807</v>
      </c>
      <c r="C2862" s="480" t="s">
        <v>1879</v>
      </c>
      <c r="D2862" s="709"/>
      <c r="E2862" s="710"/>
      <c r="F2862" s="573"/>
      <c r="G2862" s="487"/>
      <c r="H2862" s="573"/>
      <c r="I2862" s="487"/>
      <c r="J2862" s="573"/>
      <c r="K2862" s="487"/>
      <c r="L2862" s="573"/>
      <c r="M2862" s="573"/>
      <c r="N2862" s="456">
        <f t="shared" si="361"/>
        <v>0</v>
      </c>
      <c r="O2862" s="487"/>
      <c r="P2862" s="487"/>
      <c r="Q2862" s="274">
        <f t="shared" si="356"/>
        <v>0</v>
      </c>
      <c r="R2862" s="574">
        <f t="shared" si="357"/>
        <v>0</v>
      </c>
      <c r="S2862" s="275">
        <f t="shared" si="358"/>
        <v>0</v>
      </c>
      <c r="T2862" s="1154"/>
      <c r="U2862" s="487"/>
      <c r="V2862" s="576"/>
      <c r="W2862" s="573"/>
      <c r="X2862" s="574">
        <f t="shared" si="362"/>
        <v>0</v>
      </c>
      <c r="Y2862" s="487"/>
      <c r="Z2862" s="487"/>
      <c r="AA2862" s="276">
        <f t="shared" si="363"/>
        <v>0</v>
      </c>
      <c r="AB2862" s="573"/>
      <c r="AC2862" s="487"/>
      <c r="AD2862" s="573"/>
      <c r="AE2862" s="487"/>
      <c r="AF2862" s="577">
        <f t="shared" si="359"/>
        <v>0</v>
      </c>
      <c r="AG2862" s="275">
        <f t="shared" si="360"/>
        <v>0</v>
      </c>
    </row>
    <row r="2863" spans="1:33" ht="12" customHeight="1">
      <c r="A2863" s="753" t="s">
        <v>1283</v>
      </c>
      <c r="B2863" s="714" t="s">
        <v>1766</v>
      </c>
      <c r="C2863" s="713" t="s">
        <v>1883</v>
      </c>
      <c r="D2863" s="717"/>
      <c r="E2863" s="718"/>
      <c r="F2863" s="573"/>
      <c r="G2863" s="487"/>
      <c r="H2863" s="573"/>
      <c r="I2863" s="487"/>
      <c r="J2863" s="573"/>
      <c r="K2863" s="487"/>
      <c r="L2863" s="573"/>
      <c r="M2863" s="573"/>
      <c r="N2863" s="456">
        <f t="shared" si="361"/>
        <v>0</v>
      </c>
      <c r="O2863" s="487"/>
      <c r="P2863" s="487"/>
      <c r="Q2863" s="274">
        <f t="shared" si="356"/>
        <v>0</v>
      </c>
      <c r="R2863" s="574">
        <f t="shared" si="357"/>
        <v>0</v>
      </c>
      <c r="S2863" s="275">
        <f t="shared" si="358"/>
        <v>0</v>
      </c>
      <c r="T2863" s="1154"/>
      <c r="U2863" s="487"/>
      <c r="V2863" s="576"/>
      <c r="W2863" s="573"/>
      <c r="X2863" s="574">
        <f t="shared" si="362"/>
        <v>0</v>
      </c>
      <c r="Y2863" s="487"/>
      <c r="Z2863" s="487"/>
      <c r="AA2863" s="276">
        <f t="shared" si="363"/>
        <v>0</v>
      </c>
      <c r="AB2863" s="573"/>
      <c r="AC2863" s="487"/>
      <c r="AD2863" s="573"/>
      <c r="AE2863" s="487"/>
      <c r="AF2863" s="577">
        <f t="shared" si="359"/>
        <v>0</v>
      </c>
      <c r="AG2863" s="275">
        <f t="shared" si="360"/>
        <v>0</v>
      </c>
    </row>
    <row r="2864" spans="1:33" ht="12" customHeight="1" thickBot="1">
      <c r="A2864" s="753" t="s">
        <v>1283</v>
      </c>
      <c r="B2864" s="714" t="s">
        <v>1767</v>
      </c>
      <c r="C2864" s="713" t="s">
        <v>1761</v>
      </c>
      <c r="D2864" s="717"/>
      <c r="E2864" s="718"/>
      <c r="F2864" s="573"/>
      <c r="G2864" s="487"/>
      <c r="H2864" s="573"/>
      <c r="I2864" s="487"/>
      <c r="J2864" s="573"/>
      <c r="K2864" s="487"/>
      <c r="L2864" s="573"/>
      <c r="M2864" s="573"/>
      <c r="N2864" s="456">
        <f t="shared" si="361"/>
        <v>0</v>
      </c>
      <c r="O2864" s="487"/>
      <c r="P2864" s="487"/>
      <c r="Q2864" s="274">
        <f t="shared" si="356"/>
        <v>0</v>
      </c>
      <c r="R2864" s="574">
        <f t="shared" si="357"/>
        <v>0</v>
      </c>
      <c r="S2864" s="275">
        <f t="shared" si="358"/>
        <v>0</v>
      </c>
      <c r="T2864" s="1155"/>
      <c r="U2864" s="487"/>
      <c r="V2864" s="576"/>
      <c r="W2864" s="573"/>
      <c r="X2864" s="574">
        <f t="shared" si="362"/>
        <v>0</v>
      </c>
      <c r="Y2864" s="487"/>
      <c r="Z2864" s="487"/>
      <c r="AA2864" s="276">
        <f t="shared" si="363"/>
        <v>0</v>
      </c>
      <c r="AB2864" s="573"/>
      <c r="AC2864" s="487"/>
      <c r="AD2864" s="573"/>
      <c r="AE2864" s="487"/>
      <c r="AF2864" s="577">
        <f t="shared" si="359"/>
        <v>0</v>
      </c>
      <c r="AG2864" s="275">
        <f t="shared" si="360"/>
        <v>0</v>
      </c>
    </row>
    <row r="2865" spans="1:33" ht="12" customHeight="1">
      <c r="A2865" s="614" t="s">
        <v>1275</v>
      </c>
      <c r="B2865" s="615" t="s">
        <v>1776</v>
      </c>
      <c r="C2865" s="614" t="s">
        <v>1563</v>
      </c>
      <c r="D2865" s="761">
        <v>228723</v>
      </c>
      <c r="E2865" s="625">
        <v>1</v>
      </c>
      <c r="F2865" s="573">
        <f>388684665-26800942</f>
        <v>361883723</v>
      </c>
      <c r="G2865" s="487">
        <f>395498808-26800942</f>
        <v>368697866</v>
      </c>
      <c r="H2865" s="573"/>
      <c r="I2865" s="487"/>
      <c r="J2865" s="573"/>
      <c r="K2865" s="487"/>
      <c r="L2865" s="573">
        <f>319964362-7018485</f>
        <v>312945877</v>
      </c>
      <c r="M2865" s="573"/>
      <c r="N2865" s="456">
        <f t="shared" si="361"/>
        <v>312945877</v>
      </c>
      <c r="O2865" s="487">
        <f>377271321-7320246</f>
        <v>369951075</v>
      </c>
      <c r="P2865" s="487"/>
      <c r="Q2865" s="274">
        <f t="shared" si="356"/>
        <v>369951075</v>
      </c>
      <c r="R2865" s="574">
        <f t="shared" si="357"/>
        <v>674829600</v>
      </c>
      <c r="S2865" s="275">
        <f t="shared" si="358"/>
        <v>738648941</v>
      </c>
      <c r="T2865" s="575"/>
      <c r="U2865" s="487"/>
      <c r="V2865" s="576"/>
      <c r="W2865" s="573"/>
      <c r="X2865" s="574">
        <f t="shared" si="362"/>
        <v>0</v>
      </c>
      <c r="Y2865" s="487"/>
      <c r="Z2865" s="487"/>
      <c r="AA2865" s="276">
        <f t="shared" si="363"/>
        <v>0</v>
      </c>
      <c r="AB2865" s="573"/>
      <c r="AC2865" s="487"/>
      <c r="AD2865" s="573"/>
      <c r="AE2865" s="487"/>
      <c r="AF2865" s="577">
        <f t="shared" si="359"/>
        <v>674829600</v>
      </c>
      <c r="AG2865" s="275">
        <f t="shared" si="360"/>
        <v>738648941</v>
      </c>
    </row>
    <row r="2866" spans="1:33" ht="12" customHeight="1">
      <c r="A2866" s="614" t="s">
        <v>1275</v>
      </c>
      <c r="B2866" s="615" t="s">
        <v>1793</v>
      </c>
      <c r="C2866" s="241" t="s">
        <v>1429</v>
      </c>
      <c r="D2866" s="761">
        <v>228723</v>
      </c>
      <c r="E2866" s="625">
        <v>1</v>
      </c>
      <c r="F2866" s="573"/>
      <c r="G2866" s="487"/>
      <c r="H2866" s="573"/>
      <c r="I2866" s="487"/>
      <c r="J2866" s="573"/>
      <c r="K2866" s="487"/>
      <c r="L2866" s="573"/>
      <c r="M2866" s="573"/>
      <c r="N2866" s="456">
        <f t="shared" si="361"/>
        <v>0</v>
      </c>
      <c r="O2866" s="487"/>
      <c r="P2866" s="487"/>
      <c r="Q2866" s="274">
        <f t="shared" si="356"/>
        <v>0</v>
      </c>
      <c r="R2866" s="574">
        <f t="shared" si="357"/>
        <v>0</v>
      </c>
      <c r="S2866" s="275">
        <f t="shared" si="358"/>
        <v>0</v>
      </c>
      <c r="T2866" s="575"/>
      <c r="U2866" s="487"/>
      <c r="V2866" s="576"/>
      <c r="W2866" s="573"/>
      <c r="X2866" s="574">
        <f t="shared" si="362"/>
        <v>0</v>
      </c>
      <c r="Y2866" s="487"/>
      <c r="Z2866" s="487"/>
      <c r="AA2866" s="276">
        <f t="shared" si="363"/>
        <v>0</v>
      </c>
      <c r="AB2866" s="573"/>
      <c r="AC2866" s="487"/>
      <c r="AD2866" s="573"/>
      <c r="AE2866" s="487"/>
      <c r="AF2866" s="577">
        <f t="shared" si="359"/>
        <v>0</v>
      </c>
      <c r="AG2866" s="275">
        <f t="shared" si="360"/>
        <v>0</v>
      </c>
    </row>
    <row r="2867" spans="1:33" ht="12" customHeight="1">
      <c r="A2867" s="614" t="s">
        <v>1275</v>
      </c>
      <c r="B2867" s="615" t="s">
        <v>1793</v>
      </c>
      <c r="C2867" s="621" t="s">
        <v>1436</v>
      </c>
      <c r="D2867" s="761">
        <v>228723</v>
      </c>
      <c r="E2867" s="625">
        <v>1</v>
      </c>
      <c r="F2867" s="573"/>
      <c r="G2867" s="487"/>
      <c r="H2867" s="573"/>
      <c r="I2867" s="487"/>
      <c r="J2867" s="573"/>
      <c r="K2867" s="487"/>
      <c r="L2867" s="573"/>
      <c r="M2867" s="573"/>
      <c r="N2867" s="456">
        <f t="shared" si="361"/>
        <v>0</v>
      </c>
      <c r="O2867" s="487"/>
      <c r="P2867" s="487"/>
      <c r="Q2867" s="274">
        <f t="shared" si="356"/>
        <v>0</v>
      </c>
      <c r="R2867" s="574">
        <f t="shared" si="357"/>
        <v>0</v>
      </c>
      <c r="S2867" s="275">
        <f t="shared" si="358"/>
        <v>0</v>
      </c>
      <c r="T2867" s="575"/>
      <c r="U2867" s="487"/>
      <c r="V2867" s="576"/>
      <c r="W2867" s="573"/>
      <c r="X2867" s="574">
        <f t="shared" si="362"/>
        <v>0</v>
      </c>
      <c r="Y2867" s="487"/>
      <c r="Z2867" s="487"/>
      <c r="AA2867" s="276">
        <f t="shared" si="363"/>
        <v>0</v>
      </c>
      <c r="AB2867" s="573">
        <v>26800942</v>
      </c>
      <c r="AC2867" s="487">
        <v>26800942</v>
      </c>
      <c r="AD2867" s="573">
        <v>7018485</v>
      </c>
      <c r="AE2867" s="487">
        <v>7320246</v>
      </c>
      <c r="AF2867" s="577">
        <f t="shared" si="359"/>
        <v>33819427</v>
      </c>
      <c r="AG2867" s="275">
        <f t="shared" si="360"/>
        <v>34121188</v>
      </c>
    </row>
    <row r="2868" spans="1:33" ht="12" customHeight="1">
      <c r="A2868" s="614" t="s">
        <v>1275</v>
      </c>
      <c r="B2868" s="615" t="s">
        <v>1780</v>
      </c>
      <c r="C2868" s="241" t="s">
        <v>1769</v>
      </c>
      <c r="D2868" s="761">
        <v>228723</v>
      </c>
      <c r="E2868" s="625">
        <v>1</v>
      </c>
      <c r="F2868" s="573"/>
      <c r="G2868" s="487"/>
      <c r="H2868" s="573">
        <v>64099700</v>
      </c>
      <c r="I2868" s="487">
        <v>62125785</v>
      </c>
      <c r="J2868" s="573"/>
      <c r="K2868" s="487"/>
      <c r="L2868" s="573"/>
      <c r="M2868" s="573"/>
      <c r="N2868" s="456">
        <f t="shared" si="361"/>
        <v>0</v>
      </c>
      <c r="O2868" s="487"/>
      <c r="P2868" s="487"/>
      <c r="Q2868" s="274">
        <f t="shared" si="356"/>
        <v>0</v>
      </c>
      <c r="R2868" s="574">
        <f t="shared" si="357"/>
        <v>64099700</v>
      </c>
      <c r="S2868" s="275">
        <f t="shared" si="358"/>
        <v>62125785</v>
      </c>
      <c r="T2868" s="575"/>
      <c r="U2868" s="487"/>
      <c r="V2868" s="576"/>
      <c r="W2868" s="573"/>
      <c r="X2868" s="574">
        <f t="shared" si="362"/>
        <v>0</v>
      </c>
      <c r="Y2868" s="487"/>
      <c r="Z2868" s="487"/>
      <c r="AA2868" s="276">
        <f t="shared" si="363"/>
        <v>0</v>
      </c>
      <c r="AB2868" s="573"/>
      <c r="AC2868" s="487"/>
      <c r="AD2868" s="573"/>
      <c r="AE2868" s="487"/>
      <c r="AF2868" s="577">
        <f t="shared" si="359"/>
        <v>64099700</v>
      </c>
      <c r="AG2868" s="275">
        <f t="shared" si="360"/>
        <v>62125785</v>
      </c>
    </row>
    <row r="2869" spans="1:33" ht="12" customHeight="1">
      <c r="A2869" s="614" t="s">
        <v>1275</v>
      </c>
      <c r="B2869" s="615" t="s">
        <v>1781</v>
      </c>
      <c r="C2869" s="241" t="s">
        <v>1768</v>
      </c>
      <c r="D2869" s="761">
        <v>228723</v>
      </c>
      <c r="E2869" s="625">
        <v>1</v>
      </c>
      <c r="F2869" s="573"/>
      <c r="G2869" s="487"/>
      <c r="H2869" s="573">
        <v>69672238</v>
      </c>
      <c r="I2869" s="487">
        <v>69909436</v>
      </c>
      <c r="J2869" s="573"/>
      <c r="K2869" s="487"/>
      <c r="L2869" s="573"/>
      <c r="M2869" s="573"/>
      <c r="N2869" s="456">
        <f t="shared" si="361"/>
        <v>0</v>
      </c>
      <c r="O2869" s="487"/>
      <c r="P2869" s="487"/>
      <c r="Q2869" s="274">
        <f t="shared" si="356"/>
        <v>0</v>
      </c>
      <c r="R2869" s="574">
        <f t="shared" si="357"/>
        <v>69672238</v>
      </c>
      <c r="S2869" s="275">
        <f t="shared" si="358"/>
        <v>69909436</v>
      </c>
      <c r="T2869" s="575"/>
      <c r="U2869" s="487"/>
      <c r="V2869" s="576"/>
      <c r="W2869" s="573"/>
      <c r="X2869" s="574">
        <f t="shared" si="362"/>
        <v>0</v>
      </c>
      <c r="Y2869" s="487"/>
      <c r="Z2869" s="487"/>
      <c r="AA2869" s="276">
        <f t="shared" si="363"/>
        <v>0</v>
      </c>
      <c r="AB2869" s="573"/>
      <c r="AC2869" s="487"/>
      <c r="AD2869" s="573"/>
      <c r="AE2869" s="487"/>
      <c r="AF2869" s="577">
        <f t="shared" si="359"/>
        <v>69672238</v>
      </c>
      <c r="AG2869" s="275">
        <f t="shared" si="360"/>
        <v>69909436</v>
      </c>
    </row>
    <row r="2870" spans="1:33" ht="12" customHeight="1">
      <c r="A2870" s="614" t="s">
        <v>1275</v>
      </c>
      <c r="B2870" s="615" t="s">
        <v>1782</v>
      </c>
      <c r="C2870" s="241" t="s">
        <v>1880</v>
      </c>
      <c r="D2870" s="761">
        <v>228723</v>
      </c>
      <c r="E2870" s="625">
        <v>1</v>
      </c>
      <c r="F2870" s="573"/>
      <c r="G2870" s="487"/>
      <c r="H2870" s="573">
        <v>18193004</v>
      </c>
      <c r="I2870" s="487">
        <v>18294087</v>
      </c>
      <c r="J2870" s="573"/>
      <c r="K2870" s="487"/>
      <c r="L2870" s="573"/>
      <c r="M2870" s="573"/>
      <c r="N2870" s="456">
        <f t="shared" si="361"/>
        <v>0</v>
      </c>
      <c r="O2870" s="487"/>
      <c r="P2870" s="487"/>
      <c r="Q2870" s="274">
        <f t="shared" si="356"/>
        <v>0</v>
      </c>
      <c r="R2870" s="574">
        <f t="shared" si="357"/>
        <v>18193004</v>
      </c>
      <c r="S2870" s="275">
        <f t="shared" si="358"/>
        <v>18294087</v>
      </c>
      <c r="T2870" s="575"/>
      <c r="U2870" s="487"/>
      <c r="V2870" s="576"/>
      <c r="W2870" s="573"/>
      <c r="X2870" s="574">
        <f t="shared" si="362"/>
        <v>0</v>
      </c>
      <c r="Y2870" s="487"/>
      <c r="Z2870" s="487"/>
      <c r="AA2870" s="276">
        <f t="shared" si="363"/>
        <v>0</v>
      </c>
      <c r="AB2870" s="573"/>
      <c r="AC2870" s="487"/>
      <c r="AD2870" s="573"/>
      <c r="AE2870" s="487"/>
      <c r="AF2870" s="577">
        <f t="shared" si="359"/>
        <v>18193004</v>
      </c>
      <c r="AG2870" s="275">
        <f t="shared" si="360"/>
        <v>18294087</v>
      </c>
    </row>
    <row r="2871" spans="1:33" ht="12" customHeight="1">
      <c r="A2871" s="614" t="s">
        <v>1275</v>
      </c>
      <c r="B2871" s="615" t="s">
        <v>1790</v>
      </c>
      <c r="C2871" s="621" t="s">
        <v>1437</v>
      </c>
      <c r="D2871" s="761">
        <v>228723</v>
      </c>
      <c r="E2871" s="625">
        <v>1</v>
      </c>
      <c r="F2871" s="573"/>
      <c r="G2871" s="487"/>
      <c r="H2871" s="573">
        <v>8785214</v>
      </c>
      <c r="I2871" s="487">
        <v>8847818</v>
      </c>
      <c r="J2871" s="573"/>
      <c r="K2871" s="487"/>
      <c r="L2871" s="573"/>
      <c r="M2871" s="573"/>
      <c r="N2871" s="456">
        <f t="shared" si="361"/>
        <v>0</v>
      </c>
      <c r="O2871" s="487"/>
      <c r="P2871" s="487"/>
      <c r="Q2871" s="274">
        <f t="shared" si="356"/>
        <v>0</v>
      </c>
      <c r="R2871" s="574">
        <f t="shared" si="357"/>
        <v>8785214</v>
      </c>
      <c r="S2871" s="275">
        <f t="shared" si="358"/>
        <v>8847818</v>
      </c>
      <c r="T2871" s="575"/>
      <c r="U2871" s="487"/>
      <c r="V2871" s="576"/>
      <c r="W2871" s="573"/>
      <c r="X2871" s="574">
        <f t="shared" si="362"/>
        <v>0</v>
      </c>
      <c r="Y2871" s="487"/>
      <c r="Z2871" s="487"/>
      <c r="AA2871" s="276">
        <f t="shared" si="363"/>
        <v>0</v>
      </c>
      <c r="AB2871" s="573"/>
      <c r="AC2871" s="487"/>
      <c r="AD2871" s="573"/>
      <c r="AE2871" s="487"/>
      <c r="AF2871" s="577">
        <f t="shared" si="359"/>
        <v>8785214</v>
      </c>
      <c r="AG2871" s="275">
        <f t="shared" si="360"/>
        <v>8847818</v>
      </c>
    </row>
    <row r="2872" spans="1:33" ht="12" customHeight="1">
      <c r="A2872" s="614" t="s">
        <v>1275</v>
      </c>
      <c r="B2872" s="615" t="s">
        <v>1778</v>
      </c>
      <c r="C2872" s="241" t="s">
        <v>1891</v>
      </c>
      <c r="D2872" s="761">
        <v>228723</v>
      </c>
      <c r="E2872" s="625">
        <v>1</v>
      </c>
      <c r="F2872" s="573"/>
      <c r="G2872" s="487"/>
      <c r="H2872" s="573"/>
      <c r="I2872" s="487"/>
      <c r="J2872" s="573"/>
      <c r="K2872" s="487"/>
      <c r="L2872" s="573"/>
      <c r="M2872" s="573"/>
      <c r="N2872" s="456">
        <f t="shared" si="361"/>
        <v>0</v>
      </c>
      <c r="O2872" s="487"/>
      <c r="P2872" s="487"/>
      <c r="Q2872" s="274">
        <f t="shared" si="356"/>
        <v>0</v>
      </c>
      <c r="R2872" s="574">
        <f t="shared" si="357"/>
        <v>0</v>
      </c>
      <c r="S2872" s="275">
        <f t="shared" si="358"/>
        <v>0</v>
      </c>
      <c r="T2872" s="575"/>
      <c r="U2872" s="487"/>
      <c r="V2872" s="576"/>
      <c r="W2872" s="573"/>
      <c r="X2872" s="574">
        <f t="shared" si="362"/>
        <v>0</v>
      </c>
      <c r="Y2872" s="487"/>
      <c r="Z2872" s="487"/>
      <c r="AA2872" s="276">
        <f t="shared" si="363"/>
        <v>0</v>
      </c>
      <c r="AB2872" s="573"/>
      <c r="AC2872" s="487"/>
      <c r="AD2872" s="573"/>
      <c r="AE2872" s="487"/>
      <c r="AF2872" s="577">
        <f t="shared" si="359"/>
        <v>0</v>
      </c>
      <c r="AG2872" s="275">
        <f t="shared" si="360"/>
        <v>0</v>
      </c>
    </row>
    <row r="2873" spans="1:33" ht="12" customHeight="1">
      <c r="A2873" s="614" t="s">
        <v>1275</v>
      </c>
      <c r="B2873" s="615" t="s">
        <v>1778</v>
      </c>
      <c r="C2873" s="621" t="s">
        <v>1438</v>
      </c>
      <c r="D2873" s="761">
        <v>228723</v>
      </c>
      <c r="E2873" s="625">
        <v>1</v>
      </c>
      <c r="F2873" s="573"/>
      <c r="G2873" s="487"/>
      <c r="H2873" s="573">
        <v>20004850</v>
      </c>
      <c r="I2873" s="487">
        <v>20084993</v>
      </c>
      <c r="J2873" s="573"/>
      <c r="K2873" s="487"/>
      <c r="L2873" s="573"/>
      <c r="M2873" s="573"/>
      <c r="N2873" s="456">
        <f t="shared" si="361"/>
        <v>0</v>
      </c>
      <c r="O2873" s="487"/>
      <c r="P2873" s="487"/>
      <c r="Q2873" s="274">
        <f t="shared" si="356"/>
        <v>0</v>
      </c>
      <c r="R2873" s="574">
        <f t="shared" si="357"/>
        <v>20004850</v>
      </c>
      <c r="S2873" s="275">
        <f t="shared" si="358"/>
        <v>20084993</v>
      </c>
      <c r="T2873" s="575"/>
      <c r="U2873" s="487"/>
      <c r="V2873" s="576"/>
      <c r="W2873" s="573"/>
      <c r="X2873" s="574">
        <f t="shared" si="362"/>
        <v>0</v>
      </c>
      <c r="Y2873" s="487"/>
      <c r="Z2873" s="487"/>
      <c r="AA2873" s="276">
        <f t="shared" si="363"/>
        <v>0</v>
      </c>
      <c r="AB2873" s="573"/>
      <c r="AC2873" s="487"/>
      <c r="AD2873" s="573"/>
      <c r="AE2873" s="487"/>
      <c r="AF2873" s="577">
        <f t="shared" si="359"/>
        <v>20004850</v>
      </c>
      <c r="AG2873" s="275">
        <f t="shared" si="360"/>
        <v>20084993</v>
      </c>
    </row>
    <row r="2874" spans="1:33" ht="12" customHeight="1">
      <c r="A2874" s="614" t="s">
        <v>1275</v>
      </c>
      <c r="B2874" s="615" t="s">
        <v>1778</v>
      </c>
      <c r="C2874" s="621" t="s">
        <v>1439</v>
      </c>
      <c r="D2874" s="761">
        <v>228723</v>
      </c>
      <c r="E2874" s="625">
        <v>1</v>
      </c>
      <c r="F2874" s="573"/>
      <c r="G2874" s="487"/>
      <c r="H2874" s="573">
        <v>924709</v>
      </c>
      <c r="I2874" s="487">
        <v>959843</v>
      </c>
      <c r="J2874" s="573"/>
      <c r="K2874" s="487"/>
      <c r="L2874" s="573"/>
      <c r="M2874" s="573"/>
      <c r="N2874" s="456">
        <f t="shared" si="361"/>
        <v>0</v>
      </c>
      <c r="O2874" s="487"/>
      <c r="P2874" s="487"/>
      <c r="Q2874" s="274">
        <f t="shared" si="356"/>
        <v>0</v>
      </c>
      <c r="R2874" s="574">
        <f t="shared" si="357"/>
        <v>924709</v>
      </c>
      <c r="S2874" s="275">
        <f t="shared" si="358"/>
        <v>959843</v>
      </c>
      <c r="T2874" s="575"/>
      <c r="U2874" s="487"/>
      <c r="V2874" s="576"/>
      <c r="W2874" s="573"/>
      <c r="X2874" s="574">
        <f t="shared" si="362"/>
        <v>0</v>
      </c>
      <c r="Y2874" s="487"/>
      <c r="Z2874" s="487"/>
      <c r="AA2874" s="276">
        <f t="shared" si="363"/>
        <v>0</v>
      </c>
      <c r="AB2874" s="573"/>
      <c r="AC2874" s="487"/>
      <c r="AD2874" s="573"/>
      <c r="AE2874" s="487"/>
      <c r="AF2874" s="577">
        <f t="shared" si="359"/>
        <v>924709</v>
      </c>
      <c r="AG2874" s="275">
        <f t="shared" si="360"/>
        <v>959843</v>
      </c>
    </row>
    <row r="2875" spans="1:33" ht="12" customHeight="1">
      <c r="A2875" s="614" t="s">
        <v>1275</v>
      </c>
      <c r="B2875" s="615" t="s">
        <v>1778</v>
      </c>
      <c r="C2875" s="621" t="s">
        <v>881</v>
      </c>
      <c r="D2875" s="761">
        <v>228723</v>
      </c>
      <c r="E2875" s="625">
        <v>1</v>
      </c>
      <c r="F2875" s="573"/>
      <c r="G2875" s="487"/>
      <c r="H2875" s="573"/>
      <c r="I2875" s="487"/>
      <c r="J2875" s="573"/>
      <c r="K2875" s="487"/>
      <c r="L2875" s="573"/>
      <c r="M2875" s="573"/>
      <c r="N2875" s="456">
        <f t="shared" si="361"/>
        <v>0</v>
      </c>
      <c r="O2875" s="487"/>
      <c r="P2875" s="487"/>
      <c r="Q2875" s="274">
        <f t="shared" si="356"/>
        <v>0</v>
      </c>
      <c r="R2875" s="574">
        <f t="shared" si="357"/>
        <v>0</v>
      </c>
      <c r="S2875" s="275">
        <f t="shared" si="358"/>
        <v>0</v>
      </c>
      <c r="T2875" s="575"/>
      <c r="U2875" s="487"/>
      <c r="V2875" s="576"/>
      <c r="W2875" s="573"/>
      <c r="X2875" s="574">
        <f t="shared" si="362"/>
        <v>0</v>
      </c>
      <c r="Y2875" s="487"/>
      <c r="Z2875" s="487"/>
      <c r="AA2875" s="276">
        <f t="shared" si="363"/>
        <v>0</v>
      </c>
      <c r="AB2875" s="573"/>
      <c r="AC2875" s="487"/>
      <c r="AD2875" s="573"/>
      <c r="AE2875" s="487"/>
      <c r="AF2875" s="577">
        <f t="shared" si="359"/>
        <v>0</v>
      </c>
      <c r="AG2875" s="275">
        <f t="shared" si="360"/>
        <v>0</v>
      </c>
    </row>
    <row r="2876" spans="1:33" ht="12" customHeight="1">
      <c r="A2876" s="614" t="s">
        <v>1275</v>
      </c>
      <c r="B2876" s="615" t="s">
        <v>1778</v>
      </c>
      <c r="C2876" s="762" t="s">
        <v>882</v>
      </c>
      <c r="D2876" s="761">
        <v>228723</v>
      </c>
      <c r="E2876" s="625">
        <v>1</v>
      </c>
      <c r="F2876" s="573"/>
      <c r="G2876" s="487"/>
      <c r="H2876" s="573">
        <v>6921603</v>
      </c>
      <c r="I2876" s="487">
        <v>6930607</v>
      </c>
      <c r="J2876" s="573"/>
      <c r="K2876" s="487"/>
      <c r="L2876" s="573"/>
      <c r="M2876" s="573"/>
      <c r="N2876" s="456">
        <f t="shared" si="361"/>
        <v>0</v>
      </c>
      <c r="O2876" s="487"/>
      <c r="P2876" s="487"/>
      <c r="Q2876" s="274">
        <f t="shared" si="356"/>
        <v>0</v>
      </c>
      <c r="R2876" s="574">
        <f t="shared" si="357"/>
        <v>6921603</v>
      </c>
      <c r="S2876" s="275">
        <f t="shared" si="358"/>
        <v>6930607</v>
      </c>
      <c r="T2876" s="575"/>
      <c r="U2876" s="487"/>
      <c r="V2876" s="576"/>
      <c r="W2876" s="573"/>
      <c r="X2876" s="574">
        <f t="shared" si="362"/>
        <v>0</v>
      </c>
      <c r="Y2876" s="487"/>
      <c r="Z2876" s="487"/>
      <c r="AA2876" s="276">
        <f t="shared" si="363"/>
        <v>0</v>
      </c>
      <c r="AB2876" s="573"/>
      <c r="AC2876" s="487"/>
      <c r="AD2876" s="573"/>
      <c r="AE2876" s="487"/>
      <c r="AF2876" s="577">
        <f t="shared" si="359"/>
        <v>6921603</v>
      </c>
      <c r="AG2876" s="275">
        <f t="shared" si="360"/>
        <v>6930607</v>
      </c>
    </row>
    <row r="2877" spans="1:33" ht="12" customHeight="1">
      <c r="A2877" s="614" t="s">
        <v>1275</v>
      </c>
      <c r="B2877" s="615" t="s">
        <v>1776</v>
      </c>
      <c r="C2877" s="614" t="s">
        <v>883</v>
      </c>
      <c r="D2877" s="761">
        <v>229115</v>
      </c>
      <c r="E2877" s="625">
        <v>1</v>
      </c>
      <c r="F2877" s="573">
        <v>176283886</v>
      </c>
      <c r="G2877" s="487">
        <v>176997345</v>
      </c>
      <c r="H2877" s="573"/>
      <c r="I2877" s="487"/>
      <c r="J2877" s="573"/>
      <c r="K2877" s="487"/>
      <c r="L2877" s="573">
        <v>208952225</v>
      </c>
      <c r="M2877" s="573">
        <v>0</v>
      </c>
      <c r="N2877" s="456">
        <f t="shared" si="361"/>
        <v>208952225</v>
      </c>
      <c r="O2877" s="487">
        <v>219756767</v>
      </c>
      <c r="P2877" s="487"/>
      <c r="Q2877" s="274">
        <f t="shared" si="356"/>
        <v>219756767</v>
      </c>
      <c r="R2877" s="574">
        <f t="shared" si="357"/>
        <v>385236111</v>
      </c>
      <c r="S2877" s="275">
        <f t="shared" si="358"/>
        <v>396754112</v>
      </c>
      <c r="T2877" s="575"/>
      <c r="U2877" s="487"/>
      <c r="V2877" s="576"/>
      <c r="W2877" s="573"/>
      <c r="X2877" s="574">
        <f t="shared" si="362"/>
        <v>0</v>
      </c>
      <c r="Y2877" s="487"/>
      <c r="Z2877" s="487"/>
      <c r="AA2877" s="276">
        <f t="shared" si="363"/>
        <v>0</v>
      </c>
      <c r="AB2877" s="573"/>
      <c r="AC2877" s="487"/>
      <c r="AD2877" s="573"/>
      <c r="AE2877" s="487"/>
      <c r="AF2877" s="577">
        <f t="shared" si="359"/>
        <v>385236111</v>
      </c>
      <c r="AG2877" s="275">
        <f t="shared" si="360"/>
        <v>396754112</v>
      </c>
    </row>
    <row r="2878" spans="1:33" ht="12" customHeight="1">
      <c r="A2878" s="614" t="s">
        <v>1275</v>
      </c>
      <c r="B2878" s="615" t="s">
        <v>1776</v>
      </c>
      <c r="C2878" s="614" t="s">
        <v>1564</v>
      </c>
      <c r="D2878" s="761">
        <v>225511</v>
      </c>
      <c r="E2878" s="625">
        <v>1</v>
      </c>
      <c r="F2878" s="573">
        <v>201851497</v>
      </c>
      <c r="G2878" s="487">
        <v>202628052</v>
      </c>
      <c r="H2878" s="573"/>
      <c r="I2878" s="487"/>
      <c r="J2878" s="573"/>
      <c r="K2878" s="487"/>
      <c r="L2878" s="573">
        <v>238756114</v>
      </c>
      <c r="M2878" s="573">
        <v>394215</v>
      </c>
      <c r="N2878" s="456">
        <f t="shared" si="361"/>
        <v>239150329</v>
      </c>
      <c r="O2878" s="487">
        <v>257598885</v>
      </c>
      <c r="P2878" s="487">
        <v>394215</v>
      </c>
      <c r="Q2878" s="274">
        <f t="shared" si="356"/>
        <v>257993100</v>
      </c>
      <c r="R2878" s="574">
        <f t="shared" si="357"/>
        <v>440607611</v>
      </c>
      <c r="S2878" s="275">
        <f t="shared" si="358"/>
        <v>460226937</v>
      </c>
      <c r="T2878" s="575"/>
      <c r="U2878" s="487"/>
      <c r="V2878" s="576"/>
      <c r="W2878" s="573"/>
      <c r="X2878" s="574">
        <f t="shared" si="362"/>
        <v>0</v>
      </c>
      <c r="Y2878" s="487"/>
      <c r="Z2878" s="487"/>
      <c r="AA2878" s="276">
        <f t="shared" si="363"/>
        <v>0</v>
      </c>
      <c r="AB2878" s="573"/>
      <c r="AC2878" s="487"/>
      <c r="AD2878" s="573"/>
      <c r="AE2878" s="487"/>
      <c r="AF2878" s="577">
        <f t="shared" si="359"/>
        <v>440607611</v>
      </c>
      <c r="AG2878" s="275">
        <f t="shared" si="360"/>
        <v>460226937</v>
      </c>
    </row>
    <row r="2879" spans="1:33" ht="12" customHeight="1">
      <c r="A2879" s="614" t="s">
        <v>1275</v>
      </c>
      <c r="B2879" s="615" t="s">
        <v>1776</v>
      </c>
      <c r="C2879" s="614" t="s">
        <v>1565</v>
      </c>
      <c r="D2879" s="761">
        <v>227216</v>
      </c>
      <c r="E2879" s="625">
        <v>1</v>
      </c>
      <c r="F2879" s="573">
        <v>141130303</v>
      </c>
      <c r="G2879" s="487">
        <v>141679684</v>
      </c>
      <c r="H2879" s="573"/>
      <c r="I2879" s="487"/>
      <c r="J2879" s="573"/>
      <c r="K2879" s="487"/>
      <c r="L2879" s="573">
        <v>200974200</v>
      </c>
      <c r="M2879" s="573">
        <v>396672</v>
      </c>
      <c r="N2879" s="456">
        <f t="shared" si="361"/>
        <v>201370872</v>
      </c>
      <c r="O2879" s="487">
        <v>217960665</v>
      </c>
      <c r="P2879" s="487">
        <v>396672</v>
      </c>
      <c r="Q2879" s="274">
        <f t="shared" si="356"/>
        <v>218357337</v>
      </c>
      <c r="R2879" s="574">
        <f t="shared" si="357"/>
        <v>342104503</v>
      </c>
      <c r="S2879" s="275">
        <f t="shared" si="358"/>
        <v>359640349</v>
      </c>
      <c r="T2879" s="575"/>
      <c r="U2879" s="487"/>
      <c r="V2879" s="576"/>
      <c r="W2879" s="573"/>
      <c r="X2879" s="574">
        <f t="shared" si="362"/>
        <v>0</v>
      </c>
      <c r="Y2879" s="487"/>
      <c r="Z2879" s="487"/>
      <c r="AA2879" s="276">
        <f t="shared" si="363"/>
        <v>0</v>
      </c>
      <c r="AB2879" s="573"/>
      <c r="AC2879" s="487"/>
      <c r="AD2879" s="573"/>
      <c r="AE2879" s="487"/>
      <c r="AF2879" s="577">
        <f t="shared" si="359"/>
        <v>342104503</v>
      </c>
      <c r="AG2879" s="275">
        <f t="shared" si="360"/>
        <v>359640349</v>
      </c>
    </row>
    <row r="2880" spans="1:33" ht="12" customHeight="1">
      <c r="A2880" s="614" t="s">
        <v>1275</v>
      </c>
      <c r="B2880" s="615" t="s">
        <v>1776</v>
      </c>
      <c r="C2880" s="614" t="s">
        <v>1568</v>
      </c>
      <c r="D2880" s="761">
        <v>228769</v>
      </c>
      <c r="E2880" s="1031">
        <v>1</v>
      </c>
      <c r="F2880" s="573">
        <v>105818801</v>
      </c>
      <c r="G2880" s="487">
        <v>106328277</v>
      </c>
      <c r="H2880" s="573"/>
      <c r="I2880" s="487"/>
      <c r="J2880" s="573"/>
      <c r="K2880" s="487"/>
      <c r="L2880" s="573">
        <v>145783411</v>
      </c>
      <c r="M2880" s="573">
        <v>327110</v>
      </c>
      <c r="N2880" s="456">
        <f t="shared" si="361"/>
        <v>146110521</v>
      </c>
      <c r="O2880" s="487">
        <v>158768506</v>
      </c>
      <c r="P2880" s="487">
        <v>327110</v>
      </c>
      <c r="Q2880" s="274">
        <f t="shared" si="356"/>
        <v>159095616</v>
      </c>
      <c r="R2880" s="574">
        <f t="shared" si="357"/>
        <v>251602212</v>
      </c>
      <c r="S2880" s="275">
        <f t="shared" si="358"/>
        <v>265096783</v>
      </c>
      <c r="T2880" s="575"/>
      <c r="U2880" s="487"/>
      <c r="V2880" s="576"/>
      <c r="W2880" s="573"/>
      <c r="X2880" s="574">
        <f t="shared" si="362"/>
        <v>0</v>
      </c>
      <c r="Y2880" s="487"/>
      <c r="Z2880" s="487"/>
      <c r="AA2880" s="276">
        <f t="shared" si="363"/>
        <v>0</v>
      </c>
      <c r="AB2880" s="573"/>
      <c r="AC2880" s="487"/>
      <c r="AD2880" s="573"/>
      <c r="AE2880" s="487"/>
      <c r="AF2880" s="577">
        <f t="shared" si="359"/>
        <v>251602212</v>
      </c>
      <c r="AG2880" s="275">
        <f t="shared" si="360"/>
        <v>265096783</v>
      </c>
    </row>
    <row r="2881" spans="1:33" ht="12" customHeight="1">
      <c r="A2881" s="614" t="s">
        <v>1275</v>
      </c>
      <c r="B2881" s="615" t="s">
        <v>1776</v>
      </c>
      <c r="C2881" s="614" t="s">
        <v>1566</v>
      </c>
      <c r="D2881" s="761">
        <v>228778</v>
      </c>
      <c r="E2881" s="625">
        <v>1</v>
      </c>
      <c r="F2881" s="573">
        <v>470818944</v>
      </c>
      <c r="G2881" s="487">
        <v>488631728</v>
      </c>
      <c r="H2881" s="573"/>
      <c r="I2881" s="487"/>
      <c r="J2881" s="573"/>
      <c r="K2881" s="487"/>
      <c r="L2881" s="573">
        <v>474679784</v>
      </c>
      <c r="M2881" s="573"/>
      <c r="N2881" s="456">
        <f t="shared" si="361"/>
        <v>474679784</v>
      </c>
      <c r="O2881" s="487">
        <v>499023993</v>
      </c>
      <c r="P2881" s="487"/>
      <c r="Q2881" s="274">
        <f t="shared" si="356"/>
        <v>499023993</v>
      </c>
      <c r="R2881" s="574">
        <f t="shared" si="357"/>
        <v>945498728</v>
      </c>
      <c r="S2881" s="275">
        <f t="shared" si="358"/>
        <v>987655721</v>
      </c>
      <c r="T2881" s="575"/>
      <c r="U2881" s="487"/>
      <c r="V2881" s="576"/>
      <c r="W2881" s="573"/>
      <c r="X2881" s="574">
        <f t="shared" si="362"/>
        <v>0</v>
      </c>
      <c r="Y2881" s="487"/>
      <c r="Z2881" s="487"/>
      <c r="AA2881" s="276">
        <f t="shared" si="363"/>
        <v>0</v>
      </c>
      <c r="AB2881" s="573"/>
      <c r="AC2881" s="487"/>
      <c r="AD2881" s="573"/>
      <c r="AE2881" s="487"/>
      <c r="AF2881" s="577">
        <f t="shared" si="359"/>
        <v>945498728</v>
      </c>
      <c r="AG2881" s="275">
        <f t="shared" si="360"/>
        <v>987655721</v>
      </c>
    </row>
    <row r="2882" spans="1:33" ht="12" customHeight="1">
      <c r="A2882" s="614" t="s">
        <v>1275</v>
      </c>
      <c r="B2882" s="615" t="s">
        <v>1776</v>
      </c>
      <c r="C2882" s="614" t="s">
        <v>1569</v>
      </c>
      <c r="D2882" s="761">
        <v>228787</v>
      </c>
      <c r="E2882" s="625">
        <v>1</v>
      </c>
      <c r="F2882" s="573">
        <v>81393429</v>
      </c>
      <c r="G2882" s="487">
        <v>81669012</v>
      </c>
      <c r="H2882" s="573"/>
      <c r="I2882" s="487"/>
      <c r="J2882" s="573"/>
      <c r="K2882" s="487"/>
      <c r="L2882" s="573">
        <v>78139287</v>
      </c>
      <c r="M2882" s="573">
        <v>0</v>
      </c>
      <c r="N2882" s="456">
        <f t="shared" si="361"/>
        <v>78139287</v>
      </c>
      <c r="O2882" s="487">
        <v>127104190</v>
      </c>
      <c r="P2882" s="487"/>
      <c r="Q2882" s="274">
        <f t="shared" si="356"/>
        <v>127104190</v>
      </c>
      <c r="R2882" s="574">
        <f t="shared" si="357"/>
        <v>159532716</v>
      </c>
      <c r="S2882" s="275">
        <f t="shared" si="358"/>
        <v>208773202</v>
      </c>
      <c r="T2882" s="575"/>
      <c r="U2882" s="487"/>
      <c r="V2882" s="576"/>
      <c r="W2882" s="573"/>
      <c r="X2882" s="574">
        <f t="shared" si="362"/>
        <v>0</v>
      </c>
      <c r="Y2882" s="487"/>
      <c r="Z2882" s="487"/>
      <c r="AA2882" s="276">
        <f t="shared" si="363"/>
        <v>0</v>
      </c>
      <c r="AB2882" s="573"/>
      <c r="AC2882" s="487"/>
      <c r="AD2882" s="573"/>
      <c r="AE2882" s="487"/>
      <c r="AF2882" s="577">
        <f t="shared" si="359"/>
        <v>159532716</v>
      </c>
      <c r="AG2882" s="275">
        <f t="shared" si="360"/>
        <v>208773202</v>
      </c>
    </row>
    <row r="2883" spans="1:33" ht="12" customHeight="1">
      <c r="A2883" s="614" t="s">
        <v>1275</v>
      </c>
      <c r="B2883" s="615" t="s">
        <v>1776</v>
      </c>
      <c r="C2883" s="614" t="s">
        <v>1567</v>
      </c>
      <c r="D2883" s="761">
        <v>229179</v>
      </c>
      <c r="E2883" s="625">
        <v>2</v>
      </c>
      <c r="F2883" s="573">
        <v>68890978</v>
      </c>
      <c r="G2883" s="487">
        <v>69080320</v>
      </c>
      <c r="H2883" s="573"/>
      <c r="I2883" s="487"/>
      <c r="J2883" s="573"/>
      <c r="K2883" s="487"/>
      <c r="L2883" s="573">
        <v>59632073</v>
      </c>
      <c r="M2883" s="573">
        <v>133660</v>
      </c>
      <c r="N2883" s="456">
        <f t="shared" si="361"/>
        <v>59765733</v>
      </c>
      <c r="O2883" s="487">
        <v>63553275</v>
      </c>
      <c r="P2883" s="487">
        <v>133660</v>
      </c>
      <c r="Q2883" s="274">
        <f t="shared" si="356"/>
        <v>63686935</v>
      </c>
      <c r="R2883" s="574">
        <f t="shared" si="357"/>
        <v>128523051</v>
      </c>
      <c r="S2883" s="275">
        <f t="shared" si="358"/>
        <v>132633595</v>
      </c>
      <c r="T2883" s="575"/>
      <c r="U2883" s="487"/>
      <c r="V2883" s="576"/>
      <c r="W2883" s="573"/>
      <c r="X2883" s="574">
        <f t="shared" si="362"/>
        <v>0</v>
      </c>
      <c r="Y2883" s="487"/>
      <c r="Z2883" s="487"/>
      <c r="AA2883" s="276">
        <f t="shared" si="363"/>
        <v>0</v>
      </c>
      <c r="AB2883" s="573"/>
      <c r="AC2883" s="487"/>
      <c r="AD2883" s="573"/>
      <c r="AE2883" s="487"/>
      <c r="AF2883" s="577">
        <f t="shared" si="359"/>
        <v>128523051</v>
      </c>
      <c r="AG2883" s="275">
        <f t="shared" si="360"/>
        <v>132633595</v>
      </c>
    </row>
    <row r="2884" spans="1:33" ht="12" customHeight="1">
      <c r="A2884" s="614" t="s">
        <v>1275</v>
      </c>
      <c r="B2884" s="615" t="s">
        <v>1776</v>
      </c>
      <c r="C2884" s="614" t="s">
        <v>1828</v>
      </c>
      <c r="D2884" s="761">
        <v>228796</v>
      </c>
      <c r="E2884" s="1031">
        <v>2</v>
      </c>
      <c r="F2884" s="573">
        <v>84068388</v>
      </c>
      <c r="G2884" s="487">
        <v>84298213</v>
      </c>
      <c r="H2884" s="573"/>
      <c r="I2884" s="487"/>
      <c r="J2884" s="573"/>
      <c r="K2884" s="487"/>
      <c r="L2884" s="573">
        <v>95525241</v>
      </c>
      <c r="M2884" s="573">
        <v>284730</v>
      </c>
      <c r="N2884" s="456">
        <f t="shared" si="361"/>
        <v>95809971</v>
      </c>
      <c r="O2884" s="487">
        <v>101782645</v>
      </c>
      <c r="P2884" s="487">
        <v>284730</v>
      </c>
      <c r="Q2884" s="274">
        <f t="shared" si="356"/>
        <v>102067375</v>
      </c>
      <c r="R2884" s="574">
        <f t="shared" si="357"/>
        <v>179593629</v>
      </c>
      <c r="S2884" s="275">
        <f t="shared" si="358"/>
        <v>186080858</v>
      </c>
      <c r="T2884" s="575"/>
      <c r="U2884" s="487"/>
      <c r="V2884" s="576"/>
      <c r="W2884" s="573"/>
      <c r="X2884" s="574">
        <f t="shared" si="362"/>
        <v>0</v>
      </c>
      <c r="Y2884" s="487"/>
      <c r="Z2884" s="487"/>
      <c r="AA2884" s="276">
        <f t="shared" si="363"/>
        <v>0</v>
      </c>
      <c r="AB2884" s="573"/>
      <c r="AC2884" s="487"/>
      <c r="AD2884" s="573"/>
      <c r="AE2884" s="487"/>
      <c r="AF2884" s="577">
        <f t="shared" si="359"/>
        <v>179593629</v>
      </c>
      <c r="AG2884" s="275">
        <f t="shared" si="360"/>
        <v>186080858</v>
      </c>
    </row>
    <row r="2885" spans="1:33" ht="12" customHeight="1">
      <c r="A2885" s="614" t="s">
        <v>1275</v>
      </c>
      <c r="B2885" s="615" t="s">
        <v>1776</v>
      </c>
      <c r="C2885" s="614" t="s">
        <v>655</v>
      </c>
      <c r="D2885" s="761">
        <v>222831</v>
      </c>
      <c r="E2885" s="625">
        <v>3</v>
      </c>
      <c r="F2885" s="573">
        <v>29399328</v>
      </c>
      <c r="G2885" s="487">
        <v>29632763</v>
      </c>
      <c r="H2885" s="573"/>
      <c r="I2885" s="487"/>
      <c r="J2885" s="573"/>
      <c r="K2885" s="487"/>
      <c r="L2885" s="573">
        <v>24009765</v>
      </c>
      <c r="M2885" s="573">
        <v>69000</v>
      </c>
      <c r="N2885" s="456">
        <f t="shared" si="361"/>
        <v>24078765</v>
      </c>
      <c r="O2885" s="487">
        <v>27654386</v>
      </c>
      <c r="P2885" s="487">
        <v>69000</v>
      </c>
      <c r="Q2885" s="274">
        <f t="shared" si="356"/>
        <v>27723386</v>
      </c>
      <c r="R2885" s="574">
        <f t="shared" si="357"/>
        <v>53409093</v>
      </c>
      <c r="S2885" s="275">
        <f t="shared" si="358"/>
        <v>57287149</v>
      </c>
      <c r="T2885" s="575"/>
      <c r="U2885" s="487"/>
      <c r="V2885" s="576"/>
      <c r="W2885" s="573"/>
      <c r="X2885" s="574">
        <f t="shared" si="362"/>
        <v>0</v>
      </c>
      <c r="Y2885" s="487"/>
      <c r="Z2885" s="487"/>
      <c r="AA2885" s="276">
        <f t="shared" si="363"/>
        <v>0</v>
      </c>
      <c r="AB2885" s="573"/>
      <c r="AC2885" s="487"/>
      <c r="AD2885" s="573"/>
      <c r="AE2885" s="487"/>
      <c r="AF2885" s="577">
        <f t="shared" si="359"/>
        <v>53409093</v>
      </c>
      <c r="AG2885" s="275">
        <f t="shared" si="360"/>
        <v>57287149</v>
      </c>
    </row>
    <row r="2886" spans="1:33" ht="12" customHeight="1">
      <c r="A2886" s="614" t="s">
        <v>1275</v>
      </c>
      <c r="B2886" s="615" t="s">
        <v>1776</v>
      </c>
      <c r="C2886" s="614" t="s">
        <v>656</v>
      </c>
      <c r="D2886" s="761">
        <v>226091</v>
      </c>
      <c r="E2886" s="625">
        <v>3</v>
      </c>
      <c r="F2886" s="573">
        <v>47046476</v>
      </c>
      <c r="G2886" s="487">
        <v>47201596</v>
      </c>
      <c r="H2886" s="573"/>
      <c r="I2886" s="487"/>
      <c r="J2886" s="573"/>
      <c r="K2886" s="487"/>
      <c r="L2886" s="573">
        <v>48998541</v>
      </c>
      <c r="M2886" s="573">
        <v>105430</v>
      </c>
      <c r="N2886" s="456">
        <f t="shared" si="361"/>
        <v>49103971</v>
      </c>
      <c r="O2886" s="487">
        <v>59662934</v>
      </c>
      <c r="P2886" s="487">
        <v>105430</v>
      </c>
      <c r="Q2886" s="274">
        <f t="shared" si="356"/>
        <v>59768364</v>
      </c>
      <c r="R2886" s="574">
        <f t="shared" si="357"/>
        <v>96045017</v>
      </c>
      <c r="S2886" s="275">
        <f t="shared" si="358"/>
        <v>106864530</v>
      </c>
      <c r="T2886" s="575"/>
      <c r="U2886" s="487"/>
      <c r="V2886" s="576"/>
      <c r="W2886" s="573"/>
      <c r="X2886" s="574">
        <f t="shared" si="362"/>
        <v>0</v>
      </c>
      <c r="Y2886" s="487"/>
      <c r="Z2886" s="487"/>
      <c r="AA2886" s="276">
        <f t="shared" si="363"/>
        <v>0</v>
      </c>
      <c r="AB2886" s="573"/>
      <c r="AC2886" s="487"/>
      <c r="AD2886" s="573"/>
      <c r="AE2886" s="487"/>
      <c r="AF2886" s="577">
        <f t="shared" si="359"/>
        <v>96045017</v>
      </c>
      <c r="AG2886" s="275">
        <f t="shared" si="360"/>
        <v>106864530</v>
      </c>
    </row>
    <row r="2887" spans="1:33" ht="12" customHeight="1">
      <c r="A2887" s="614" t="s">
        <v>1275</v>
      </c>
      <c r="B2887" s="615" t="s">
        <v>1776</v>
      </c>
      <c r="C2887" s="614" t="s">
        <v>657</v>
      </c>
      <c r="D2887" s="761">
        <v>226833</v>
      </c>
      <c r="E2887" s="625">
        <v>3</v>
      </c>
      <c r="F2887" s="573">
        <v>24437478</v>
      </c>
      <c r="G2887" s="487">
        <v>24433069</v>
      </c>
      <c r="H2887" s="573"/>
      <c r="I2887" s="487"/>
      <c r="J2887" s="573"/>
      <c r="K2887" s="487"/>
      <c r="L2887" s="573">
        <v>27696323</v>
      </c>
      <c r="M2887" s="573"/>
      <c r="N2887" s="456">
        <f t="shared" si="361"/>
        <v>27696323</v>
      </c>
      <c r="O2887" s="487">
        <v>34332837</v>
      </c>
      <c r="P2887" s="487"/>
      <c r="Q2887" s="274">
        <f t="shared" si="356"/>
        <v>34332837</v>
      </c>
      <c r="R2887" s="574">
        <f t="shared" si="357"/>
        <v>52133801</v>
      </c>
      <c r="S2887" s="275">
        <f t="shared" si="358"/>
        <v>58765906</v>
      </c>
      <c r="T2887" s="575"/>
      <c r="U2887" s="487"/>
      <c r="V2887" s="576"/>
      <c r="W2887" s="573"/>
      <c r="X2887" s="574">
        <f t="shared" si="362"/>
        <v>0</v>
      </c>
      <c r="Y2887" s="487"/>
      <c r="Z2887" s="487"/>
      <c r="AA2887" s="276">
        <f t="shared" si="363"/>
        <v>0</v>
      </c>
      <c r="AB2887" s="573"/>
      <c r="AC2887" s="487"/>
      <c r="AD2887" s="573"/>
      <c r="AE2887" s="487"/>
      <c r="AF2887" s="577">
        <f t="shared" si="359"/>
        <v>52133801</v>
      </c>
      <c r="AG2887" s="275">
        <f t="shared" si="360"/>
        <v>58765906</v>
      </c>
    </row>
    <row r="2888" spans="1:33" ht="12" customHeight="1">
      <c r="A2888" s="614" t="s">
        <v>1275</v>
      </c>
      <c r="B2888" s="615" t="s">
        <v>1776</v>
      </c>
      <c r="C2888" s="614" t="s">
        <v>658</v>
      </c>
      <c r="D2888" s="761">
        <v>227526</v>
      </c>
      <c r="E2888" s="625">
        <v>3</v>
      </c>
      <c r="F2888" s="573">
        <v>65959456</v>
      </c>
      <c r="G2888" s="487">
        <v>65652524</v>
      </c>
      <c r="H2888" s="573"/>
      <c r="I2888" s="487"/>
      <c r="J2888" s="573"/>
      <c r="K2888" s="487"/>
      <c r="L2888" s="573">
        <v>39653310</v>
      </c>
      <c r="M2888" s="573"/>
      <c r="N2888" s="456">
        <f t="shared" si="361"/>
        <v>39653310</v>
      </c>
      <c r="O2888" s="487">
        <v>47010168</v>
      </c>
      <c r="P2888" s="487"/>
      <c r="Q2888" s="274">
        <f t="shared" si="356"/>
        <v>47010168</v>
      </c>
      <c r="R2888" s="574">
        <f t="shared" si="357"/>
        <v>105612766</v>
      </c>
      <c r="S2888" s="275">
        <f t="shared" si="358"/>
        <v>112662692</v>
      </c>
      <c r="T2888" s="575"/>
      <c r="U2888" s="487"/>
      <c r="V2888" s="576"/>
      <c r="W2888" s="573"/>
      <c r="X2888" s="574">
        <f t="shared" si="362"/>
        <v>0</v>
      </c>
      <c r="Y2888" s="487"/>
      <c r="Z2888" s="487"/>
      <c r="AA2888" s="276">
        <f t="shared" si="363"/>
        <v>0</v>
      </c>
      <c r="AB2888" s="573"/>
      <c r="AC2888" s="487"/>
      <c r="AD2888" s="573"/>
      <c r="AE2888" s="487"/>
      <c r="AF2888" s="577">
        <f t="shared" si="359"/>
        <v>105612766</v>
      </c>
      <c r="AG2888" s="275">
        <f t="shared" si="360"/>
        <v>112662692</v>
      </c>
    </row>
    <row r="2889" spans="1:33" ht="12" customHeight="1">
      <c r="A2889" s="614" t="s">
        <v>1275</v>
      </c>
      <c r="B2889" s="615" t="s">
        <v>1776</v>
      </c>
      <c r="C2889" s="614" t="s">
        <v>659</v>
      </c>
      <c r="D2889" s="761">
        <v>227881</v>
      </c>
      <c r="E2889" s="625">
        <v>3</v>
      </c>
      <c r="F2889" s="573">
        <v>60282585</v>
      </c>
      <c r="G2889" s="487">
        <v>60427125</v>
      </c>
      <c r="H2889" s="573"/>
      <c r="I2889" s="487"/>
      <c r="J2889" s="573"/>
      <c r="K2889" s="487"/>
      <c r="L2889" s="573">
        <v>74192648</v>
      </c>
      <c r="M2889" s="573"/>
      <c r="N2889" s="456">
        <f t="shared" si="361"/>
        <v>74192648</v>
      </c>
      <c r="O2889" s="487">
        <v>81048150</v>
      </c>
      <c r="P2889" s="487"/>
      <c r="Q2889" s="274">
        <f t="shared" si="356"/>
        <v>81048150</v>
      </c>
      <c r="R2889" s="574">
        <f t="shared" si="357"/>
        <v>134475233</v>
      </c>
      <c r="S2889" s="275">
        <f t="shared" si="358"/>
        <v>141475275</v>
      </c>
      <c r="T2889" s="575"/>
      <c r="U2889" s="487"/>
      <c r="V2889" s="576"/>
      <c r="W2889" s="573"/>
      <c r="X2889" s="574">
        <f t="shared" si="362"/>
        <v>0</v>
      </c>
      <c r="Y2889" s="487"/>
      <c r="Z2889" s="487"/>
      <c r="AA2889" s="276">
        <f t="shared" si="363"/>
        <v>0</v>
      </c>
      <c r="AB2889" s="573"/>
      <c r="AC2889" s="487"/>
      <c r="AD2889" s="573"/>
      <c r="AE2889" s="487"/>
      <c r="AF2889" s="577">
        <f t="shared" si="359"/>
        <v>134475233</v>
      </c>
      <c r="AG2889" s="275">
        <f t="shared" si="360"/>
        <v>141475275</v>
      </c>
    </row>
    <row r="2890" spans="1:33" ht="12" customHeight="1">
      <c r="A2890" s="614" t="s">
        <v>1275</v>
      </c>
      <c r="B2890" s="615" t="s">
        <v>1776</v>
      </c>
      <c r="C2890" s="614" t="s">
        <v>660</v>
      </c>
      <c r="D2890" s="761">
        <v>228431</v>
      </c>
      <c r="E2890" s="625">
        <v>3</v>
      </c>
      <c r="F2890" s="573">
        <v>55555428</v>
      </c>
      <c r="G2890" s="487">
        <v>55810163</v>
      </c>
      <c r="H2890" s="573"/>
      <c r="I2890" s="487"/>
      <c r="J2890" s="573"/>
      <c r="K2890" s="487"/>
      <c r="L2890" s="573">
        <v>55269681</v>
      </c>
      <c r="M2890" s="573">
        <v>155525</v>
      </c>
      <c r="N2890" s="456">
        <f t="shared" si="361"/>
        <v>55425206</v>
      </c>
      <c r="O2890" s="487">
        <v>65130539</v>
      </c>
      <c r="P2890" s="487">
        <v>155525</v>
      </c>
      <c r="Q2890" s="274">
        <f t="shared" ref="Q2890:Q2953" si="364">SUM(O2890:P2890)</f>
        <v>65286064</v>
      </c>
      <c r="R2890" s="574">
        <f t="shared" ref="R2890:R2953" si="365">SUM(F2890,H2890,J2890,L2890)</f>
        <v>110825109</v>
      </c>
      <c r="S2890" s="275">
        <f t="shared" ref="S2890:S2953" si="366">SUM(G2890,I2890,K2890,O2890)</f>
        <v>120940702</v>
      </c>
      <c r="T2890" s="575"/>
      <c r="U2890" s="487"/>
      <c r="V2890" s="576"/>
      <c r="W2890" s="573"/>
      <c r="X2890" s="574">
        <f t="shared" si="362"/>
        <v>0</v>
      </c>
      <c r="Y2890" s="487"/>
      <c r="Z2890" s="487"/>
      <c r="AA2890" s="276">
        <f t="shared" si="363"/>
        <v>0</v>
      </c>
      <c r="AB2890" s="573"/>
      <c r="AC2890" s="487"/>
      <c r="AD2890" s="573"/>
      <c r="AE2890" s="487"/>
      <c r="AF2890" s="577">
        <f t="shared" ref="AF2890:AF2953" si="367">SUM(R2890,T2890,V2890,AB2890,AD2890)</f>
        <v>110825109</v>
      </c>
      <c r="AG2890" s="275">
        <f t="shared" ref="AG2890:AG2953" si="368">SUM(S2890,U2890,Y2890,AC2890,AE2890)</f>
        <v>120940702</v>
      </c>
    </row>
    <row r="2891" spans="1:33" ht="12" customHeight="1">
      <c r="A2891" s="614" t="s">
        <v>1275</v>
      </c>
      <c r="B2891" s="615" t="s">
        <v>1776</v>
      </c>
      <c r="C2891" s="614" t="s">
        <v>661</v>
      </c>
      <c r="D2891" s="761">
        <v>228501</v>
      </c>
      <c r="E2891" s="625">
        <v>3</v>
      </c>
      <c r="F2891" s="573">
        <v>17245731</v>
      </c>
      <c r="G2891" s="487">
        <v>17315516</v>
      </c>
      <c r="H2891" s="573"/>
      <c r="I2891" s="487"/>
      <c r="J2891" s="573"/>
      <c r="K2891" s="487"/>
      <c r="L2891" s="573">
        <v>8908570</v>
      </c>
      <c r="M2891" s="573"/>
      <c r="N2891" s="456">
        <f t="shared" si="361"/>
        <v>8908570</v>
      </c>
      <c r="O2891" s="487">
        <v>9155049</v>
      </c>
      <c r="P2891" s="487"/>
      <c r="Q2891" s="274">
        <f t="shared" si="364"/>
        <v>9155049</v>
      </c>
      <c r="R2891" s="574">
        <f t="shared" si="365"/>
        <v>26154301</v>
      </c>
      <c r="S2891" s="275">
        <f t="shared" si="366"/>
        <v>26470565</v>
      </c>
      <c r="T2891" s="575"/>
      <c r="U2891" s="487"/>
      <c r="V2891" s="576"/>
      <c r="W2891" s="573"/>
      <c r="X2891" s="574">
        <f t="shared" si="362"/>
        <v>0</v>
      </c>
      <c r="Y2891" s="487"/>
      <c r="Z2891" s="487"/>
      <c r="AA2891" s="276">
        <f t="shared" si="363"/>
        <v>0</v>
      </c>
      <c r="AB2891" s="573"/>
      <c r="AC2891" s="487"/>
      <c r="AD2891" s="573"/>
      <c r="AE2891" s="487"/>
      <c r="AF2891" s="577">
        <f t="shared" si="367"/>
        <v>26154301</v>
      </c>
      <c r="AG2891" s="275">
        <f t="shared" si="368"/>
        <v>26470565</v>
      </c>
    </row>
    <row r="2892" spans="1:33" ht="12" customHeight="1">
      <c r="A2892" s="614" t="s">
        <v>1275</v>
      </c>
      <c r="B2892" s="615" t="s">
        <v>1776</v>
      </c>
      <c r="C2892" s="614" t="s">
        <v>662</v>
      </c>
      <c r="D2892" s="761">
        <v>228529</v>
      </c>
      <c r="E2892" s="625">
        <v>3</v>
      </c>
      <c r="F2892" s="573">
        <v>43161091</v>
      </c>
      <c r="G2892" s="487">
        <v>43330574</v>
      </c>
      <c r="H2892" s="573"/>
      <c r="I2892" s="487"/>
      <c r="J2892" s="573"/>
      <c r="K2892" s="487"/>
      <c r="L2892" s="573">
        <v>35367959</v>
      </c>
      <c r="M2892" s="573"/>
      <c r="N2892" s="456">
        <f t="shared" si="361"/>
        <v>35367959</v>
      </c>
      <c r="O2892" s="487">
        <v>40849943</v>
      </c>
      <c r="P2892" s="487"/>
      <c r="Q2892" s="274">
        <f t="shared" si="364"/>
        <v>40849943</v>
      </c>
      <c r="R2892" s="574">
        <f t="shared" si="365"/>
        <v>78529050</v>
      </c>
      <c r="S2892" s="275">
        <f t="shared" si="366"/>
        <v>84180517</v>
      </c>
      <c r="T2892" s="575"/>
      <c r="U2892" s="487"/>
      <c r="V2892" s="576"/>
      <c r="W2892" s="573"/>
      <c r="X2892" s="574">
        <f t="shared" si="362"/>
        <v>0</v>
      </c>
      <c r="Y2892" s="487"/>
      <c r="Z2892" s="487"/>
      <c r="AA2892" s="276">
        <f t="shared" si="363"/>
        <v>0</v>
      </c>
      <c r="AB2892" s="573"/>
      <c r="AC2892" s="487"/>
      <c r="AD2892" s="573"/>
      <c r="AE2892" s="487"/>
      <c r="AF2892" s="577">
        <f t="shared" si="367"/>
        <v>78529050</v>
      </c>
      <c r="AG2892" s="275">
        <f t="shared" si="368"/>
        <v>84180517</v>
      </c>
    </row>
    <row r="2893" spans="1:33" ht="12" customHeight="1">
      <c r="A2893" s="614" t="s">
        <v>1275</v>
      </c>
      <c r="B2893" s="615" t="s">
        <v>1776</v>
      </c>
      <c r="C2893" s="614" t="s">
        <v>663</v>
      </c>
      <c r="D2893" s="761">
        <v>224554</v>
      </c>
      <c r="E2893" s="625">
        <v>3</v>
      </c>
      <c r="F2893" s="573">
        <v>41681725</v>
      </c>
      <c r="G2893" s="487">
        <v>41841424</v>
      </c>
      <c r="H2893" s="573"/>
      <c r="I2893" s="487"/>
      <c r="J2893" s="573"/>
      <c r="K2893" s="487"/>
      <c r="L2893" s="573">
        <v>32357948</v>
      </c>
      <c r="M2893" s="573"/>
      <c r="N2893" s="456">
        <f t="shared" si="361"/>
        <v>32357948</v>
      </c>
      <c r="O2893" s="487">
        <v>40886723</v>
      </c>
      <c r="P2893" s="487"/>
      <c r="Q2893" s="274">
        <f t="shared" si="364"/>
        <v>40886723</v>
      </c>
      <c r="R2893" s="574">
        <f t="shared" si="365"/>
        <v>74039673</v>
      </c>
      <c r="S2893" s="275">
        <f t="shared" si="366"/>
        <v>82728147</v>
      </c>
      <c r="T2893" s="575"/>
      <c r="U2893" s="487"/>
      <c r="V2893" s="576"/>
      <c r="W2893" s="573"/>
      <c r="X2893" s="574">
        <f t="shared" si="362"/>
        <v>0</v>
      </c>
      <c r="Y2893" s="487"/>
      <c r="Z2893" s="487"/>
      <c r="AA2893" s="276">
        <f t="shared" si="363"/>
        <v>0</v>
      </c>
      <c r="AB2893" s="573"/>
      <c r="AC2893" s="487"/>
      <c r="AD2893" s="573"/>
      <c r="AE2893" s="487"/>
      <c r="AF2893" s="577">
        <f t="shared" si="367"/>
        <v>74039673</v>
      </c>
      <c r="AG2893" s="275">
        <f t="shared" si="368"/>
        <v>82728147</v>
      </c>
    </row>
    <row r="2894" spans="1:33" ht="12" customHeight="1">
      <c r="A2894" s="614" t="s">
        <v>1275</v>
      </c>
      <c r="B2894" s="615" t="s">
        <v>1776</v>
      </c>
      <c r="C2894" s="614" t="s">
        <v>664</v>
      </c>
      <c r="D2894" s="761">
        <v>224147</v>
      </c>
      <c r="E2894" s="625">
        <v>3</v>
      </c>
      <c r="F2894" s="573">
        <v>49432714</v>
      </c>
      <c r="G2894" s="487">
        <v>49615921</v>
      </c>
      <c r="H2894" s="573"/>
      <c r="I2894" s="487"/>
      <c r="J2894" s="573"/>
      <c r="K2894" s="487"/>
      <c r="L2894" s="573">
        <v>34526421</v>
      </c>
      <c r="M2894" s="573"/>
      <c r="N2894" s="456">
        <f t="shared" si="361"/>
        <v>34526421</v>
      </c>
      <c r="O2894" s="487">
        <v>38937078</v>
      </c>
      <c r="P2894" s="487"/>
      <c r="Q2894" s="274">
        <f t="shared" si="364"/>
        <v>38937078</v>
      </c>
      <c r="R2894" s="574">
        <f t="shared" si="365"/>
        <v>83959135</v>
      </c>
      <c r="S2894" s="275">
        <f t="shared" si="366"/>
        <v>88552999</v>
      </c>
      <c r="T2894" s="575"/>
      <c r="U2894" s="487"/>
      <c r="V2894" s="576"/>
      <c r="W2894" s="573"/>
      <c r="X2894" s="574">
        <f t="shared" si="362"/>
        <v>0</v>
      </c>
      <c r="Y2894" s="487"/>
      <c r="Z2894" s="487"/>
      <c r="AA2894" s="276">
        <f t="shared" si="363"/>
        <v>0</v>
      </c>
      <c r="AB2894" s="573"/>
      <c r="AC2894" s="487"/>
      <c r="AD2894" s="573"/>
      <c r="AE2894" s="487"/>
      <c r="AF2894" s="577">
        <f t="shared" si="367"/>
        <v>83959135</v>
      </c>
      <c r="AG2894" s="275">
        <f t="shared" si="368"/>
        <v>88552999</v>
      </c>
    </row>
    <row r="2895" spans="1:33" ht="12" customHeight="1">
      <c r="A2895" s="614" t="s">
        <v>1275</v>
      </c>
      <c r="B2895" s="615" t="s">
        <v>1776</v>
      </c>
      <c r="C2895" s="614" t="s">
        <v>665</v>
      </c>
      <c r="D2895" s="761">
        <v>228705</v>
      </c>
      <c r="E2895" s="625">
        <v>3</v>
      </c>
      <c r="F2895" s="573">
        <v>47477667</v>
      </c>
      <c r="G2895" s="487">
        <v>47593567</v>
      </c>
      <c r="H2895" s="573"/>
      <c r="I2895" s="487"/>
      <c r="J2895" s="573"/>
      <c r="K2895" s="487"/>
      <c r="L2895" s="573">
        <v>26093800</v>
      </c>
      <c r="M2895" s="573"/>
      <c r="N2895" s="456">
        <f t="shared" si="361"/>
        <v>26093800</v>
      </c>
      <c r="O2895" s="487">
        <v>29633108</v>
      </c>
      <c r="P2895" s="487"/>
      <c r="Q2895" s="274">
        <f t="shared" si="364"/>
        <v>29633108</v>
      </c>
      <c r="R2895" s="574">
        <f t="shared" si="365"/>
        <v>73571467</v>
      </c>
      <c r="S2895" s="275">
        <f t="shared" si="366"/>
        <v>77226675</v>
      </c>
      <c r="T2895" s="575"/>
      <c r="U2895" s="487"/>
      <c r="V2895" s="576"/>
      <c r="W2895" s="573"/>
      <c r="X2895" s="574">
        <f t="shared" si="362"/>
        <v>0</v>
      </c>
      <c r="Y2895" s="487"/>
      <c r="Z2895" s="487"/>
      <c r="AA2895" s="276">
        <f t="shared" si="363"/>
        <v>0</v>
      </c>
      <c r="AB2895" s="573"/>
      <c r="AC2895" s="487"/>
      <c r="AD2895" s="573"/>
      <c r="AE2895" s="487"/>
      <c r="AF2895" s="577">
        <f t="shared" si="367"/>
        <v>73571467</v>
      </c>
      <c r="AG2895" s="275">
        <f t="shared" si="368"/>
        <v>77226675</v>
      </c>
    </row>
    <row r="2896" spans="1:33" ht="12" customHeight="1">
      <c r="A2896" s="614" t="s">
        <v>1275</v>
      </c>
      <c r="B2896" s="615" t="s">
        <v>1776</v>
      </c>
      <c r="C2896" s="614" t="s">
        <v>666</v>
      </c>
      <c r="D2896" s="761">
        <v>229063</v>
      </c>
      <c r="E2896" s="625">
        <v>3</v>
      </c>
      <c r="F2896" s="573">
        <v>60784302</v>
      </c>
      <c r="G2896" s="487">
        <v>54749906</v>
      </c>
      <c r="H2896" s="573"/>
      <c r="I2896" s="487"/>
      <c r="J2896" s="573"/>
      <c r="K2896" s="487"/>
      <c r="L2896" s="573">
        <v>64627450</v>
      </c>
      <c r="M2896" s="573">
        <v>112581</v>
      </c>
      <c r="N2896" s="456">
        <f t="shared" si="361"/>
        <v>64740031</v>
      </c>
      <c r="O2896" s="487">
        <v>59798338</v>
      </c>
      <c r="P2896" s="487">
        <v>112581</v>
      </c>
      <c r="Q2896" s="274">
        <f t="shared" si="364"/>
        <v>59910919</v>
      </c>
      <c r="R2896" s="574">
        <f t="shared" si="365"/>
        <v>125411752</v>
      </c>
      <c r="S2896" s="275">
        <f t="shared" si="366"/>
        <v>114548244</v>
      </c>
      <c r="T2896" s="575"/>
      <c r="U2896" s="487"/>
      <c r="V2896" s="576"/>
      <c r="W2896" s="573"/>
      <c r="X2896" s="574">
        <f t="shared" si="362"/>
        <v>0</v>
      </c>
      <c r="Y2896" s="487"/>
      <c r="Z2896" s="487"/>
      <c r="AA2896" s="276">
        <f t="shared" si="363"/>
        <v>0</v>
      </c>
      <c r="AB2896" s="573"/>
      <c r="AC2896" s="487"/>
      <c r="AD2896" s="573"/>
      <c r="AE2896" s="487"/>
      <c r="AF2896" s="577">
        <f t="shared" si="367"/>
        <v>125411752</v>
      </c>
      <c r="AG2896" s="275">
        <f t="shared" si="368"/>
        <v>114548244</v>
      </c>
    </row>
    <row r="2897" spans="1:33" ht="12" customHeight="1">
      <c r="A2897" s="614" t="s">
        <v>1275</v>
      </c>
      <c r="B2897" s="615" t="s">
        <v>1776</v>
      </c>
      <c r="C2897" s="614" t="s">
        <v>667</v>
      </c>
      <c r="D2897" s="761">
        <v>228459</v>
      </c>
      <c r="E2897" s="625">
        <v>3</v>
      </c>
      <c r="F2897" s="573">
        <v>107998344</v>
      </c>
      <c r="G2897" s="487">
        <v>108514853</v>
      </c>
      <c r="H2897" s="573"/>
      <c r="I2897" s="487"/>
      <c r="J2897" s="573"/>
      <c r="K2897" s="487"/>
      <c r="L2897" s="573">
        <v>130102565</v>
      </c>
      <c r="M2897" s="573">
        <v>296848</v>
      </c>
      <c r="N2897" s="456">
        <f t="shared" si="361"/>
        <v>130399413</v>
      </c>
      <c r="O2897" s="487">
        <v>151244411</v>
      </c>
      <c r="P2897" s="487">
        <v>296848</v>
      </c>
      <c r="Q2897" s="274">
        <f t="shared" si="364"/>
        <v>151541259</v>
      </c>
      <c r="R2897" s="574">
        <f t="shared" si="365"/>
        <v>238100909</v>
      </c>
      <c r="S2897" s="275">
        <f t="shared" si="366"/>
        <v>259759264</v>
      </c>
      <c r="T2897" s="575"/>
      <c r="U2897" s="487"/>
      <c r="V2897" s="576"/>
      <c r="W2897" s="573"/>
      <c r="X2897" s="574">
        <f t="shared" si="362"/>
        <v>0</v>
      </c>
      <c r="Y2897" s="487"/>
      <c r="Z2897" s="487"/>
      <c r="AA2897" s="276">
        <f t="shared" si="363"/>
        <v>0</v>
      </c>
      <c r="AB2897" s="573"/>
      <c r="AC2897" s="487"/>
      <c r="AD2897" s="573"/>
      <c r="AE2897" s="487"/>
      <c r="AF2897" s="577">
        <f t="shared" si="367"/>
        <v>238100909</v>
      </c>
      <c r="AG2897" s="275">
        <f t="shared" si="368"/>
        <v>259759264</v>
      </c>
    </row>
    <row r="2898" spans="1:33" ht="12" customHeight="1">
      <c r="A2898" s="614" t="s">
        <v>1275</v>
      </c>
      <c r="B2898" s="615" t="s">
        <v>1776</v>
      </c>
      <c r="C2898" s="614" t="s">
        <v>668</v>
      </c>
      <c r="D2898" s="761">
        <v>225414</v>
      </c>
      <c r="E2898" s="625">
        <v>3</v>
      </c>
      <c r="F2898" s="573">
        <v>36837991</v>
      </c>
      <c r="G2898" s="487">
        <v>36987862</v>
      </c>
      <c r="H2898" s="573"/>
      <c r="I2898" s="487"/>
      <c r="J2898" s="573"/>
      <c r="K2898" s="487"/>
      <c r="L2898" s="573">
        <v>32712516</v>
      </c>
      <c r="M2898" s="573">
        <v>97000</v>
      </c>
      <c r="N2898" s="456">
        <f t="shared" si="361"/>
        <v>32809516</v>
      </c>
      <c r="O2898" s="487">
        <v>35875261</v>
      </c>
      <c r="P2898" s="487">
        <v>97000</v>
      </c>
      <c r="Q2898" s="274">
        <f t="shared" si="364"/>
        <v>35972261</v>
      </c>
      <c r="R2898" s="574">
        <f t="shared" si="365"/>
        <v>69550507</v>
      </c>
      <c r="S2898" s="275">
        <f t="shared" si="366"/>
        <v>72863123</v>
      </c>
      <c r="T2898" s="575"/>
      <c r="U2898" s="487"/>
      <c r="V2898" s="576"/>
      <c r="W2898" s="573"/>
      <c r="X2898" s="574">
        <f t="shared" si="362"/>
        <v>0</v>
      </c>
      <c r="Y2898" s="487"/>
      <c r="Z2898" s="487"/>
      <c r="AA2898" s="276">
        <f t="shared" si="363"/>
        <v>0</v>
      </c>
      <c r="AB2898" s="573"/>
      <c r="AC2898" s="487"/>
      <c r="AD2898" s="573"/>
      <c r="AE2898" s="487"/>
      <c r="AF2898" s="577">
        <f t="shared" si="367"/>
        <v>69550507</v>
      </c>
      <c r="AG2898" s="275">
        <f t="shared" si="368"/>
        <v>72863123</v>
      </c>
    </row>
    <row r="2899" spans="1:33" ht="12" customHeight="1">
      <c r="A2899" s="614" t="s">
        <v>1275</v>
      </c>
      <c r="B2899" s="615" t="s">
        <v>1776</v>
      </c>
      <c r="C2899" s="614" t="s">
        <v>1829</v>
      </c>
      <c r="D2899" s="761">
        <v>229027</v>
      </c>
      <c r="E2899" s="625">
        <v>3</v>
      </c>
      <c r="F2899" s="573">
        <v>104432159</v>
      </c>
      <c r="G2899" s="487">
        <v>104479643</v>
      </c>
      <c r="H2899" s="573"/>
      <c r="I2899" s="487"/>
      <c r="J2899" s="573"/>
      <c r="K2899" s="487"/>
      <c r="L2899" s="573">
        <v>168972156</v>
      </c>
      <c r="M2899" s="573"/>
      <c r="N2899" s="456">
        <f t="shared" ref="N2899:N2962" si="369">SUM(L2899:M2899)</f>
        <v>168972156</v>
      </c>
      <c r="O2899" s="487">
        <v>177826998</v>
      </c>
      <c r="P2899" s="487"/>
      <c r="Q2899" s="274">
        <f t="shared" si="364"/>
        <v>177826998</v>
      </c>
      <c r="R2899" s="574">
        <f t="shared" si="365"/>
        <v>273404315</v>
      </c>
      <c r="S2899" s="275">
        <f t="shared" si="366"/>
        <v>282306641</v>
      </c>
      <c r="T2899" s="575"/>
      <c r="U2899" s="487"/>
      <c r="V2899" s="576"/>
      <c r="W2899" s="573"/>
      <c r="X2899" s="574">
        <f t="shared" ref="X2899:X2962" si="370">SUM(V2899:W2899)</f>
        <v>0</v>
      </c>
      <c r="Y2899" s="487"/>
      <c r="Z2899" s="487"/>
      <c r="AA2899" s="276">
        <f t="shared" ref="AA2899:AA2962" si="371">SUM(Y2899:Z2899)</f>
        <v>0</v>
      </c>
      <c r="AB2899" s="573"/>
      <c r="AC2899" s="487"/>
      <c r="AD2899" s="573"/>
      <c r="AE2899" s="487"/>
      <c r="AF2899" s="577">
        <f t="shared" si="367"/>
        <v>273404315</v>
      </c>
      <c r="AG2899" s="275">
        <f t="shared" si="368"/>
        <v>282306641</v>
      </c>
    </row>
    <row r="2900" spans="1:33" ht="12" customHeight="1">
      <c r="A2900" s="614" t="s">
        <v>1275</v>
      </c>
      <c r="B2900" s="615" t="s">
        <v>1776</v>
      </c>
      <c r="C2900" s="614" t="s">
        <v>1830</v>
      </c>
      <c r="D2900" s="761">
        <v>228802</v>
      </c>
      <c r="E2900" s="625">
        <v>3</v>
      </c>
      <c r="F2900" s="573">
        <v>29862044</v>
      </c>
      <c r="G2900" s="487">
        <v>29978334</v>
      </c>
      <c r="H2900" s="573"/>
      <c r="I2900" s="487"/>
      <c r="J2900" s="573"/>
      <c r="K2900" s="487"/>
      <c r="L2900" s="573">
        <v>25306545</v>
      </c>
      <c r="M2900" s="573">
        <v>60128</v>
      </c>
      <c r="N2900" s="456">
        <f t="shared" si="369"/>
        <v>25366673</v>
      </c>
      <c r="O2900" s="487">
        <v>27076580</v>
      </c>
      <c r="P2900" s="487">
        <v>60128</v>
      </c>
      <c r="Q2900" s="274">
        <f t="shared" si="364"/>
        <v>27136708</v>
      </c>
      <c r="R2900" s="574">
        <f t="shared" si="365"/>
        <v>55168589</v>
      </c>
      <c r="S2900" s="275">
        <f t="shared" si="366"/>
        <v>57054914</v>
      </c>
      <c r="T2900" s="575"/>
      <c r="U2900" s="487"/>
      <c r="V2900" s="576"/>
      <c r="W2900" s="573"/>
      <c r="X2900" s="574">
        <f t="shared" si="370"/>
        <v>0</v>
      </c>
      <c r="Y2900" s="487"/>
      <c r="Z2900" s="487"/>
      <c r="AA2900" s="276">
        <f t="shared" si="371"/>
        <v>0</v>
      </c>
      <c r="AB2900" s="573"/>
      <c r="AC2900" s="487"/>
      <c r="AD2900" s="573"/>
      <c r="AE2900" s="487"/>
      <c r="AF2900" s="577">
        <f t="shared" si="367"/>
        <v>55168589</v>
      </c>
      <c r="AG2900" s="275">
        <f t="shared" si="368"/>
        <v>57054914</v>
      </c>
    </row>
    <row r="2901" spans="1:33" ht="12" customHeight="1">
      <c r="A2901" s="614" t="s">
        <v>1275</v>
      </c>
      <c r="B2901" s="615" t="s">
        <v>1776</v>
      </c>
      <c r="C2901" s="614" t="s">
        <v>1831</v>
      </c>
      <c r="D2901" s="761">
        <v>227368</v>
      </c>
      <c r="E2901" s="625">
        <v>3</v>
      </c>
      <c r="F2901" s="573">
        <v>74987731</v>
      </c>
      <c r="G2901" s="487">
        <v>75337342</v>
      </c>
      <c r="H2901" s="573"/>
      <c r="I2901" s="487"/>
      <c r="J2901" s="573"/>
      <c r="K2901" s="487"/>
      <c r="L2901" s="573">
        <v>63090992</v>
      </c>
      <c r="M2901" s="573"/>
      <c r="N2901" s="456">
        <f t="shared" si="369"/>
        <v>63090992</v>
      </c>
      <c r="O2901" s="487">
        <v>70744430</v>
      </c>
      <c r="P2901" s="487"/>
      <c r="Q2901" s="274">
        <f t="shared" si="364"/>
        <v>70744430</v>
      </c>
      <c r="R2901" s="574">
        <f t="shared" si="365"/>
        <v>138078723</v>
      </c>
      <c r="S2901" s="275">
        <f t="shared" si="366"/>
        <v>146081772</v>
      </c>
      <c r="T2901" s="575"/>
      <c r="U2901" s="487"/>
      <c r="V2901" s="576"/>
      <c r="W2901" s="573"/>
      <c r="X2901" s="574">
        <f t="shared" si="370"/>
        <v>0</v>
      </c>
      <c r="Y2901" s="487"/>
      <c r="Z2901" s="487"/>
      <c r="AA2901" s="276">
        <f t="shared" si="371"/>
        <v>0</v>
      </c>
      <c r="AB2901" s="573"/>
      <c r="AC2901" s="487"/>
      <c r="AD2901" s="573"/>
      <c r="AE2901" s="487"/>
      <c r="AF2901" s="577">
        <f t="shared" si="367"/>
        <v>138078723</v>
      </c>
      <c r="AG2901" s="275">
        <f t="shared" si="368"/>
        <v>146081772</v>
      </c>
    </row>
    <row r="2902" spans="1:33" ht="12" customHeight="1">
      <c r="A2902" s="614" t="s">
        <v>1275</v>
      </c>
      <c r="B2902" s="615" t="s">
        <v>1776</v>
      </c>
      <c r="C2902" s="614" t="s">
        <v>1832</v>
      </c>
      <c r="D2902" s="761">
        <v>229814</v>
      </c>
      <c r="E2902" s="625">
        <v>3</v>
      </c>
      <c r="F2902" s="573">
        <v>36167511</v>
      </c>
      <c r="G2902" s="487">
        <v>36282139</v>
      </c>
      <c r="H2902" s="573"/>
      <c r="I2902" s="487"/>
      <c r="J2902" s="573"/>
      <c r="K2902" s="487"/>
      <c r="L2902" s="573">
        <v>27116657</v>
      </c>
      <c r="M2902" s="573">
        <v>93615</v>
      </c>
      <c r="N2902" s="456">
        <f t="shared" si="369"/>
        <v>27210272</v>
      </c>
      <c r="O2902" s="487">
        <v>35736558</v>
      </c>
      <c r="P2902" s="487">
        <v>93615</v>
      </c>
      <c r="Q2902" s="274">
        <f t="shared" si="364"/>
        <v>35830173</v>
      </c>
      <c r="R2902" s="574">
        <f t="shared" si="365"/>
        <v>63284168</v>
      </c>
      <c r="S2902" s="275">
        <f t="shared" si="366"/>
        <v>72018697</v>
      </c>
      <c r="T2902" s="575"/>
      <c r="U2902" s="487"/>
      <c r="V2902" s="576"/>
      <c r="W2902" s="573"/>
      <c r="X2902" s="574">
        <f t="shared" si="370"/>
        <v>0</v>
      </c>
      <c r="Y2902" s="487"/>
      <c r="Z2902" s="487"/>
      <c r="AA2902" s="276">
        <f t="shared" si="371"/>
        <v>0</v>
      </c>
      <c r="AB2902" s="573"/>
      <c r="AC2902" s="487"/>
      <c r="AD2902" s="573"/>
      <c r="AE2902" s="487"/>
      <c r="AF2902" s="577">
        <f t="shared" si="367"/>
        <v>63284168</v>
      </c>
      <c r="AG2902" s="275">
        <f t="shared" si="368"/>
        <v>72018697</v>
      </c>
    </row>
    <row r="2903" spans="1:33" ht="12" customHeight="1">
      <c r="A2903" s="614" t="s">
        <v>1275</v>
      </c>
      <c r="B2903" s="615" t="s">
        <v>1776</v>
      </c>
      <c r="C2903" s="614" t="s">
        <v>1833</v>
      </c>
      <c r="D2903" s="761">
        <v>226152</v>
      </c>
      <c r="E2903" s="625">
        <v>4</v>
      </c>
      <c r="F2903" s="573">
        <v>29211476</v>
      </c>
      <c r="G2903" s="487">
        <v>29301004</v>
      </c>
      <c r="H2903" s="573"/>
      <c r="I2903" s="487"/>
      <c r="J2903" s="573"/>
      <c r="K2903" s="487"/>
      <c r="L2903" s="573">
        <v>15166775</v>
      </c>
      <c r="M2903" s="573"/>
      <c r="N2903" s="456">
        <f t="shared" si="369"/>
        <v>15166775</v>
      </c>
      <c r="O2903" s="487">
        <v>19734784</v>
      </c>
      <c r="P2903" s="487"/>
      <c r="Q2903" s="274">
        <f t="shared" si="364"/>
        <v>19734784</v>
      </c>
      <c r="R2903" s="574">
        <f t="shared" si="365"/>
        <v>44378251</v>
      </c>
      <c r="S2903" s="275">
        <f t="shared" si="366"/>
        <v>49035788</v>
      </c>
      <c r="T2903" s="575"/>
      <c r="U2903" s="487"/>
      <c r="V2903" s="576"/>
      <c r="W2903" s="573"/>
      <c r="X2903" s="574">
        <f t="shared" si="370"/>
        <v>0</v>
      </c>
      <c r="Y2903" s="487"/>
      <c r="Z2903" s="487"/>
      <c r="AA2903" s="276">
        <f t="shared" si="371"/>
        <v>0</v>
      </c>
      <c r="AB2903" s="573"/>
      <c r="AC2903" s="487"/>
      <c r="AD2903" s="573"/>
      <c r="AE2903" s="487"/>
      <c r="AF2903" s="577">
        <f t="shared" si="367"/>
        <v>44378251</v>
      </c>
      <c r="AG2903" s="275">
        <f t="shared" si="368"/>
        <v>49035788</v>
      </c>
    </row>
    <row r="2904" spans="1:33" ht="12" customHeight="1">
      <c r="A2904" s="614" t="s">
        <v>1275</v>
      </c>
      <c r="B2904" s="615" t="s">
        <v>1776</v>
      </c>
      <c r="C2904" s="614" t="s">
        <v>1834</v>
      </c>
      <c r="D2904" s="761">
        <v>224545</v>
      </c>
      <c r="E2904" s="625">
        <v>4</v>
      </c>
      <c r="F2904" s="573">
        <v>10973848</v>
      </c>
      <c r="G2904" s="487">
        <v>11007261</v>
      </c>
      <c r="H2904" s="573"/>
      <c r="I2904" s="487"/>
      <c r="J2904" s="573"/>
      <c r="K2904" s="487"/>
      <c r="L2904" s="573">
        <v>4058273</v>
      </c>
      <c r="M2904" s="573"/>
      <c r="N2904" s="456">
        <f t="shared" si="369"/>
        <v>4058273</v>
      </c>
      <c r="O2904" s="487">
        <v>6386119</v>
      </c>
      <c r="P2904" s="487"/>
      <c r="Q2904" s="274">
        <f t="shared" si="364"/>
        <v>6386119</v>
      </c>
      <c r="R2904" s="574">
        <f t="shared" si="365"/>
        <v>15032121</v>
      </c>
      <c r="S2904" s="275">
        <f t="shared" si="366"/>
        <v>17393380</v>
      </c>
      <c r="T2904" s="575"/>
      <c r="U2904" s="487"/>
      <c r="V2904" s="576"/>
      <c r="W2904" s="573"/>
      <c r="X2904" s="574">
        <f t="shared" si="370"/>
        <v>0</v>
      </c>
      <c r="Y2904" s="487"/>
      <c r="Z2904" s="487"/>
      <c r="AA2904" s="276">
        <f t="shared" si="371"/>
        <v>0</v>
      </c>
      <c r="AB2904" s="573"/>
      <c r="AC2904" s="487"/>
      <c r="AD2904" s="573"/>
      <c r="AE2904" s="487"/>
      <c r="AF2904" s="577">
        <f t="shared" si="367"/>
        <v>15032121</v>
      </c>
      <c r="AG2904" s="275">
        <f t="shared" si="368"/>
        <v>17393380</v>
      </c>
    </row>
    <row r="2905" spans="1:33" ht="12" customHeight="1">
      <c r="A2905" s="614" t="s">
        <v>1275</v>
      </c>
      <c r="B2905" s="615" t="s">
        <v>1776</v>
      </c>
      <c r="C2905" s="614" t="s">
        <v>1440</v>
      </c>
      <c r="D2905" s="761">
        <v>227377</v>
      </c>
      <c r="E2905" s="625">
        <v>4</v>
      </c>
      <c r="F2905" s="573">
        <v>29583666</v>
      </c>
      <c r="G2905" s="487">
        <v>29621916</v>
      </c>
      <c r="H2905" s="573"/>
      <c r="I2905" s="487"/>
      <c r="J2905" s="573"/>
      <c r="K2905" s="487"/>
      <c r="L2905" s="573">
        <v>13887458</v>
      </c>
      <c r="M2905" s="573"/>
      <c r="N2905" s="456">
        <f t="shared" si="369"/>
        <v>13887458</v>
      </c>
      <c r="O2905" s="487">
        <v>17592697</v>
      </c>
      <c r="P2905" s="487"/>
      <c r="Q2905" s="274">
        <f t="shared" si="364"/>
        <v>17592697</v>
      </c>
      <c r="R2905" s="574">
        <f t="shared" si="365"/>
        <v>43471124</v>
      </c>
      <c r="S2905" s="275">
        <f t="shared" si="366"/>
        <v>47214613</v>
      </c>
      <c r="T2905" s="575"/>
      <c r="U2905" s="487"/>
      <c r="V2905" s="576"/>
      <c r="W2905" s="573"/>
      <c r="X2905" s="574">
        <f t="shared" si="370"/>
        <v>0</v>
      </c>
      <c r="Y2905" s="487"/>
      <c r="Z2905" s="487"/>
      <c r="AA2905" s="276">
        <f t="shared" si="371"/>
        <v>0</v>
      </c>
      <c r="AB2905" s="573"/>
      <c r="AC2905" s="487"/>
      <c r="AD2905" s="573"/>
      <c r="AE2905" s="487"/>
      <c r="AF2905" s="577">
        <f t="shared" si="367"/>
        <v>43471124</v>
      </c>
      <c r="AG2905" s="275">
        <f t="shared" si="368"/>
        <v>47214613</v>
      </c>
    </row>
    <row r="2906" spans="1:33" ht="12" customHeight="1">
      <c r="A2906" s="614" t="s">
        <v>1275</v>
      </c>
      <c r="B2906" s="615" t="s">
        <v>1776</v>
      </c>
      <c r="C2906" s="614" t="s">
        <v>1441</v>
      </c>
      <c r="D2906" s="761">
        <v>229018</v>
      </c>
      <c r="E2906" s="625">
        <v>4</v>
      </c>
      <c r="F2906" s="573">
        <v>21256576</v>
      </c>
      <c r="G2906" s="487">
        <v>21438596</v>
      </c>
      <c r="H2906" s="573"/>
      <c r="I2906" s="487"/>
      <c r="J2906" s="573"/>
      <c r="K2906" s="487"/>
      <c r="L2906" s="573">
        <v>11029254</v>
      </c>
      <c r="M2906" s="573">
        <v>34143</v>
      </c>
      <c r="N2906" s="456">
        <f t="shared" si="369"/>
        <v>11063397</v>
      </c>
      <c r="O2906" s="487">
        <v>13927741</v>
      </c>
      <c r="P2906" s="487">
        <v>34143</v>
      </c>
      <c r="Q2906" s="274">
        <f t="shared" si="364"/>
        <v>13961884</v>
      </c>
      <c r="R2906" s="574">
        <f t="shared" si="365"/>
        <v>32285830</v>
      </c>
      <c r="S2906" s="275">
        <f t="shared" si="366"/>
        <v>35366337</v>
      </c>
      <c r="T2906" s="575"/>
      <c r="U2906" s="487"/>
      <c r="V2906" s="576"/>
      <c r="W2906" s="573"/>
      <c r="X2906" s="574">
        <f t="shared" si="370"/>
        <v>0</v>
      </c>
      <c r="Y2906" s="487"/>
      <c r="Z2906" s="487"/>
      <c r="AA2906" s="276">
        <f t="shared" si="371"/>
        <v>0</v>
      </c>
      <c r="AB2906" s="573"/>
      <c r="AC2906" s="487"/>
      <c r="AD2906" s="573"/>
      <c r="AE2906" s="487"/>
      <c r="AF2906" s="577">
        <f t="shared" si="367"/>
        <v>32285830</v>
      </c>
      <c r="AG2906" s="275">
        <f t="shared" si="368"/>
        <v>35366337</v>
      </c>
    </row>
    <row r="2907" spans="1:33" ht="12" customHeight="1">
      <c r="A2907" s="614" t="s">
        <v>1275</v>
      </c>
      <c r="B2907" s="615" t="s">
        <v>1776</v>
      </c>
      <c r="C2907" s="614" t="s">
        <v>1442</v>
      </c>
      <c r="D2907" s="761">
        <v>227924</v>
      </c>
      <c r="E2907" s="625">
        <v>5</v>
      </c>
      <c r="F2907" s="573">
        <v>6082506</v>
      </c>
      <c r="G2907" s="487">
        <v>6089836</v>
      </c>
      <c r="H2907" s="573"/>
      <c r="I2907" s="487"/>
      <c r="J2907" s="573"/>
      <c r="K2907" s="487"/>
      <c r="L2907" s="573"/>
      <c r="M2907" s="573"/>
      <c r="N2907" s="456">
        <f t="shared" si="369"/>
        <v>0</v>
      </c>
      <c r="O2907" s="487"/>
      <c r="P2907" s="487"/>
      <c r="Q2907" s="274">
        <f t="shared" si="364"/>
        <v>0</v>
      </c>
      <c r="R2907" s="574">
        <f t="shared" si="365"/>
        <v>6082506</v>
      </c>
      <c r="S2907" s="275">
        <f t="shared" si="366"/>
        <v>6089836</v>
      </c>
      <c r="T2907" s="575"/>
      <c r="U2907" s="487"/>
      <c r="V2907" s="576"/>
      <c r="W2907" s="573"/>
      <c r="X2907" s="574">
        <f t="shared" si="370"/>
        <v>0</v>
      </c>
      <c r="Y2907" s="487"/>
      <c r="Z2907" s="487"/>
      <c r="AA2907" s="276">
        <f t="shared" si="371"/>
        <v>0</v>
      </c>
      <c r="AB2907" s="573"/>
      <c r="AC2907" s="487"/>
      <c r="AD2907" s="573"/>
      <c r="AE2907" s="487"/>
      <c r="AF2907" s="577">
        <f t="shared" si="367"/>
        <v>6082506</v>
      </c>
      <c r="AG2907" s="275">
        <f t="shared" si="368"/>
        <v>6089836</v>
      </c>
    </row>
    <row r="2908" spans="1:33" ht="12" customHeight="1">
      <c r="A2908" s="614" t="s">
        <v>1275</v>
      </c>
      <c r="B2908" s="615" t="s">
        <v>1776</v>
      </c>
      <c r="C2908" s="614" t="s">
        <v>1443</v>
      </c>
      <c r="D2908" s="761">
        <v>225432</v>
      </c>
      <c r="E2908" s="625">
        <v>5</v>
      </c>
      <c r="F2908" s="573">
        <v>33546598</v>
      </c>
      <c r="G2908" s="487">
        <v>33673531</v>
      </c>
      <c r="H2908" s="573"/>
      <c r="I2908" s="487"/>
      <c r="J2908" s="573"/>
      <c r="K2908" s="487"/>
      <c r="L2908" s="573">
        <v>40127656</v>
      </c>
      <c r="M2908" s="573">
        <v>151135</v>
      </c>
      <c r="N2908" s="456">
        <f t="shared" si="369"/>
        <v>40278791</v>
      </c>
      <c r="O2908" s="487">
        <v>46023052</v>
      </c>
      <c r="P2908" s="487">
        <v>151135</v>
      </c>
      <c r="Q2908" s="274">
        <f t="shared" si="364"/>
        <v>46174187</v>
      </c>
      <c r="R2908" s="574">
        <f t="shared" si="365"/>
        <v>73674254</v>
      </c>
      <c r="S2908" s="275">
        <f t="shared" si="366"/>
        <v>79696583</v>
      </c>
      <c r="T2908" s="575"/>
      <c r="U2908" s="487"/>
      <c r="V2908" s="576"/>
      <c r="W2908" s="573"/>
      <c r="X2908" s="574">
        <f t="shared" si="370"/>
        <v>0</v>
      </c>
      <c r="Y2908" s="487"/>
      <c r="Z2908" s="487"/>
      <c r="AA2908" s="276">
        <f t="shared" si="371"/>
        <v>0</v>
      </c>
      <c r="AB2908" s="573"/>
      <c r="AC2908" s="487"/>
      <c r="AD2908" s="573"/>
      <c r="AE2908" s="487"/>
      <c r="AF2908" s="577">
        <f t="shared" si="367"/>
        <v>73674254</v>
      </c>
      <c r="AG2908" s="275">
        <f t="shared" si="368"/>
        <v>79696583</v>
      </c>
    </row>
    <row r="2909" spans="1:33" ht="12" customHeight="1">
      <c r="A2909" s="614" t="s">
        <v>1275</v>
      </c>
      <c r="B2909" s="615" t="s">
        <v>1776</v>
      </c>
      <c r="C2909" s="614" t="s">
        <v>1444</v>
      </c>
      <c r="D2909" s="761">
        <v>225502</v>
      </c>
      <c r="E2909" s="625">
        <v>5</v>
      </c>
      <c r="F2909" s="573">
        <v>15845278</v>
      </c>
      <c r="G2909" s="487">
        <v>15913808</v>
      </c>
      <c r="H2909" s="573"/>
      <c r="I2909" s="487"/>
      <c r="J2909" s="573"/>
      <c r="K2909" s="487"/>
      <c r="L2909" s="573">
        <v>9487331</v>
      </c>
      <c r="M2909" s="573">
        <v>35850</v>
      </c>
      <c r="N2909" s="456">
        <f t="shared" si="369"/>
        <v>9523181</v>
      </c>
      <c r="O2909" s="487">
        <v>11052631</v>
      </c>
      <c r="P2909" s="487">
        <v>35850</v>
      </c>
      <c r="Q2909" s="274">
        <f t="shared" si="364"/>
        <v>11088481</v>
      </c>
      <c r="R2909" s="574">
        <f t="shared" si="365"/>
        <v>25332609</v>
      </c>
      <c r="S2909" s="275">
        <f t="shared" si="366"/>
        <v>26966439</v>
      </c>
      <c r="T2909" s="575"/>
      <c r="U2909" s="487"/>
      <c r="V2909" s="576"/>
      <c r="W2909" s="573"/>
      <c r="X2909" s="574">
        <f t="shared" si="370"/>
        <v>0</v>
      </c>
      <c r="Y2909" s="487"/>
      <c r="Z2909" s="487"/>
      <c r="AA2909" s="276">
        <f t="shared" si="371"/>
        <v>0</v>
      </c>
      <c r="AB2909" s="573"/>
      <c r="AC2909" s="487"/>
      <c r="AD2909" s="573"/>
      <c r="AE2909" s="487"/>
      <c r="AF2909" s="577">
        <f t="shared" si="367"/>
        <v>25332609</v>
      </c>
      <c r="AG2909" s="275">
        <f t="shared" si="368"/>
        <v>26966439</v>
      </c>
    </row>
    <row r="2910" spans="1:33" ht="12" customHeight="1">
      <c r="A2910" s="614" t="s">
        <v>1275</v>
      </c>
      <c r="B2910" s="615" t="s">
        <v>1776</v>
      </c>
      <c r="C2910" s="614" t="s">
        <v>1445</v>
      </c>
      <c r="D2910" s="761">
        <v>228714</v>
      </c>
      <c r="E2910" s="625">
        <v>6</v>
      </c>
      <c r="F2910" s="573">
        <v>14715682</v>
      </c>
      <c r="G2910" s="487">
        <v>14766193</v>
      </c>
      <c r="H2910" s="573"/>
      <c r="I2910" s="487"/>
      <c r="J2910" s="573"/>
      <c r="K2910" s="487"/>
      <c r="L2910" s="573">
        <v>10524189</v>
      </c>
      <c r="M2910" s="573"/>
      <c r="N2910" s="456">
        <f t="shared" si="369"/>
        <v>10524189</v>
      </c>
      <c r="O2910" s="487">
        <v>11828777</v>
      </c>
      <c r="P2910" s="487"/>
      <c r="Q2910" s="274">
        <f t="shared" si="364"/>
        <v>11828777</v>
      </c>
      <c r="R2910" s="574">
        <f t="shared" si="365"/>
        <v>25239871</v>
      </c>
      <c r="S2910" s="275">
        <f t="shared" si="366"/>
        <v>26594970</v>
      </c>
      <c r="T2910" s="575"/>
      <c r="U2910" s="487"/>
      <c r="V2910" s="576"/>
      <c r="W2910" s="573"/>
      <c r="X2910" s="574">
        <f t="shared" si="370"/>
        <v>0</v>
      </c>
      <c r="Y2910" s="487"/>
      <c r="Z2910" s="487"/>
      <c r="AA2910" s="276">
        <f t="shared" si="371"/>
        <v>0</v>
      </c>
      <c r="AB2910" s="573"/>
      <c r="AC2910" s="487"/>
      <c r="AD2910" s="573"/>
      <c r="AE2910" s="487"/>
      <c r="AF2910" s="577">
        <f t="shared" si="367"/>
        <v>25239871</v>
      </c>
      <c r="AG2910" s="275">
        <f t="shared" si="368"/>
        <v>26594970</v>
      </c>
    </row>
    <row r="2911" spans="1:33" ht="12" customHeight="1">
      <c r="A2911" s="614" t="s">
        <v>1275</v>
      </c>
      <c r="B2911" s="615" t="s">
        <v>1776</v>
      </c>
      <c r="C2911" s="614" t="s">
        <v>1446</v>
      </c>
      <c r="D2911" s="761">
        <v>222576</v>
      </c>
      <c r="E2911" s="625">
        <v>8</v>
      </c>
      <c r="F2911" s="573">
        <v>24862705</v>
      </c>
      <c r="G2911" s="487">
        <v>19128843</v>
      </c>
      <c r="H2911" s="573"/>
      <c r="I2911" s="487"/>
      <c r="J2911" s="573">
        <v>11485080</v>
      </c>
      <c r="K2911" s="487">
        <v>14931279</v>
      </c>
      <c r="L2911" s="573">
        <v>13994432</v>
      </c>
      <c r="M2911" s="573"/>
      <c r="N2911" s="456">
        <f t="shared" si="369"/>
        <v>13994432</v>
      </c>
      <c r="O2911" s="487">
        <v>14741031</v>
      </c>
      <c r="P2911" s="487"/>
      <c r="Q2911" s="274">
        <f t="shared" si="364"/>
        <v>14741031</v>
      </c>
      <c r="R2911" s="574">
        <f t="shared" si="365"/>
        <v>50342217</v>
      </c>
      <c r="S2911" s="275">
        <f t="shared" si="366"/>
        <v>48801153</v>
      </c>
      <c r="T2911" s="575"/>
      <c r="U2911" s="487"/>
      <c r="V2911" s="576"/>
      <c r="W2911" s="573"/>
      <c r="X2911" s="574">
        <f t="shared" si="370"/>
        <v>0</v>
      </c>
      <c r="Y2911" s="487"/>
      <c r="Z2911" s="487"/>
      <c r="AA2911" s="276">
        <f t="shared" si="371"/>
        <v>0</v>
      </c>
      <c r="AB2911" s="573"/>
      <c r="AC2911" s="487"/>
      <c r="AD2911" s="573"/>
      <c r="AE2911" s="487"/>
      <c r="AF2911" s="577">
        <f t="shared" si="367"/>
        <v>50342217</v>
      </c>
      <c r="AG2911" s="275">
        <f t="shared" si="368"/>
        <v>48801153</v>
      </c>
    </row>
    <row r="2912" spans="1:33" ht="12" customHeight="1">
      <c r="A2912" s="614" t="s">
        <v>1275</v>
      </c>
      <c r="B2912" s="615" t="s">
        <v>1776</v>
      </c>
      <c r="C2912" s="614" t="s">
        <v>1447</v>
      </c>
      <c r="D2912" s="761">
        <v>222992</v>
      </c>
      <c r="E2912" s="625">
        <v>8</v>
      </c>
      <c r="F2912" s="573">
        <v>61176665</v>
      </c>
      <c r="G2912" s="487">
        <v>48145986</v>
      </c>
      <c r="H2912" s="573"/>
      <c r="I2912" s="487"/>
      <c r="J2912" s="573">
        <v>70917256</v>
      </c>
      <c r="K2912" s="487">
        <v>80205754</v>
      </c>
      <c r="L2912" s="573">
        <v>53270389</v>
      </c>
      <c r="M2912" s="573"/>
      <c r="N2912" s="456">
        <f t="shared" si="369"/>
        <v>53270389</v>
      </c>
      <c r="O2912" s="487">
        <v>58331533</v>
      </c>
      <c r="P2912" s="487"/>
      <c r="Q2912" s="274">
        <f t="shared" si="364"/>
        <v>58331533</v>
      </c>
      <c r="R2912" s="574">
        <f t="shared" si="365"/>
        <v>185364310</v>
      </c>
      <c r="S2912" s="275">
        <f t="shared" si="366"/>
        <v>186683273</v>
      </c>
      <c r="T2912" s="575"/>
      <c r="U2912" s="487"/>
      <c r="V2912" s="576"/>
      <c r="W2912" s="573"/>
      <c r="X2912" s="574">
        <f t="shared" si="370"/>
        <v>0</v>
      </c>
      <c r="Y2912" s="487"/>
      <c r="Z2912" s="487"/>
      <c r="AA2912" s="276">
        <f t="shared" si="371"/>
        <v>0</v>
      </c>
      <c r="AB2912" s="573"/>
      <c r="AC2912" s="487"/>
      <c r="AD2912" s="573"/>
      <c r="AE2912" s="487"/>
      <c r="AF2912" s="577">
        <f t="shared" si="367"/>
        <v>185364310</v>
      </c>
      <c r="AG2912" s="275">
        <f t="shared" si="368"/>
        <v>186683273</v>
      </c>
    </row>
    <row r="2913" spans="1:33" ht="12" customHeight="1">
      <c r="A2913" s="614" t="s">
        <v>1275</v>
      </c>
      <c r="B2913" s="615" t="s">
        <v>1776</v>
      </c>
      <c r="C2913" s="614" t="s">
        <v>1448</v>
      </c>
      <c r="D2913" s="761">
        <v>223427</v>
      </c>
      <c r="E2913" s="625">
        <v>8</v>
      </c>
      <c r="F2913" s="573">
        <v>27622423</v>
      </c>
      <c r="G2913" s="487">
        <v>22747025</v>
      </c>
      <c r="H2913" s="573"/>
      <c r="I2913" s="487"/>
      <c r="J2913" s="573">
        <v>1134627</v>
      </c>
      <c r="K2913" s="487">
        <v>1238975</v>
      </c>
      <c r="L2913" s="573">
        <v>28898314</v>
      </c>
      <c r="M2913" s="573"/>
      <c r="N2913" s="456">
        <f t="shared" si="369"/>
        <v>28898314</v>
      </c>
      <c r="O2913" s="487">
        <v>31963958</v>
      </c>
      <c r="P2913" s="487"/>
      <c r="Q2913" s="274">
        <f t="shared" si="364"/>
        <v>31963958</v>
      </c>
      <c r="R2913" s="574">
        <f t="shared" si="365"/>
        <v>57655364</v>
      </c>
      <c r="S2913" s="275">
        <f t="shared" si="366"/>
        <v>55949958</v>
      </c>
      <c r="T2913" s="575"/>
      <c r="U2913" s="487"/>
      <c r="V2913" s="576"/>
      <c r="W2913" s="573"/>
      <c r="X2913" s="574">
        <f t="shared" si="370"/>
        <v>0</v>
      </c>
      <c r="Y2913" s="487"/>
      <c r="Z2913" s="487"/>
      <c r="AA2913" s="276">
        <f t="shared" si="371"/>
        <v>0</v>
      </c>
      <c r="AB2913" s="573"/>
      <c r="AC2913" s="487"/>
      <c r="AD2913" s="573"/>
      <c r="AE2913" s="487"/>
      <c r="AF2913" s="577">
        <f t="shared" si="367"/>
        <v>57655364</v>
      </c>
      <c r="AG2913" s="275">
        <f t="shared" si="368"/>
        <v>55949958</v>
      </c>
    </row>
    <row r="2914" spans="1:33" ht="12" customHeight="1">
      <c r="A2914" s="614" t="s">
        <v>1275</v>
      </c>
      <c r="B2914" s="615" t="s">
        <v>1776</v>
      </c>
      <c r="C2914" s="614" t="s">
        <v>1449</v>
      </c>
      <c r="D2914" s="761">
        <v>223524</v>
      </c>
      <c r="E2914" s="625">
        <v>8</v>
      </c>
      <c r="F2914" s="573"/>
      <c r="G2914" s="487"/>
      <c r="H2914" s="573"/>
      <c r="I2914" s="487"/>
      <c r="J2914" s="573"/>
      <c r="K2914" s="487"/>
      <c r="L2914" s="573"/>
      <c r="M2914" s="573"/>
      <c r="N2914" s="456">
        <f t="shared" si="369"/>
        <v>0</v>
      </c>
      <c r="O2914" s="487"/>
      <c r="P2914" s="487"/>
      <c r="Q2914" s="274">
        <f t="shared" si="364"/>
        <v>0</v>
      </c>
      <c r="R2914" s="574">
        <f t="shared" si="365"/>
        <v>0</v>
      </c>
      <c r="S2914" s="275">
        <f t="shared" si="366"/>
        <v>0</v>
      </c>
      <c r="T2914" s="575"/>
      <c r="U2914" s="487"/>
      <c r="V2914" s="576"/>
      <c r="W2914" s="573"/>
      <c r="X2914" s="574">
        <f t="shared" si="370"/>
        <v>0</v>
      </c>
      <c r="Y2914" s="487"/>
      <c r="Z2914" s="487"/>
      <c r="AA2914" s="276">
        <f t="shared" si="371"/>
        <v>0</v>
      </c>
      <c r="AB2914" s="573"/>
      <c r="AC2914" s="487"/>
      <c r="AD2914" s="573"/>
      <c r="AE2914" s="487"/>
      <c r="AF2914" s="577">
        <f t="shared" si="367"/>
        <v>0</v>
      </c>
      <c r="AG2914" s="275">
        <f t="shared" si="368"/>
        <v>0</v>
      </c>
    </row>
    <row r="2915" spans="1:33" ht="12" customHeight="1">
      <c r="A2915" s="614" t="s">
        <v>1275</v>
      </c>
      <c r="B2915" s="615" t="s">
        <v>1776</v>
      </c>
      <c r="C2915" s="614" t="s">
        <v>1450</v>
      </c>
      <c r="D2915" s="761">
        <v>223816</v>
      </c>
      <c r="E2915" s="625">
        <v>8</v>
      </c>
      <c r="F2915" s="573">
        <v>30229393</v>
      </c>
      <c r="G2915" s="487">
        <v>23755710</v>
      </c>
      <c r="H2915" s="573"/>
      <c r="I2915" s="487"/>
      <c r="J2915" s="573">
        <v>8515023</v>
      </c>
      <c r="K2915" s="487">
        <v>9690551</v>
      </c>
      <c r="L2915" s="573">
        <v>37181122</v>
      </c>
      <c r="M2915" s="573"/>
      <c r="N2915" s="456">
        <f t="shared" si="369"/>
        <v>37181122</v>
      </c>
      <c r="O2915" s="487">
        <v>41557734</v>
      </c>
      <c r="P2915" s="487"/>
      <c r="Q2915" s="274">
        <f t="shared" si="364"/>
        <v>41557734</v>
      </c>
      <c r="R2915" s="574">
        <f t="shared" si="365"/>
        <v>75925538</v>
      </c>
      <c r="S2915" s="275">
        <f t="shared" si="366"/>
        <v>75003995</v>
      </c>
      <c r="T2915" s="575"/>
      <c r="U2915" s="487"/>
      <c r="V2915" s="576"/>
      <c r="W2915" s="573"/>
      <c r="X2915" s="574">
        <f t="shared" si="370"/>
        <v>0</v>
      </c>
      <c r="Y2915" s="487"/>
      <c r="Z2915" s="487"/>
      <c r="AA2915" s="276">
        <f t="shared" si="371"/>
        <v>0</v>
      </c>
      <c r="AB2915" s="573"/>
      <c r="AC2915" s="487"/>
      <c r="AD2915" s="573"/>
      <c r="AE2915" s="487"/>
      <c r="AF2915" s="577">
        <f t="shared" si="367"/>
        <v>75925538</v>
      </c>
      <c r="AG2915" s="275">
        <f t="shared" si="368"/>
        <v>75003995</v>
      </c>
    </row>
    <row r="2916" spans="1:33" ht="12" customHeight="1">
      <c r="A2916" s="614" t="s">
        <v>1275</v>
      </c>
      <c r="B2916" s="615" t="s">
        <v>1776</v>
      </c>
      <c r="C2916" s="614" t="s">
        <v>1451</v>
      </c>
      <c r="D2916" s="761">
        <v>247834</v>
      </c>
      <c r="E2916" s="625">
        <v>8</v>
      </c>
      <c r="F2916" s="573">
        <v>37110190</v>
      </c>
      <c r="G2916" s="487">
        <v>30758667</v>
      </c>
      <c r="H2916" s="573"/>
      <c r="I2916" s="487"/>
      <c r="J2916" s="573">
        <v>55464469</v>
      </c>
      <c r="K2916" s="487">
        <v>60737538</v>
      </c>
      <c r="L2916" s="573">
        <v>20891486</v>
      </c>
      <c r="M2916" s="573"/>
      <c r="N2916" s="456">
        <f t="shared" si="369"/>
        <v>20891486</v>
      </c>
      <c r="O2916" s="487">
        <v>22228657</v>
      </c>
      <c r="P2916" s="487"/>
      <c r="Q2916" s="274">
        <f t="shared" si="364"/>
        <v>22228657</v>
      </c>
      <c r="R2916" s="574">
        <f t="shared" si="365"/>
        <v>113466145</v>
      </c>
      <c r="S2916" s="275">
        <f t="shared" si="366"/>
        <v>113724862</v>
      </c>
      <c r="T2916" s="575"/>
      <c r="U2916" s="487"/>
      <c r="V2916" s="576"/>
      <c r="W2916" s="573"/>
      <c r="X2916" s="574">
        <f t="shared" si="370"/>
        <v>0</v>
      </c>
      <c r="Y2916" s="487"/>
      <c r="Z2916" s="487"/>
      <c r="AA2916" s="276">
        <f t="shared" si="371"/>
        <v>0</v>
      </c>
      <c r="AB2916" s="573"/>
      <c r="AC2916" s="487"/>
      <c r="AD2916" s="573"/>
      <c r="AE2916" s="487"/>
      <c r="AF2916" s="577">
        <f t="shared" si="367"/>
        <v>113466145</v>
      </c>
      <c r="AG2916" s="275">
        <f t="shared" si="368"/>
        <v>113724862</v>
      </c>
    </row>
    <row r="2917" spans="1:33" ht="12" customHeight="1">
      <c r="A2917" s="614" t="s">
        <v>1275</v>
      </c>
      <c r="B2917" s="615" t="s">
        <v>1776</v>
      </c>
      <c r="C2917" s="614" t="s">
        <v>1452</v>
      </c>
      <c r="D2917" s="761">
        <v>224350</v>
      </c>
      <c r="E2917" s="625">
        <v>8</v>
      </c>
      <c r="F2917" s="573">
        <v>27401770</v>
      </c>
      <c r="G2917" s="487">
        <v>21021053</v>
      </c>
      <c r="H2917" s="573"/>
      <c r="I2917" s="487"/>
      <c r="J2917" s="573">
        <v>26588538</v>
      </c>
      <c r="K2917" s="487">
        <v>38071782</v>
      </c>
      <c r="L2917" s="573">
        <v>21440422</v>
      </c>
      <c r="M2917" s="573"/>
      <c r="N2917" s="456">
        <f t="shared" si="369"/>
        <v>21440422</v>
      </c>
      <c r="O2917" s="487">
        <v>20478947</v>
      </c>
      <c r="P2917" s="487"/>
      <c r="Q2917" s="274">
        <f t="shared" si="364"/>
        <v>20478947</v>
      </c>
      <c r="R2917" s="574">
        <f t="shared" si="365"/>
        <v>75430730</v>
      </c>
      <c r="S2917" s="275">
        <f t="shared" si="366"/>
        <v>79571782</v>
      </c>
      <c r="T2917" s="575"/>
      <c r="U2917" s="487"/>
      <c r="V2917" s="576"/>
      <c r="W2917" s="573"/>
      <c r="X2917" s="574">
        <f t="shared" si="370"/>
        <v>0</v>
      </c>
      <c r="Y2917" s="487"/>
      <c r="Z2917" s="487"/>
      <c r="AA2917" s="276">
        <f t="shared" si="371"/>
        <v>0</v>
      </c>
      <c r="AB2917" s="573"/>
      <c r="AC2917" s="487"/>
      <c r="AD2917" s="573"/>
      <c r="AE2917" s="487"/>
      <c r="AF2917" s="577">
        <f t="shared" si="367"/>
        <v>75430730</v>
      </c>
      <c r="AG2917" s="275">
        <f t="shared" si="368"/>
        <v>79571782</v>
      </c>
    </row>
    <row r="2918" spans="1:33" ht="12" customHeight="1">
      <c r="A2918" s="614" t="s">
        <v>1275</v>
      </c>
      <c r="B2918" s="615" t="s">
        <v>1776</v>
      </c>
      <c r="C2918" s="614" t="s">
        <v>1453</v>
      </c>
      <c r="D2918" s="761">
        <v>224572</v>
      </c>
      <c r="E2918" s="625">
        <v>8</v>
      </c>
      <c r="F2918" s="573"/>
      <c r="G2918" s="487"/>
      <c r="H2918" s="573"/>
      <c r="I2918" s="487"/>
      <c r="J2918" s="573"/>
      <c r="K2918" s="487"/>
      <c r="L2918" s="573"/>
      <c r="M2918" s="573"/>
      <c r="N2918" s="456">
        <f t="shared" si="369"/>
        <v>0</v>
      </c>
      <c r="O2918" s="487"/>
      <c r="P2918" s="487"/>
      <c r="Q2918" s="274">
        <f t="shared" si="364"/>
        <v>0</v>
      </c>
      <c r="R2918" s="574">
        <f t="shared" si="365"/>
        <v>0</v>
      </c>
      <c r="S2918" s="275">
        <f t="shared" si="366"/>
        <v>0</v>
      </c>
      <c r="T2918" s="575"/>
      <c r="U2918" s="487"/>
      <c r="V2918" s="576"/>
      <c r="W2918" s="573"/>
      <c r="X2918" s="574">
        <f t="shared" si="370"/>
        <v>0</v>
      </c>
      <c r="Y2918" s="487"/>
      <c r="Z2918" s="487"/>
      <c r="AA2918" s="276">
        <f t="shared" si="371"/>
        <v>0</v>
      </c>
      <c r="AB2918" s="573"/>
      <c r="AC2918" s="487"/>
      <c r="AD2918" s="573"/>
      <c r="AE2918" s="487"/>
      <c r="AF2918" s="577">
        <f t="shared" si="367"/>
        <v>0</v>
      </c>
      <c r="AG2918" s="275">
        <f t="shared" si="368"/>
        <v>0</v>
      </c>
    </row>
    <row r="2919" spans="1:33" ht="12" customHeight="1">
      <c r="A2919" s="614" t="s">
        <v>1275</v>
      </c>
      <c r="B2919" s="615" t="s">
        <v>1776</v>
      </c>
      <c r="C2919" s="614" t="s">
        <v>1454</v>
      </c>
      <c r="D2919" s="761">
        <v>224642</v>
      </c>
      <c r="E2919" s="625">
        <v>8</v>
      </c>
      <c r="F2919" s="573">
        <v>47847032</v>
      </c>
      <c r="G2919" s="487">
        <v>37510426</v>
      </c>
      <c r="H2919" s="573"/>
      <c r="I2919" s="487"/>
      <c r="J2919" s="573">
        <v>33209749</v>
      </c>
      <c r="K2919" s="487">
        <v>34817839</v>
      </c>
      <c r="L2919" s="573">
        <v>37308407</v>
      </c>
      <c r="M2919" s="573"/>
      <c r="N2919" s="456">
        <f t="shared" si="369"/>
        <v>37308407</v>
      </c>
      <c r="O2919" s="487">
        <v>36582545</v>
      </c>
      <c r="P2919" s="487"/>
      <c r="Q2919" s="274">
        <f t="shared" si="364"/>
        <v>36582545</v>
      </c>
      <c r="R2919" s="574">
        <f t="shared" si="365"/>
        <v>118365188</v>
      </c>
      <c r="S2919" s="275">
        <f t="shared" si="366"/>
        <v>108910810</v>
      </c>
      <c r="T2919" s="575"/>
      <c r="U2919" s="487"/>
      <c r="V2919" s="576"/>
      <c r="W2919" s="573"/>
      <c r="X2919" s="574">
        <f t="shared" si="370"/>
        <v>0</v>
      </c>
      <c r="Y2919" s="487"/>
      <c r="Z2919" s="487"/>
      <c r="AA2919" s="276">
        <f t="shared" si="371"/>
        <v>0</v>
      </c>
      <c r="AB2919" s="573"/>
      <c r="AC2919" s="487"/>
      <c r="AD2919" s="573"/>
      <c r="AE2919" s="487"/>
      <c r="AF2919" s="577">
        <f t="shared" si="367"/>
        <v>118365188</v>
      </c>
      <c r="AG2919" s="275">
        <f t="shared" si="368"/>
        <v>108910810</v>
      </c>
    </row>
    <row r="2920" spans="1:33" ht="12" customHeight="1">
      <c r="A2920" s="614" t="s">
        <v>1275</v>
      </c>
      <c r="B2920" s="615" t="s">
        <v>1776</v>
      </c>
      <c r="C2920" s="614" t="s">
        <v>522</v>
      </c>
      <c r="D2920" s="761">
        <v>225423</v>
      </c>
      <c r="E2920" s="625">
        <v>8</v>
      </c>
      <c r="F2920" s="573">
        <v>88574428</v>
      </c>
      <c r="G2920" s="487">
        <v>70961904</v>
      </c>
      <c r="H2920" s="573"/>
      <c r="I2920" s="487"/>
      <c r="J2920" s="573">
        <v>89548332</v>
      </c>
      <c r="K2920" s="487">
        <v>98018861</v>
      </c>
      <c r="L2920" s="573">
        <v>76653348</v>
      </c>
      <c r="M2920" s="573"/>
      <c r="N2920" s="456">
        <f t="shared" si="369"/>
        <v>76653348</v>
      </c>
      <c r="O2920" s="487">
        <v>83093303</v>
      </c>
      <c r="P2920" s="487"/>
      <c r="Q2920" s="274">
        <f t="shared" si="364"/>
        <v>83093303</v>
      </c>
      <c r="R2920" s="574">
        <f t="shared" si="365"/>
        <v>254776108</v>
      </c>
      <c r="S2920" s="275">
        <f t="shared" si="366"/>
        <v>252074068</v>
      </c>
      <c r="T2920" s="575"/>
      <c r="U2920" s="487"/>
      <c r="V2920" s="576"/>
      <c r="W2920" s="573"/>
      <c r="X2920" s="574">
        <f t="shared" si="370"/>
        <v>0</v>
      </c>
      <c r="Y2920" s="487"/>
      <c r="Z2920" s="487"/>
      <c r="AA2920" s="276">
        <f t="shared" si="371"/>
        <v>0</v>
      </c>
      <c r="AB2920" s="573"/>
      <c r="AC2920" s="487"/>
      <c r="AD2920" s="573"/>
      <c r="AE2920" s="487"/>
      <c r="AF2920" s="577">
        <f t="shared" si="367"/>
        <v>254776108</v>
      </c>
      <c r="AG2920" s="275">
        <f t="shared" si="368"/>
        <v>252074068</v>
      </c>
    </row>
    <row r="2921" spans="1:33" ht="12" customHeight="1">
      <c r="A2921" s="614" t="s">
        <v>1275</v>
      </c>
      <c r="B2921" s="615" t="s">
        <v>1776</v>
      </c>
      <c r="C2921" s="614" t="s">
        <v>523</v>
      </c>
      <c r="D2921" s="761">
        <v>226134</v>
      </c>
      <c r="E2921" s="625">
        <v>8</v>
      </c>
      <c r="F2921" s="573">
        <v>19358962</v>
      </c>
      <c r="G2921" s="487">
        <v>14433760</v>
      </c>
      <c r="H2921" s="573"/>
      <c r="I2921" s="487"/>
      <c r="J2921" s="573">
        <v>20260535</v>
      </c>
      <c r="K2921" s="487">
        <v>21744941</v>
      </c>
      <c r="L2921" s="573">
        <v>11087916</v>
      </c>
      <c r="M2921" s="573"/>
      <c r="N2921" s="456">
        <f t="shared" si="369"/>
        <v>11087916</v>
      </c>
      <c r="O2921" s="487">
        <v>12267250</v>
      </c>
      <c r="P2921" s="487"/>
      <c r="Q2921" s="274">
        <f t="shared" si="364"/>
        <v>12267250</v>
      </c>
      <c r="R2921" s="574">
        <f t="shared" si="365"/>
        <v>50707413</v>
      </c>
      <c r="S2921" s="275">
        <f t="shared" si="366"/>
        <v>48445951</v>
      </c>
      <c r="T2921" s="575"/>
      <c r="U2921" s="487"/>
      <c r="V2921" s="576"/>
      <c r="W2921" s="573"/>
      <c r="X2921" s="574">
        <f t="shared" si="370"/>
        <v>0</v>
      </c>
      <c r="Y2921" s="487"/>
      <c r="Z2921" s="487"/>
      <c r="AA2921" s="276">
        <f t="shared" si="371"/>
        <v>0</v>
      </c>
      <c r="AB2921" s="573"/>
      <c r="AC2921" s="487"/>
      <c r="AD2921" s="573"/>
      <c r="AE2921" s="487"/>
      <c r="AF2921" s="577">
        <f t="shared" si="367"/>
        <v>50707413</v>
      </c>
      <c r="AG2921" s="275">
        <f t="shared" si="368"/>
        <v>48445951</v>
      </c>
    </row>
    <row r="2922" spans="1:33" ht="12" customHeight="1">
      <c r="A2922" s="614" t="s">
        <v>1275</v>
      </c>
      <c r="B2922" s="615" t="s">
        <v>1776</v>
      </c>
      <c r="C2922" s="614" t="s">
        <v>524</v>
      </c>
      <c r="D2922" s="761">
        <v>226578</v>
      </c>
      <c r="E2922" s="625">
        <v>8</v>
      </c>
      <c r="F2922" s="573">
        <v>19282627</v>
      </c>
      <c r="G2922" s="487">
        <v>15181034</v>
      </c>
      <c r="H2922" s="573"/>
      <c r="I2922" s="487"/>
      <c r="J2922" s="573">
        <v>11371862</v>
      </c>
      <c r="K2922" s="487">
        <v>15292304</v>
      </c>
      <c r="L2922" s="573">
        <v>13735914</v>
      </c>
      <c r="M2922" s="573"/>
      <c r="N2922" s="456">
        <f t="shared" si="369"/>
        <v>13735914</v>
      </c>
      <c r="O2922" s="487">
        <v>14220565</v>
      </c>
      <c r="P2922" s="487"/>
      <c r="Q2922" s="274">
        <f t="shared" si="364"/>
        <v>14220565</v>
      </c>
      <c r="R2922" s="574">
        <f t="shared" si="365"/>
        <v>44390403</v>
      </c>
      <c r="S2922" s="275">
        <f t="shared" si="366"/>
        <v>44693903</v>
      </c>
      <c r="T2922" s="575"/>
      <c r="U2922" s="487"/>
      <c r="V2922" s="576"/>
      <c r="W2922" s="573"/>
      <c r="X2922" s="574">
        <f t="shared" si="370"/>
        <v>0</v>
      </c>
      <c r="Y2922" s="487"/>
      <c r="Z2922" s="487"/>
      <c r="AA2922" s="276">
        <f t="shared" si="371"/>
        <v>0</v>
      </c>
      <c r="AB2922" s="573"/>
      <c r="AC2922" s="487"/>
      <c r="AD2922" s="573"/>
      <c r="AE2922" s="487"/>
      <c r="AF2922" s="577">
        <f t="shared" si="367"/>
        <v>44390403</v>
      </c>
      <c r="AG2922" s="275">
        <f t="shared" si="368"/>
        <v>44693903</v>
      </c>
    </row>
    <row r="2923" spans="1:33" ht="12" customHeight="1">
      <c r="A2923" s="614" t="s">
        <v>1275</v>
      </c>
      <c r="B2923" s="615" t="s">
        <v>1776</v>
      </c>
      <c r="C2923" s="614" t="s">
        <v>402</v>
      </c>
      <c r="D2923" s="761">
        <v>227146</v>
      </c>
      <c r="E2923" s="625">
        <v>8</v>
      </c>
      <c r="F2923" s="573">
        <v>15644508</v>
      </c>
      <c r="G2923" s="487">
        <v>13149117</v>
      </c>
      <c r="H2923" s="573"/>
      <c r="I2923" s="487"/>
      <c r="J2923" s="573">
        <v>2709968</v>
      </c>
      <c r="K2923" s="487">
        <v>2704139</v>
      </c>
      <c r="L2923" s="573">
        <v>11130819</v>
      </c>
      <c r="M2923" s="573"/>
      <c r="N2923" s="456">
        <f t="shared" si="369"/>
        <v>11130819</v>
      </c>
      <c r="O2923" s="487">
        <v>13119855</v>
      </c>
      <c r="P2923" s="487"/>
      <c r="Q2923" s="274">
        <f t="shared" si="364"/>
        <v>13119855</v>
      </c>
      <c r="R2923" s="574">
        <f t="shared" si="365"/>
        <v>29485295</v>
      </c>
      <c r="S2923" s="275">
        <f t="shared" si="366"/>
        <v>28973111</v>
      </c>
      <c r="T2923" s="575"/>
      <c r="U2923" s="487"/>
      <c r="V2923" s="576"/>
      <c r="W2923" s="573"/>
      <c r="X2923" s="574">
        <f t="shared" si="370"/>
        <v>0</v>
      </c>
      <c r="Y2923" s="487"/>
      <c r="Z2923" s="487"/>
      <c r="AA2923" s="276">
        <f t="shared" si="371"/>
        <v>0</v>
      </c>
      <c r="AB2923" s="573"/>
      <c r="AC2923" s="487"/>
      <c r="AD2923" s="573"/>
      <c r="AE2923" s="487"/>
      <c r="AF2923" s="577">
        <f t="shared" si="367"/>
        <v>29485295</v>
      </c>
      <c r="AG2923" s="275">
        <f t="shared" si="368"/>
        <v>28973111</v>
      </c>
    </row>
    <row r="2924" spans="1:33" ht="12" customHeight="1">
      <c r="A2924" s="614" t="s">
        <v>1275</v>
      </c>
      <c r="B2924" s="615" t="s">
        <v>1776</v>
      </c>
      <c r="C2924" s="614" t="s">
        <v>525</v>
      </c>
      <c r="D2924" s="761">
        <v>227182</v>
      </c>
      <c r="E2924" s="625">
        <v>8</v>
      </c>
      <c r="F2924" s="573">
        <v>78703513</v>
      </c>
      <c r="G2924" s="487">
        <v>61778845</v>
      </c>
      <c r="H2924" s="573"/>
      <c r="I2924" s="487"/>
      <c r="J2924" s="573">
        <v>74678001</v>
      </c>
      <c r="K2924" s="487">
        <v>119390353</v>
      </c>
      <c r="L2924" s="573">
        <v>46831514</v>
      </c>
      <c r="M2924" s="573"/>
      <c r="N2924" s="456">
        <f t="shared" si="369"/>
        <v>46831514</v>
      </c>
      <c r="O2924" s="487">
        <v>50902449</v>
      </c>
      <c r="P2924" s="487"/>
      <c r="Q2924" s="274">
        <f t="shared" si="364"/>
        <v>50902449</v>
      </c>
      <c r="R2924" s="574">
        <f t="shared" si="365"/>
        <v>200213028</v>
      </c>
      <c r="S2924" s="275">
        <f t="shared" si="366"/>
        <v>232071647</v>
      </c>
      <c r="T2924" s="575"/>
      <c r="U2924" s="487"/>
      <c r="V2924" s="576"/>
      <c r="W2924" s="573"/>
      <c r="X2924" s="574">
        <f t="shared" si="370"/>
        <v>0</v>
      </c>
      <c r="Y2924" s="487"/>
      <c r="Z2924" s="487"/>
      <c r="AA2924" s="276">
        <f t="shared" si="371"/>
        <v>0</v>
      </c>
      <c r="AB2924" s="573"/>
      <c r="AC2924" s="487"/>
      <c r="AD2924" s="573"/>
      <c r="AE2924" s="487"/>
      <c r="AF2924" s="577">
        <f t="shared" si="367"/>
        <v>200213028</v>
      </c>
      <c r="AG2924" s="275">
        <f t="shared" si="368"/>
        <v>232071647</v>
      </c>
    </row>
    <row r="2925" spans="1:33" ht="12" customHeight="1">
      <c r="A2925" s="614" t="s">
        <v>1275</v>
      </c>
      <c r="B2925" s="615" t="s">
        <v>1776</v>
      </c>
      <c r="C2925" s="614" t="s">
        <v>1456</v>
      </c>
      <c r="D2925" s="761">
        <v>227191</v>
      </c>
      <c r="E2925" s="625">
        <v>8</v>
      </c>
      <c r="F2925" s="573"/>
      <c r="G2925" s="487"/>
      <c r="H2925" s="573"/>
      <c r="I2925" s="487"/>
      <c r="J2925" s="573"/>
      <c r="K2925" s="487"/>
      <c r="L2925" s="573"/>
      <c r="M2925" s="573"/>
      <c r="N2925" s="456">
        <f t="shared" si="369"/>
        <v>0</v>
      </c>
      <c r="O2925" s="487"/>
      <c r="P2925" s="487"/>
      <c r="Q2925" s="274">
        <f t="shared" si="364"/>
        <v>0</v>
      </c>
      <c r="R2925" s="574">
        <f t="shared" si="365"/>
        <v>0</v>
      </c>
      <c r="S2925" s="275">
        <f t="shared" si="366"/>
        <v>0</v>
      </c>
      <c r="T2925" s="575"/>
      <c r="U2925" s="487"/>
      <c r="V2925" s="576"/>
      <c r="W2925" s="573"/>
      <c r="X2925" s="574">
        <f t="shared" si="370"/>
        <v>0</v>
      </c>
      <c r="Y2925" s="487"/>
      <c r="Z2925" s="487"/>
      <c r="AA2925" s="276">
        <f t="shared" si="371"/>
        <v>0</v>
      </c>
      <c r="AB2925" s="573"/>
      <c r="AC2925" s="487"/>
      <c r="AD2925" s="573"/>
      <c r="AE2925" s="487"/>
      <c r="AF2925" s="577">
        <f t="shared" si="367"/>
        <v>0</v>
      </c>
      <c r="AG2925" s="275">
        <f t="shared" si="368"/>
        <v>0</v>
      </c>
    </row>
    <row r="2926" spans="1:33" ht="12" customHeight="1">
      <c r="A2926" s="614" t="s">
        <v>1275</v>
      </c>
      <c r="B2926" s="615" t="s">
        <v>1776</v>
      </c>
      <c r="C2926" s="614" t="s">
        <v>1457</v>
      </c>
      <c r="D2926" s="761">
        <v>420398</v>
      </c>
      <c r="E2926" s="625">
        <v>8</v>
      </c>
      <c r="F2926" s="573"/>
      <c r="G2926" s="487"/>
      <c r="H2926" s="573"/>
      <c r="I2926" s="487"/>
      <c r="J2926" s="573"/>
      <c r="K2926" s="487"/>
      <c r="L2926" s="573"/>
      <c r="M2926" s="573"/>
      <c r="N2926" s="456">
        <f t="shared" si="369"/>
        <v>0</v>
      </c>
      <c r="O2926" s="487"/>
      <c r="P2926" s="487"/>
      <c r="Q2926" s="274">
        <f t="shared" si="364"/>
        <v>0</v>
      </c>
      <c r="R2926" s="574">
        <f t="shared" si="365"/>
        <v>0</v>
      </c>
      <c r="S2926" s="275">
        <f t="shared" si="366"/>
        <v>0</v>
      </c>
      <c r="T2926" s="575"/>
      <c r="U2926" s="487"/>
      <c r="V2926" s="576"/>
      <c r="W2926" s="573"/>
      <c r="X2926" s="574">
        <f t="shared" si="370"/>
        <v>0</v>
      </c>
      <c r="Y2926" s="487"/>
      <c r="Z2926" s="487"/>
      <c r="AA2926" s="276">
        <f t="shared" si="371"/>
        <v>0</v>
      </c>
      <c r="AB2926" s="573"/>
      <c r="AC2926" s="487"/>
      <c r="AD2926" s="573"/>
      <c r="AE2926" s="487"/>
      <c r="AF2926" s="577">
        <f t="shared" si="367"/>
        <v>0</v>
      </c>
      <c r="AG2926" s="275">
        <f t="shared" si="368"/>
        <v>0</v>
      </c>
    </row>
    <row r="2927" spans="1:33" ht="12" customHeight="1">
      <c r="A2927" s="614" t="s">
        <v>1275</v>
      </c>
      <c r="B2927" s="615" t="s">
        <v>1776</v>
      </c>
      <c r="C2927" s="614" t="s">
        <v>1458</v>
      </c>
      <c r="D2927" s="761">
        <v>246354</v>
      </c>
      <c r="E2927" s="625">
        <v>8</v>
      </c>
      <c r="F2927" s="573"/>
      <c r="G2927" s="487"/>
      <c r="H2927" s="573"/>
      <c r="I2927" s="487"/>
      <c r="J2927" s="573"/>
      <c r="K2927" s="487"/>
      <c r="L2927" s="573"/>
      <c r="M2927" s="573"/>
      <c r="N2927" s="456">
        <f t="shared" si="369"/>
        <v>0</v>
      </c>
      <c r="O2927" s="487"/>
      <c r="P2927" s="487"/>
      <c r="Q2927" s="274">
        <f t="shared" si="364"/>
        <v>0</v>
      </c>
      <c r="R2927" s="574">
        <f t="shared" si="365"/>
        <v>0</v>
      </c>
      <c r="S2927" s="275">
        <f t="shared" si="366"/>
        <v>0</v>
      </c>
      <c r="T2927" s="575"/>
      <c r="U2927" s="487"/>
      <c r="V2927" s="576"/>
      <c r="W2927" s="573"/>
      <c r="X2927" s="574">
        <f t="shared" si="370"/>
        <v>0</v>
      </c>
      <c r="Y2927" s="487"/>
      <c r="Z2927" s="487"/>
      <c r="AA2927" s="276">
        <f t="shared" si="371"/>
        <v>0</v>
      </c>
      <c r="AB2927" s="573"/>
      <c r="AC2927" s="487"/>
      <c r="AD2927" s="573"/>
      <c r="AE2927" s="487"/>
      <c r="AF2927" s="577">
        <f t="shared" si="367"/>
        <v>0</v>
      </c>
      <c r="AG2927" s="275">
        <f t="shared" si="368"/>
        <v>0</v>
      </c>
    </row>
    <row r="2928" spans="1:33" ht="12" customHeight="1">
      <c r="A2928" s="614" t="s">
        <v>1275</v>
      </c>
      <c r="B2928" s="615" t="s">
        <v>1776</v>
      </c>
      <c r="C2928" s="614" t="s">
        <v>1459</v>
      </c>
      <c r="D2928" s="761">
        <v>227766</v>
      </c>
      <c r="E2928" s="625">
        <v>8</v>
      </c>
      <c r="F2928" s="573"/>
      <c r="G2928" s="487"/>
      <c r="H2928" s="573"/>
      <c r="I2928" s="487"/>
      <c r="J2928" s="573"/>
      <c r="K2928" s="487"/>
      <c r="L2928" s="573"/>
      <c r="M2928" s="573"/>
      <c r="N2928" s="456">
        <f t="shared" si="369"/>
        <v>0</v>
      </c>
      <c r="O2928" s="487"/>
      <c r="P2928" s="487"/>
      <c r="Q2928" s="274">
        <f t="shared" si="364"/>
        <v>0</v>
      </c>
      <c r="R2928" s="574">
        <f t="shared" si="365"/>
        <v>0</v>
      </c>
      <c r="S2928" s="275">
        <f t="shared" si="366"/>
        <v>0</v>
      </c>
      <c r="T2928" s="575"/>
      <c r="U2928" s="487"/>
      <c r="V2928" s="576"/>
      <c r="W2928" s="573"/>
      <c r="X2928" s="574">
        <f t="shared" si="370"/>
        <v>0</v>
      </c>
      <c r="Y2928" s="487"/>
      <c r="Z2928" s="487"/>
      <c r="AA2928" s="276">
        <f t="shared" si="371"/>
        <v>0</v>
      </c>
      <c r="AB2928" s="573"/>
      <c r="AC2928" s="487"/>
      <c r="AD2928" s="573"/>
      <c r="AE2928" s="487"/>
      <c r="AF2928" s="577">
        <f t="shared" si="367"/>
        <v>0</v>
      </c>
      <c r="AG2928" s="275">
        <f t="shared" si="368"/>
        <v>0</v>
      </c>
    </row>
    <row r="2929" spans="1:33" ht="12" customHeight="1">
      <c r="A2929" s="614" t="s">
        <v>1275</v>
      </c>
      <c r="B2929" s="615" t="s">
        <v>1776</v>
      </c>
      <c r="C2929" s="614" t="s">
        <v>1460</v>
      </c>
      <c r="D2929" s="761">
        <v>227924</v>
      </c>
      <c r="E2929" s="625">
        <v>8</v>
      </c>
      <c r="F2929" s="573"/>
      <c r="G2929" s="487"/>
      <c r="H2929" s="573"/>
      <c r="I2929" s="487"/>
      <c r="J2929" s="573"/>
      <c r="K2929" s="487"/>
      <c r="L2929" s="573"/>
      <c r="M2929" s="573"/>
      <c r="N2929" s="456">
        <f t="shared" si="369"/>
        <v>0</v>
      </c>
      <c r="O2929" s="487"/>
      <c r="P2929" s="487"/>
      <c r="Q2929" s="274">
        <f t="shared" si="364"/>
        <v>0</v>
      </c>
      <c r="R2929" s="574">
        <f t="shared" si="365"/>
        <v>0</v>
      </c>
      <c r="S2929" s="275">
        <f t="shared" si="366"/>
        <v>0</v>
      </c>
      <c r="T2929" s="575"/>
      <c r="U2929" s="487"/>
      <c r="V2929" s="576"/>
      <c r="W2929" s="573"/>
      <c r="X2929" s="574">
        <f t="shared" si="370"/>
        <v>0</v>
      </c>
      <c r="Y2929" s="487"/>
      <c r="Z2929" s="487"/>
      <c r="AA2929" s="276">
        <f t="shared" si="371"/>
        <v>0</v>
      </c>
      <c r="AB2929" s="573"/>
      <c r="AC2929" s="487"/>
      <c r="AD2929" s="573"/>
      <c r="AE2929" s="487"/>
      <c r="AF2929" s="577">
        <f t="shared" si="367"/>
        <v>0</v>
      </c>
      <c r="AG2929" s="275">
        <f t="shared" si="368"/>
        <v>0</v>
      </c>
    </row>
    <row r="2930" spans="1:33" ht="12" customHeight="1">
      <c r="A2930" s="614" t="s">
        <v>1275</v>
      </c>
      <c r="B2930" s="615" t="s">
        <v>1776</v>
      </c>
      <c r="C2930" s="614" t="s">
        <v>1461</v>
      </c>
      <c r="D2930" s="761">
        <v>227979</v>
      </c>
      <c r="E2930" s="625">
        <v>8</v>
      </c>
      <c r="F2930" s="573">
        <v>51976110</v>
      </c>
      <c r="G2930" s="487">
        <v>41235228</v>
      </c>
      <c r="H2930" s="573"/>
      <c r="I2930" s="487"/>
      <c r="J2930" s="573">
        <v>47230979</v>
      </c>
      <c r="K2930" s="487">
        <v>52642427</v>
      </c>
      <c r="L2930" s="573">
        <v>35950134</v>
      </c>
      <c r="M2930" s="573"/>
      <c r="N2930" s="456">
        <f t="shared" si="369"/>
        <v>35950134</v>
      </c>
      <c r="O2930" s="487">
        <v>39029590</v>
      </c>
      <c r="P2930" s="487"/>
      <c r="Q2930" s="274">
        <f t="shared" si="364"/>
        <v>39029590</v>
      </c>
      <c r="R2930" s="574">
        <f t="shared" si="365"/>
        <v>135157223</v>
      </c>
      <c r="S2930" s="275">
        <f t="shared" si="366"/>
        <v>132907245</v>
      </c>
      <c r="T2930" s="575"/>
      <c r="U2930" s="487"/>
      <c r="V2930" s="576"/>
      <c r="W2930" s="573"/>
      <c r="X2930" s="574">
        <f t="shared" si="370"/>
        <v>0</v>
      </c>
      <c r="Y2930" s="487"/>
      <c r="Z2930" s="487"/>
      <c r="AA2930" s="276">
        <f t="shared" si="371"/>
        <v>0</v>
      </c>
      <c r="AB2930" s="573"/>
      <c r="AC2930" s="487"/>
      <c r="AD2930" s="573"/>
      <c r="AE2930" s="487"/>
      <c r="AF2930" s="577">
        <f t="shared" si="367"/>
        <v>135157223</v>
      </c>
      <c r="AG2930" s="275">
        <f t="shared" si="368"/>
        <v>132907245</v>
      </c>
    </row>
    <row r="2931" spans="1:33" ht="12" customHeight="1">
      <c r="A2931" s="614" t="s">
        <v>1275</v>
      </c>
      <c r="B2931" s="615" t="s">
        <v>1776</v>
      </c>
      <c r="C2931" s="614" t="s">
        <v>1462</v>
      </c>
      <c r="D2931" s="761">
        <v>228158</v>
      </c>
      <c r="E2931" s="625">
        <v>8</v>
      </c>
      <c r="F2931" s="573">
        <v>20346409</v>
      </c>
      <c r="G2931" s="487">
        <v>15760156</v>
      </c>
      <c r="H2931" s="573"/>
      <c r="I2931" s="487"/>
      <c r="J2931" s="573">
        <v>7366200</v>
      </c>
      <c r="K2931" s="487">
        <v>7309236</v>
      </c>
      <c r="L2931" s="573">
        <v>17761005</v>
      </c>
      <c r="M2931" s="573"/>
      <c r="N2931" s="456">
        <f t="shared" si="369"/>
        <v>17761005</v>
      </c>
      <c r="O2931" s="487">
        <v>19048688</v>
      </c>
      <c r="P2931" s="487"/>
      <c r="Q2931" s="274">
        <f t="shared" si="364"/>
        <v>19048688</v>
      </c>
      <c r="R2931" s="574">
        <f t="shared" si="365"/>
        <v>45473614</v>
      </c>
      <c r="S2931" s="275">
        <f t="shared" si="366"/>
        <v>42118080</v>
      </c>
      <c r="T2931" s="575"/>
      <c r="U2931" s="487"/>
      <c r="V2931" s="576"/>
      <c r="W2931" s="573"/>
      <c r="X2931" s="574">
        <f t="shared" si="370"/>
        <v>0</v>
      </c>
      <c r="Y2931" s="487"/>
      <c r="Z2931" s="487"/>
      <c r="AA2931" s="276">
        <f t="shared" si="371"/>
        <v>0</v>
      </c>
      <c r="AB2931" s="573"/>
      <c r="AC2931" s="487"/>
      <c r="AD2931" s="573"/>
      <c r="AE2931" s="487"/>
      <c r="AF2931" s="577">
        <f t="shared" si="367"/>
        <v>45473614</v>
      </c>
      <c r="AG2931" s="275">
        <f t="shared" si="368"/>
        <v>42118080</v>
      </c>
    </row>
    <row r="2932" spans="1:33" ht="12" customHeight="1">
      <c r="A2932" s="614" t="s">
        <v>1275</v>
      </c>
      <c r="B2932" s="615" t="s">
        <v>1776</v>
      </c>
      <c r="C2932" s="763" t="s">
        <v>1463</v>
      </c>
      <c r="D2932" s="761">
        <v>409315</v>
      </c>
      <c r="E2932" s="625">
        <v>8</v>
      </c>
      <c r="F2932" s="573">
        <v>35902893</v>
      </c>
      <c r="G2932" s="487">
        <v>28594878</v>
      </c>
      <c r="H2932" s="573"/>
      <c r="I2932" s="487"/>
      <c r="J2932" s="573">
        <v>38541888</v>
      </c>
      <c r="K2932" s="487">
        <v>42480809</v>
      </c>
      <c r="L2932" s="573">
        <v>33579786</v>
      </c>
      <c r="M2932" s="573"/>
      <c r="N2932" s="456">
        <f t="shared" si="369"/>
        <v>33579786</v>
      </c>
      <c r="O2932" s="487">
        <v>37768435</v>
      </c>
      <c r="P2932" s="487"/>
      <c r="Q2932" s="274">
        <f t="shared" si="364"/>
        <v>37768435</v>
      </c>
      <c r="R2932" s="574">
        <f t="shared" si="365"/>
        <v>108024567</v>
      </c>
      <c r="S2932" s="275">
        <f t="shared" si="366"/>
        <v>108844122</v>
      </c>
      <c r="T2932" s="575"/>
      <c r="U2932" s="487"/>
      <c r="V2932" s="576"/>
      <c r="W2932" s="573"/>
      <c r="X2932" s="574">
        <f t="shared" si="370"/>
        <v>0</v>
      </c>
      <c r="Y2932" s="487"/>
      <c r="Z2932" s="487"/>
      <c r="AA2932" s="276">
        <f t="shared" si="371"/>
        <v>0</v>
      </c>
      <c r="AB2932" s="573"/>
      <c r="AC2932" s="487"/>
      <c r="AD2932" s="573"/>
      <c r="AE2932" s="487"/>
      <c r="AF2932" s="577">
        <f t="shared" si="367"/>
        <v>108024567</v>
      </c>
      <c r="AG2932" s="275">
        <f t="shared" si="368"/>
        <v>108844122</v>
      </c>
    </row>
    <row r="2933" spans="1:33" ht="12" customHeight="1">
      <c r="A2933" s="614" t="s">
        <v>1275</v>
      </c>
      <c r="B2933" s="615" t="s">
        <v>1776</v>
      </c>
      <c r="C2933" s="614" t="s">
        <v>1464</v>
      </c>
      <c r="D2933" s="761">
        <v>227854</v>
      </c>
      <c r="E2933" s="625">
        <v>8</v>
      </c>
      <c r="F2933" s="573"/>
      <c r="G2933" s="487"/>
      <c r="H2933" s="573"/>
      <c r="I2933" s="487"/>
      <c r="J2933" s="573"/>
      <c r="K2933" s="487"/>
      <c r="L2933" s="573"/>
      <c r="M2933" s="573"/>
      <c r="N2933" s="456">
        <f t="shared" si="369"/>
        <v>0</v>
      </c>
      <c r="O2933" s="487"/>
      <c r="P2933" s="487"/>
      <c r="Q2933" s="274">
        <f t="shared" si="364"/>
        <v>0</v>
      </c>
      <c r="R2933" s="574">
        <f t="shared" si="365"/>
        <v>0</v>
      </c>
      <c r="S2933" s="275">
        <f t="shared" si="366"/>
        <v>0</v>
      </c>
      <c r="T2933" s="575"/>
      <c r="U2933" s="487"/>
      <c r="V2933" s="576"/>
      <c r="W2933" s="573"/>
      <c r="X2933" s="574">
        <f t="shared" si="370"/>
        <v>0</v>
      </c>
      <c r="Y2933" s="487"/>
      <c r="Z2933" s="487"/>
      <c r="AA2933" s="276">
        <f t="shared" si="371"/>
        <v>0</v>
      </c>
      <c r="AB2933" s="573"/>
      <c r="AC2933" s="487"/>
      <c r="AD2933" s="573"/>
      <c r="AE2933" s="487"/>
      <c r="AF2933" s="577">
        <f t="shared" si="367"/>
        <v>0</v>
      </c>
      <c r="AG2933" s="275">
        <f t="shared" si="368"/>
        <v>0</v>
      </c>
    </row>
    <row r="2934" spans="1:33" ht="12" customHeight="1">
      <c r="A2934" s="614" t="s">
        <v>1275</v>
      </c>
      <c r="B2934" s="615" t="s">
        <v>1776</v>
      </c>
      <c r="C2934" s="614" t="s">
        <v>1465</v>
      </c>
      <c r="D2934" s="761">
        <v>228547</v>
      </c>
      <c r="E2934" s="625">
        <v>8</v>
      </c>
      <c r="F2934" s="573">
        <v>65627731</v>
      </c>
      <c r="G2934" s="487">
        <v>50931257</v>
      </c>
      <c r="H2934" s="573"/>
      <c r="I2934" s="487"/>
      <c r="J2934" s="573">
        <v>148603239</v>
      </c>
      <c r="K2934" s="487">
        <v>160732785</v>
      </c>
      <c r="L2934" s="573">
        <v>42319389</v>
      </c>
      <c r="M2934" s="573"/>
      <c r="N2934" s="456">
        <f t="shared" si="369"/>
        <v>42319389</v>
      </c>
      <c r="O2934" s="487">
        <v>45072810</v>
      </c>
      <c r="P2934" s="487"/>
      <c r="Q2934" s="274">
        <f t="shared" si="364"/>
        <v>45072810</v>
      </c>
      <c r="R2934" s="574">
        <f t="shared" si="365"/>
        <v>256550359</v>
      </c>
      <c r="S2934" s="275">
        <f t="shared" si="366"/>
        <v>256736852</v>
      </c>
      <c r="T2934" s="575"/>
      <c r="U2934" s="487"/>
      <c r="V2934" s="576"/>
      <c r="W2934" s="573"/>
      <c r="X2934" s="574">
        <f t="shared" si="370"/>
        <v>0</v>
      </c>
      <c r="Y2934" s="487"/>
      <c r="Z2934" s="487"/>
      <c r="AA2934" s="276">
        <f t="shared" si="371"/>
        <v>0</v>
      </c>
      <c r="AB2934" s="573"/>
      <c r="AC2934" s="487"/>
      <c r="AD2934" s="573"/>
      <c r="AE2934" s="487"/>
      <c r="AF2934" s="577">
        <f t="shared" si="367"/>
        <v>256550359</v>
      </c>
      <c r="AG2934" s="275">
        <f t="shared" si="368"/>
        <v>256736852</v>
      </c>
    </row>
    <row r="2935" spans="1:33" ht="12" customHeight="1">
      <c r="A2935" s="614" t="s">
        <v>1275</v>
      </c>
      <c r="B2935" s="615" t="s">
        <v>1776</v>
      </c>
      <c r="C2935" s="614" t="s">
        <v>1466</v>
      </c>
      <c r="D2935" s="761">
        <v>229072</v>
      </c>
      <c r="E2935" s="625">
        <v>8</v>
      </c>
      <c r="F2935" s="573">
        <v>14076033</v>
      </c>
      <c r="G2935" s="487">
        <v>14029427</v>
      </c>
      <c r="H2935" s="573"/>
      <c r="I2935" s="487"/>
      <c r="J2935" s="573">
        <v>13767626</v>
      </c>
      <c r="K2935" s="487">
        <v>15318498</v>
      </c>
      <c r="L2935" s="573">
        <v>26575648</v>
      </c>
      <c r="M2935" s="573"/>
      <c r="N2935" s="456">
        <f t="shared" si="369"/>
        <v>26575648</v>
      </c>
      <c r="O2935" s="487">
        <v>27958504</v>
      </c>
      <c r="P2935" s="487"/>
      <c r="Q2935" s="274">
        <f t="shared" si="364"/>
        <v>27958504</v>
      </c>
      <c r="R2935" s="574">
        <f t="shared" si="365"/>
        <v>54419307</v>
      </c>
      <c r="S2935" s="275">
        <f t="shared" si="366"/>
        <v>57306429</v>
      </c>
      <c r="T2935" s="575"/>
      <c r="U2935" s="487"/>
      <c r="V2935" s="576"/>
      <c r="W2935" s="573"/>
      <c r="X2935" s="574">
        <f t="shared" si="370"/>
        <v>0</v>
      </c>
      <c r="Y2935" s="487"/>
      <c r="Z2935" s="487"/>
      <c r="AA2935" s="276">
        <f t="shared" si="371"/>
        <v>0</v>
      </c>
      <c r="AB2935" s="573"/>
      <c r="AC2935" s="487"/>
      <c r="AD2935" s="573"/>
      <c r="AE2935" s="487"/>
      <c r="AF2935" s="577">
        <f t="shared" si="367"/>
        <v>54419307</v>
      </c>
      <c r="AG2935" s="275">
        <f t="shared" si="368"/>
        <v>57306429</v>
      </c>
    </row>
    <row r="2936" spans="1:33" ht="12" customHeight="1">
      <c r="A2936" s="614" t="s">
        <v>1275</v>
      </c>
      <c r="B2936" s="615" t="s">
        <v>1776</v>
      </c>
      <c r="C2936" s="614" t="s">
        <v>1467</v>
      </c>
      <c r="D2936" s="761">
        <v>229355</v>
      </c>
      <c r="E2936" s="625">
        <v>8</v>
      </c>
      <c r="F2936" s="573">
        <v>22523129</v>
      </c>
      <c r="G2936" s="487">
        <v>17824694</v>
      </c>
      <c r="H2936" s="573"/>
      <c r="I2936" s="487"/>
      <c r="J2936" s="573">
        <v>11540450</v>
      </c>
      <c r="K2936" s="487">
        <v>12646609</v>
      </c>
      <c r="L2936" s="573">
        <v>17347331</v>
      </c>
      <c r="M2936" s="573"/>
      <c r="N2936" s="456">
        <f t="shared" si="369"/>
        <v>17347331</v>
      </c>
      <c r="O2936" s="487">
        <v>18253739</v>
      </c>
      <c r="P2936" s="487"/>
      <c r="Q2936" s="274">
        <f t="shared" si="364"/>
        <v>18253739</v>
      </c>
      <c r="R2936" s="574">
        <f t="shared" si="365"/>
        <v>51410910</v>
      </c>
      <c r="S2936" s="275">
        <f t="shared" si="366"/>
        <v>48725042</v>
      </c>
      <c r="T2936" s="575"/>
      <c r="U2936" s="487"/>
      <c r="V2936" s="576"/>
      <c r="W2936" s="573"/>
      <c r="X2936" s="574">
        <f t="shared" si="370"/>
        <v>0</v>
      </c>
      <c r="Y2936" s="487"/>
      <c r="Z2936" s="487"/>
      <c r="AA2936" s="276">
        <f t="shared" si="371"/>
        <v>0</v>
      </c>
      <c r="AB2936" s="573"/>
      <c r="AC2936" s="487"/>
      <c r="AD2936" s="573"/>
      <c r="AE2936" s="487"/>
      <c r="AF2936" s="577">
        <f t="shared" si="367"/>
        <v>51410910</v>
      </c>
      <c r="AG2936" s="275">
        <f t="shared" si="368"/>
        <v>48725042</v>
      </c>
    </row>
    <row r="2937" spans="1:33" ht="12" customHeight="1">
      <c r="A2937" s="614" t="s">
        <v>1275</v>
      </c>
      <c r="B2937" s="615" t="s">
        <v>1776</v>
      </c>
      <c r="C2937" s="614" t="s">
        <v>1468</v>
      </c>
      <c r="D2937" s="761">
        <v>222567</v>
      </c>
      <c r="E2937" s="625">
        <v>9</v>
      </c>
      <c r="F2937" s="573">
        <v>11842589</v>
      </c>
      <c r="G2937" s="487">
        <v>9362219</v>
      </c>
      <c r="H2937" s="573"/>
      <c r="I2937" s="487"/>
      <c r="J2937" s="573">
        <v>8806376</v>
      </c>
      <c r="K2937" s="487">
        <v>11102379</v>
      </c>
      <c r="L2937" s="573">
        <v>5931972</v>
      </c>
      <c r="M2937" s="573"/>
      <c r="N2937" s="456">
        <f t="shared" si="369"/>
        <v>5931972</v>
      </c>
      <c r="O2937" s="487">
        <v>6925943</v>
      </c>
      <c r="P2937" s="487"/>
      <c r="Q2937" s="274">
        <f t="shared" si="364"/>
        <v>6925943</v>
      </c>
      <c r="R2937" s="574">
        <f t="shared" si="365"/>
        <v>26580937</v>
      </c>
      <c r="S2937" s="275">
        <f t="shared" si="366"/>
        <v>27390541</v>
      </c>
      <c r="T2937" s="575"/>
      <c r="U2937" s="487"/>
      <c r="V2937" s="576"/>
      <c r="W2937" s="573"/>
      <c r="X2937" s="574">
        <f t="shared" si="370"/>
        <v>0</v>
      </c>
      <c r="Y2937" s="487"/>
      <c r="Z2937" s="487"/>
      <c r="AA2937" s="276">
        <f t="shared" si="371"/>
        <v>0</v>
      </c>
      <c r="AB2937" s="573"/>
      <c r="AC2937" s="487"/>
      <c r="AD2937" s="573"/>
      <c r="AE2937" s="487"/>
      <c r="AF2937" s="577">
        <f t="shared" si="367"/>
        <v>26580937</v>
      </c>
      <c r="AG2937" s="275">
        <f t="shared" si="368"/>
        <v>27390541</v>
      </c>
    </row>
    <row r="2938" spans="1:33" ht="12" customHeight="1">
      <c r="A2938" s="614" t="s">
        <v>1275</v>
      </c>
      <c r="B2938" s="615" t="s">
        <v>1776</v>
      </c>
      <c r="C2938" s="614" t="s">
        <v>1469</v>
      </c>
      <c r="D2938" s="761">
        <v>222822</v>
      </c>
      <c r="E2938" s="625">
        <v>9</v>
      </c>
      <c r="F2938" s="573">
        <v>11066967</v>
      </c>
      <c r="G2938" s="487">
        <v>9053428</v>
      </c>
      <c r="H2938" s="573"/>
      <c r="I2938" s="487"/>
      <c r="J2938" s="573">
        <v>2994777</v>
      </c>
      <c r="K2938" s="487">
        <v>3870282</v>
      </c>
      <c r="L2938" s="573">
        <v>5237833</v>
      </c>
      <c r="M2938" s="573"/>
      <c r="N2938" s="456">
        <f t="shared" si="369"/>
        <v>5237833</v>
      </c>
      <c r="O2938" s="487">
        <v>5477493</v>
      </c>
      <c r="P2938" s="487"/>
      <c r="Q2938" s="274">
        <f t="shared" si="364"/>
        <v>5477493</v>
      </c>
      <c r="R2938" s="574">
        <f t="shared" si="365"/>
        <v>19299577</v>
      </c>
      <c r="S2938" s="275">
        <f t="shared" si="366"/>
        <v>18401203</v>
      </c>
      <c r="T2938" s="575"/>
      <c r="U2938" s="487"/>
      <c r="V2938" s="576"/>
      <c r="W2938" s="573"/>
      <c r="X2938" s="574">
        <f t="shared" si="370"/>
        <v>0</v>
      </c>
      <c r="Y2938" s="487"/>
      <c r="Z2938" s="487"/>
      <c r="AA2938" s="276">
        <f t="shared" si="371"/>
        <v>0</v>
      </c>
      <c r="AB2938" s="573"/>
      <c r="AC2938" s="487"/>
      <c r="AD2938" s="573"/>
      <c r="AE2938" s="487"/>
      <c r="AF2938" s="577">
        <f t="shared" si="367"/>
        <v>19299577</v>
      </c>
      <c r="AG2938" s="275">
        <f t="shared" si="368"/>
        <v>18401203</v>
      </c>
    </row>
    <row r="2939" spans="1:33" ht="12" customHeight="1">
      <c r="A2939" s="614" t="s">
        <v>1275</v>
      </c>
      <c r="B2939" s="615" t="s">
        <v>1776</v>
      </c>
      <c r="C2939" s="614" t="s">
        <v>388</v>
      </c>
      <c r="D2939" s="761">
        <v>223506</v>
      </c>
      <c r="E2939" s="625">
        <v>9</v>
      </c>
      <c r="F2939" s="573">
        <v>8707075</v>
      </c>
      <c r="G2939" s="487">
        <v>6515284</v>
      </c>
      <c r="H2939" s="573"/>
      <c r="I2939" s="487"/>
      <c r="J2939" s="573">
        <v>7868247</v>
      </c>
      <c r="K2939" s="487">
        <v>8145443</v>
      </c>
      <c r="L2939" s="573">
        <v>6306979</v>
      </c>
      <c r="M2939" s="573"/>
      <c r="N2939" s="456">
        <f t="shared" si="369"/>
        <v>6306979</v>
      </c>
      <c r="O2939" s="487">
        <v>6351568</v>
      </c>
      <c r="P2939" s="487"/>
      <c r="Q2939" s="274">
        <f t="shared" si="364"/>
        <v>6351568</v>
      </c>
      <c r="R2939" s="574">
        <f t="shared" si="365"/>
        <v>22882301</v>
      </c>
      <c r="S2939" s="275">
        <f t="shared" si="366"/>
        <v>21012295</v>
      </c>
      <c r="T2939" s="575"/>
      <c r="U2939" s="487"/>
      <c r="V2939" s="576"/>
      <c r="W2939" s="573"/>
      <c r="X2939" s="574">
        <f t="shared" si="370"/>
        <v>0</v>
      </c>
      <c r="Y2939" s="487"/>
      <c r="Z2939" s="487"/>
      <c r="AA2939" s="276">
        <f t="shared" si="371"/>
        <v>0</v>
      </c>
      <c r="AB2939" s="573"/>
      <c r="AC2939" s="487"/>
      <c r="AD2939" s="573"/>
      <c r="AE2939" s="487"/>
      <c r="AF2939" s="577">
        <f t="shared" si="367"/>
        <v>22882301</v>
      </c>
      <c r="AG2939" s="275">
        <f t="shared" si="368"/>
        <v>21012295</v>
      </c>
    </row>
    <row r="2940" spans="1:33" ht="12" customHeight="1">
      <c r="A2940" s="614" t="s">
        <v>1275</v>
      </c>
      <c r="B2940" s="615" t="s">
        <v>1776</v>
      </c>
      <c r="C2940" s="614" t="s">
        <v>1453</v>
      </c>
      <c r="D2940" s="761">
        <v>223773</v>
      </c>
      <c r="E2940" s="625">
        <v>9</v>
      </c>
      <c r="F2940" s="573"/>
      <c r="G2940" s="487"/>
      <c r="H2940" s="573"/>
      <c r="I2940" s="487"/>
      <c r="J2940" s="573"/>
      <c r="K2940" s="487"/>
      <c r="L2940" s="573"/>
      <c r="M2940" s="573"/>
      <c r="N2940" s="456">
        <f t="shared" si="369"/>
        <v>0</v>
      </c>
      <c r="O2940" s="487"/>
      <c r="P2940" s="487"/>
      <c r="Q2940" s="274">
        <f t="shared" si="364"/>
        <v>0</v>
      </c>
      <c r="R2940" s="574">
        <f t="shared" si="365"/>
        <v>0</v>
      </c>
      <c r="S2940" s="275">
        <f t="shared" si="366"/>
        <v>0</v>
      </c>
      <c r="T2940" s="575"/>
      <c r="U2940" s="487"/>
      <c r="V2940" s="576"/>
      <c r="W2940" s="573"/>
      <c r="X2940" s="574">
        <f t="shared" si="370"/>
        <v>0</v>
      </c>
      <c r="Y2940" s="487"/>
      <c r="Z2940" s="487"/>
      <c r="AA2940" s="276">
        <f t="shared" si="371"/>
        <v>0</v>
      </c>
      <c r="AB2940" s="573"/>
      <c r="AC2940" s="487"/>
      <c r="AD2940" s="573"/>
      <c r="AE2940" s="487"/>
      <c r="AF2940" s="577">
        <f t="shared" si="367"/>
        <v>0</v>
      </c>
      <c r="AG2940" s="275">
        <f t="shared" si="368"/>
        <v>0</v>
      </c>
    </row>
    <row r="2941" spans="1:33" ht="12" customHeight="1">
      <c r="A2941" s="614" t="s">
        <v>1275</v>
      </c>
      <c r="B2941" s="615" t="s">
        <v>1776</v>
      </c>
      <c r="C2941" s="614" t="s">
        <v>389</v>
      </c>
      <c r="D2941" s="761">
        <v>223898</v>
      </c>
      <c r="E2941" s="625">
        <v>9</v>
      </c>
      <c r="F2941" s="573">
        <v>7152574</v>
      </c>
      <c r="G2941" s="487">
        <v>5855480</v>
      </c>
      <c r="H2941" s="573"/>
      <c r="I2941" s="487"/>
      <c r="J2941" s="573">
        <v>325167</v>
      </c>
      <c r="K2941" s="487">
        <v>417197</v>
      </c>
      <c r="L2941" s="573">
        <v>6440054</v>
      </c>
      <c r="M2941" s="573"/>
      <c r="N2941" s="456">
        <f t="shared" si="369"/>
        <v>6440054</v>
      </c>
      <c r="O2941" s="487">
        <v>6343279</v>
      </c>
      <c r="P2941" s="487"/>
      <c r="Q2941" s="274">
        <f t="shared" si="364"/>
        <v>6343279</v>
      </c>
      <c r="R2941" s="574">
        <f t="shared" si="365"/>
        <v>13917795</v>
      </c>
      <c r="S2941" s="275">
        <f t="shared" si="366"/>
        <v>12615956</v>
      </c>
      <c r="T2941" s="575"/>
      <c r="U2941" s="487"/>
      <c r="V2941" s="576"/>
      <c r="W2941" s="573"/>
      <c r="X2941" s="574">
        <f t="shared" si="370"/>
        <v>0</v>
      </c>
      <c r="Y2941" s="487"/>
      <c r="Z2941" s="487"/>
      <c r="AA2941" s="276">
        <f t="shared" si="371"/>
        <v>0</v>
      </c>
      <c r="AB2941" s="573"/>
      <c r="AC2941" s="487"/>
      <c r="AD2941" s="573"/>
      <c r="AE2941" s="487"/>
      <c r="AF2941" s="577">
        <f t="shared" si="367"/>
        <v>13917795</v>
      </c>
      <c r="AG2941" s="275">
        <f t="shared" si="368"/>
        <v>12615956</v>
      </c>
    </row>
    <row r="2942" spans="1:33" ht="12" customHeight="1">
      <c r="A2942" s="614" t="s">
        <v>1275</v>
      </c>
      <c r="B2942" s="615" t="s">
        <v>1776</v>
      </c>
      <c r="C2942" s="614" t="s">
        <v>390</v>
      </c>
      <c r="D2942" s="761">
        <v>223320</v>
      </c>
      <c r="E2942" s="625">
        <v>9</v>
      </c>
      <c r="F2942" s="573">
        <v>9713030</v>
      </c>
      <c r="G2942" s="487">
        <v>7515809</v>
      </c>
      <c r="H2942" s="573"/>
      <c r="I2942" s="487"/>
      <c r="J2942" s="573">
        <v>1500928</v>
      </c>
      <c r="K2942" s="487">
        <v>1676634</v>
      </c>
      <c r="L2942" s="573">
        <v>6108313</v>
      </c>
      <c r="M2942" s="573"/>
      <c r="N2942" s="456">
        <f t="shared" si="369"/>
        <v>6108313</v>
      </c>
      <c r="O2942" s="487">
        <v>7214178</v>
      </c>
      <c r="P2942" s="487"/>
      <c r="Q2942" s="274">
        <f t="shared" si="364"/>
        <v>7214178</v>
      </c>
      <c r="R2942" s="574">
        <f t="shared" si="365"/>
        <v>17322271</v>
      </c>
      <c r="S2942" s="275">
        <f t="shared" si="366"/>
        <v>16406621</v>
      </c>
      <c r="T2942" s="575"/>
      <c r="U2942" s="487"/>
      <c r="V2942" s="576"/>
      <c r="W2942" s="573"/>
      <c r="X2942" s="574">
        <f t="shared" si="370"/>
        <v>0</v>
      </c>
      <c r="Y2942" s="487"/>
      <c r="Z2942" s="487"/>
      <c r="AA2942" s="276">
        <f t="shared" si="371"/>
        <v>0</v>
      </c>
      <c r="AB2942" s="573"/>
      <c r="AC2942" s="487"/>
      <c r="AD2942" s="573"/>
      <c r="AE2942" s="487"/>
      <c r="AF2942" s="577">
        <f t="shared" si="367"/>
        <v>17322271</v>
      </c>
      <c r="AG2942" s="275">
        <f t="shared" si="368"/>
        <v>16406621</v>
      </c>
    </row>
    <row r="2943" spans="1:33" ht="12" customHeight="1">
      <c r="A2943" s="614" t="s">
        <v>1275</v>
      </c>
      <c r="B2943" s="615" t="s">
        <v>1776</v>
      </c>
      <c r="C2943" s="614" t="s">
        <v>391</v>
      </c>
      <c r="D2943" s="761">
        <v>226408</v>
      </c>
      <c r="E2943" s="625">
        <v>9</v>
      </c>
      <c r="F2943" s="573">
        <v>11315523</v>
      </c>
      <c r="G2943" s="487">
        <v>7767249</v>
      </c>
      <c r="H2943" s="573"/>
      <c r="I2943" s="487"/>
      <c r="J2943" s="573">
        <v>19572072</v>
      </c>
      <c r="K2943" s="487">
        <v>20887193</v>
      </c>
      <c r="L2943" s="573">
        <v>5380620</v>
      </c>
      <c r="M2943" s="573"/>
      <c r="N2943" s="456">
        <f t="shared" si="369"/>
        <v>5380620</v>
      </c>
      <c r="O2943" s="487">
        <v>5620209</v>
      </c>
      <c r="P2943" s="487"/>
      <c r="Q2943" s="274">
        <f t="shared" si="364"/>
        <v>5620209</v>
      </c>
      <c r="R2943" s="574">
        <f t="shared" si="365"/>
        <v>36268215</v>
      </c>
      <c r="S2943" s="275">
        <f t="shared" si="366"/>
        <v>34274651</v>
      </c>
      <c r="T2943" s="575"/>
      <c r="U2943" s="487"/>
      <c r="V2943" s="576"/>
      <c r="W2943" s="573"/>
      <c r="X2943" s="574">
        <f t="shared" si="370"/>
        <v>0</v>
      </c>
      <c r="Y2943" s="487"/>
      <c r="Z2943" s="487"/>
      <c r="AA2943" s="276">
        <f t="shared" si="371"/>
        <v>0</v>
      </c>
      <c r="AB2943" s="573"/>
      <c r="AC2943" s="487"/>
      <c r="AD2943" s="573"/>
      <c r="AE2943" s="487"/>
      <c r="AF2943" s="577">
        <f t="shared" si="367"/>
        <v>36268215</v>
      </c>
      <c r="AG2943" s="275">
        <f t="shared" si="368"/>
        <v>34274651</v>
      </c>
    </row>
    <row r="2944" spans="1:33" ht="12" customHeight="1">
      <c r="A2944" s="614" t="s">
        <v>1275</v>
      </c>
      <c r="B2944" s="615" t="s">
        <v>1776</v>
      </c>
      <c r="C2944" s="614" t="s">
        <v>392</v>
      </c>
      <c r="D2944" s="761">
        <v>224615</v>
      </c>
      <c r="E2944" s="625">
        <v>9</v>
      </c>
      <c r="F2944" s="573"/>
      <c r="G2944" s="487"/>
      <c r="H2944" s="573"/>
      <c r="I2944" s="487"/>
      <c r="J2944" s="573"/>
      <c r="K2944" s="487"/>
      <c r="L2944" s="573"/>
      <c r="M2944" s="573"/>
      <c r="N2944" s="456">
        <f t="shared" si="369"/>
        <v>0</v>
      </c>
      <c r="O2944" s="487"/>
      <c r="P2944" s="487"/>
      <c r="Q2944" s="274">
        <f t="shared" si="364"/>
        <v>0</v>
      </c>
      <c r="R2944" s="574">
        <f t="shared" si="365"/>
        <v>0</v>
      </c>
      <c r="S2944" s="275">
        <f t="shared" si="366"/>
        <v>0</v>
      </c>
      <c r="T2944" s="575"/>
      <c r="U2944" s="487"/>
      <c r="V2944" s="576"/>
      <c r="W2944" s="573"/>
      <c r="X2944" s="574">
        <f t="shared" si="370"/>
        <v>0</v>
      </c>
      <c r="Y2944" s="487"/>
      <c r="Z2944" s="487"/>
      <c r="AA2944" s="276">
        <f t="shared" si="371"/>
        <v>0</v>
      </c>
      <c r="AB2944" s="573"/>
      <c r="AC2944" s="487"/>
      <c r="AD2944" s="573"/>
      <c r="AE2944" s="487"/>
      <c r="AF2944" s="577">
        <f t="shared" si="367"/>
        <v>0</v>
      </c>
      <c r="AG2944" s="275">
        <f t="shared" si="368"/>
        <v>0</v>
      </c>
    </row>
    <row r="2945" spans="1:33" ht="12" customHeight="1">
      <c r="A2945" s="614" t="s">
        <v>1275</v>
      </c>
      <c r="B2945" s="615" t="s">
        <v>1776</v>
      </c>
      <c r="C2945" s="614" t="s">
        <v>393</v>
      </c>
      <c r="D2945" s="761">
        <v>225070</v>
      </c>
      <c r="E2945" s="625">
        <v>9</v>
      </c>
      <c r="F2945" s="573">
        <v>9617506</v>
      </c>
      <c r="G2945" s="487">
        <v>7551812</v>
      </c>
      <c r="H2945" s="573"/>
      <c r="I2945" s="487"/>
      <c r="J2945" s="573">
        <v>8419931</v>
      </c>
      <c r="K2945" s="487">
        <v>8533174</v>
      </c>
      <c r="L2945" s="573">
        <v>5317344</v>
      </c>
      <c r="M2945" s="573"/>
      <c r="N2945" s="456">
        <f t="shared" si="369"/>
        <v>5317344</v>
      </c>
      <c r="O2945" s="487">
        <v>5502415</v>
      </c>
      <c r="P2945" s="487"/>
      <c r="Q2945" s="274">
        <f t="shared" si="364"/>
        <v>5502415</v>
      </c>
      <c r="R2945" s="574">
        <f t="shared" si="365"/>
        <v>23354781</v>
      </c>
      <c r="S2945" s="275">
        <f t="shared" si="366"/>
        <v>21587401</v>
      </c>
      <c r="T2945" s="575"/>
      <c r="U2945" s="487"/>
      <c r="V2945" s="576"/>
      <c r="W2945" s="573"/>
      <c r="X2945" s="574">
        <f t="shared" si="370"/>
        <v>0</v>
      </c>
      <c r="Y2945" s="487"/>
      <c r="Z2945" s="487"/>
      <c r="AA2945" s="276">
        <f t="shared" si="371"/>
        <v>0</v>
      </c>
      <c r="AB2945" s="573"/>
      <c r="AC2945" s="487"/>
      <c r="AD2945" s="573"/>
      <c r="AE2945" s="487"/>
      <c r="AF2945" s="577">
        <f t="shared" si="367"/>
        <v>23354781</v>
      </c>
      <c r="AG2945" s="275">
        <f t="shared" si="368"/>
        <v>21587401</v>
      </c>
    </row>
    <row r="2946" spans="1:33" ht="12" customHeight="1">
      <c r="A2946" s="614" t="s">
        <v>1275</v>
      </c>
      <c r="B2946" s="615" t="s">
        <v>1776</v>
      </c>
      <c r="C2946" s="614" t="s">
        <v>394</v>
      </c>
      <c r="D2946" s="761">
        <v>225371</v>
      </c>
      <c r="E2946" s="625">
        <v>9</v>
      </c>
      <c r="F2946" s="573">
        <v>8614987</v>
      </c>
      <c r="G2946" s="487">
        <v>7259310</v>
      </c>
      <c r="H2946" s="573"/>
      <c r="I2946" s="487"/>
      <c r="J2946" s="573">
        <v>848825</v>
      </c>
      <c r="K2946" s="487">
        <v>955340</v>
      </c>
      <c r="L2946" s="573">
        <v>3871949</v>
      </c>
      <c r="M2946" s="573"/>
      <c r="N2946" s="456">
        <f t="shared" si="369"/>
        <v>3871949</v>
      </c>
      <c r="O2946" s="487">
        <v>3883446</v>
      </c>
      <c r="P2946" s="487"/>
      <c r="Q2946" s="274">
        <f t="shared" si="364"/>
        <v>3883446</v>
      </c>
      <c r="R2946" s="574">
        <f t="shared" si="365"/>
        <v>13335761</v>
      </c>
      <c r="S2946" s="275">
        <f t="shared" si="366"/>
        <v>12098096</v>
      </c>
      <c r="T2946" s="575"/>
      <c r="U2946" s="487"/>
      <c r="V2946" s="576"/>
      <c r="W2946" s="573"/>
      <c r="X2946" s="574">
        <f t="shared" si="370"/>
        <v>0</v>
      </c>
      <c r="Y2946" s="487"/>
      <c r="Z2946" s="487"/>
      <c r="AA2946" s="276">
        <f t="shared" si="371"/>
        <v>0</v>
      </c>
      <c r="AB2946" s="573"/>
      <c r="AC2946" s="487"/>
      <c r="AD2946" s="573"/>
      <c r="AE2946" s="487"/>
      <c r="AF2946" s="577">
        <f t="shared" si="367"/>
        <v>13335761</v>
      </c>
      <c r="AG2946" s="275">
        <f t="shared" si="368"/>
        <v>12098096</v>
      </c>
    </row>
    <row r="2947" spans="1:33" ht="12" customHeight="1">
      <c r="A2947" s="614" t="s">
        <v>1275</v>
      </c>
      <c r="B2947" s="615" t="s">
        <v>1776</v>
      </c>
      <c r="C2947" s="614" t="s">
        <v>395</v>
      </c>
      <c r="D2947" s="761">
        <v>225520</v>
      </c>
      <c r="E2947" s="625">
        <v>9</v>
      </c>
      <c r="F2947" s="573">
        <v>14742447</v>
      </c>
      <c r="G2947" s="487">
        <v>11388542</v>
      </c>
      <c r="H2947" s="573"/>
      <c r="I2947" s="487"/>
      <c r="J2947" s="573">
        <v>3513533</v>
      </c>
      <c r="K2947" s="487">
        <v>3559960</v>
      </c>
      <c r="L2947" s="573">
        <v>4130364</v>
      </c>
      <c r="M2947" s="573"/>
      <c r="N2947" s="456">
        <f t="shared" si="369"/>
        <v>4130364</v>
      </c>
      <c r="O2947" s="487">
        <v>4560663</v>
      </c>
      <c r="P2947" s="487"/>
      <c r="Q2947" s="274">
        <f t="shared" si="364"/>
        <v>4560663</v>
      </c>
      <c r="R2947" s="574">
        <f t="shared" si="365"/>
        <v>22386344</v>
      </c>
      <c r="S2947" s="275">
        <f t="shared" si="366"/>
        <v>19509165</v>
      </c>
      <c r="T2947" s="575"/>
      <c r="U2947" s="487"/>
      <c r="V2947" s="576"/>
      <c r="W2947" s="573"/>
      <c r="X2947" s="574">
        <f t="shared" si="370"/>
        <v>0</v>
      </c>
      <c r="Y2947" s="487"/>
      <c r="Z2947" s="487"/>
      <c r="AA2947" s="276">
        <f t="shared" si="371"/>
        <v>0</v>
      </c>
      <c r="AB2947" s="573"/>
      <c r="AC2947" s="487"/>
      <c r="AD2947" s="573"/>
      <c r="AE2947" s="487"/>
      <c r="AF2947" s="577">
        <f t="shared" si="367"/>
        <v>22386344</v>
      </c>
      <c r="AG2947" s="275">
        <f t="shared" si="368"/>
        <v>19509165</v>
      </c>
    </row>
    <row r="2948" spans="1:33" ht="12" customHeight="1">
      <c r="A2948" s="614" t="s">
        <v>1275</v>
      </c>
      <c r="B2948" s="615" t="s">
        <v>1776</v>
      </c>
      <c r="C2948" s="614" t="s">
        <v>396</v>
      </c>
      <c r="D2948" s="761">
        <v>226019</v>
      </c>
      <c r="E2948" s="625">
        <v>9</v>
      </c>
      <c r="F2948" s="573">
        <v>13904555</v>
      </c>
      <c r="G2948" s="487">
        <v>10979350</v>
      </c>
      <c r="H2948" s="573"/>
      <c r="I2948" s="487"/>
      <c r="J2948" s="573">
        <v>4855220</v>
      </c>
      <c r="K2948" s="487">
        <v>5240648</v>
      </c>
      <c r="L2948" s="573">
        <v>9533228</v>
      </c>
      <c r="M2948" s="573"/>
      <c r="N2948" s="456">
        <f t="shared" si="369"/>
        <v>9533228</v>
      </c>
      <c r="O2948" s="487">
        <v>10748180</v>
      </c>
      <c r="P2948" s="487"/>
      <c r="Q2948" s="274">
        <f t="shared" si="364"/>
        <v>10748180</v>
      </c>
      <c r="R2948" s="574">
        <f t="shared" si="365"/>
        <v>28293003</v>
      </c>
      <c r="S2948" s="275">
        <f t="shared" si="366"/>
        <v>26968178</v>
      </c>
      <c r="T2948" s="575"/>
      <c r="U2948" s="487"/>
      <c r="V2948" s="576"/>
      <c r="W2948" s="573"/>
      <c r="X2948" s="574">
        <f t="shared" si="370"/>
        <v>0</v>
      </c>
      <c r="Y2948" s="487"/>
      <c r="Z2948" s="487"/>
      <c r="AA2948" s="276">
        <f t="shared" si="371"/>
        <v>0</v>
      </c>
      <c r="AB2948" s="573"/>
      <c r="AC2948" s="487"/>
      <c r="AD2948" s="573"/>
      <c r="AE2948" s="487"/>
      <c r="AF2948" s="577">
        <f t="shared" si="367"/>
        <v>28293003</v>
      </c>
      <c r="AG2948" s="275">
        <f t="shared" si="368"/>
        <v>26968178</v>
      </c>
    </row>
    <row r="2949" spans="1:33" ht="12" customHeight="1">
      <c r="A2949" s="614" t="s">
        <v>1275</v>
      </c>
      <c r="B2949" s="615" t="s">
        <v>1776</v>
      </c>
      <c r="C2949" s="614" t="s">
        <v>397</v>
      </c>
      <c r="D2949" s="761">
        <v>441760</v>
      </c>
      <c r="E2949" s="625">
        <v>9</v>
      </c>
      <c r="F2949" s="573">
        <v>10068615</v>
      </c>
      <c r="G2949" s="487">
        <v>10105098</v>
      </c>
      <c r="H2949" s="573"/>
      <c r="I2949" s="487"/>
      <c r="J2949" s="573"/>
      <c r="K2949" s="487"/>
      <c r="L2949" s="573">
        <v>6282811</v>
      </c>
      <c r="M2949" s="573">
        <v>27000</v>
      </c>
      <c r="N2949" s="456">
        <f t="shared" si="369"/>
        <v>6309811</v>
      </c>
      <c r="O2949" s="487">
        <v>8037183</v>
      </c>
      <c r="P2949" s="487">
        <v>27000</v>
      </c>
      <c r="Q2949" s="274">
        <f t="shared" si="364"/>
        <v>8064183</v>
      </c>
      <c r="R2949" s="574">
        <f t="shared" si="365"/>
        <v>16351426</v>
      </c>
      <c r="S2949" s="275">
        <f t="shared" si="366"/>
        <v>18142281</v>
      </c>
      <c r="T2949" s="575"/>
      <c r="U2949" s="487"/>
      <c r="V2949" s="576"/>
      <c r="W2949" s="573"/>
      <c r="X2949" s="574">
        <f t="shared" si="370"/>
        <v>0</v>
      </c>
      <c r="Y2949" s="487"/>
      <c r="Z2949" s="487"/>
      <c r="AA2949" s="276">
        <f t="shared" si="371"/>
        <v>0</v>
      </c>
      <c r="AB2949" s="573"/>
      <c r="AC2949" s="487"/>
      <c r="AD2949" s="573"/>
      <c r="AE2949" s="487"/>
      <c r="AF2949" s="577">
        <f t="shared" si="367"/>
        <v>16351426</v>
      </c>
      <c r="AG2949" s="275">
        <f t="shared" si="368"/>
        <v>18142281</v>
      </c>
    </row>
    <row r="2950" spans="1:33" ht="12" customHeight="1">
      <c r="A2950" s="614" t="s">
        <v>1275</v>
      </c>
      <c r="B2950" s="615" t="s">
        <v>1776</v>
      </c>
      <c r="C2950" s="614" t="s">
        <v>399</v>
      </c>
      <c r="D2950" s="761">
        <v>226204</v>
      </c>
      <c r="E2950" s="625">
        <v>9</v>
      </c>
      <c r="F2950" s="573">
        <v>14025296</v>
      </c>
      <c r="G2950" s="487">
        <v>10988811</v>
      </c>
      <c r="H2950" s="573"/>
      <c r="I2950" s="487"/>
      <c r="J2950" s="573">
        <v>17220056</v>
      </c>
      <c r="K2950" s="487">
        <v>18687122</v>
      </c>
      <c r="L2950" s="573">
        <v>8111130</v>
      </c>
      <c r="M2950" s="573"/>
      <c r="N2950" s="456">
        <f t="shared" si="369"/>
        <v>8111130</v>
      </c>
      <c r="O2950" s="487">
        <v>8174703</v>
      </c>
      <c r="P2950" s="487"/>
      <c r="Q2950" s="274">
        <f t="shared" si="364"/>
        <v>8174703</v>
      </c>
      <c r="R2950" s="574">
        <f t="shared" si="365"/>
        <v>39356482</v>
      </c>
      <c r="S2950" s="275">
        <f t="shared" si="366"/>
        <v>37850636</v>
      </c>
      <c r="T2950" s="575"/>
      <c r="U2950" s="487"/>
      <c r="V2950" s="576"/>
      <c r="W2950" s="573"/>
      <c r="X2950" s="574">
        <f t="shared" si="370"/>
        <v>0</v>
      </c>
      <c r="Y2950" s="487"/>
      <c r="Z2950" s="487"/>
      <c r="AA2950" s="276">
        <f t="shared" si="371"/>
        <v>0</v>
      </c>
      <c r="AB2950" s="573"/>
      <c r="AC2950" s="487"/>
      <c r="AD2950" s="573"/>
      <c r="AE2950" s="487"/>
      <c r="AF2950" s="577">
        <f t="shared" si="367"/>
        <v>39356482</v>
      </c>
      <c r="AG2950" s="275">
        <f t="shared" si="368"/>
        <v>37850636</v>
      </c>
    </row>
    <row r="2951" spans="1:33" ht="12" customHeight="1">
      <c r="A2951" s="614" t="s">
        <v>1275</v>
      </c>
      <c r="B2951" s="615" t="s">
        <v>1776</v>
      </c>
      <c r="C2951" s="614" t="s">
        <v>400</v>
      </c>
      <c r="D2951" s="761">
        <v>226806</v>
      </c>
      <c r="E2951" s="625">
        <v>9</v>
      </c>
      <c r="F2951" s="573">
        <v>14629331</v>
      </c>
      <c r="G2951" s="487">
        <v>11369870</v>
      </c>
      <c r="H2951" s="573"/>
      <c r="I2951" s="487"/>
      <c r="J2951" s="573">
        <v>15540794</v>
      </c>
      <c r="K2951" s="487">
        <v>16763611</v>
      </c>
      <c r="L2951" s="573">
        <v>10240248</v>
      </c>
      <c r="M2951" s="573"/>
      <c r="N2951" s="456">
        <f t="shared" si="369"/>
        <v>10240248</v>
      </c>
      <c r="O2951" s="487">
        <v>10021532</v>
      </c>
      <c r="P2951" s="487"/>
      <c r="Q2951" s="274">
        <f t="shared" si="364"/>
        <v>10021532</v>
      </c>
      <c r="R2951" s="574">
        <f t="shared" si="365"/>
        <v>40410373</v>
      </c>
      <c r="S2951" s="275">
        <f t="shared" si="366"/>
        <v>38155013</v>
      </c>
      <c r="T2951" s="575"/>
      <c r="U2951" s="487"/>
      <c r="V2951" s="576"/>
      <c r="W2951" s="573"/>
      <c r="X2951" s="574">
        <f t="shared" si="370"/>
        <v>0</v>
      </c>
      <c r="Y2951" s="487"/>
      <c r="Z2951" s="487"/>
      <c r="AA2951" s="276">
        <f t="shared" si="371"/>
        <v>0</v>
      </c>
      <c r="AB2951" s="573"/>
      <c r="AC2951" s="487"/>
      <c r="AD2951" s="573"/>
      <c r="AE2951" s="487"/>
      <c r="AF2951" s="577">
        <f t="shared" si="367"/>
        <v>40410373</v>
      </c>
      <c r="AG2951" s="275">
        <f t="shared" si="368"/>
        <v>38155013</v>
      </c>
    </row>
    <row r="2952" spans="1:33" ht="12" customHeight="1">
      <c r="A2952" s="614" t="s">
        <v>1275</v>
      </c>
      <c r="B2952" s="615" t="s">
        <v>1776</v>
      </c>
      <c r="C2952" s="614" t="s">
        <v>401</v>
      </c>
      <c r="D2952" s="761">
        <v>226930</v>
      </c>
      <c r="E2952" s="625">
        <v>9</v>
      </c>
      <c r="F2952" s="573"/>
      <c r="G2952" s="487"/>
      <c r="H2952" s="573"/>
      <c r="I2952" s="487"/>
      <c r="J2952" s="573"/>
      <c r="K2952" s="487"/>
      <c r="L2952" s="573"/>
      <c r="M2952" s="573"/>
      <c r="N2952" s="456">
        <f t="shared" si="369"/>
        <v>0</v>
      </c>
      <c r="O2952" s="487"/>
      <c r="P2952" s="487"/>
      <c r="Q2952" s="274">
        <f t="shared" si="364"/>
        <v>0</v>
      </c>
      <c r="R2952" s="574">
        <f t="shared" si="365"/>
        <v>0</v>
      </c>
      <c r="S2952" s="275">
        <f t="shared" si="366"/>
        <v>0</v>
      </c>
      <c r="T2952" s="575"/>
      <c r="U2952" s="487"/>
      <c r="V2952" s="576"/>
      <c r="W2952" s="573"/>
      <c r="X2952" s="574">
        <f t="shared" si="370"/>
        <v>0</v>
      </c>
      <c r="Y2952" s="487"/>
      <c r="Z2952" s="487"/>
      <c r="AA2952" s="276">
        <f t="shared" si="371"/>
        <v>0</v>
      </c>
      <c r="AB2952" s="573"/>
      <c r="AC2952" s="487"/>
      <c r="AD2952" s="573"/>
      <c r="AE2952" s="487"/>
      <c r="AF2952" s="577">
        <f t="shared" si="367"/>
        <v>0</v>
      </c>
      <c r="AG2952" s="275">
        <f t="shared" si="368"/>
        <v>0</v>
      </c>
    </row>
    <row r="2953" spans="1:33" ht="12" customHeight="1">
      <c r="A2953" s="614" t="s">
        <v>1275</v>
      </c>
      <c r="B2953" s="615" t="s">
        <v>1776</v>
      </c>
      <c r="C2953" s="614" t="s">
        <v>431</v>
      </c>
      <c r="D2953" s="761">
        <v>224110</v>
      </c>
      <c r="E2953" s="625">
        <v>9</v>
      </c>
      <c r="F2953" s="573">
        <v>12247221</v>
      </c>
      <c r="G2953" s="487">
        <v>10123811</v>
      </c>
      <c r="H2953" s="573"/>
      <c r="I2953" s="487"/>
      <c r="J2953" s="573">
        <v>1870970</v>
      </c>
      <c r="K2953" s="487">
        <v>1915614</v>
      </c>
      <c r="L2953" s="573">
        <v>11005681</v>
      </c>
      <c r="M2953" s="573"/>
      <c r="N2953" s="456">
        <f t="shared" si="369"/>
        <v>11005681</v>
      </c>
      <c r="O2953" s="487">
        <v>11308603</v>
      </c>
      <c r="P2953" s="487"/>
      <c r="Q2953" s="274">
        <f t="shared" si="364"/>
        <v>11308603</v>
      </c>
      <c r="R2953" s="574">
        <f t="shared" si="365"/>
        <v>25123872</v>
      </c>
      <c r="S2953" s="275">
        <f t="shared" si="366"/>
        <v>23348028</v>
      </c>
      <c r="T2953" s="575"/>
      <c r="U2953" s="487"/>
      <c r="V2953" s="576"/>
      <c r="W2953" s="573"/>
      <c r="X2953" s="574">
        <f t="shared" si="370"/>
        <v>0</v>
      </c>
      <c r="Y2953" s="487"/>
      <c r="Z2953" s="487"/>
      <c r="AA2953" s="276">
        <f t="shared" si="371"/>
        <v>0</v>
      </c>
      <c r="AB2953" s="573"/>
      <c r="AC2953" s="487"/>
      <c r="AD2953" s="573"/>
      <c r="AE2953" s="487"/>
      <c r="AF2953" s="577">
        <f t="shared" si="367"/>
        <v>25123872</v>
      </c>
      <c r="AG2953" s="275">
        <f t="shared" si="368"/>
        <v>23348028</v>
      </c>
    </row>
    <row r="2954" spans="1:33" ht="12" customHeight="1">
      <c r="A2954" s="614" t="s">
        <v>1275</v>
      </c>
      <c r="B2954" s="615" t="s">
        <v>1776</v>
      </c>
      <c r="C2954" s="614" t="s">
        <v>432</v>
      </c>
      <c r="D2954" s="761">
        <v>227304</v>
      </c>
      <c r="E2954" s="625">
        <v>9</v>
      </c>
      <c r="F2954" s="573">
        <v>12408779</v>
      </c>
      <c r="G2954" s="487">
        <v>9459673</v>
      </c>
      <c r="H2954" s="573"/>
      <c r="I2954" s="487"/>
      <c r="J2954" s="573">
        <v>12960177</v>
      </c>
      <c r="K2954" s="487">
        <v>14023240</v>
      </c>
      <c r="L2954" s="573">
        <v>6282396</v>
      </c>
      <c r="M2954" s="573"/>
      <c r="N2954" s="456">
        <f t="shared" si="369"/>
        <v>6282396</v>
      </c>
      <c r="O2954" s="487">
        <v>5959145</v>
      </c>
      <c r="P2954" s="487"/>
      <c r="Q2954" s="274">
        <f t="shared" ref="Q2954:Q3017" si="372">SUM(O2954:P2954)</f>
        <v>5959145</v>
      </c>
      <c r="R2954" s="574">
        <f t="shared" ref="R2954:R3017" si="373">SUM(F2954,H2954,J2954,L2954)</f>
        <v>31651352</v>
      </c>
      <c r="S2954" s="275">
        <f t="shared" ref="S2954:S3017" si="374">SUM(G2954,I2954,K2954,O2954)</f>
        <v>29442058</v>
      </c>
      <c r="T2954" s="575"/>
      <c r="U2954" s="487"/>
      <c r="V2954" s="576"/>
      <c r="W2954" s="573"/>
      <c r="X2954" s="574">
        <f t="shared" si="370"/>
        <v>0</v>
      </c>
      <c r="Y2954" s="487"/>
      <c r="Z2954" s="487"/>
      <c r="AA2954" s="276">
        <f t="shared" si="371"/>
        <v>0</v>
      </c>
      <c r="AB2954" s="573"/>
      <c r="AC2954" s="487"/>
      <c r="AD2954" s="573"/>
      <c r="AE2954" s="487"/>
      <c r="AF2954" s="577">
        <f t="shared" ref="AF2954:AF3017" si="375">SUM(R2954,T2954,V2954,AB2954,AD2954)</f>
        <v>31651352</v>
      </c>
      <c r="AG2954" s="275">
        <f t="shared" ref="AG2954:AG3017" si="376">SUM(S2954,U2954,Y2954,AC2954,AE2954)</f>
        <v>29442058</v>
      </c>
    </row>
    <row r="2955" spans="1:33" ht="12" customHeight="1">
      <c r="A2955" s="614" t="s">
        <v>1275</v>
      </c>
      <c r="B2955" s="615" t="s">
        <v>1776</v>
      </c>
      <c r="C2955" s="614" t="s">
        <v>433</v>
      </c>
      <c r="D2955" s="761">
        <v>227401</v>
      </c>
      <c r="E2955" s="625">
        <v>9</v>
      </c>
      <c r="F2955" s="573">
        <v>10661119</v>
      </c>
      <c r="G2955" s="487">
        <v>8763953</v>
      </c>
      <c r="H2955" s="573"/>
      <c r="I2955" s="487"/>
      <c r="J2955" s="573">
        <v>2638167</v>
      </c>
      <c r="K2955" s="487">
        <v>2916867</v>
      </c>
      <c r="L2955" s="573">
        <v>7462185</v>
      </c>
      <c r="M2955" s="573"/>
      <c r="N2955" s="456">
        <f t="shared" si="369"/>
        <v>7462185</v>
      </c>
      <c r="O2955" s="487">
        <v>7625746</v>
      </c>
      <c r="P2955" s="487"/>
      <c r="Q2955" s="274">
        <f t="shared" si="372"/>
        <v>7625746</v>
      </c>
      <c r="R2955" s="574">
        <f t="shared" si="373"/>
        <v>20761471</v>
      </c>
      <c r="S2955" s="275">
        <f t="shared" si="374"/>
        <v>19306566</v>
      </c>
      <c r="T2955" s="575"/>
      <c r="U2955" s="487"/>
      <c r="V2955" s="576"/>
      <c r="W2955" s="573"/>
      <c r="X2955" s="574">
        <f t="shared" si="370"/>
        <v>0</v>
      </c>
      <c r="Y2955" s="487"/>
      <c r="Z2955" s="487"/>
      <c r="AA2955" s="276">
        <f t="shared" si="371"/>
        <v>0</v>
      </c>
      <c r="AB2955" s="573"/>
      <c r="AC2955" s="487"/>
      <c r="AD2955" s="573"/>
      <c r="AE2955" s="487"/>
      <c r="AF2955" s="577">
        <f t="shared" si="375"/>
        <v>20761471</v>
      </c>
      <c r="AG2955" s="275">
        <f t="shared" si="376"/>
        <v>19306566</v>
      </c>
    </row>
    <row r="2956" spans="1:33" ht="12" customHeight="1">
      <c r="A2956" s="614" t="s">
        <v>1275</v>
      </c>
      <c r="B2956" s="615" t="s">
        <v>1776</v>
      </c>
      <c r="C2956" s="614" t="s">
        <v>568</v>
      </c>
      <c r="D2956" s="761">
        <v>228316</v>
      </c>
      <c r="E2956" s="625">
        <v>9</v>
      </c>
      <c r="F2956" s="573">
        <v>11479211</v>
      </c>
      <c r="G2956" s="487">
        <v>8758504</v>
      </c>
      <c r="H2956" s="573"/>
      <c r="I2956" s="487"/>
      <c r="J2956" s="573">
        <v>1782603</v>
      </c>
      <c r="K2956" s="487">
        <v>1864218</v>
      </c>
      <c r="L2956" s="573">
        <v>9460894</v>
      </c>
      <c r="M2956" s="573"/>
      <c r="N2956" s="456">
        <f t="shared" si="369"/>
        <v>9460894</v>
      </c>
      <c r="O2956" s="487">
        <v>9710672</v>
      </c>
      <c r="P2956" s="487"/>
      <c r="Q2956" s="274">
        <f t="shared" si="372"/>
        <v>9710672</v>
      </c>
      <c r="R2956" s="574">
        <f t="shared" si="373"/>
        <v>22722708</v>
      </c>
      <c r="S2956" s="275">
        <f t="shared" si="374"/>
        <v>20333394</v>
      </c>
      <c r="T2956" s="575"/>
      <c r="U2956" s="487"/>
      <c r="V2956" s="576"/>
      <c r="W2956" s="573"/>
      <c r="X2956" s="574">
        <f t="shared" si="370"/>
        <v>0</v>
      </c>
      <c r="Y2956" s="487"/>
      <c r="Z2956" s="487"/>
      <c r="AA2956" s="276">
        <f t="shared" si="371"/>
        <v>0</v>
      </c>
      <c r="AB2956" s="573"/>
      <c r="AC2956" s="487"/>
      <c r="AD2956" s="573"/>
      <c r="AE2956" s="487"/>
      <c r="AF2956" s="577">
        <f t="shared" si="375"/>
        <v>22722708</v>
      </c>
      <c r="AG2956" s="275">
        <f t="shared" si="376"/>
        <v>20333394</v>
      </c>
    </row>
    <row r="2957" spans="1:33" ht="12" customHeight="1">
      <c r="A2957" s="614" t="s">
        <v>1275</v>
      </c>
      <c r="B2957" s="615" t="s">
        <v>1776</v>
      </c>
      <c r="C2957" s="614" t="s">
        <v>569</v>
      </c>
      <c r="D2957" s="761">
        <v>228608</v>
      </c>
      <c r="E2957" s="625">
        <v>9</v>
      </c>
      <c r="F2957" s="573">
        <v>9740956</v>
      </c>
      <c r="G2957" s="487">
        <v>7730411</v>
      </c>
      <c r="H2957" s="573"/>
      <c r="I2957" s="487"/>
      <c r="J2957" s="573">
        <v>5559280</v>
      </c>
      <c r="K2957" s="487">
        <v>6542503</v>
      </c>
      <c r="L2957" s="573">
        <v>8889458</v>
      </c>
      <c r="M2957" s="573"/>
      <c r="N2957" s="456">
        <f t="shared" si="369"/>
        <v>8889458</v>
      </c>
      <c r="O2957" s="487">
        <v>11000405</v>
      </c>
      <c r="P2957" s="487"/>
      <c r="Q2957" s="274">
        <f t="shared" si="372"/>
        <v>11000405</v>
      </c>
      <c r="R2957" s="574">
        <f t="shared" si="373"/>
        <v>24189694</v>
      </c>
      <c r="S2957" s="275">
        <f t="shared" si="374"/>
        <v>25273319</v>
      </c>
      <c r="T2957" s="575"/>
      <c r="U2957" s="487"/>
      <c r="V2957" s="576"/>
      <c r="W2957" s="573"/>
      <c r="X2957" s="574">
        <f t="shared" si="370"/>
        <v>0</v>
      </c>
      <c r="Y2957" s="487"/>
      <c r="Z2957" s="487"/>
      <c r="AA2957" s="276">
        <f t="shared" si="371"/>
        <v>0</v>
      </c>
      <c r="AB2957" s="573"/>
      <c r="AC2957" s="487"/>
      <c r="AD2957" s="573"/>
      <c r="AE2957" s="487"/>
      <c r="AF2957" s="577">
        <f t="shared" si="375"/>
        <v>24189694</v>
      </c>
      <c r="AG2957" s="275">
        <f t="shared" si="376"/>
        <v>25273319</v>
      </c>
    </row>
    <row r="2958" spans="1:33" ht="12" customHeight="1">
      <c r="A2958" s="614" t="s">
        <v>1275</v>
      </c>
      <c r="B2958" s="615" t="s">
        <v>1776</v>
      </c>
      <c r="C2958" s="614" t="s">
        <v>570</v>
      </c>
      <c r="D2958" s="761">
        <v>228699</v>
      </c>
      <c r="E2958" s="625">
        <v>9</v>
      </c>
      <c r="F2958" s="573">
        <v>11642956</v>
      </c>
      <c r="G2958" s="487">
        <v>9541081</v>
      </c>
      <c r="H2958" s="573"/>
      <c r="I2958" s="487"/>
      <c r="J2958" s="573">
        <v>981698</v>
      </c>
      <c r="K2958" s="487">
        <v>1066493</v>
      </c>
      <c r="L2958" s="573">
        <v>5300004</v>
      </c>
      <c r="M2958" s="573"/>
      <c r="N2958" s="456">
        <f t="shared" si="369"/>
        <v>5300004</v>
      </c>
      <c r="O2958" s="487">
        <v>5788274</v>
      </c>
      <c r="P2958" s="487"/>
      <c r="Q2958" s="274">
        <f t="shared" si="372"/>
        <v>5788274</v>
      </c>
      <c r="R2958" s="574">
        <f t="shared" si="373"/>
        <v>17924658</v>
      </c>
      <c r="S2958" s="275">
        <f t="shared" si="374"/>
        <v>16395848</v>
      </c>
      <c r="T2958" s="575"/>
      <c r="U2958" s="487"/>
      <c r="V2958" s="576"/>
      <c r="W2958" s="573"/>
      <c r="X2958" s="574">
        <f t="shared" si="370"/>
        <v>0</v>
      </c>
      <c r="Y2958" s="487"/>
      <c r="Z2958" s="487"/>
      <c r="AA2958" s="276">
        <f t="shared" si="371"/>
        <v>0</v>
      </c>
      <c r="AB2958" s="573"/>
      <c r="AC2958" s="487"/>
      <c r="AD2958" s="573"/>
      <c r="AE2958" s="487"/>
      <c r="AF2958" s="577">
        <f t="shared" si="375"/>
        <v>17924658</v>
      </c>
      <c r="AG2958" s="275">
        <f t="shared" si="376"/>
        <v>16395848</v>
      </c>
    </row>
    <row r="2959" spans="1:33" ht="12" customHeight="1">
      <c r="A2959" s="614" t="s">
        <v>1275</v>
      </c>
      <c r="B2959" s="615" t="s">
        <v>1776</v>
      </c>
      <c r="C2959" s="614" t="s">
        <v>571</v>
      </c>
      <c r="D2959" s="761">
        <v>229319</v>
      </c>
      <c r="E2959" s="625">
        <v>9</v>
      </c>
      <c r="F2959" s="573">
        <v>22110885</v>
      </c>
      <c r="G2959" s="487">
        <v>21017740</v>
      </c>
      <c r="H2959" s="573"/>
      <c r="I2959" s="487"/>
      <c r="J2959" s="573"/>
      <c r="K2959" s="487"/>
      <c r="L2959" s="573">
        <v>6587748</v>
      </c>
      <c r="M2959" s="573"/>
      <c r="N2959" s="456">
        <f t="shared" si="369"/>
        <v>6587748</v>
      </c>
      <c r="O2959" s="487">
        <v>7823197</v>
      </c>
      <c r="P2959" s="487"/>
      <c r="Q2959" s="274">
        <f t="shared" si="372"/>
        <v>7823197</v>
      </c>
      <c r="R2959" s="574">
        <f t="shared" si="373"/>
        <v>28698633</v>
      </c>
      <c r="S2959" s="275">
        <f t="shared" si="374"/>
        <v>28840937</v>
      </c>
      <c r="T2959" s="575"/>
      <c r="U2959" s="487"/>
      <c r="V2959" s="576"/>
      <c r="W2959" s="573"/>
      <c r="X2959" s="574">
        <f t="shared" si="370"/>
        <v>0</v>
      </c>
      <c r="Y2959" s="487"/>
      <c r="Z2959" s="487"/>
      <c r="AA2959" s="276">
        <f t="shared" si="371"/>
        <v>0</v>
      </c>
      <c r="AB2959" s="573"/>
      <c r="AC2959" s="487"/>
      <c r="AD2959" s="573"/>
      <c r="AE2959" s="487"/>
      <c r="AF2959" s="577">
        <f t="shared" si="375"/>
        <v>28698633</v>
      </c>
      <c r="AG2959" s="275">
        <f t="shared" si="376"/>
        <v>28840937</v>
      </c>
    </row>
    <row r="2960" spans="1:33" ht="12" customHeight="1">
      <c r="A2960" s="614" t="s">
        <v>1275</v>
      </c>
      <c r="B2960" s="615" t="s">
        <v>1776</v>
      </c>
      <c r="C2960" s="614" t="s">
        <v>1483</v>
      </c>
      <c r="D2960" s="761">
        <v>228680</v>
      </c>
      <c r="E2960" s="625">
        <v>9</v>
      </c>
      <c r="F2960" s="573">
        <v>28961122</v>
      </c>
      <c r="G2960" s="487">
        <v>28745372</v>
      </c>
      <c r="H2960" s="573"/>
      <c r="I2960" s="487"/>
      <c r="J2960" s="573"/>
      <c r="K2960" s="487"/>
      <c r="L2960" s="573">
        <v>9985983</v>
      </c>
      <c r="M2960" s="573"/>
      <c r="N2960" s="456">
        <f t="shared" si="369"/>
        <v>9985983</v>
      </c>
      <c r="O2960" s="487">
        <v>9463044</v>
      </c>
      <c r="P2960" s="487"/>
      <c r="Q2960" s="274">
        <f t="shared" si="372"/>
        <v>9463044</v>
      </c>
      <c r="R2960" s="574">
        <f t="shared" si="373"/>
        <v>38947105</v>
      </c>
      <c r="S2960" s="275">
        <f t="shared" si="374"/>
        <v>38208416</v>
      </c>
      <c r="T2960" s="575"/>
      <c r="U2960" s="487"/>
      <c r="V2960" s="576"/>
      <c r="W2960" s="573"/>
      <c r="X2960" s="574">
        <f t="shared" si="370"/>
        <v>0</v>
      </c>
      <c r="Y2960" s="487"/>
      <c r="Z2960" s="487"/>
      <c r="AA2960" s="276">
        <f t="shared" si="371"/>
        <v>0</v>
      </c>
      <c r="AB2960" s="573"/>
      <c r="AC2960" s="487"/>
      <c r="AD2960" s="573"/>
      <c r="AE2960" s="487"/>
      <c r="AF2960" s="577">
        <f t="shared" si="375"/>
        <v>38947105</v>
      </c>
      <c r="AG2960" s="275">
        <f t="shared" si="376"/>
        <v>38208416</v>
      </c>
    </row>
    <row r="2961" spans="1:33" ht="12" customHeight="1">
      <c r="A2961" s="614" t="s">
        <v>1275</v>
      </c>
      <c r="B2961" s="615" t="s">
        <v>1776</v>
      </c>
      <c r="C2961" s="614" t="s">
        <v>1484</v>
      </c>
      <c r="D2961" s="761">
        <v>225308</v>
      </c>
      <c r="E2961" s="625">
        <v>9</v>
      </c>
      <c r="F2961" s="573">
        <v>14957483</v>
      </c>
      <c r="G2961" s="487">
        <v>12414973</v>
      </c>
      <c r="H2961" s="573"/>
      <c r="I2961" s="487"/>
      <c r="J2961" s="573">
        <v>5555262</v>
      </c>
      <c r="K2961" s="487">
        <v>6148879</v>
      </c>
      <c r="L2961" s="573">
        <v>5838455</v>
      </c>
      <c r="M2961" s="573"/>
      <c r="N2961" s="456">
        <f t="shared" si="369"/>
        <v>5838455</v>
      </c>
      <c r="O2961" s="487">
        <v>6030045</v>
      </c>
      <c r="P2961" s="487"/>
      <c r="Q2961" s="274">
        <f t="shared" si="372"/>
        <v>6030045</v>
      </c>
      <c r="R2961" s="574">
        <f t="shared" si="373"/>
        <v>26351200</v>
      </c>
      <c r="S2961" s="275">
        <f t="shared" si="374"/>
        <v>24593897</v>
      </c>
      <c r="T2961" s="575"/>
      <c r="U2961" s="487"/>
      <c r="V2961" s="576"/>
      <c r="W2961" s="573"/>
      <c r="X2961" s="574">
        <f t="shared" si="370"/>
        <v>0</v>
      </c>
      <c r="Y2961" s="487"/>
      <c r="Z2961" s="487"/>
      <c r="AA2961" s="276">
        <f t="shared" si="371"/>
        <v>0</v>
      </c>
      <c r="AB2961" s="573"/>
      <c r="AC2961" s="487"/>
      <c r="AD2961" s="573"/>
      <c r="AE2961" s="487"/>
      <c r="AF2961" s="577">
        <f t="shared" si="375"/>
        <v>26351200</v>
      </c>
      <c r="AG2961" s="275">
        <f t="shared" si="376"/>
        <v>24593897</v>
      </c>
    </row>
    <row r="2962" spans="1:33" ht="12" customHeight="1">
      <c r="A2962" s="614" t="s">
        <v>1275</v>
      </c>
      <c r="B2962" s="615" t="s">
        <v>1776</v>
      </c>
      <c r="C2962" s="614" t="s">
        <v>1485</v>
      </c>
      <c r="D2962" s="761">
        <v>229504</v>
      </c>
      <c r="E2962" s="625">
        <v>9</v>
      </c>
      <c r="F2962" s="573">
        <v>7497464</v>
      </c>
      <c r="G2962" s="487">
        <v>5914929</v>
      </c>
      <c r="H2962" s="573"/>
      <c r="I2962" s="487"/>
      <c r="J2962" s="573">
        <v>2036614</v>
      </c>
      <c r="K2962" s="487">
        <v>2043714</v>
      </c>
      <c r="L2962" s="573">
        <v>5779455</v>
      </c>
      <c r="M2962" s="573"/>
      <c r="N2962" s="456">
        <f t="shared" si="369"/>
        <v>5779455</v>
      </c>
      <c r="O2962" s="487">
        <v>5755595</v>
      </c>
      <c r="P2962" s="487"/>
      <c r="Q2962" s="274">
        <f t="shared" si="372"/>
        <v>5755595</v>
      </c>
      <c r="R2962" s="574">
        <f t="shared" si="373"/>
        <v>15313533</v>
      </c>
      <c r="S2962" s="275">
        <f t="shared" si="374"/>
        <v>13714238</v>
      </c>
      <c r="T2962" s="575"/>
      <c r="U2962" s="487"/>
      <c r="V2962" s="576"/>
      <c r="W2962" s="573"/>
      <c r="X2962" s="574">
        <f t="shared" si="370"/>
        <v>0</v>
      </c>
      <c r="Y2962" s="487"/>
      <c r="Z2962" s="487"/>
      <c r="AA2962" s="276">
        <f t="shared" si="371"/>
        <v>0</v>
      </c>
      <c r="AB2962" s="573"/>
      <c r="AC2962" s="487"/>
      <c r="AD2962" s="573"/>
      <c r="AE2962" s="487"/>
      <c r="AF2962" s="577">
        <f t="shared" si="375"/>
        <v>15313533</v>
      </c>
      <c r="AG2962" s="275">
        <f t="shared" si="376"/>
        <v>13714238</v>
      </c>
    </row>
    <row r="2963" spans="1:33" ht="12" customHeight="1">
      <c r="A2963" s="614" t="s">
        <v>1275</v>
      </c>
      <c r="B2963" s="615" t="s">
        <v>1776</v>
      </c>
      <c r="C2963" s="614" t="s">
        <v>1486</v>
      </c>
      <c r="D2963" s="761">
        <v>229540</v>
      </c>
      <c r="E2963" s="625">
        <v>9</v>
      </c>
      <c r="F2963" s="573">
        <v>10233116</v>
      </c>
      <c r="G2963" s="487">
        <v>7765095</v>
      </c>
      <c r="H2963" s="573"/>
      <c r="I2963" s="487"/>
      <c r="J2963" s="573">
        <v>6019337</v>
      </c>
      <c r="K2963" s="487">
        <v>6541319</v>
      </c>
      <c r="L2963" s="573">
        <v>6048159</v>
      </c>
      <c r="M2963" s="573"/>
      <c r="N2963" s="456">
        <f t="shared" ref="N2963:N3026" si="377">SUM(L2963:M2963)</f>
        <v>6048159</v>
      </c>
      <c r="O2963" s="487">
        <v>6400761</v>
      </c>
      <c r="P2963" s="487"/>
      <c r="Q2963" s="274">
        <f t="shared" si="372"/>
        <v>6400761</v>
      </c>
      <c r="R2963" s="574">
        <f t="shared" si="373"/>
        <v>22300612</v>
      </c>
      <c r="S2963" s="275">
        <f t="shared" si="374"/>
        <v>20707175</v>
      </c>
      <c r="T2963" s="575"/>
      <c r="U2963" s="487"/>
      <c r="V2963" s="576"/>
      <c r="W2963" s="573"/>
      <c r="X2963" s="574">
        <f t="shared" ref="X2963:X3026" si="378">SUM(V2963:W2963)</f>
        <v>0</v>
      </c>
      <c r="Y2963" s="487"/>
      <c r="Z2963" s="487"/>
      <c r="AA2963" s="276">
        <f t="shared" ref="AA2963:AA3026" si="379">SUM(Y2963:Z2963)</f>
        <v>0</v>
      </c>
      <c r="AB2963" s="573"/>
      <c r="AC2963" s="487"/>
      <c r="AD2963" s="573"/>
      <c r="AE2963" s="487"/>
      <c r="AF2963" s="577">
        <f t="shared" si="375"/>
        <v>22300612</v>
      </c>
      <c r="AG2963" s="275">
        <f t="shared" si="376"/>
        <v>20707175</v>
      </c>
    </row>
    <row r="2964" spans="1:33" ht="12" customHeight="1">
      <c r="A2964" s="614" t="s">
        <v>1275</v>
      </c>
      <c r="B2964" s="615" t="s">
        <v>1776</v>
      </c>
      <c r="C2964" s="614" t="s">
        <v>1487</v>
      </c>
      <c r="D2964" s="761">
        <v>229799</v>
      </c>
      <c r="E2964" s="625">
        <v>9</v>
      </c>
      <c r="F2964" s="573">
        <v>10062218</v>
      </c>
      <c r="G2964" s="487">
        <v>8949530</v>
      </c>
      <c r="H2964" s="573"/>
      <c r="I2964" s="487"/>
      <c r="J2964" s="573">
        <v>7627168</v>
      </c>
      <c r="K2964" s="487">
        <v>8572873</v>
      </c>
      <c r="L2964" s="573">
        <v>7096233</v>
      </c>
      <c r="M2964" s="573"/>
      <c r="N2964" s="456">
        <f t="shared" si="377"/>
        <v>7096233</v>
      </c>
      <c r="O2964" s="487">
        <v>7839869</v>
      </c>
      <c r="P2964" s="487"/>
      <c r="Q2964" s="274">
        <f t="shared" si="372"/>
        <v>7839869</v>
      </c>
      <c r="R2964" s="574">
        <f t="shared" si="373"/>
        <v>24785619</v>
      </c>
      <c r="S2964" s="275">
        <f t="shared" si="374"/>
        <v>25362272</v>
      </c>
      <c r="T2964" s="575"/>
      <c r="U2964" s="487"/>
      <c r="V2964" s="576"/>
      <c r="W2964" s="573"/>
      <c r="X2964" s="574">
        <f t="shared" si="378"/>
        <v>0</v>
      </c>
      <c r="Y2964" s="487"/>
      <c r="Z2964" s="487"/>
      <c r="AA2964" s="276">
        <f t="shared" si="379"/>
        <v>0</v>
      </c>
      <c r="AB2964" s="573"/>
      <c r="AC2964" s="487"/>
      <c r="AD2964" s="573"/>
      <c r="AE2964" s="487"/>
      <c r="AF2964" s="577">
        <f t="shared" si="375"/>
        <v>24785619</v>
      </c>
      <c r="AG2964" s="275">
        <f t="shared" si="376"/>
        <v>25362272</v>
      </c>
    </row>
    <row r="2965" spans="1:33" ht="12" customHeight="1">
      <c r="A2965" s="614" t="s">
        <v>1275</v>
      </c>
      <c r="B2965" s="615" t="s">
        <v>1776</v>
      </c>
      <c r="C2965" s="614" t="s">
        <v>1488</v>
      </c>
      <c r="D2965" s="761">
        <v>229841</v>
      </c>
      <c r="E2965" s="625">
        <v>9</v>
      </c>
      <c r="F2965" s="573">
        <v>11542894</v>
      </c>
      <c r="G2965" s="487">
        <v>9084614</v>
      </c>
      <c r="H2965" s="573"/>
      <c r="I2965" s="487"/>
      <c r="J2965" s="573">
        <v>4140116</v>
      </c>
      <c r="K2965" s="487">
        <v>4246434</v>
      </c>
      <c r="L2965" s="573">
        <v>12137671</v>
      </c>
      <c r="M2965" s="573"/>
      <c r="N2965" s="456">
        <f t="shared" si="377"/>
        <v>12137671</v>
      </c>
      <c r="O2965" s="487">
        <v>12362228</v>
      </c>
      <c r="P2965" s="487"/>
      <c r="Q2965" s="274">
        <f t="shared" si="372"/>
        <v>12362228</v>
      </c>
      <c r="R2965" s="574">
        <f t="shared" si="373"/>
        <v>27820681</v>
      </c>
      <c r="S2965" s="275">
        <f t="shared" si="374"/>
        <v>25693276</v>
      </c>
      <c r="T2965" s="575"/>
      <c r="U2965" s="487"/>
      <c r="V2965" s="576"/>
      <c r="W2965" s="573"/>
      <c r="X2965" s="574">
        <f t="shared" si="378"/>
        <v>0</v>
      </c>
      <c r="Y2965" s="487"/>
      <c r="Z2965" s="487"/>
      <c r="AA2965" s="276">
        <f t="shared" si="379"/>
        <v>0</v>
      </c>
      <c r="AB2965" s="573"/>
      <c r="AC2965" s="487"/>
      <c r="AD2965" s="573"/>
      <c r="AE2965" s="487"/>
      <c r="AF2965" s="577">
        <f t="shared" si="375"/>
        <v>27820681</v>
      </c>
      <c r="AG2965" s="275">
        <f t="shared" si="376"/>
        <v>25693276</v>
      </c>
    </row>
    <row r="2966" spans="1:33" ht="12" customHeight="1">
      <c r="A2966" s="614" t="s">
        <v>1275</v>
      </c>
      <c r="B2966" s="615" t="s">
        <v>1776</v>
      </c>
      <c r="C2966" s="614" t="s">
        <v>1489</v>
      </c>
      <c r="D2966" s="761">
        <v>223922</v>
      </c>
      <c r="E2966" s="625">
        <v>10</v>
      </c>
      <c r="F2966" s="573">
        <v>3063357</v>
      </c>
      <c r="G2966" s="487">
        <v>2345458</v>
      </c>
      <c r="H2966" s="573"/>
      <c r="I2966" s="487"/>
      <c r="J2966" s="573">
        <v>351127</v>
      </c>
      <c r="K2966" s="487">
        <v>369179</v>
      </c>
      <c r="L2966" s="573">
        <v>2268150</v>
      </c>
      <c r="M2966" s="573"/>
      <c r="N2966" s="456">
        <f t="shared" si="377"/>
        <v>2268150</v>
      </c>
      <c r="O2966" s="487">
        <v>2564876</v>
      </c>
      <c r="P2966" s="487"/>
      <c r="Q2966" s="274">
        <f t="shared" si="372"/>
        <v>2564876</v>
      </c>
      <c r="R2966" s="574">
        <f t="shared" si="373"/>
        <v>5682634</v>
      </c>
      <c r="S2966" s="275">
        <f t="shared" si="374"/>
        <v>5279513</v>
      </c>
      <c r="T2966" s="575"/>
      <c r="U2966" s="487"/>
      <c r="V2966" s="576"/>
      <c r="W2966" s="573"/>
      <c r="X2966" s="574">
        <f t="shared" si="378"/>
        <v>0</v>
      </c>
      <c r="Y2966" s="487"/>
      <c r="Z2966" s="487"/>
      <c r="AA2966" s="276">
        <f t="shared" si="379"/>
        <v>0</v>
      </c>
      <c r="AB2966" s="573"/>
      <c r="AC2966" s="487"/>
      <c r="AD2966" s="573"/>
      <c r="AE2966" s="487"/>
      <c r="AF2966" s="577">
        <f t="shared" si="375"/>
        <v>5682634</v>
      </c>
      <c r="AG2966" s="275">
        <f t="shared" si="376"/>
        <v>5279513</v>
      </c>
    </row>
    <row r="2967" spans="1:33" ht="12" customHeight="1">
      <c r="A2967" s="614" t="s">
        <v>1275</v>
      </c>
      <c r="B2967" s="615" t="s">
        <v>1776</v>
      </c>
      <c r="C2967" s="614" t="s">
        <v>405</v>
      </c>
      <c r="D2967" s="761">
        <v>224891</v>
      </c>
      <c r="E2967" s="625">
        <v>10</v>
      </c>
      <c r="F2967" s="573">
        <v>3908100</v>
      </c>
      <c r="G2967" s="487">
        <v>3019140</v>
      </c>
      <c r="H2967" s="573"/>
      <c r="I2967" s="487"/>
      <c r="J2967" s="573">
        <v>1184304</v>
      </c>
      <c r="K2967" s="487">
        <v>1222654</v>
      </c>
      <c r="L2967" s="573">
        <v>3005844</v>
      </c>
      <c r="M2967" s="573"/>
      <c r="N2967" s="456">
        <f t="shared" si="377"/>
        <v>3005844</v>
      </c>
      <c r="O2967" s="487">
        <v>2830873</v>
      </c>
      <c r="P2967" s="487"/>
      <c r="Q2967" s="274">
        <f t="shared" si="372"/>
        <v>2830873</v>
      </c>
      <c r="R2967" s="574">
        <f t="shared" si="373"/>
        <v>8098248</v>
      </c>
      <c r="S2967" s="275">
        <f t="shared" si="374"/>
        <v>7072667</v>
      </c>
      <c r="T2967" s="575"/>
      <c r="U2967" s="487"/>
      <c r="V2967" s="576"/>
      <c r="W2967" s="573"/>
      <c r="X2967" s="574">
        <f t="shared" si="378"/>
        <v>0</v>
      </c>
      <c r="Y2967" s="487"/>
      <c r="Z2967" s="487"/>
      <c r="AA2967" s="276">
        <f t="shared" si="379"/>
        <v>0</v>
      </c>
      <c r="AB2967" s="573"/>
      <c r="AC2967" s="487"/>
      <c r="AD2967" s="573"/>
      <c r="AE2967" s="487"/>
      <c r="AF2967" s="577">
        <f t="shared" si="375"/>
        <v>8098248</v>
      </c>
      <c r="AG2967" s="275">
        <f t="shared" si="376"/>
        <v>7072667</v>
      </c>
    </row>
    <row r="2968" spans="1:33" ht="12" customHeight="1">
      <c r="A2968" s="614" t="s">
        <v>1275</v>
      </c>
      <c r="B2968" s="615" t="s">
        <v>1776</v>
      </c>
      <c r="C2968" s="614" t="s">
        <v>406</v>
      </c>
      <c r="D2968" s="761">
        <v>224961</v>
      </c>
      <c r="E2968" s="625">
        <v>10</v>
      </c>
      <c r="F2968" s="573">
        <v>6732049</v>
      </c>
      <c r="G2968" s="487">
        <v>5259191</v>
      </c>
      <c r="H2968" s="573"/>
      <c r="I2968" s="487"/>
      <c r="J2968" s="573">
        <v>7645767</v>
      </c>
      <c r="K2968" s="487">
        <v>8240296</v>
      </c>
      <c r="L2968" s="573">
        <v>2729978</v>
      </c>
      <c r="M2968" s="573"/>
      <c r="N2968" s="456">
        <f t="shared" si="377"/>
        <v>2729978</v>
      </c>
      <c r="O2968" s="487">
        <v>2614011</v>
      </c>
      <c r="P2968" s="487"/>
      <c r="Q2968" s="274">
        <f t="shared" si="372"/>
        <v>2614011</v>
      </c>
      <c r="R2968" s="574">
        <f t="shared" si="373"/>
        <v>17107794</v>
      </c>
      <c r="S2968" s="275">
        <f t="shared" si="374"/>
        <v>16113498</v>
      </c>
      <c r="T2968" s="575"/>
      <c r="U2968" s="487"/>
      <c r="V2968" s="576"/>
      <c r="W2968" s="573"/>
      <c r="X2968" s="574">
        <f t="shared" si="378"/>
        <v>0</v>
      </c>
      <c r="Y2968" s="487"/>
      <c r="Z2968" s="487"/>
      <c r="AA2968" s="276">
        <f t="shared" si="379"/>
        <v>0</v>
      </c>
      <c r="AB2968" s="573"/>
      <c r="AC2968" s="487"/>
      <c r="AD2968" s="573"/>
      <c r="AE2968" s="487"/>
      <c r="AF2968" s="577">
        <f t="shared" si="375"/>
        <v>17107794</v>
      </c>
      <c r="AG2968" s="275">
        <f t="shared" si="376"/>
        <v>16113498</v>
      </c>
    </row>
    <row r="2969" spans="1:33" ht="12" customHeight="1">
      <c r="A2969" s="614" t="s">
        <v>1275</v>
      </c>
      <c r="B2969" s="615" t="s">
        <v>1776</v>
      </c>
      <c r="C2969" s="614" t="s">
        <v>403</v>
      </c>
      <c r="D2969" s="761">
        <v>226107</v>
      </c>
      <c r="E2969" s="625">
        <v>10</v>
      </c>
      <c r="F2969" s="573">
        <v>8296102</v>
      </c>
      <c r="G2969" s="487">
        <v>8324194</v>
      </c>
      <c r="H2969" s="573"/>
      <c r="I2969" s="487"/>
      <c r="J2969" s="573"/>
      <c r="K2969" s="487"/>
      <c r="L2969" s="573">
        <v>6753670</v>
      </c>
      <c r="M2969" s="573">
        <v>23155</v>
      </c>
      <c r="N2969" s="456">
        <f t="shared" si="377"/>
        <v>6776825</v>
      </c>
      <c r="O2969" s="487">
        <v>7597584</v>
      </c>
      <c r="P2969" s="487">
        <v>23155</v>
      </c>
      <c r="Q2969" s="274">
        <f t="shared" si="372"/>
        <v>7620739</v>
      </c>
      <c r="R2969" s="574">
        <f t="shared" si="373"/>
        <v>15049772</v>
      </c>
      <c r="S2969" s="275">
        <f t="shared" si="374"/>
        <v>15921778</v>
      </c>
      <c r="T2969" s="575"/>
      <c r="U2969" s="487"/>
      <c r="V2969" s="576"/>
      <c r="W2969" s="573"/>
      <c r="X2969" s="574">
        <f t="shared" si="378"/>
        <v>0</v>
      </c>
      <c r="Y2969" s="487"/>
      <c r="Z2969" s="487"/>
      <c r="AA2969" s="276">
        <f t="shared" si="379"/>
        <v>0</v>
      </c>
      <c r="AB2969" s="573"/>
      <c r="AC2969" s="487"/>
      <c r="AD2969" s="573"/>
      <c r="AE2969" s="487"/>
      <c r="AF2969" s="577">
        <f t="shared" si="375"/>
        <v>15049772</v>
      </c>
      <c r="AG2969" s="275">
        <f t="shared" si="376"/>
        <v>15921778</v>
      </c>
    </row>
    <row r="2970" spans="1:33" ht="12" customHeight="1">
      <c r="A2970" s="614" t="s">
        <v>1275</v>
      </c>
      <c r="B2970" s="615" t="s">
        <v>1776</v>
      </c>
      <c r="C2970" s="614" t="s">
        <v>398</v>
      </c>
      <c r="D2970" s="761">
        <v>226116</v>
      </c>
      <c r="E2970" s="625">
        <v>10</v>
      </c>
      <c r="F2970" s="573">
        <v>11167222</v>
      </c>
      <c r="G2970" s="487">
        <v>11671270</v>
      </c>
      <c r="H2970" s="573"/>
      <c r="I2970" s="487"/>
      <c r="J2970" s="573"/>
      <c r="K2970" s="487"/>
      <c r="L2970" s="573">
        <v>5028496</v>
      </c>
      <c r="M2970" s="573">
        <v>26000</v>
      </c>
      <c r="N2970" s="456">
        <f t="shared" si="377"/>
        <v>5054496</v>
      </c>
      <c r="O2970" s="487">
        <v>5375819</v>
      </c>
      <c r="P2970" s="487">
        <v>26000</v>
      </c>
      <c r="Q2970" s="274">
        <f t="shared" si="372"/>
        <v>5401819</v>
      </c>
      <c r="R2970" s="574">
        <f t="shared" si="373"/>
        <v>16195718</v>
      </c>
      <c r="S2970" s="275">
        <f t="shared" si="374"/>
        <v>17047089</v>
      </c>
      <c r="T2970" s="575"/>
      <c r="U2970" s="487"/>
      <c r="V2970" s="576"/>
      <c r="W2970" s="573"/>
      <c r="X2970" s="574">
        <f t="shared" si="378"/>
        <v>0</v>
      </c>
      <c r="Y2970" s="487"/>
      <c r="Z2970" s="487"/>
      <c r="AA2970" s="276">
        <f t="shared" si="379"/>
        <v>0</v>
      </c>
      <c r="AB2970" s="573"/>
      <c r="AC2970" s="487"/>
      <c r="AD2970" s="573"/>
      <c r="AE2970" s="487"/>
      <c r="AF2970" s="577">
        <f t="shared" si="375"/>
        <v>16195718</v>
      </c>
      <c r="AG2970" s="275">
        <f t="shared" si="376"/>
        <v>17047089</v>
      </c>
    </row>
    <row r="2971" spans="1:33" ht="12" customHeight="1">
      <c r="A2971" s="614" t="s">
        <v>1275</v>
      </c>
      <c r="B2971" s="615" t="s">
        <v>1776</v>
      </c>
      <c r="C2971" s="764" t="s">
        <v>1382</v>
      </c>
      <c r="D2971" s="481" t="s">
        <v>1228</v>
      </c>
      <c r="E2971" s="625">
        <v>10</v>
      </c>
      <c r="F2971" s="573"/>
      <c r="G2971" s="487"/>
      <c r="H2971" s="573"/>
      <c r="I2971" s="487"/>
      <c r="J2971" s="573"/>
      <c r="K2971" s="487"/>
      <c r="L2971" s="573"/>
      <c r="M2971" s="573"/>
      <c r="N2971" s="456">
        <f t="shared" si="377"/>
        <v>0</v>
      </c>
      <c r="O2971" s="487"/>
      <c r="P2971" s="487"/>
      <c r="Q2971" s="274">
        <f t="shared" si="372"/>
        <v>0</v>
      </c>
      <c r="R2971" s="574">
        <f t="shared" si="373"/>
        <v>0</v>
      </c>
      <c r="S2971" s="275">
        <f t="shared" si="374"/>
        <v>0</v>
      </c>
      <c r="T2971" s="575"/>
      <c r="U2971" s="487"/>
      <c r="V2971" s="576"/>
      <c r="W2971" s="573"/>
      <c r="X2971" s="574">
        <f t="shared" si="378"/>
        <v>0</v>
      </c>
      <c r="Y2971" s="487"/>
      <c r="Z2971" s="487"/>
      <c r="AA2971" s="276">
        <f t="shared" si="379"/>
        <v>0</v>
      </c>
      <c r="AB2971" s="573"/>
      <c r="AC2971" s="487"/>
      <c r="AD2971" s="573"/>
      <c r="AE2971" s="487"/>
      <c r="AF2971" s="577">
        <f t="shared" si="375"/>
        <v>0</v>
      </c>
      <c r="AG2971" s="275">
        <f t="shared" si="376"/>
        <v>0</v>
      </c>
    </row>
    <row r="2972" spans="1:33" ht="12" customHeight="1">
      <c r="A2972" s="614" t="s">
        <v>1275</v>
      </c>
      <c r="B2972" s="615" t="s">
        <v>1776</v>
      </c>
      <c r="C2972" s="614" t="s">
        <v>404</v>
      </c>
      <c r="D2972" s="761">
        <v>227225</v>
      </c>
      <c r="E2972" s="625">
        <v>10</v>
      </c>
      <c r="F2972" s="573">
        <v>5818492</v>
      </c>
      <c r="G2972" s="487">
        <v>4466972</v>
      </c>
      <c r="H2972" s="573"/>
      <c r="I2972" s="487"/>
      <c r="J2972" s="573">
        <v>2683663</v>
      </c>
      <c r="K2972" s="487">
        <v>3928708</v>
      </c>
      <c r="L2972" s="573">
        <v>4275539</v>
      </c>
      <c r="M2972" s="573"/>
      <c r="N2972" s="456">
        <f t="shared" si="377"/>
        <v>4275539</v>
      </c>
      <c r="O2972" s="487">
        <v>4280261</v>
      </c>
      <c r="P2972" s="487"/>
      <c r="Q2972" s="274">
        <f t="shared" si="372"/>
        <v>4280261</v>
      </c>
      <c r="R2972" s="574">
        <f t="shared" si="373"/>
        <v>12777694</v>
      </c>
      <c r="S2972" s="275">
        <f t="shared" si="374"/>
        <v>12675941</v>
      </c>
      <c r="T2972" s="575"/>
      <c r="U2972" s="487"/>
      <c r="V2972" s="576"/>
      <c r="W2972" s="573"/>
      <c r="X2972" s="574">
        <f t="shared" si="378"/>
        <v>0</v>
      </c>
      <c r="Y2972" s="487"/>
      <c r="Z2972" s="487"/>
      <c r="AA2972" s="276">
        <f t="shared" si="379"/>
        <v>0</v>
      </c>
      <c r="AB2972" s="573"/>
      <c r="AC2972" s="487"/>
      <c r="AD2972" s="573"/>
      <c r="AE2972" s="487"/>
      <c r="AF2972" s="577">
        <f t="shared" si="375"/>
        <v>12777694</v>
      </c>
      <c r="AG2972" s="275">
        <f t="shared" si="376"/>
        <v>12675941</v>
      </c>
    </row>
    <row r="2973" spans="1:33" ht="12" customHeight="1">
      <c r="A2973" s="614" t="s">
        <v>1275</v>
      </c>
      <c r="B2973" s="615" t="s">
        <v>1776</v>
      </c>
      <c r="C2973" s="614" t="s">
        <v>1515</v>
      </c>
      <c r="D2973" s="761">
        <v>227386</v>
      </c>
      <c r="E2973" s="625">
        <v>10</v>
      </c>
      <c r="F2973" s="573">
        <v>5471922</v>
      </c>
      <c r="G2973" s="487">
        <v>4084991</v>
      </c>
      <c r="H2973" s="573"/>
      <c r="I2973" s="487"/>
      <c r="J2973" s="573">
        <v>4128715</v>
      </c>
      <c r="K2973" s="487">
        <v>4624730</v>
      </c>
      <c r="L2973" s="573">
        <v>3441699</v>
      </c>
      <c r="M2973" s="573"/>
      <c r="N2973" s="456">
        <f t="shared" si="377"/>
        <v>3441699</v>
      </c>
      <c r="O2973" s="487">
        <v>3687674</v>
      </c>
      <c r="P2973" s="487"/>
      <c r="Q2973" s="274">
        <f t="shared" si="372"/>
        <v>3687674</v>
      </c>
      <c r="R2973" s="574">
        <f t="shared" si="373"/>
        <v>13042336</v>
      </c>
      <c r="S2973" s="275">
        <f t="shared" si="374"/>
        <v>12397395</v>
      </c>
      <c r="T2973" s="575"/>
      <c r="U2973" s="487"/>
      <c r="V2973" s="576"/>
      <c r="W2973" s="573"/>
      <c r="X2973" s="574">
        <f t="shared" si="378"/>
        <v>0</v>
      </c>
      <c r="Y2973" s="487"/>
      <c r="Z2973" s="487"/>
      <c r="AA2973" s="276">
        <f t="shared" si="379"/>
        <v>0</v>
      </c>
      <c r="AB2973" s="573"/>
      <c r="AC2973" s="487"/>
      <c r="AD2973" s="573"/>
      <c r="AE2973" s="487"/>
      <c r="AF2973" s="577">
        <f t="shared" si="375"/>
        <v>13042336</v>
      </c>
      <c r="AG2973" s="275">
        <f t="shared" si="376"/>
        <v>12397395</v>
      </c>
    </row>
    <row r="2974" spans="1:33" ht="12" customHeight="1">
      <c r="A2974" s="614" t="s">
        <v>1275</v>
      </c>
      <c r="B2974" s="615" t="s">
        <v>1776</v>
      </c>
      <c r="C2974" s="614" t="s">
        <v>1516</v>
      </c>
      <c r="D2974" s="761">
        <v>227687</v>
      </c>
      <c r="E2974" s="625">
        <v>10</v>
      </c>
      <c r="F2974" s="573">
        <v>2689559</v>
      </c>
      <c r="G2974" s="487">
        <v>2202632</v>
      </c>
      <c r="H2974" s="573"/>
      <c r="I2974" s="487"/>
      <c r="J2974" s="573">
        <v>186854</v>
      </c>
      <c r="K2974" s="487">
        <v>191706</v>
      </c>
      <c r="L2974" s="573">
        <v>1127174</v>
      </c>
      <c r="M2974" s="573"/>
      <c r="N2974" s="456">
        <f t="shared" si="377"/>
        <v>1127174</v>
      </c>
      <c r="O2974" s="487">
        <v>1409095</v>
      </c>
      <c r="P2974" s="487"/>
      <c r="Q2974" s="274">
        <f t="shared" si="372"/>
        <v>1409095</v>
      </c>
      <c r="R2974" s="574">
        <f t="shared" si="373"/>
        <v>4003587</v>
      </c>
      <c r="S2974" s="275">
        <f t="shared" si="374"/>
        <v>3803433</v>
      </c>
      <c r="T2974" s="575"/>
      <c r="U2974" s="487"/>
      <c r="V2974" s="576"/>
      <c r="W2974" s="573"/>
      <c r="X2974" s="574">
        <f t="shared" si="378"/>
        <v>0</v>
      </c>
      <c r="Y2974" s="487"/>
      <c r="Z2974" s="487"/>
      <c r="AA2974" s="276">
        <f t="shared" si="379"/>
        <v>0</v>
      </c>
      <c r="AB2974" s="573"/>
      <c r="AC2974" s="487"/>
      <c r="AD2974" s="573"/>
      <c r="AE2974" s="487"/>
      <c r="AF2974" s="577">
        <f t="shared" si="375"/>
        <v>4003587</v>
      </c>
      <c r="AG2974" s="275">
        <f t="shared" si="376"/>
        <v>3803433</v>
      </c>
    </row>
    <row r="2975" spans="1:33" ht="12" customHeight="1">
      <c r="A2975" s="614" t="s">
        <v>1275</v>
      </c>
      <c r="B2975" s="615" t="s">
        <v>1776</v>
      </c>
      <c r="C2975" s="614" t="s">
        <v>1517</v>
      </c>
      <c r="D2975" s="761">
        <v>382911</v>
      </c>
      <c r="E2975" s="625">
        <v>10</v>
      </c>
      <c r="F2975" s="573"/>
      <c r="G2975" s="487"/>
      <c r="H2975" s="573"/>
      <c r="I2975" s="487"/>
      <c r="J2975" s="573"/>
      <c r="K2975" s="487"/>
      <c r="L2975" s="573"/>
      <c r="M2975" s="573"/>
      <c r="N2975" s="456">
        <f t="shared" si="377"/>
        <v>0</v>
      </c>
      <c r="O2975" s="487"/>
      <c r="P2975" s="487"/>
      <c r="Q2975" s="274">
        <f t="shared" si="372"/>
        <v>0</v>
      </c>
      <c r="R2975" s="574">
        <f t="shared" si="373"/>
        <v>0</v>
      </c>
      <c r="S2975" s="275">
        <f t="shared" si="374"/>
        <v>0</v>
      </c>
      <c r="T2975" s="575"/>
      <c r="U2975" s="487"/>
      <c r="V2975" s="576"/>
      <c r="W2975" s="573"/>
      <c r="X2975" s="574">
        <f t="shared" si="378"/>
        <v>0</v>
      </c>
      <c r="Y2975" s="487"/>
      <c r="Z2975" s="487"/>
      <c r="AA2975" s="276">
        <f t="shared" si="379"/>
        <v>0</v>
      </c>
      <c r="AB2975" s="573"/>
      <c r="AC2975" s="487"/>
      <c r="AD2975" s="573"/>
      <c r="AE2975" s="487"/>
      <c r="AF2975" s="577">
        <f t="shared" si="375"/>
        <v>0</v>
      </c>
      <c r="AG2975" s="275">
        <f t="shared" si="376"/>
        <v>0</v>
      </c>
    </row>
    <row r="2976" spans="1:33" ht="12" customHeight="1">
      <c r="A2976" s="614" t="s">
        <v>1275</v>
      </c>
      <c r="B2976" s="615" t="s">
        <v>1776</v>
      </c>
      <c r="C2976" s="614" t="s">
        <v>1518</v>
      </c>
      <c r="D2976" s="761">
        <v>408394</v>
      </c>
      <c r="E2976" s="625">
        <v>10</v>
      </c>
      <c r="F2976" s="573">
        <v>4869827</v>
      </c>
      <c r="G2976" s="487">
        <v>4535811</v>
      </c>
      <c r="H2976" s="573"/>
      <c r="I2976" s="487"/>
      <c r="J2976" s="573"/>
      <c r="K2976" s="487"/>
      <c r="L2976" s="573">
        <v>1107464</v>
      </c>
      <c r="M2976" s="573"/>
      <c r="N2976" s="456">
        <f t="shared" si="377"/>
        <v>1107464</v>
      </c>
      <c r="O2976" s="487">
        <v>1516176</v>
      </c>
      <c r="P2976" s="487"/>
      <c r="Q2976" s="274">
        <f t="shared" si="372"/>
        <v>1516176</v>
      </c>
      <c r="R2976" s="574">
        <f t="shared" si="373"/>
        <v>5977291</v>
      </c>
      <c r="S2976" s="275">
        <f t="shared" si="374"/>
        <v>6051987</v>
      </c>
      <c r="T2976" s="575"/>
      <c r="U2976" s="487"/>
      <c r="V2976" s="576"/>
      <c r="W2976" s="573"/>
      <c r="X2976" s="574">
        <f t="shared" si="378"/>
        <v>0</v>
      </c>
      <c r="Y2976" s="487"/>
      <c r="Z2976" s="487"/>
      <c r="AA2976" s="276">
        <f t="shared" si="379"/>
        <v>0</v>
      </c>
      <c r="AB2976" s="573"/>
      <c r="AC2976" s="487"/>
      <c r="AD2976" s="573"/>
      <c r="AE2976" s="487"/>
      <c r="AF2976" s="577">
        <f t="shared" si="375"/>
        <v>5977291</v>
      </c>
      <c r="AG2976" s="275">
        <f t="shared" si="376"/>
        <v>6051987</v>
      </c>
    </row>
    <row r="2977" spans="1:33" ht="12" customHeight="1">
      <c r="A2977" s="614" t="s">
        <v>1275</v>
      </c>
      <c r="B2977" s="615" t="s">
        <v>1776</v>
      </c>
      <c r="C2977" s="614" t="s">
        <v>1519</v>
      </c>
      <c r="D2977" s="761">
        <v>229328</v>
      </c>
      <c r="E2977" s="625">
        <v>10</v>
      </c>
      <c r="F2977" s="573">
        <v>14624990</v>
      </c>
      <c r="G2977" s="487">
        <v>16116341</v>
      </c>
      <c r="H2977" s="573"/>
      <c r="I2977" s="487"/>
      <c r="J2977" s="573"/>
      <c r="K2977" s="487"/>
      <c r="L2977" s="573">
        <v>3270681</v>
      </c>
      <c r="M2977" s="573"/>
      <c r="N2977" s="456">
        <f t="shared" si="377"/>
        <v>3270681</v>
      </c>
      <c r="O2977" s="487">
        <v>3235287</v>
      </c>
      <c r="P2977" s="487"/>
      <c r="Q2977" s="274">
        <f t="shared" si="372"/>
        <v>3235287</v>
      </c>
      <c r="R2977" s="574">
        <f t="shared" si="373"/>
        <v>17895671</v>
      </c>
      <c r="S2977" s="275">
        <f t="shared" si="374"/>
        <v>19351628</v>
      </c>
      <c r="T2977" s="575"/>
      <c r="U2977" s="487"/>
      <c r="V2977" s="576"/>
      <c r="W2977" s="573"/>
      <c r="X2977" s="574">
        <f t="shared" si="378"/>
        <v>0</v>
      </c>
      <c r="Y2977" s="487"/>
      <c r="Z2977" s="487"/>
      <c r="AA2977" s="276">
        <f t="shared" si="379"/>
        <v>0</v>
      </c>
      <c r="AB2977" s="573"/>
      <c r="AC2977" s="487"/>
      <c r="AD2977" s="573"/>
      <c r="AE2977" s="487"/>
      <c r="AF2977" s="577">
        <f t="shared" si="375"/>
        <v>17895671</v>
      </c>
      <c r="AG2977" s="275">
        <f t="shared" si="376"/>
        <v>19351628</v>
      </c>
    </row>
    <row r="2978" spans="1:33" ht="12" customHeight="1">
      <c r="A2978" s="614" t="s">
        <v>1275</v>
      </c>
      <c r="B2978" s="615" t="s">
        <v>1776</v>
      </c>
      <c r="C2978" s="614" t="s">
        <v>1520</v>
      </c>
      <c r="D2978" s="761">
        <v>229832</v>
      </c>
      <c r="E2978" s="625">
        <v>10</v>
      </c>
      <c r="F2978" s="573">
        <v>4349175</v>
      </c>
      <c r="G2978" s="487">
        <v>3359170</v>
      </c>
      <c r="H2978" s="573"/>
      <c r="I2978" s="487"/>
      <c r="J2978" s="573">
        <v>3115110</v>
      </c>
      <c r="K2978" s="487">
        <v>3330031</v>
      </c>
      <c r="L2978" s="573">
        <v>2651181</v>
      </c>
      <c r="M2978" s="573"/>
      <c r="N2978" s="456">
        <f t="shared" si="377"/>
        <v>2651181</v>
      </c>
      <c r="O2978" s="487">
        <v>3113628</v>
      </c>
      <c r="P2978" s="487"/>
      <c r="Q2978" s="274">
        <f t="shared" si="372"/>
        <v>3113628</v>
      </c>
      <c r="R2978" s="574">
        <f t="shared" si="373"/>
        <v>10115466</v>
      </c>
      <c r="S2978" s="275">
        <f t="shared" si="374"/>
        <v>9802829</v>
      </c>
      <c r="T2978" s="575"/>
      <c r="U2978" s="487"/>
      <c r="V2978" s="576"/>
      <c r="W2978" s="573"/>
      <c r="X2978" s="574">
        <f t="shared" si="378"/>
        <v>0</v>
      </c>
      <c r="Y2978" s="487"/>
      <c r="Z2978" s="487"/>
      <c r="AA2978" s="276">
        <f t="shared" si="379"/>
        <v>0</v>
      </c>
      <c r="AB2978" s="573"/>
      <c r="AC2978" s="487"/>
      <c r="AD2978" s="573"/>
      <c r="AE2978" s="487"/>
      <c r="AF2978" s="577">
        <f t="shared" si="375"/>
        <v>10115466</v>
      </c>
      <c r="AG2978" s="275">
        <f t="shared" si="376"/>
        <v>9802829</v>
      </c>
    </row>
    <row r="2979" spans="1:33" ht="12" customHeight="1">
      <c r="A2979" s="614" t="s">
        <v>1275</v>
      </c>
      <c r="B2979" s="615" t="s">
        <v>1776</v>
      </c>
      <c r="C2979" s="765" t="s">
        <v>1521</v>
      </c>
      <c r="D2979" s="766"/>
      <c r="E2979" s="625">
        <v>11</v>
      </c>
      <c r="F2979" s="573">
        <v>95761007</v>
      </c>
      <c r="G2979" s="487">
        <v>75711173</v>
      </c>
      <c r="H2979" s="573"/>
      <c r="I2979" s="487"/>
      <c r="J2979" s="573">
        <v>103779431</v>
      </c>
      <c r="K2979" s="487">
        <v>118377594</v>
      </c>
      <c r="L2979" s="573">
        <v>81216884</v>
      </c>
      <c r="M2979" s="573"/>
      <c r="N2979" s="456">
        <f t="shared" si="377"/>
        <v>81216884</v>
      </c>
      <c r="O2979" s="487">
        <v>87739678</v>
      </c>
      <c r="P2979" s="487"/>
      <c r="Q2979" s="274">
        <f t="shared" si="372"/>
        <v>87739678</v>
      </c>
      <c r="R2979" s="574">
        <f t="shared" si="373"/>
        <v>280757322</v>
      </c>
      <c r="S2979" s="275">
        <f t="shared" si="374"/>
        <v>281828445</v>
      </c>
      <c r="T2979" s="575"/>
      <c r="U2979" s="487"/>
      <c r="V2979" s="576"/>
      <c r="W2979" s="573"/>
      <c r="X2979" s="574">
        <f t="shared" si="378"/>
        <v>0</v>
      </c>
      <c r="Y2979" s="487"/>
      <c r="Z2979" s="487"/>
      <c r="AA2979" s="276">
        <f t="shared" si="379"/>
        <v>0</v>
      </c>
      <c r="AB2979" s="573"/>
      <c r="AC2979" s="487"/>
      <c r="AD2979" s="573"/>
      <c r="AE2979" s="487"/>
      <c r="AF2979" s="577">
        <f t="shared" si="375"/>
        <v>280757322</v>
      </c>
      <c r="AG2979" s="275">
        <f t="shared" si="376"/>
        <v>281828445</v>
      </c>
    </row>
    <row r="2980" spans="1:33" ht="12" customHeight="1">
      <c r="A2980" s="614" t="s">
        <v>1275</v>
      </c>
      <c r="B2980" s="615" t="s">
        <v>1776</v>
      </c>
      <c r="C2980" s="765" t="s">
        <v>1522</v>
      </c>
      <c r="D2980" s="766"/>
      <c r="E2980" s="625">
        <v>11</v>
      </c>
      <c r="F2980" s="573">
        <v>127609163</v>
      </c>
      <c r="G2980" s="487">
        <v>101493158</v>
      </c>
      <c r="H2980" s="573"/>
      <c r="I2980" s="487"/>
      <c r="J2980" s="573">
        <v>124083701</v>
      </c>
      <c r="K2980" s="487">
        <v>134876611</v>
      </c>
      <c r="L2980" s="573">
        <v>70693775</v>
      </c>
      <c r="M2980" s="573"/>
      <c r="N2980" s="456">
        <f t="shared" si="377"/>
        <v>70693775</v>
      </c>
      <c r="O2980" s="487">
        <v>74231282</v>
      </c>
      <c r="P2980" s="487"/>
      <c r="Q2980" s="274">
        <f t="shared" si="372"/>
        <v>74231282</v>
      </c>
      <c r="R2980" s="574">
        <f t="shared" si="373"/>
        <v>322386639</v>
      </c>
      <c r="S2980" s="275">
        <f t="shared" si="374"/>
        <v>310601051</v>
      </c>
      <c r="T2980" s="575"/>
      <c r="U2980" s="487"/>
      <c r="V2980" s="576"/>
      <c r="W2980" s="573"/>
      <c r="X2980" s="574">
        <f t="shared" si="378"/>
        <v>0</v>
      </c>
      <c r="Y2980" s="487"/>
      <c r="Z2980" s="487"/>
      <c r="AA2980" s="276">
        <f t="shared" si="379"/>
        <v>0</v>
      </c>
      <c r="AB2980" s="573"/>
      <c r="AC2980" s="487"/>
      <c r="AD2980" s="573"/>
      <c r="AE2980" s="487"/>
      <c r="AF2980" s="577">
        <f t="shared" si="375"/>
        <v>322386639</v>
      </c>
      <c r="AG2980" s="275">
        <f t="shared" si="376"/>
        <v>310601051</v>
      </c>
    </row>
    <row r="2981" spans="1:33" ht="12" customHeight="1">
      <c r="A2981" s="614" t="s">
        <v>1275</v>
      </c>
      <c r="B2981" s="615" t="s">
        <v>1793</v>
      </c>
      <c r="C2981" s="765" t="s">
        <v>1523</v>
      </c>
      <c r="D2981" s="761">
        <v>223214</v>
      </c>
      <c r="E2981" s="625">
        <v>15</v>
      </c>
      <c r="F2981" s="573"/>
      <c r="G2981" s="487"/>
      <c r="H2981" s="573"/>
      <c r="I2981" s="487"/>
      <c r="J2981" s="573"/>
      <c r="K2981" s="487"/>
      <c r="L2981" s="573"/>
      <c r="M2981" s="573"/>
      <c r="N2981" s="456">
        <f t="shared" si="377"/>
        <v>0</v>
      </c>
      <c r="O2981" s="487"/>
      <c r="P2981" s="487"/>
      <c r="Q2981" s="274">
        <f t="shared" si="372"/>
        <v>0</v>
      </c>
      <c r="R2981" s="574">
        <f t="shared" si="373"/>
        <v>0</v>
      </c>
      <c r="S2981" s="275">
        <f t="shared" si="374"/>
        <v>0</v>
      </c>
      <c r="T2981" s="575"/>
      <c r="U2981" s="487"/>
      <c r="V2981" s="576"/>
      <c r="W2981" s="573"/>
      <c r="X2981" s="574">
        <f t="shared" si="378"/>
        <v>0</v>
      </c>
      <c r="Y2981" s="487"/>
      <c r="Z2981" s="487"/>
      <c r="AA2981" s="276">
        <f t="shared" si="379"/>
        <v>0</v>
      </c>
      <c r="AB2981" s="573">
        <f>95040560+2309951</f>
        <v>97350511</v>
      </c>
      <c r="AC2981" s="487">
        <v>102371756</v>
      </c>
      <c r="AD2981" s="573">
        <v>11012595</v>
      </c>
      <c r="AE2981" s="487">
        <f>11306032+42144+3178264</f>
        <v>14526440</v>
      </c>
      <c r="AF2981" s="577">
        <f t="shared" si="375"/>
        <v>108363106</v>
      </c>
      <c r="AG2981" s="275">
        <f t="shared" si="376"/>
        <v>116898196</v>
      </c>
    </row>
    <row r="2982" spans="1:33" ht="12" customHeight="1">
      <c r="A2982" s="614" t="s">
        <v>1275</v>
      </c>
      <c r="B2982" s="615" t="s">
        <v>1793</v>
      </c>
      <c r="C2982" s="765" t="s">
        <v>1524</v>
      </c>
      <c r="D2982" s="761">
        <v>229337</v>
      </c>
      <c r="E2982" s="625">
        <v>15</v>
      </c>
      <c r="F2982" s="573"/>
      <c r="G2982" s="487"/>
      <c r="H2982" s="573"/>
      <c r="I2982" s="487"/>
      <c r="J2982" s="573"/>
      <c r="K2982" s="487"/>
      <c r="L2982" s="573"/>
      <c r="M2982" s="573"/>
      <c r="N2982" s="456">
        <f t="shared" si="377"/>
        <v>0</v>
      </c>
      <c r="O2982" s="487"/>
      <c r="P2982" s="487"/>
      <c r="Q2982" s="274">
        <f t="shared" si="372"/>
        <v>0</v>
      </c>
      <c r="R2982" s="574">
        <f t="shared" si="373"/>
        <v>0</v>
      </c>
      <c r="S2982" s="275">
        <f t="shared" si="374"/>
        <v>0</v>
      </c>
      <c r="T2982" s="575"/>
      <c r="U2982" s="487"/>
      <c r="V2982" s="576"/>
      <c r="W2982" s="573"/>
      <c r="X2982" s="574">
        <f t="shared" si="378"/>
        <v>0</v>
      </c>
      <c r="Y2982" s="487"/>
      <c r="Z2982" s="487"/>
      <c r="AA2982" s="276">
        <f t="shared" si="379"/>
        <v>0</v>
      </c>
      <c r="AB2982" s="573">
        <f>176274261+3648600</f>
        <v>179922861</v>
      </c>
      <c r="AC2982" s="487">
        <v>165914370</v>
      </c>
      <c r="AD2982" s="573">
        <v>19252450</v>
      </c>
      <c r="AE2982" s="487">
        <f>20268564+4895068</f>
        <v>25163632</v>
      </c>
      <c r="AF2982" s="577">
        <f t="shared" si="375"/>
        <v>199175311</v>
      </c>
      <c r="AG2982" s="275">
        <f t="shared" si="376"/>
        <v>191078002</v>
      </c>
    </row>
    <row r="2983" spans="1:33" ht="12" customHeight="1">
      <c r="A2983" s="614" t="s">
        <v>1275</v>
      </c>
      <c r="B2983" s="615" t="s">
        <v>1793</v>
      </c>
      <c r="C2983" s="765" t="s">
        <v>1576</v>
      </c>
      <c r="D2983" s="761">
        <v>228909</v>
      </c>
      <c r="E2983" s="625">
        <v>15</v>
      </c>
      <c r="F2983" s="573"/>
      <c r="G2983" s="487"/>
      <c r="H2983" s="573"/>
      <c r="I2983" s="487"/>
      <c r="J2983" s="573"/>
      <c r="K2983" s="487"/>
      <c r="L2983" s="573"/>
      <c r="M2983" s="573"/>
      <c r="N2983" s="456">
        <f t="shared" si="377"/>
        <v>0</v>
      </c>
      <c r="O2983" s="487"/>
      <c r="P2983" s="487"/>
      <c r="Q2983" s="274">
        <f t="shared" si="372"/>
        <v>0</v>
      </c>
      <c r="R2983" s="574">
        <f t="shared" si="373"/>
        <v>0</v>
      </c>
      <c r="S2983" s="275">
        <f t="shared" si="374"/>
        <v>0</v>
      </c>
      <c r="T2983" s="575"/>
      <c r="U2983" s="487"/>
      <c r="V2983" s="576"/>
      <c r="W2983" s="573"/>
      <c r="X2983" s="574">
        <f t="shared" si="378"/>
        <v>0</v>
      </c>
      <c r="Y2983" s="487"/>
      <c r="Z2983" s="487"/>
      <c r="AA2983" s="276">
        <f t="shared" si="379"/>
        <v>0</v>
      </c>
      <c r="AB2983" s="573">
        <f>61942643+2280420</f>
        <v>64223063</v>
      </c>
      <c r="AC2983" s="487">
        <v>64437229</v>
      </c>
      <c r="AD2983" s="573">
        <v>10709388</v>
      </c>
      <c r="AE2983" s="487">
        <f>9208285+48520+2162374</f>
        <v>11419179</v>
      </c>
      <c r="AF2983" s="577">
        <f t="shared" si="375"/>
        <v>74932451</v>
      </c>
      <c r="AG2983" s="275">
        <f t="shared" si="376"/>
        <v>75856408</v>
      </c>
    </row>
    <row r="2984" spans="1:33" ht="12" customHeight="1">
      <c r="A2984" s="614" t="s">
        <v>1275</v>
      </c>
      <c r="B2984" s="615" t="s">
        <v>1793</v>
      </c>
      <c r="C2984" s="765" t="s">
        <v>1577</v>
      </c>
      <c r="D2984" s="761">
        <v>229300</v>
      </c>
      <c r="E2984" s="625">
        <v>15</v>
      </c>
      <c r="F2984" s="573"/>
      <c r="G2984" s="487"/>
      <c r="H2984" s="573"/>
      <c r="I2984" s="487"/>
      <c r="J2984" s="573"/>
      <c r="K2984" s="487"/>
      <c r="L2984" s="573"/>
      <c r="M2984" s="573"/>
      <c r="N2984" s="456">
        <f t="shared" si="377"/>
        <v>0</v>
      </c>
      <c r="O2984" s="487"/>
      <c r="P2984" s="487"/>
      <c r="Q2984" s="274">
        <f t="shared" si="372"/>
        <v>0</v>
      </c>
      <c r="R2984" s="574">
        <f t="shared" si="373"/>
        <v>0</v>
      </c>
      <c r="S2984" s="275">
        <f t="shared" si="374"/>
        <v>0</v>
      </c>
      <c r="T2984" s="575"/>
      <c r="U2984" s="487"/>
      <c r="V2984" s="576"/>
      <c r="W2984" s="573"/>
      <c r="X2984" s="574">
        <f t="shared" si="378"/>
        <v>0</v>
      </c>
      <c r="Y2984" s="487"/>
      <c r="Z2984" s="487"/>
      <c r="AA2984" s="276">
        <f t="shared" si="379"/>
        <v>0</v>
      </c>
      <c r="AB2984" s="573">
        <f>159274915+2837655</f>
        <v>162112570</v>
      </c>
      <c r="AC2984" s="487">
        <v>162723614</v>
      </c>
      <c r="AD2984" s="573">
        <v>21448615</v>
      </c>
      <c r="AE2984" s="487">
        <f>19387232+69962+2715107</f>
        <v>22172301</v>
      </c>
      <c r="AF2984" s="577">
        <f t="shared" si="375"/>
        <v>183561185</v>
      </c>
      <c r="AG2984" s="275">
        <f t="shared" si="376"/>
        <v>184895915</v>
      </c>
    </row>
    <row r="2985" spans="1:33" ht="12" customHeight="1">
      <c r="A2985" s="614" t="s">
        <v>1275</v>
      </c>
      <c r="B2985" s="615" t="s">
        <v>1793</v>
      </c>
      <c r="C2985" s="765" t="s">
        <v>1578</v>
      </c>
      <c r="D2985" s="761">
        <v>228644</v>
      </c>
      <c r="E2985" s="625">
        <v>15</v>
      </c>
      <c r="F2985" s="573"/>
      <c r="G2985" s="487"/>
      <c r="H2985" s="573"/>
      <c r="I2985" s="487"/>
      <c r="J2985" s="573"/>
      <c r="K2985" s="487"/>
      <c r="L2985" s="573"/>
      <c r="M2985" s="573"/>
      <c r="N2985" s="456">
        <f t="shared" si="377"/>
        <v>0</v>
      </c>
      <c r="O2985" s="487"/>
      <c r="P2985" s="487"/>
      <c r="Q2985" s="274">
        <f t="shared" si="372"/>
        <v>0</v>
      </c>
      <c r="R2985" s="574">
        <f t="shared" si="373"/>
        <v>0</v>
      </c>
      <c r="S2985" s="275">
        <f t="shared" si="374"/>
        <v>0</v>
      </c>
      <c r="T2985" s="575"/>
      <c r="U2985" s="487"/>
      <c r="V2985" s="576"/>
      <c r="W2985" s="573"/>
      <c r="X2985" s="574">
        <f t="shared" si="378"/>
        <v>0</v>
      </c>
      <c r="Y2985" s="487"/>
      <c r="Z2985" s="487"/>
      <c r="AA2985" s="276">
        <f t="shared" si="379"/>
        <v>0</v>
      </c>
      <c r="AB2985" s="573">
        <f>163702706+10571220</f>
        <v>174273926</v>
      </c>
      <c r="AC2985" s="487">
        <v>174788966</v>
      </c>
      <c r="AD2985" s="573">
        <v>25494119</v>
      </c>
      <c r="AE2985" s="487">
        <f>19843591+73071+10069614</f>
        <v>29986276</v>
      </c>
      <c r="AF2985" s="577">
        <f t="shared" si="375"/>
        <v>199768045</v>
      </c>
      <c r="AG2985" s="275">
        <f t="shared" si="376"/>
        <v>204775242</v>
      </c>
    </row>
    <row r="2986" spans="1:33" ht="12" customHeight="1">
      <c r="A2986" s="614" t="s">
        <v>1275</v>
      </c>
      <c r="B2986" s="615" t="s">
        <v>1793</v>
      </c>
      <c r="C2986" s="767" t="s">
        <v>885</v>
      </c>
      <c r="D2986" s="761">
        <v>416801</v>
      </c>
      <c r="E2986" s="625">
        <v>15</v>
      </c>
      <c r="F2986" s="573"/>
      <c r="G2986" s="487"/>
      <c r="H2986" s="573"/>
      <c r="I2986" s="487"/>
      <c r="J2986" s="573"/>
      <c r="K2986" s="487"/>
      <c r="L2986" s="573"/>
      <c r="M2986" s="573"/>
      <c r="N2986" s="456">
        <f t="shared" si="377"/>
        <v>0</v>
      </c>
      <c r="O2986" s="487"/>
      <c r="P2986" s="487"/>
      <c r="Q2986" s="274">
        <f t="shared" si="372"/>
        <v>0</v>
      </c>
      <c r="R2986" s="574">
        <f t="shared" si="373"/>
        <v>0</v>
      </c>
      <c r="S2986" s="275">
        <f t="shared" si="374"/>
        <v>0</v>
      </c>
      <c r="T2986" s="575"/>
      <c r="U2986" s="487"/>
      <c r="V2986" s="576"/>
      <c r="W2986" s="573"/>
      <c r="X2986" s="574">
        <f t="shared" si="378"/>
        <v>0</v>
      </c>
      <c r="Y2986" s="487"/>
      <c r="Z2986" s="487"/>
      <c r="AA2986" s="276">
        <f t="shared" si="379"/>
        <v>0</v>
      </c>
      <c r="AB2986" s="573">
        <f>62282872+6156270</f>
        <v>68439142</v>
      </c>
      <c r="AC2986" s="487">
        <v>70364470</v>
      </c>
      <c r="AD2986" s="573">
        <v>587062</v>
      </c>
      <c r="AE2986" s="487">
        <f>632901</f>
        <v>632901</v>
      </c>
      <c r="AF2986" s="577">
        <f t="shared" si="375"/>
        <v>69026204</v>
      </c>
      <c r="AG2986" s="275">
        <f t="shared" si="376"/>
        <v>70997371</v>
      </c>
    </row>
    <row r="2987" spans="1:33" ht="12" customHeight="1">
      <c r="A2987" s="614" t="s">
        <v>1275</v>
      </c>
      <c r="B2987" s="615" t="s">
        <v>1793</v>
      </c>
      <c r="C2987" s="765" t="s">
        <v>1579</v>
      </c>
      <c r="D2987" s="761">
        <v>228653</v>
      </c>
      <c r="E2987" s="625">
        <v>15</v>
      </c>
      <c r="F2987" s="573"/>
      <c r="G2987" s="487"/>
      <c r="H2987" s="573"/>
      <c r="I2987" s="487"/>
      <c r="J2987" s="573"/>
      <c r="K2987" s="487"/>
      <c r="L2987" s="573"/>
      <c r="M2987" s="573"/>
      <c r="N2987" s="456">
        <f t="shared" si="377"/>
        <v>0</v>
      </c>
      <c r="O2987" s="487"/>
      <c r="P2987" s="487"/>
      <c r="Q2987" s="274">
        <f t="shared" si="372"/>
        <v>0</v>
      </c>
      <c r="R2987" s="574">
        <f t="shared" si="373"/>
        <v>0</v>
      </c>
      <c r="S2987" s="275">
        <f t="shared" si="374"/>
        <v>0</v>
      </c>
      <c r="T2987" s="575"/>
      <c r="U2987" s="487"/>
      <c r="V2987" s="576"/>
      <c r="W2987" s="573"/>
      <c r="X2987" s="574">
        <f t="shared" si="378"/>
        <v>0</v>
      </c>
      <c r="Y2987" s="487"/>
      <c r="Z2987" s="487"/>
      <c r="AA2987" s="276">
        <f t="shared" si="379"/>
        <v>0</v>
      </c>
      <c r="AB2987" s="573">
        <f>284309501+3037365</f>
        <v>287346866</v>
      </c>
      <c r="AC2987" s="487">
        <v>289293547</v>
      </c>
      <c r="AD2987" s="573">
        <v>17574124</v>
      </c>
      <c r="AE2987" s="487">
        <f>16441634+219449+2665264</f>
        <v>19326347</v>
      </c>
      <c r="AF2987" s="577">
        <f t="shared" si="375"/>
        <v>304920990</v>
      </c>
      <c r="AG2987" s="275">
        <f t="shared" si="376"/>
        <v>308619894</v>
      </c>
    </row>
    <row r="2988" spans="1:33" ht="12" customHeight="1">
      <c r="A2988" s="614" t="s">
        <v>1275</v>
      </c>
      <c r="B2988" s="615" t="s">
        <v>1793</v>
      </c>
      <c r="C2988" s="765" t="s">
        <v>1580</v>
      </c>
      <c r="D2988" s="761">
        <v>228635</v>
      </c>
      <c r="E2988" s="625">
        <v>15</v>
      </c>
      <c r="F2988" s="573"/>
      <c r="G2988" s="487"/>
      <c r="H2988" s="573"/>
      <c r="I2988" s="487"/>
      <c r="J2988" s="573"/>
      <c r="K2988" s="487"/>
      <c r="L2988" s="573"/>
      <c r="M2988" s="573"/>
      <c r="N2988" s="456">
        <f t="shared" si="377"/>
        <v>0</v>
      </c>
      <c r="O2988" s="487"/>
      <c r="P2988" s="487"/>
      <c r="Q2988" s="274">
        <f t="shared" si="372"/>
        <v>0</v>
      </c>
      <c r="R2988" s="574">
        <f t="shared" si="373"/>
        <v>0</v>
      </c>
      <c r="S2988" s="275">
        <f t="shared" si="374"/>
        <v>0</v>
      </c>
      <c r="T2988" s="575"/>
      <c r="U2988" s="487"/>
      <c r="V2988" s="576"/>
      <c r="W2988" s="573"/>
      <c r="X2988" s="574">
        <f t="shared" si="378"/>
        <v>0</v>
      </c>
      <c r="Y2988" s="487"/>
      <c r="Z2988" s="487"/>
      <c r="AA2988" s="276">
        <f t="shared" si="379"/>
        <v>0</v>
      </c>
      <c r="AB2988" s="573">
        <f>173198913+4329000</f>
        <v>177527913</v>
      </c>
      <c r="AC2988" s="487">
        <v>178655292</v>
      </c>
      <c r="AD2988" s="573">
        <v>18555782</v>
      </c>
      <c r="AE2988" s="487">
        <f>19067498+38850+822084</f>
        <v>19928432</v>
      </c>
      <c r="AF2988" s="577">
        <f t="shared" si="375"/>
        <v>196083695</v>
      </c>
      <c r="AG2988" s="275">
        <f t="shared" si="376"/>
        <v>198583724</v>
      </c>
    </row>
    <row r="2989" spans="1:33" ht="12" customHeight="1">
      <c r="A2989" s="614" t="s">
        <v>1275</v>
      </c>
      <c r="B2989" s="615" t="s">
        <v>1785</v>
      </c>
      <c r="C2989" s="248" t="s">
        <v>1753</v>
      </c>
      <c r="D2989" s="617"/>
      <c r="E2989" s="618"/>
      <c r="F2989" s="573"/>
      <c r="G2989" s="487"/>
      <c r="H2989" s="573"/>
      <c r="I2989" s="487"/>
      <c r="J2989" s="573"/>
      <c r="K2989" s="487"/>
      <c r="L2989" s="573"/>
      <c r="M2989" s="573"/>
      <c r="N2989" s="456">
        <f t="shared" si="377"/>
        <v>0</v>
      </c>
      <c r="O2989" s="487"/>
      <c r="P2989" s="487"/>
      <c r="Q2989" s="274">
        <f t="shared" si="372"/>
        <v>0</v>
      </c>
      <c r="R2989" s="574">
        <f t="shared" si="373"/>
        <v>0</v>
      </c>
      <c r="S2989" s="275">
        <f t="shared" si="374"/>
        <v>0</v>
      </c>
      <c r="T2989" s="575"/>
      <c r="U2989" s="487"/>
      <c r="V2989" s="576"/>
      <c r="W2989" s="573"/>
      <c r="X2989" s="574">
        <f t="shared" si="378"/>
        <v>0</v>
      </c>
      <c r="Y2989" s="487"/>
      <c r="Z2989" s="487"/>
      <c r="AA2989" s="276">
        <f t="shared" si="379"/>
        <v>0</v>
      </c>
      <c r="AB2989" s="573"/>
      <c r="AC2989" s="487"/>
      <c r="AD2989" s="573"/>
      <c r="AE2989" s="487"/>
      <c r="AF2989" s="577">
        <f t="shared" si="375"/>
        <v>0</v>
      </c>
      <c r="AG2989" s="275">
        <f t="shared" si="376"/>
        <v>0</v>
      </c>
    </row>
    <row r="2990" spans="1:33" ht="12" customHeight="1">
      <c r="A2990" s="614" t="s">
        <v>1275</v>
      </c>
      <c r="B2990" s="615" t="s">
        <v>1786</v>
      </c>
      <c r="C2990" s="621" t="s">
        <v>884</v>
      </c>
      <c r="D2990" s="628"/>
      <c r="E2990" s="629"/>
      <c r="F2990" s="573"/>
      <c r="G2990" s="487"/>
      <c r="H2990" s="573"/>
      <c r="I2990" s="487"/>
      <c r="J2990" s="573"/>
      <c r="K2990" s="487"/>
      <c r="L2990" s="573"/>
      <c r="M2990" s="573"/>
      <c r="N2990" s="456">
        <f t="shared" si="377"/>
        <v>0</v>
      </c>
      <c r="O2990" s="487"/>
      <c r="P2990" s="487"/>
      <c r="Q2990" s="274">
        <f t="shared" si="372"/>
        <v>0</v>
      </c>
      <c r="R2990" s="574">
        <f t="shared" si="373"/>
        <v>0</v>
      </c>
      <c r="S2990" s="275">
        <f t="shared" si="374"/>
        <v>0</v>
      </c>
      <c r="T2990" s="575"/>
      <c r="U2990" s="487"/>
      <c r="V2990" s="576"/>
      <c r="W2990" s="573"/>
      <c r="X2990" s="574">
        <f t="shared" si="378"/>
        <v>0</v>
      </c>
      <c r="Y2990" s="487"/>
      <c r="Z2990" s="487"/>
      <c r="AA2990" s="276">
        <f t="shared" si="379"/>
        <v>0</v>
      </c>
      <c r="AB2990" s="575">
        <f>39009780+2288689</f>
        <v>41298469</v>
      </c>
      <c r="AC2990" s="487">
        <v>41453899</v>
      </c>
      <c r="AD2990" s="573"/>
      <c r="AE2990" s="487"/>
      <c r="AF2990" s="577">
        <f t="shared" si="375"/>
        <v>41298469</v>
      </c>
      <c r="AG2990" s="275">
        <f t="shared" si="376"/>
        <v>41453899</v>
      </c>
    </row>
    <row r="2991" spans="1:33" ht="12" customHeight="1" thickBot="1">
      <c r="A2991" s="614" t="s">
        <v>1275</v>
      </c>
      <c r="B2991" s="615" t="s">
        <v>1791</v>
      </c>
      <c r="C2991" s="239" t="s">
        <v>1881</v>
      </c>
      <c r="D2991" s="628"/>
      <c r="E2991" s="629"/>
      <c r="F2991" s="573"/>
      <c r="G2991" s="487"/>
      <c r="H2991" s="573"/>
      <c r="I2991" s="487"/>
      <c r="J2991" s="573"/>
      <c r="K2991" s="487"/>
      <c r="L2991" s="573"/>
      <c r="M2991" s="573"/>
      <c r="N2991" s="456">
        <f t="shared" si="377"/>
        <v>0</v>
      </c>
      <c r="O2991" s="487"/>
      <c r="P2991" s="487"/>
      <c r="Q2991" s="274">
        <f t="shared" si="372"/>
        <v>0</v>
      </c>
      <c r="R2991" s="574">
        <f t="shared" si="373"/>
        <v>0</v>
      </c>
      <c r="S2991" s="275">
        <f t="shared" si="374"/>
        <v>0</v>
      </c>
      <c r="T2991" s="575"/>
      <c r="U2991" s="487"/>
      <c r="V2991" s="576"/>
      <c r="W2991" s="573"/>
      <c r="X2991" s="574">
        <f t="shared" si="378"/>
        <v>0</v>
      </c>
      <c r="Y2991" s="487"/>
      <c r="Z2991" s="487"/>
      <c r="AA2991" s="276">
        <f t="shared" si="379"/>
        <v>0</v>
      </c>
      <c r="AB2991" s="573"/>
      <c r="AC2991" s="487"/>
      <c r="AD2991" s="573"/>
      <c r="AE2991" s="487"/>
      <c r="AF2991" s="577">
        <f t="shared" si="375"/>
        <v>0</v>
      </c>
      <c r="AG2991" s="275">
        <f t="shared" si="376"/>
        <v>0</v>
      </c>
    </row>
    <row r="2992" spans="1:33" ht="12" customHeight="1">
      <c r="A2992" s="614" t="s">
        <v>1275</v>
      </c>
      <c r="B2992" s="615" t="s">
        <v>1791</v>
      </c>
      <c r="C2992" s="620" t="s">
        <v>886</v>
      </c>
      <c r="D2992" s="628"/>
      <c r="E2992" s="629"/>
      <c r="F2992" s="573"/>
      <c r="G2992" s="487"/>
      <c r="H2992" s="587">
        <v>16698922</v>
      </c>
      <c r="I2992" s="499">
        <v>0</v>
      </c>
      <c r="J2992" s="573"/>
      <c r="K2992" s="487"/>
      <c r="L2992" s="573"/>
      <c r="M2992" s="573"/>
      <c r="N2992" s="456">
        <f t="shared" si="377"/>
        <v>0</v>
      </c>
      <c r="O2992" s="487"/>
      <c r="P2992" s="487"/>
      <c r="Q2992" s="274">
        <f t="shared" si="372"/>
        <v>0</v>
      </c>
      <c r="R2992" s="574">
        <f t="shared" si="373"/>
        <v>16698922</v>
      </c>
      <c r="S2992" s="275">
        <f t="shared" si="374"/>
        <v>0</v>
      </c>
      <c r="T2992" s="575">
        <v>16698922</v>
      </c>
      <c r="U2992" s="487">
        <v>0</v>
      </c>
      <c r="V2992" s="576"/>
      <c r="W2992" s="573"/>
      <c r="X2992" s="574">
        <f t="shared" si="378"/>
        <v>0</v>
      </c>
      <c r="Y2992" s="487"/>
      <c r="Z2992" s="487"/>
      <c r="AA2992" s="276">
        <f t="shared" si="379"/>
        <v>0</v>
      </c>
      <c r="AB2992" s="573"/>
      <c r="AC2992" s="487"/>
      <c r="AD2992" s="573"/>
      <c r="AE2992" s="487"/>
      <c r="AF2992" s="577">
        <f t="shared" si="375"/>
        <v>33397844</v>
      </c>
      <c r="AG2992" s="275">
        <f t="shared" si="376"/>
        <v>0</v>
      </c>
    </row>
    <row r="2993" spans="1:33" ht="12" customHeight="1">
      <c r="A2993" s="614" t="s">
        <v>1275</v>
      </c>
      <c r="B2993" s="615" t="s">
        <v>1792</v>
      </c>
      <c r="C2993" s="240" t="s">
        <v>1429</v>
      </c>
      <c r="D2993" s="628"/>
      <c r="E2993" s="618"/>
      <c r="F2993" s="573"/>
      <c r="G2993" s="487"/>
      <c r="H2993" s="573"/>
      <c r="I2993" s="487"/>
      <c r="J2993" s="573"/>
      <c r="K2993" s="487"/>
      <c r="L2993" s="573"/>
      <c r="M2993" s="573"/>
      <c r="N2993" s="456">
        <f t="shared" si="377"/>
        <v>0</v>
      </c>
      <c r="O2993" s="487"/>
      <c r="P2993" s="487"/>
      <c r="Q2993" s="274">
        <f t="shared" si="372"/>
        <v>0</v>
      </c>
      <c r="R2993" s="574">
        <f t="shared" si="373"/>
        <v>0</v>
      </c>
      <c r="S2993" s="275">
        <f t="shared" si="374"/>
        <v>0</v>
      </c>
      <c r="T2993" s="575"/>
      <c r="U2993" s="487"/>
      <c r="V2993" s="576"/>
      <c r="W2993" s="573"/>
      <c r="X2993" s="574">
        <f t="shared" si="378"/>
        <v>0</v>
      </c>
      <c r="Y2993" s="487"/>
      <c r="Z2993" s="487"/>
      <c r="AA2993" s="276">
        <f t="shared" si="379"/>
        <v>0</v>
      </c>
      <c r="AB2993" s="573"/>
      <c r="AC2993" s="487"/>
      <c r="AD2993" s="573"/>
      <c r="AE2993" s="487"/>
      <c r="AF2993" s="577">
        <f t="shared" si="375"/>
        <v>0</v>
      </c>
      <c r="AG2993" s="275">
        <f t="shared" si="376"/>
        <v>0</v>
      </c>
    </row>
    <row r="2994" spans="1:33" ht="12" customHeight="1">
      <c r="A2994" s="614" t="s">
        <v>1275</v>
      </c>
      <c r="B2994" s="615" t="s">
        <v>1792</v>
      </c>
      <c r="C2994" s="621" t="s">
        <v>1581</v>
      </c>
      <c r="D2994" s="628"/>
      <c r="E2994" s="618"/>
      <c r="F2994" s="573"/>
      <c r="G2994" s="487"/>
      <c r="H2994" s="573"/>
      <c r="I2994" s="487"/>
      <c r="J2994" s="573"/>
      <c r="K2994" s="487"/>
      <c r="L2994" s="573"/>
      <c r="M2994" s="573"/>
      <c r="N2994" s="456">
        <f t="shared" si="377"/>
        <v>0</v>
      </c>
      <c r="O2994" s="487"/>
      <c r="P2994" s="487"/>
      <c r="Q2994" s="274">
        <f t="shared" si="372"/>
        <v>0</v>
      </c>
      <c r="R2994" s="574">
        <f t="shared" si="373"/>
        <v>0</v>
      </c>
      <c r="S2994" s="275">
        <f t="shared" si="374"/>
        <v>0</v>
      </c>
      <c r="T2994" s="575"/>
      <c r="U2994" s="487"/>
      <c r="V2994" s="576"/>
      <c r="W2994" s="573"/>
      <c r="X2994" s="574">
        <f t="shared" si="378"/>
        <v>0</v>
      </c>
      <c r="Y2994" s="487"/>
      <c r="Z2994" s="487"/>
      <c r="AA2994" s="276">
        <f t="shared" si="379"/>
        <v>0</v>
      </c>
      <c r="AB2994" s="573">
        <v>8732155</v>
      </c>
      <c r="AC2994" s="487">
        <v>8732155</v>
      </c>
      <c r="AD2994" s="573"/>
      <c r="AE2994" s="487"/>
      <c r="AF2994" s="577">
        <f t="shared" si="375"/>
        <v>8732155</v>
      </c>
      <c r="AG2994" s="275">
        <f t="shared" si="376"/>
        <v>8732155</v>
      </c>
    </row>
    <row r="2995" spans="1:33" ht="12" customHeight="1">
      <c r="A2995" s="614" t="s">
        <v>1275</v>
      </c>
      <c r="B2995" s="615" t="s">
        <v>1792</v>
      </c>
      <c r="C2995" s="621" t="s">
        <v>888</v>
      </c>
      <c r="D2995" s="628"/>
      <c r="E2995" s="618"/>
      <c r="F2995" s="573"/>
      <c r="G2995" s="487"/>
      <c r="H2995" s="573"/>
      <c r="I2995" s="487"/>
      <c r="J2995" s="573"/>
      <c r="K2995" s="487"/>
      <c r="L2995" s="573"/>
      <c r="M2995" s="573"/>
      <c r="N2995" s="456">
        <f t="shared" si="377"/>
        <v>0</v>
      </c>
      <c r="O2995" s="487"/>
      <c r="P2995" s="487"/>
      <c r="Q2995" s="274">
        <f t="shared" si="372"/>
        <v>0</v>
      </c>
      <c r="R2995" s="574">
        <f t="shared" si="373"/>
        <v>0</v>
      </c>
      <c r="S2995" s="275">
        <f t="shared" si="374"/>
        <v>0</v>
      </c>
      <c r="T2995" s="575"/>
      <c r="U2995" s="487"/>
      <c r="V2995" s="576"/>
      <c r="W2995" s="573"/>
      <c r="X2995" s="574">
        <f t="shared" si="378"/>
        <v>0</v>
      </c>
      <c r="Y2995" s="487"/>
      <c r="Z2995" s="487"/>
      <c r="AA2995" s="276">
        <f t="shared" si="379"/>
        <v>0</v>
      </c>
      <c r="AB2995" s="573">
        <v>2025000</v>
      </c>
      <c r="AC2995" s="487">
        <v>2025000</v>
      </c>
      <c r="AD2995" s="573"/>
      <c r="AE2995" s="487"/>
      <c r="AF2995" s="577">
        <f t="shared" si="375"/>
        <v>2025000</v>
      </c>
      <c r="AG2995" s="275">
        <f t="shared" si="376"/>
        <v>2025000</v>
      </c>
    </row>
    <row r="2996" spans="1:33" ht="12" customHeight="1">
      <c r="A2996" s="614" t="s">
        <v>1275</v>
      </c>
      <c r="B2996" s="615" t="s">
        <v>1792</v>
      </c>
      <c r="C2996" s="621" t="s">
        <v>889</v>
      </c>
      <c r="D2996" s="628"/>
      <c r="E2996" s="618"/>
      <c r="F2996" s="573"/>
      <c r="G2996" s="487"/>
      <c r="H2996" s="573"/>
      <c r="I2996" s="487"/>
      <c r="J2996" s="573"/>
      <c r="K2996" s="487"/>
      <c r="L2996" s="573"/>
      <c r="M2996" s="573"/>
      <c r="N2996" s="456">
        <f t="shared" si="377"/>
        <v>0</v>
      </c>
      <c r="O2996" s="487"/>
      <c r="P2996" s="487"/>
      <c r="Q2996" s="274">
        <f t="shared" si="372"/>
        <v>0</v>
      </c>
      <c r="R2996" s="574">
        <f t="shared" si="373"/>
        <v>0</v>
      </c>
      <c r="S2996" s="275">
        <f t="shared" si="374"/>
        <v>0</v>
      </c>
      <c r="T2996" s="575"/>
      <c r="U2996" s="487"/>
      <c r="V2996" s="576"/>
      <c r="W2996" s="573"/>
      <c r="X2996" s="574">
        <f t="shared" si="378"/>
        <v>0</v>
      </c>
      <c r="Y2996" s="487"/>
      <c r="Z2996" s="487"/>
      <c r="AA2996" s="276">
        <f t="shared" si="379"/>
        <v>0</v>
      </c>
      <c r="AB2996" s="573">
        <v>1125000</v>
      </c>
      <c r="AC2996" s="487">
        <v>1125000</v>
      </c>
      <c r="AD2996" s="573"/>
      <c r="AE2996" s="487"/>
      <c r="AF2996" s="577">
        <f t="shared" si="375"/>
        <v>1125000</v>
      </c>
      <c r="AG2996" s="275">
        <f t="shared" si="376"/>
        <v>1125000</v>
      </c>
    </row>
    <row r="2997" spans="1:33" ht="12" customHeight="1">
      <c r="A2997" s="614" t="s">
        <v>1275</v>
      </c>
      <c r="B2997" s="615" t="s">
        <v>1792</v>
      </c>
      <c r="C2997" s="621" t="s">
        <v>890</v>
      </c>
      <c r="D2997" s="628"/>
      <c r="E2997" s="629"/>
      <c r="F2997" s="573"/>
      <c r="G2997" s="487"/>
      <c r="H2997" s="573"/>
      <c r="I2997" s="487"/>
      <c r="J2997" s="573"/>
      <c r="K2997" s="487"/>
      <c r="L2997" s="573"/>
      <c r="M2997" s="573"/>
      <c r="N2997" s="456">
        <f t="shared" si="377"/>
        <v>0</v>
      </c>
      <c r="O2997" s="487"/>
      <c r="P2997" s="487"/>
      <c r="Q2997" s="274">
        <f t="shared" si="372"/>
        <v>0</v>
      </c>
      <c r="R2997" s="574">
        <f t="shared" si="373"/>
        <v>0</v>
      </c>
      <c r="S2997" s="275">
        <f t="shared" si="374"/>
        <v>0</v>
      </c>
      <c r="T2997" s="575"/>
      <c r="U2997" s="487"/>
      <c r="V2997" s="576"/>
      <c r="W2997" s="573"/>
      <c r="X2997" s="574">
        <f t="shared" si="378"/>
        <v>0</v>
      </c>
      <c r="Y2997" s="487"/>
      <c r="Z2997" s="487"/>
      <c r="AA2997" s="276">
        <f t="shared" si="379"/>
        <v>0</v>
      </c>
      <c r="AB2997" s="573">
        <v>452145</v>
      </c>
      <c r="AC2997" s="487">
        <v>452144</v>
      </c>
      <c r="AD2997" s="573"/>
      <c r="AE2997" s="487"/>
      <c r="AF2997" s="577">
        <f t="shared" si="375"/>
        <v>452145</v>
      </c>
      <c r="AG2997" s="275">
        <f t="shared" si="376"/>
        <v>452144</v>
      </c>
    </row>
    <row r="2998" spans="1:33" ht="12" customHeight="1">
      <c r="A2998" s="614" t="s">
        <v>1275</v>
      </c>
      <c r="B2998" s="615" t="s">
        <v>1792</v>
      </c>
      <c r="C2998" s="621" t="s">
        <v>891</v>
      </c>
      <c r="D2998" s="628"/>
      <c r="E2998" s="629"/>
      <c r="F2998" s="573"/>
      <c r="G2998" s="487"/>
      <c r="H2998" s="573"/>
      <c r="I2998" s="487"/>
      <c r="J2998" s="573"/>
      <c r="K2998" s="487"/>
      <c r="L2998" s="573"/>
      <c r="M2998" s="573"/>
      <c r="N2998" s="456">
        <f t="shared" si="377"/>
        <v>0</v>
      </c>
      <c r="O2998" s="487"/>
      <c r="P2998" s="487"/>
      <c r="Q2998" s="274">
        <f t="shared" si="372"/>
        <v>0</v>
      </c>
      <c r="R2998" s="574">
        <f t="shared" si="373"/>
        <v>0</v>
      </c>
      <c r="S2998" s="275">
        <f t="shared" si="374"/>
        <v>0</v>
      </c>
      <c r="T2998" s="575"/>
      <c r="U2998" s="487"/>
      <c r="V2998" s="576"/>
      <c r="W2998" s="573"/>
      <c r="X2998" s="574">
        <f t="shared" si="378"/>
        <v>0</v>
      </c>
      <c r="Y2998" s="487"/>
      <c r="Z2998" s="487"/>
      <c r="AA2998" s="276">
        <f t="shared" si="379"/>
        <v>0</v>
      </c>
      <c r="AB2998" s="573">
        <v>2495220</v>
      </c>
      <c r="AC2998" s="487">
        <v>2495220</v>
      </c>
      <c r="AD2998" s="573"/>
      <c r="AE2998" s="487"/>
      <c r="AF2998" s="577">
        <f t="shared" si="375"/>
        <v>2495220</v>
      </c>
      <c r="AG2998" s="275">
        <f t="shared" si="376"/>
        <v>2495220</v>
      </c>
    </row>
    <row r="2999" spans="1:33" ht="12" customHeight="1">
      <c r="A2999" s="614" t="s">
        <v>1275</v>
      </c>
      <c r="B2999" s="615" t="s">
        <v>1792</v>
      </c>
      <c r="C2999" s="621" t="s">
        <v>892</v>
      </c>
      <c r="D2999" s="628"/>
      <c r="E2999" s="629"/>
      <c r="F2999" s="573"/>
      <c r="G2999" s="487"/>
      <c r="H2999" s="573"/>
      <c r="I2999" s="487"/>
      <c r="J2999" s="573"/>
      <c r="K2999" s="487"/>
      <c r="L2999" s="573"/>
      <c r="M2999" s="573"/>
      <c r="N2999" s="456">
        <f t="shared" si="377"/>
        <v>0</v>
      </c>
      <c r="O2999" s="487"/>
      <c r="P2999" s="487"/>
      <c r="Q2999" s="274">
        <f t="shared" si="372"/>
        <v>0</v>
      </c>
      <c r="R2999" s="574">
        <f t="shared" si="373"/>
        <v>0</v>
      </c>
      <c r="S2999" s="275">
        <f t="shared" si="374"/>
        <v>0</v>
      </c>
      <c r="T2999" s="575"/>
      <c r="U2999" s="487"/>
      <c r="V2999" s="576"/>
      <c r="W2999" s="573"/>
      <c r="X2999" s="574">
        <f t="shared" si="378"/>
        <v>0</v>
      </c>
      <c r="Y2999" s="487"/>
      <c r="Z2999" s="487"/>
      <c r="AA2999" s="276">
        <f t="shared" si="379"/>
        <v>0</v>
      </c>
      <c r="AB2999" s="573">
        <v>300000</v>
      </c>
      <c r="AC2999" s="487">
        <v>300000</v>
      </c>
      <c r="AD2999" s="573"/>
      <c r="AE2999" s="487"/>
      <c r="AF2999" s="577">
        <f t="shared" si="375"/>
        <v>300000</v>
      </c>
      <c r="AG2999" s="275">
        <f t="shared" si="376"/>
        <v>300000</v>
      </c>
    </row>
    <row r="3000" spans="1:33" ht="12" customHeight="1">
      <c r="A3000" s="614" t="s">
        <v>1275</v>
      </c>
      <c r="B3000" s="615" t="s">
        <v>1792</v>
      </c>
      <c r="C3000" s="621" t="s">
        <v>893</v>
      </c>
      <c r="D3000" s="628"/>
      <c r="E3000" s="629"/>
      <c r="F3000" s="573"/>
      <c r="G3000" s="487"/>
      <c r="H3000" s="573"/>
      <c r="I3000" s="487"/>
      <c r="J3000" s="573"/>
      <c r="K3000" s="487"/>
      <c r="L3000" s="573"/>
      <c r="M3000" s="573"/>
      <c r="N3000" s="456">
        <f t="shared" si="377"/>
        <v>0</v>
      </c>
      <c r="O3000" s="487"/>
      <c r="P3000" s="487"/>
      <c r="Q3000" s="274">
        <f t="shared" si="372"/>
        <v>0</v>
      </c>
      <c r="R3000" s="574">
        <f t="shared" si="373"/>
        <v>0</v>
      </c>
      <c r="S3000" s="275">
        <f t="shared" si="374"/>
        <v>0</v>
      </c>
      <c r="T3000" s="575"/>
      <c r="U3000" s="487"/>
      <c r="V3000" s="576"/>
      <c r="W3000" s="573"/>
      <c r="X3000" s="574">
        <f t="shared" si="378"/>
        <v>0</v>
      </c>
      <c r="Y3000" s="487"/>
      <c r="Z3000" s="487"/>
      <c r="AA3000" s="276">
        <f t="shared" si="379"/>
        <v>0</v>
      </c>
      <c r="AB3000" s="573">
        <v>7350000</v>
      </c>
      <c r="AC3000" s="487">
        <v>7350000</v>
      </c>
      <c r="AD3000" s="573"/>
      <c r="AE3000" s="487"/>
      <c r="AF3000" s="577">
        <f t="shared" si="375"/>
        <v>7350000</v>
      </c>
      <c r="AG3000" s="275">
        <f t="shared" si="376"/>
        <v>7350000</v>
      </c>
    </row>
    <row r="3001" spans="1:33" ht="12" customHeight="1">
      <c r="A3001" s="614" t="s">
        <v>1275</v>
      </c>
      <c r="B3001" s="615" t="s">
        <v>1792</v>
      </c>
      <c r="C3001" s="621" t="s">
        <v>894</v>
      </c>
      <c r="D3001" s="628"/>
      <c r="E3001" s="629"/>
      <c r="F3001" s="573"/>
      <c r="G3001" s="487"/>
      <c r="H3001" s="573"/>
      <c r="I3001" s="487"/>
      <c r="J3001" s="573"/>
      <c r="K3001" s="487"/>
      <c r="L3001" s="573"/>
      <c r="M3001" s="573"/>
      <c r="N3001" s="456">
        <f t="shared" si="377"/>
        <v>0</v>
      </c>
      <c r="O3001" s="487"/>
      <c r="P3001" s="487"/>
      <c r="Q3001" s="274">
        <f t="shared" si="372"/>
        <v>0</v>
      </c>
      <c r="R3001" s="574">
        <f t="shared" si="373"/>
        <v>0</v>
      </c>
      <c r="S3001" s="275">
        <f t="shared" si="374"/>
        <v>0</v>
      </c>
      <c r="T3001" s="575"/>
      <c r="U3001" s="487"/>
      <c r="V3001" s="576"/>
      <c r="W3001" s="573"/>
      <c r="X3001" s="574">
        <f t="shared" si="378"/>
        <v>0</v>
      </c>
      <c r="Y3001" s="487"/>
      <c r="Z3001" s="487"/>
      <c r="AA3001" s="276">
        <f t="shared" si="379"/>
        <v>0</v>
      </c>
      <c r="AB3001" s="575">
        <v>3900000</v>
      </c>
      <c r="AC3001" s="487">
        <v>0</v>
      </c>
      <c r="AD3001" s="573"/>
      <c r="AE3001" s="487"/>
      <c r="AF3001" s="577">
        <f t="shared" si="375"/>
        <v>3900000</v>
      </c>
      <c r="AG3001" s="275">
        <f t="shared" si="376"/>
        <v>0</v>
      </c>
    </row>
    <row r="3002" spans="1:33" ht="12" customHeight="1">
      <c r="A3002" s="614" t="s">
        <v>1275</v>
      </c>
      <c r="B3002" s="615" t="s">
        <v>1821</v>
      </c>
      <c r="C3002" s="248" t="s">
        <v>1435</v>
      </c>
      <c r="D3002" s="628"/>
      <c r="E3002" s="629"/>
      <c r="F3002" s="573"/>
      <c r="G3002" s="487"/>
      <c r="H3002" s="576"/>
      <c r="I3002" s="487"/>
      <c r="J3002" s="573"/>
      <c r="K3002" s="487"/>
      <c r="L3002" s="573"/>
      <c r="M3002" s="573"/>
      <c r="N3002" s="456">
        <f t="shared" si="377"/>
        <v>0</v>
      </c>
      <c r="O3002" s="487"/>
      <c r="P3002" s="487"/>
      <c r="Q3002" s="274">
        <f t="shared" si="372"/>
        <v>0</v>
      </c>
      <c r="R3002" s="574">
        <f t="shared" si="373"/>
        <v>0</v>
      </c>
      <c r="S3002" s="275">
        <f t="shared" si="374"/>
        <v>0</v>
      </c>
      <c r="T3002" s="575"/>
      <c r="U3002" s="487"/>
      <c r="V3002" s="576"/>
      <c r="W3002" s="573"/>
      <c r="X3002" s="574">
        <f t="shared" si="378"/>
        <v>0</v>
      </c>
      <c r="Y3002" s="487"/>
      <c r="Z3002" s="487"/>
      <c r="AA3002" s="276">
        <f t="shared" si="379"/>
        <v>0</v>
      </c>
      <c r="AB3002" s="573"/>
      <c r="AC3002" s="487"/>
      <c r="AD3002" s="573"/>
      <c r="AE3002" s="487"/>
      <c r="AF3002" s="577">
        <f t="shared" si="375"/>
        <v>0</v>
      </c>
      <c r="AG3002" s="275">
        <f t="shared" si="376"/>
        <v>0</v>
      </c>
    </row>
    <row r="3003" spans="1:33" ht="12" customHeight="1">
      <c r="A3003" s="614" t="s">
        <v>1275</v>
      </c>
      <c r="B3003" s="615" t="s">
        <v>1821</v>
      </c>
      <c r="C3003" s="520" t="s">
        <v>1985</v>
      </c>
      <c r="D3003" s="628"/>
      <c r="E3003" s="629"/>
      <c r="F3003" s="573"/>
      <c r="G3003" s="487"/>
      <c r="H3003" s="576"/>
      <c r="I3003" s="487">
        <v>100000000</v>
      </c>
      <c r="J3003" s="573"/>
      <c r="K3003" s="487"/>
      <c r="L3003" s="573"/>
      <c r="M3003" s="573"/>
      <c r="N3003" s="456">
        <f t="shared" si="377"/>
        <v>0</v>
      </c>
      <c r="O3003" s="487"/>
      <c r="P3003" s="487"/>
      <c r="Q3003" s="274">
        <f t="shared" si="372"/>
        <v>0</v>
      </c>
      <c r="R3003" s="574">
        <f t="shared" si="373"/>
        <v>0</v>
      </c>
      <c r="S3003" s="275">
        <f t="shared" si="374"/>
        <v>100000000</v>
      </c>
      <c r="T3003" s="575"/>
      <c r="U3003" s="487"/>
      <c r="V3003" s="576"/>
      <c r="W3003" s="573"/>
      <c r="X3003" s="574">
        <f t="shared" si="378"/>
        <v>0</v>
      </c>
      <c r="Y3003" s="487"/>
      <c r="Z3003" s="487"/>
      <c r="AA3003" s="276">
        <f t="shared" si="379"/>
        <v>0</v>
      </c>
      <c r="AB3003" s="573"/>
      <c r="AC3003" s="487"/>
      <c r="AD3003" s="573"/>
      <c r="AE3003" s="487"/>
      <c r="AF3003" s="577">
        <f t="shared" si="375"/>
        <v>0</v>
      </c>
      <c r="AG3003" s="275">
        <f t="shared" si="376"/>
        <v>100000000</v>
      </c>
    </row>
    <row r="3004" spans="1:33" ht="12" customHeight="1">
      <c r="A3004" s="614" t="s">
        <v>1275</v>
      </c>
      <c r="B3004" s="615" t="s">
        <v>1821</v>
      </c>
      <c r="C3004" s="621" t="s">
        <v>887</v>
      </c>
      <c r="D3004" s="628"/>
      <c r="E3004" s="629"/>
      <c r="F3004" s="573"/>
      <c r="G3004" s="487"/>
      <c r="H3004" s="576">
        <v>1759393</v>
      </c>
      <c r="I3004" s="487">
        <v>1759393</v>
      </c>
      <c r="J3004" s="573"/>
      <c r="K3004" s="487"/>
      <c r="L3004" s="573"/>
      <c r="M3004" s="573"/>
      <c r="N3004" s="456">
        <f t="shared" si="377"/>
        <v>0</v>
      </c>
      <c r="O3004" s="487"/>
      <c r="P3004" s="487"/>
      <c r="Q3004" s="274">
        <f t="shared" si="372"/>
        <v>0</v>
      </c>
      <c r="R3004" s="574">
        <f t="shared" si="373"/>
        <v>1759393</v>
      </c>
      <c r="S3004" s="275">
        <f t="shared" si="374"/>
        <v>1759393</v>
      </c>
      <c r="T3004" s="575"/>
      <c r="U3004" s="487"/>
      <c r="V3004" s="576"/>
      <c r="W3004" s="573"/>
      <c r="X3004" s="574">
        <f t="shared" si="378"/>
        <v>0</v>
      </c>
      <c r="Y3004" s="487"/>
      <c r="Z3004" s="487"/>
      <c r="AA3004" s="276">
        <f t="shared" si="379"/>
        <v>0</v>
      </c>
      <c r="AB3004" s="573"/>
      <c r="AC3004" s="487"/>
      <c r="AD3004" s="573"/>
      <c r="AE3004" s="487"/>
      <c r="AF3004" s="577">
        <f t="shared" si="375"/>
        <v>1759393</v>
      </c>
      <c r="AG3004" s="275">
        <f t="shared" si="376"/>
        <v>1759393</v>
      </c>
    </row>
    <row r="3005" spans="1:33" ht="12" customHeight="1" thickBot="1">
      <c r="A3005" s="614" t="s">
        <v>1275</v>
      </c>
      <c r="B3005" s="615" t="s">
        <v>1821</v>
      </c>
      <c r="C3005" s="768" t="s">
        <v>416</v>
      </c>
      <c r="D3005" s="628"/>
      <c r="E3005" s="629"/>
      <c r="F3005" s="573"/>
      <c r="G3005" s="487"/>
      <c r="H3005" s="591">
        <v>93636</v>
      </c>
      <c r="I3005" s="471">
        <v>93636</v>
      </c>
      <c r="J3005" s="573"/>
      <c r="K3005" s="487"/>
      <c r="L3005" s="573"/>
      <c r="M3005" s="573"/>
      <c r="N3005" s="456">
        <f t="shared" si="377"/>
        <v>0</v>
      </c>
      <c r="O3005" s="487"/>
      <c r="P3005" s="487"/>
      <c r="Q3005" s="274">
        <f t="shared" si="372"/>
        <v>0</v>
      </c>
      <c r="R3005" s="574">
        <f t="shared" si="373"/>
        <v>93636</v>
      </c>
      <c r="S3005" s="275">
        <f t="shared" si="374"/>
        <v>93636</v>
      </c>
      <c r="T3005" s="575"/>
      <c r="U3005" s="487"/>
      <c r="V3005" s="576"/>
      <c r="W3005" s="573"/>
      <c r="X3005" s="574">
        <f t="shared" si="378"/>
        <v>0</v>
      </c>
      <c r="Y3005" s="487"/>
      <c r="Z3005" s="487"/>
      <c r="AA3005" s="276">
        <f t="shared" si="379"/>
        <v>0</v>
      </c>
      <c r="AB3005" s="573"/>
      <c r="AC3005" s="487"/>
      <c r="AD3005" s="573"/>
      <c r="AE3005" s="487"/>
      <c r="AF3005" s="577">
        <f t="shared" si="375"/>
        <v>93636</v>
      </c>
      <c r="AG3005" s="275">
        <f t="shared" si="376"/>
        <v>93636</v>
      </c>
    </row>
    <row r="3006" spans="1:33" ht="12" customHeight="1">
      <c r="A3006" s="614" t="s">
        <v>1275</v>
      </c>
      <c r="B3006" s="615" t="s">
        <v>1794</v>
      </c>
      <c r="C3006" s="248" t="s">
        <v>849</v>
      </c>
      <c r="D3006" s="628"/>
      <c r="E3006" s="629"/>
      <c r="F3006" s="573"/>
      <c r="G3006" s="487"/>
      <c r="H3006" s="573"/>
      <c r="I3006" s="487"/>
      <c r="J3006" s="573"/>
      <c r="K3006" s="487"/>
      <c r="L3006" s="573"/>
      <c r="M3006" s="573"/>
      <c r="N3006" s="456">
        <f t="shared" si="377"/>
        <v>0</v>
      </c>
      <c r="O3006" s="487"/>
      <c r="P3006" s="487"/>
      <c r="Q3006" s="274">
        <f t="shared" si="372"/>
        <v>0</v>
      </c>
      <c r="R3006" s="574">
        <f t="shared" si="373"/>
        <v>0</v>
      </c>
      <c r="S3006" s="275">
        <f t="shared" si="374"/>
        <v>0</v>
      </c>
      <c r="T3006" s="575"/>
      <c r="U3006" s="487"/>
      <c r="V3006" s="576"/>
      <c r="W3006" s="573"/>
      <c r="X3006" s="574">
        <f t="shared" si="378"/>
        <v>0</v>
      </c>
      <c r="Y3006" s="487"/>
      <c r="Z3006" s="487"/>
      <c r="AA3006" s="276">
        <f t="shared" si="379"/>
        <v>0</v>
      </c>
      <c r="AB3006" s="573"/>
      <c r="AC3006" s="487"/>
      <c r="AD3006" s="573"/>
      <c r="AE3006" s="487"/>
      <c r="AF3006" s="577">
        <f t="shared" si="375"/>
        <v>0</v>
      </c>
      <c r="AG3006" s="275">
        <f t="shared" si="376"/>
        <v>0</v>
      </c>
    </row>
    <row r="3007" spans="1:33" ht="12" customHeight="1">
      <c r="A3007" s="614" t="s">
        <v>1275</v>
      </c>
      <c r="B3007" s="615" t="s">
        <v>1795</v>
      </c>
      <c r="C3007" s="240" t="s">
        <v>957</v>
      </c>
      <c r="D3007" s="628"/>
      <c r="E3007" s="629"/>
      <c r="F3007" s="573"/>
      <c r="G3007" s="487"/>
      <c r="H3007" s="573"/>
      <c r="I3007" s="487"/>
      <c r="J3007" s="573"/>
      <c r="K3007" s="487"/>
      <c r="L3007" s="573"/>
      <c r="M3007" s="573"/>
      <c r="N3007" s="456">
        <f t="shared" si="377"/>
        <v>0</v>
      </c>
      <c r="O3007" s="487"/>
      <c r="P3007" s="487"/>
      <c r="Q3007" s="274">
        <f t="shared" si="372"/>
        <v>0</v>
      </c>
      <c r="R3007" s="574">
        <f t="shared" si="373"/>
        <v>0</v>
      </c>
      <c r="S3007" s="275">
        <f t="shared" si="374"/>
        <v>0</v>
      </c>
      <c r="T3007" s="575">
        <v>34904453</v>
      </c>
      <c r="U3007" s="487">
        <v>19769540</v>
      </c>
      <c r="V3007" s="576"/>
      <c r="W3007" s="573"/>
      <c r="X3007" s="574">
        <f t="shared" si="378"/>
        <v>0</v>
      </c>
      <c r="Y3007" s="487"/>
      <c r="Z3007" s="487"/>
      <c r="AA3007" s="276">
        <f t="shared" si="379"/>
        <v>0</v>
      </c>
      <c r="AB3007" s="573"/>
      <c r="AC3007" s="487"/>
      <c r="AD3007" s="573"/>
      <c r="AE3007" s="487"/>
      <c r="AF3007" s="577">
        <f t="shared" si="375"/>
        <v>34904453</v>
      </c>
      <c r="AG3007" s="275">
        <f t="shared" si="376"/>
        <v>19769540</v>
      </c>
    </row>
    <row r="3008" spans="1:33" ht="12" customHeight="1">
      <c r="A3008" s="614" t="s">
        <v>1275</v>
      </c>
      <c r="B3008" s="615" t="s">
        <v>1795</v>
      </c>
      <c r="C3008" s="768" t="s">
        <v>417</v>
      </c>
      <c r="D3008" s="628"/>
      <c r="E3008" s="629"/>
      <c r="F3008" s="573"/>
      <c r="G3008" s="487"/>
      <c r="H3008" s="573"/>
      <c r="I3008" s="487"/>
      <c r="J3008" s="573"/>
      <c r="K3008" s="487"/>
      <c r="L3008" s="573"/>
      <c r="M3008" s="573"/>
      <c r="N3008" s="456">
        <f t="shared" si="377"/>
        <v>0</v>
      </c>
      <c r="O3008" s="487"/>
      <c r="P3008" s="487"/>
      <c r="Q3008" s="274">
        <f t="shared" si="372"/>
        <v>0</v>
      </c>
      <c r="R3008" s="574">
        <f t="shared" si="373"/>
        <v>0</v>
      </c>
      <c r="S3008" s="275">
        <f t="shared" si="374"/>
        <v>0</v>
      </c>
      <c r="T3008" s="575">
        <f>19533638+4800+4244738</f>
        <v>23783176</v>
      </c>
      <c r="U3008" s="487">
        <f>18375637+4800+4033739</f>
        <v>22414176</v>
      </c>
      <c r="V3008" s="576"/>
      <c r="W3008" s="573"/>
      <c r="X3008" s="574">
        <f t="shared" si="378"/>
        <v>0</v>
      </c>
      <c r="Y3008" s="487"/>
      <c r="Z3008" s="487"/>
      <c r="AA3008" s="276">
        <f t="shared" si="379"/>
        <v>0</v>
      </c>
      <c r="AB3008" s="573"/>
      <c r="AC3008" s="487"/>
      <c r="AD3008" s="573"/>
      <c r="AE3008" s="487"/>
      <c r="AF3008" s="577">
        <f t="shared" si="375"/>
        <v>23783176</v>
      </c>
      <c r="AG3008" s="275">
        <f t="shared" si="376"/>
        <v>22414176</v>
      </c>
    </row>
    <row r="3009" spans="1:33" ht="12" customHeight="1">
      <c r="A3009" s="614" t="s">
        <v>1275</v>
      </c>
      <c r="B3009" s="615" t="s">
        <v>1796</v>
      </c>
      <c r="C3009" s="240" t="s">
        <v>956</v>
      </c>
      <c r="D3009" s="628"/>
      <c r="E3009" s="629"/>
      <c r="F3009" s="573"/>
      <c r="G3009" s="487"/>
      <c r="H3009" s="573"/>
      <c r="I3009" s="487"/>
      <c r="J3009" s="573"/>
      <c r="K3009" s="487"/>
      <c r="L3009" s="573"/>
      <c r="M3009" s="573"/>
      <c r="N3009" s="456">
        <f t="shared" si="377"/>
        <v>0</v>
      </c>
      <c r="O3009" s="487"/>
      <c r="P3009" s="487"/>
      <c r="Q3009" s="274">
        <f t="shared" si="372"/>
        <v>0</v>
      </c>
      <c r="R3009" s="574">
        <f t="shared" si="373"/>
        <v>0</v>
      </c>
      <c r="S3009" s="275">
        <f t="shared" si="374"/>
        <v>0</v>
      </c>
      <c r="T3009" s="575"/>
      <c r="U3009" s="487"/>
      <c r="V3009" s="576"/>
      <c r="W3009" s="573"/>
      <c r="X3009" s="574">
        <f t="shared" si="378"/>
        <v>0</v>
      </c>
      <c r="Y3009" s="487"/>
      <c r="Z3009" s="487"/>
      <c r="AA3009" s="276">
        <f t="shared" si="379"/>
        <v>0</v>
      </c>
      <c r="AB3009" s="573"/>
      <c r="AC3009" s="487"/>
      <c r="AD3009" s="573"/>
      <c r="AE3009" s="487"/>
      <c r="AF3009" s="577">
        <f t="shared" si="375"/>
        <v>0</v>
      </c>
      <c r="AG3009" s="275">
        <f t="shared" si="376"/>
        <v>0</v>
      </c>
    </row>
    <row r="3010" spans="1:33" ht="12" customHeight="1">
      <c r="A3010" s="614" t="s">
        <v>1275</v>
      </c>
      <c r="B3010" s="615" t="s">
        <v>1796</v>
      </c>
      <c r="C3010" s="240" t="s">
        <v>1913</v>
      </c>
      <c r="D3010" s="628"/>
      <c r="E3010" s="629"/>
      <c r="F3010" s="573"/>
      <c r="G3010" s="487"/>
      <c r="H3010" s="573"/>
      <c r="I3010" s="487"/>
      <c r="J3010" s="573"/>
      <c r="K3010" s="487"/>
      <c r="L3010" s="573"/>
      <c r="M3010" s="573"/>
      <c r="N3010" s="456">
        <f t="shared" si="377"/>
        <v>0</v>
      </c>
      <c r="O3010" s="487"/>
      <c r="P3010" s="487"/>
      <c r="Q3010" s="274">
        <f t="shared" si="372"/>
        <v>0</v>
      </c>
      <c r="R3010" s="574">
        <f t="shared" si="373"/>
        <v>0</v>
      </c>
      <c r="S3010" s="275">
        <f t="shared" si="374"/>
        <v>0</v>
      </c>
      <c r="T3010" s="575">
        <v>10525074</v>
      </c>
      <c r="U3010" s="487">
        <v>10675857</v>
      </c>
      <c r="V3010" s="576"/>
      <c r="W3010" s="573"/>
      <c r="X3010" s="574">
        <f t="shared" si="378"/>
        <v>0</v>
      </c>
      <c r="Y3010" s="487"/>
      <c r="Z3010" s="487"/>
      <c r="AA3010" s="276">
        <f t="shared" si="379"/>
        <v>0</v>
      </c>
      <c r="AB3010" s="573"/>
      <c r="AC3010" s="487"/>
      <c r="AD3010" s="573"/>
      <c r="AE3010" s="487"/>
      <c r="AF3010" s="577">
        <f t="shared" si="375"/>
        <v>10525074</v>
      </c>
      <c r="AG3010" s="275">
        <f t="shared" si="376"/>
        <v>10675857</v>
      </c>
    </row>
    <row r="3011" spans="1:33" ht="12" customHeight="1">
      <c r="A3011" s="614" t="s">
        <v>1275</v>
      </c>
      <c r="B3011" s="615" t="s">
        <v>1797</v>
      </c>
      <c r="C3011" s="240" t="s">
        <v>955</v>
      </c>
      <c r="D3011" s="628"/>
      <c r="E3011" s="629"/>
      <c r="F3011" s="573"/>
      <c r="G3011" s="487"/>
      <c r="H3011" s="573"/>
      <c r="I3011" s="487"/>
      <c r="J3011" s="573"/>
      <c r="K3011" s="487"/>
      <c r="L3011" s="573"/>
      <c r="M3011" s="573"/>
      <c r="N3011" s="456">
        <f t="shared" si="377"/>
        <v>0</v>
      </c>
      <c r="O3011" s="487"/>
      <c r="P3011" s="487"/>
      <c r="Q3011" s="274">
        <f t="shared" si="372"/>
        <v>0</v>
      </c>
      <c r="R3011" s="574">
        <f t="shared" si="373"/>
        <v>0</v>
      </c>
      <c r="S3011" s="275">
        <f t="shared" si="374"/>
        <v>0</v>
      </c>
      <c r="T3011" s="575"/>
      <c r="U3011" s="487"/>
      <c r="V3011" s="576"/>
      <c r="W3011" s="573"/>
      <c r="X3011" s="574">
        <f t="shared" si="378"/>
        <v>0</v>
      </c>
      <c r="Y3011" s="487"/>
      <c r="Z3011" s="487"/>
      <c r="AA3011" s="276">
        <f t="shared" si="379"/>
        <v>0</v>
      </c>
      <c r="AB3011" s="573"/>
      <c r="AC3011" s="487"/>
      <c r="AD3011" s="573"/>
      <c r="AE3011" s="487"/>
      <c r="AF3011" s="577">
        <f t="shared" si="375"/>
        <v>0</v>
      </c>
      <c r="AG3011" s="275">
        <f t="shared" si="376"/>
        <v>0</v>
      </c>
    </row>
    <row r="3012" spans="1:33" ht="12" customHeight="1">
      <c r="A3012" s="614" t="s">
        <v>1275</v>
      </c>
      <c r="B3012" s="615" t="s">
        <v>1797</v>
      </c>
      <c r="C3012" s="621" t="s">
        <v>1430</v>
      </c>
      <c r="D3012" s="628"/>
      <c r="E3012" s="629"/>
      <c r="F3012" s="573"/>
      <c r="G3012" s="487"/>
      <c r="H3012" s="573"/>
      <c r="I3012" s="487"/>
      <c r="J3012" s="573"/>
      <c r="K3012" s="487"/>
      <c r="L3012" s="573"/>
      <c r="M3012" s="573"/>
      <c r="N3012" s="456">
        <f t="shared" si="377"/>
        <v>0</v>
      </c>
      <c r="O3012" s="487"/>
      <c r="P3012" s="487"/>
      <c r="Q3012" s="274">
        <f t="shared" si="372"/>
        <v>0</v>
      </c>
      <c r="R3012" s="574">
        <f t="shared" si="373"/>
        <v>0</v>
      </c>
      <c r="S3012" s="275">
        <f t="shared" si="374"/>
        <v>0</v>
      </c>
      <c r="T3012" s="575"/>
      <c r="U3012" s="487"/>
      <c r="V3012" s="576"/>
      <c r="W3012" s="573"/>
      <c r="X3012" s="574">
        <f t="shared" si="378"/>
        <v>0</v>
      </c>
      <c r="Y3012" s="487"/>
      <c r="Z3012" s="487"/>
      <c r="AA3012" s="276">
        <f t="shared" si="379"/>
        <v>0</v>
      </c>
      <c r="AB3012" s="573"/>
      <c r="AC3012" s="487"/>
      <c r="AD3012" s="573"/>
      <c r="AE3012" s="487"/>
      <c r="AF3012" s="577">
        <f t="shared" si="375"/>
        <v>0</v>
      </c>
      <c r="AG3012" s="275">
        <f t="shared" si="376"/>
        <v>0</v>
      </c>
    </row>
    <row r="3013" spans="1:33" ht="12" customHeight="1">
      <c r="A3013" s="614" t="s">
        <v>1275</v>
      </c>
      <c r="B3013" s="615" t="s">
        <v>1798</v>
      </c>
      <c r="C3013" s="240" t="s">
        <v>852</v>
      </c>
      <c r="D3013" s="628"/>
      <c r="E3013" s="629"/>
      <c r="F3013" s="573"/>
      <c r="G3013" s="487"/>
      <c r="H3013" s="573"/>
      <c r="I3013" s="487"/>
      <c r="J3013" s="573"/>
      <c r="K3013" s="487"/>
      <c r="L3013" s="573"/>
      <c r="M3013" s="573"/>
      <c r="N3013" s="456">
        <f t="shared" si="377"/>
        <v>0</v>
      </c>
      <c r="O3013" s="487"/>
      <c r="P3013" s="487"/>
      <c r="Q3013" s="274">
        <f t="shared" si="372"/>
        <v>0</v>
      </c>
      <c r="R3013" s="574">
        <f t="shared" si="373"/>
        <v>0</v>
      </c>
      <c r="S3013" s="275">
        <f t="shared" si="374"/>
        <v>0</v>
      </c>
      <c r="T3013" s="575"/>
      <c r="U3013" s="487"/>
      <c r="V3013" s="576"/>
      <c r="W3013" s="573"/>
      <c r="X3013" s="574">
        <f t="shared" si="378"/>
        <v>0</v>
      </c>
      <c r="Y3013" s="487"/>
      <c r="Z3013" s="487"/>
      <c r="AA3013" s="276">
        <f t="shared" si="379"/>
        <v>0</v>
      </c>
      <c r="AB3013" s="573"/>
      <c r="AC3013" s="487"/>
      <c r="AD3013" s="573"/>
      <c r="AE3013" s="487"/>
      <c r="AF3013" s="577">
        <f t="shared" si="375"/>
        <v>0</v>
      </c>
      <c r="AG3013" s="275">
        <f t="shared" si="376"/>
        <v>0</v>
      </c>
    </row>
    <row r="3014" spans="1:33" ht="12" customHeight="1">
      <c r="A3014" s="614" t="s">
        <v>1275</v>
      </c>
      <c r="B3014" s="615" t="s">
        <v>1799</v>
      </c>
      <c r="C3014" s="248" t="s">
        <v>853</v>
      </c>
      <c r="D3014" s="628"/>
      <c r="E3014" s="629"/>
      <c r="F3014" s="573"/>
      <c r="G3014" s="487"/>
      <c r="H3014" s="573"/>
      <c r="I3014" s="487"/>
      <c r="J3014" s="573"/>
      <c r="K3014" s="487"/>
      <c r="L3014" s="573"/>
      <c r="M3014" s="573"/>
      <c r="N3014" s="456">
        <f t="shared" si="377"/>
        <v>0</v>
      </c>
      <c r="O3014" s="487"/>
      <c r="P3014" s="487"/>
      <c r="Q3014" s="274">
        <f t="shared" si="372"/>
        <v>0</v>
      </c>
      <c r="R3014" s="574">
        <f t="shared" si="373"/>
        <v>0</v>
      </c>
      <c r="S3014" s="275">
        <f t="shared" si="374"/>
        <v>0</v>
      </c>
      <c r="T3014" s="575"/>
      <c r="U3014" s="487"/>
      <c r="V3014" s="576"/>
      <c r="W3014" s="573"/>
      <c r="X3014" s="574">
        <f t="shared" si="378"/>
        <v>0</v>
      </c>
      <c r="Y3014" s="487"/>
      <c r="Z3014" s="487"/>
      <c r="AA3014" s="276">
        <f t="shared" si="379"/>
        <v>0</v>
      </c>
      <c r="AB3014" s="573"/>
      <c r="AC3014" s="487"/>
      <c r="AD3014" s="573"/>
      <c r="AE3014" s="487"/>
      <c r="AF3014" s="577">
        <f t="shared" si="375"/>
        <v>0</v>
      </c>
      <c r="AG3014" s="275">
        <f t="shared" si="376"/>
        <v>0</v>
      </c>
    </row>
    <row r="3015" spans="1:33" ht="12" customHeight="1">
      <c r="A3015" s="614" t="s">
        <v>1275</v>
      </c>
      <c r="B3015" s="615" t="s">
        <v>1799</v>
      </c>
      <c r="C3015" s="768" t="s">
        <v>1349</v>
      </c>
      <c r="D3015" s="628"/>
      <c r="E3015" s="629"/>
      <c r="F3015" s="573"/>
      <c r="G3015" s="487"/>
      <c r="H3015" s="573"/>
      <c r="I3015" s="487"/>
      <c r="J3015" s="573"/>
      <c r="K3015" s="487"/>
      <c r="L3015" s="573"/>
      <c r="M3015" s="573"/>
      <c r="N3015" s="456">
        <f t="shared" si="377"/>
        <v>0</v>
      </c>
      <c r="O3015" s="487"/>
      <c r="P3015" s="487"/>
      <c r="Q3015" s="274">
        <f t="shared" si="372"/>
        <v>0</v>
      </c>
      <c r="R3015" s="574">
        <f t="shared" si="373"/>
        <v>0</v>
      </c>
      <c r="S3015" s="275">
        <f t="shared" si="374"/>
        <v>0</v>
      </c>
      <c r="T3015" s="575"/>
      <c r="U3015" s="487"/>
      <c r="V3015" s="576"/>
      <c r="W3015" s="573"/>
      <c r="X3015" s="574">
        <f t="shared" si="378"/>
        <v>0</v>
      </c>
      <c r="Y3015" s="487"/>
      <c r="Z3015" s="487"/>
      <c r="AA3015" s="276">
        <f t="shared" si="379"/>
        <v>0</v>
      </c>
      <c r="AB3015" s="573"/>
      <c r="AC3015" s="487"/>
      <c r="AD3015" s="573"/>
      <c r="AE3015" s="487"/>
      <c r="AF3015" s="577">
        <f t="shared" si="375"/>
        <v>0</v>
      </c>
      <c r="AG3015" s="275">
        <f t="shared" si="376"/>
        <v>0</v>
      </c>
    </row>
    <row r="3016" spans="1:33" ht="12" customHeight="1">
      <c r="A3016" s="614" t="s">
        <v>1275</v>
      </c>
      <c r="B3016" s="615" t="s">
        <v>1799</v>
      </c>
      <c r="C3016" s="768" t="s">
        <v>1350</v>
      </c>
      <c r="D3016" s="628"/>
      <c r="E3016" s="629"/>
      <c r="F3016" s="573"/>
      <c r="G3016" s="487"/>
      <c r="H3016" s="573"/>
      <c r="I3016" s="487"/>
      <c r="J3016" s="573"/>
      <c r="K3016" s="487"/>
      <c r="L3016" s="573"/>
      <c r="M3016" s="573"/>
      <c r="N3016" s="456">
        <f t="shared" si="377"/>
        <v>0</v>
      </c>
      <c r="O3016" s="487"/>
      <c r="P3016" s="487"/>
      <c r="Q3016" s="274">
        <f t="shared" si="372"/>
        <v>0</v>
      </c>
      <c r="R3016" s="574">
        <f t="shared" si="373"/>
        <v>0</v>
      </c>
      <c r="S3016" s="275">
        <f t="shared" si="374"/>
        <v>0</v>
      </c>
      <c r="T3016" s="575">
        <f>45215476+1125000+1915830</f>
        <v>48256306</v>
      </c>
      <c r="U3016" s="487">
        <f>38798320+6417156+1125000+1915830</f>
        <v>48256306</v>
      </c>
      <c r="V3016" s="576"/>
      <c r="W3016" s="573"/>
      <c r="X3016" s="574">
        <f t="shared" si="378"/>
        <v>0</v>
      </c>
      <c r="Y3016" s="487"/>
      <c r="Z3016" s="487"/>
      <c r="AA3016" s="276">
        <f t="shared" si="379"/>
        <v>0</v>
      </c>
      <c r="AB3016" s="573"/>
      <c r="AC3016" s="487"/>
      <c r="AD3016" s="573"/>
      <c r="AE3016" s="487"/>
      <c r="AF3016" s="577">
        <f t="shared" si="375"/>
        <v>48256306</v>
      </c>
      <c r="AG3016" s="275">
        <f t="shared" si="376"/>
        <v>48256306</v>
      </c>
    </row>
    <row r="3017" spans="1:33" ht="12" customHeight="1">
      <c r="A3017" s="614" t="s">
        <v>1275</v>
      </c>
      <c r="B3017" s="615" t="s">
        <v>1799</v>
      </c>
      <c r="C3017" s="768" t="s">
        <v>1455</v>
      </c>
      <c r="D3017" s="628"/>
      <c r="E3017" s="629"/>
      <c r="F3017" s="573"/>
      <c r="G3017" s="487"/>
      <c r="H3017" s="573"/>
      <c r="I3017" s="487"/>
      <c r="J3017" s="573"/>
      <c r="K3017" s="487"/>
      <c r="L3017" s="573"/>
      <c r="M3017" s="573"/>
      <c r="N3017" s="456">
        <f t="shared" si="377"/>
        <v>0</v>
      </c>
      <c r="O3017" s="487"/>
      <c r="P3017" s="487"/>
      <c r="Q3017" s="274">
        <f t="shared" si="372"/>
        <v>0</v>
      </c>
      <c r="R3017" s="574">
        <f t="shared" si="373"/>
        <v>0</v>
      </c>
      <c r="S3017" s="275">
        <f t="shared" si="374"/>
        <v>0</v>
      </c>
      <c r="T3017" s="575">
        <v>3200742</v>
      </c>
      <c r="U3017" s="487">
        <v>3200742</v>
      </c>
      <c r="V3017" s="576"/>
      <c r="W3017" s="573"/>
      <c r="X3017" s="574">
        <f t="shared" si="378"/>
        <v>0</v>
      </c>
      <c r="Y3017" s="487"/>
      <c r="Z3017" s="487"/>
      <c r="AA3017" s="276">
        <f t="shared" si="379"/>
        <v>0</v>
      </c>
      <c r="AB3017" s="573"/>
      <c r="AC3017" s="487"/>
      <c r="AD3017" s="573"/>
      <c r="AE3017" s="487"/>
      <c r="AF3017" s="577">
        <f t="shared" si="375"/>
        <v>3200742</v>
      </c>
      <c r="AG3017" s="275">
        <f t="shared" si="376"/>
        <v>3200742</v>
      </c>
    </row>
    <row r="3018" spans="1:33" ht="12" customHeight="1">
      <c r="A3018" s="614" t="s">
        <v>1275</v>
      </c>
      <c r="B3018" s="615" t="s">
        <v>1800</v>
      </c>
      <c r="C3018" s="248" t="s">
        <v>858</v>
      </c>
      <c r="D3018" s="628"/>
      <c r="E3018" s="629"/>
      <c r="F3018" s="573"/>
      <c r="G3018" s="487"/>
      <c r="H3018" s="573"/>
      <c r="I3018" s="487"/>
      <c r="J3018" s="573"/>
      <c r="K3018" s="487"/>
      <c r="L3018" s="573"/>
      <c r="M3018" s="573"/>
      <c r="N3018" s="456">
        <f t="shared" si="377"/>
        <v>0</v>
      </c>
      <c r="O3018" s="487"/>
      <c r="P3018" s="487"/>
      <c r="Q3018" s="274">
        <f t="shared" ref="Q3018:Q3081" si="380">SUM(O3018:P3018)</f>
        <v>0</v>
      </c>
      <c r="R3018" s="574">
        <f t="shared" ref="R3018:R3081" si="381">SUM(F3018,H3018,J3018,L3018)</f>
        <v>0</v>
      </c>
      <c r="S3018" s="275">
        <f t="shared" ref="S3018:S3081" si="382">SUM(G3018,I3018,K3018,O3018)</f>
        <v>0</v>
      </c>
      <c r="T3018" s="575"/>
      <c r="U3018" s="487"/>
      <c r="V3018" s="576"/>
      <c r="W3018" s="573"/>
      <c r="X3018" s="574">
        <f t="shared" si="378"/>
        <v>0</v>
      </c>
      <c r="Y3018" s="487"/>
      <c r="Z3018" s="487"/>
      <c r="AA3018" s="276">
        <f t="shared" si="379"/>
        <v>0</v>
      </c>
      <c r="AB3018" s="573"/>
      <c r="AC3018" s="487"/>
      <c r="AD3018" s="573"/>
      <c r="AE3018" s="487"/>
      <c r="AF3018" s="577">
        <f t="shared" ref="AF3018:AF3081" si="383">SUM(R3018,T3018,V3018,AB3018,AD3018)</f>
        <v>0</v>
      </c>
      <c r="AG3018" s="275">
        <f t="shared" ref="AG3018:AG3081" si="384">SUM(S3018,U3018,Y3018,AC3018,AE3018)</f>
        <v>0</v>
      </c>
    </row>
    <row r="3019" spans="1:33" ht="12" customHeight="1">
      <c r="A3019" s="614" t="s">
        <v>1275</v>
      </c>
      <c r="B3019" s="615" t="s">
        <v>1801</v>
      </c>
      <c r="C3019" s="240" t="s">
        <v>859</v>
      </c>
      <c r="D3019" s="628"/>
      <c r="E3019" s="629"/>
      <c r="F3019" s="573"/>
      <c r="G3019" s="487"/>
      <c r="H3019" s="573"/>
      <c r="I3019" s="487"/>
      <c r="J3019" s="573"/>
      <c r="K3019" s="487"/>
      <c r="L3019" s="573"/>
      <c r="M3019" s="573"/>
      <c r="N3019" s="456">
        <f t="shared" si="377"/>
        <v>0</v>
      </c>
      <c r="O3019" s="487"/>
      <c r="P3019" s="487"/>
      <c r="Q3019" s="274">
        <f t="shared" si="380"/>
        <v>0</v>
      </c>
      <c r="R3019" s="574">
        <f t="shared" si="381"/>
        <v>0</v>
      </c>
      <c r="S3019" s="275">
        <f t="shared" si="382"/>
        <v>0</v>
      </c>
      <c r="T3019" s="575"/>
      <c r="U3019" s="487"/>
      <c r="V3019" s="576"/>
      <c r="W3019" s="573"/>
      <c r="X3019" s="574">
        <f t="shared" si="378"/>
        <v>0</v>
      </c>
      <c r="Y3019" s="487"/>
      <c r="Z3019" s="487"/>
      <c r="AA3019" s="276">
        <f t="shared" si="379"/>
        <v>0</v>
      </c>
      <c r="AB3019" s="573"/>
      <c r="AC3019" s="487"/>
      <c r="AD3019" s="573"/>
      <c r="AE3019" s="487"/>
      <c r="AF3019" s="577">
        <f t="shared" si="383"/>
        <v>0</v>
      </c>
      <c r="AG3019" s="275">
        <f t="shared" si="384"/>
        <v>0</v>
      </c>
    </row>
    <row r="3020" spans="1:33" ht="12" customHeight="1">
      <c r="A3020" s="614" t="s">
        <v>1275</v>
      </c>
      <c r="B3020" s="615" t="s">
        <v>1802</v>
      </c>
      <c r="C3020" s="240" t="s">
        <v>861</v>
      </c>
      <c r="D3020" s="628"/>
      <c r="E3020" s="629"/>
      <c r="F3020" s="573"/>
      <c r="G3020" s="487"/>
      <c r="H3020" s="573"/>
      <c r="I3020" s="487"/>
      <c r="J3020" s="573"/>
      <c r="K3020" s="487"/>
      <c r="L3020" s="573"/>
      <c r="M3020" s="573"/>
      <c r="N3020" s="456">
        <f t="shared" si="377"/>
        <v>0</v>
      </c>
      <c r="O3020" s="487"/>
      <c r="P3020" s="487"/>
      <c r="Q3020" s="274">
        <f t="shared" si="380"/>
        <v>0</v>
      </c>
      <c r="R3020" s="574">
        <f t="shared" si="381"/>
        <v>0</v>
      </c>
      <c r="S3020" s="275">
        <f t="shared" si="382"/>
        <v>0</v>
      </c>
      <c r="T3020" s="575"/>
      <c r="U3020" s="487"/>
      <c r="V3020" s="576"/>
      <c r="W3020" s="573"/>
      <c r="X3020" s="574">
        <f t="shared" si="378"/>
        <v>0</v>
      </c>
      <c r="Y3020" s="487"/>
      <c r="Z3020" s="487"/>
      <c r="AA3020" s="276">
        <f t="shared" si="379"/>
        <v>0</v>
      </c>
      <c r="AB3020" s="573"/>
      <c r="AC3020" s="487"/>
      <c r="AD3020" s="573"/>
      <c r="AE3020" s="487"/>
      <c r="AF3020" s="577">
        <f t="shared" si="383"/>
        <v>0</v>
      </c>
      <c r="AG3020" s="275">
        <f t="shared" si="384"/>
        <v>0</v>
      </c>
    </row>
    <row r="3021" spans="1:33" ht="12" customHeight="1">
      <c r="A3021" s="614" t="s">
        <v>1275</v>
      </c>
      <c r="B3021" s="615" t="s">
        <v>1803</v>
      </c>
      <c r="C3021" s="240" t="s">
        <v>954</v>
      </c>
      <c r="D3021" s="628"/>
      <c r="E3021" s="629"/>
      <c r="F3021" s="573"/>
      <c r="G3021" s="487"/>
      <c r="H3021" s="573"/>
      <c r="I3021" s="487"/>
      <c r="J3021" s="573"/>
      <c r="K3021" s="487"/>
      <c r="L3021" s="573"/>
      <c r="M3021" s="573"/>
      <c r="N3021" s="456">
        <f t="shared" si="377"/>
        <v>0</v>
      </c>
      <c r="O3021" s="487"/>
      <c r="P3021" s="487"/>
      <c r="Q3021" s="274">
        <f t="shared" si="380"/>
        <v>0</v>
      </c>
      <c r="R3021" s="574">
        <f t="shared" si="381"/>
        <v>0</v>
      </c>
      <c r="S3021" s="275">
        <f t="shared" si="382"/>
        <v>0</v>
      </c>
      <c r="T3021" s="575"/>
      <c r="U3021" s="487"/>
      <c r="V3021" s="576"/>
      <c r="W3021" s="573"/>
      <c r="X3021" s="574">
        <f t="shared" si="378"/>
        <v>0</v>
      </c>
      <c r="Y3021" s="487"/>
      <c r="Z3021" s="487"/>
      <c r="AA3021" s="276">
        <f t="shared" si="379"/>
        <v>0</v>
      </c>
      <c r="AB3021" s="573"/>
      <c r="AC3021" s="487"/>
      <c r="AD3021" s="573"/>
      <c r="AE3021" s="487"/>
      <c r="AF3021" s="577">
        <f t="shared" si="383"/>
        <v>0</v>
      </c>
      <c r="AG3021" s="275">
        <f t="shared" si="384"/>
        <v>0</v>
      </c>
    </row>
    <row r="3022" spans="1:33" ht="12" customHeight="1">
      <c r="A3022" s="614" t="s">
        <v>1275</v>
      </c>
      <c r="B3022" s="615" t="s">
        <v>1804</v>
      </c>
      <c r="C3022" s="248" t="s">
        <v>418</v>
      </c>
      <c r="D3022" s="628"/>
      <c r="E3022" s="629"/>
      <c r="F3022" s="573"/>
      <c r="G3022" s="487"/>
      <c r="H3022" s="573"/>
      <c r="I3022" s="487"/>
      <c r="J3022" s="573"/>
      <c r="K3022" s="487"/>
      <c r="L3022" s="573"/>
      <c r="M3022" s="573"/>
      <c r="N3022" s="456">
        <f t="shared" si="377"/>
        <v>0</v>
      </c>
      <c r="O3022" s="487"/>
      <c r="P3022" s="487"/>
      <c r="Q3022" s="274">
        <f t="shared" si="380"/>
        <v>0</v>
      </c>
      <c r="R3022" s="574">
        <f t="shared" si="381"/>
        <v>0</v>
      </c>
      <c r="S3022" s="275">
        <f t="shared" si="382"/>
        <v>0</v>
      </c>
      <c r="T3022" s="575"/>
      <c r="U3022" s="487"/>
      <c r="V3022" s="576"/>
      <c r="W3022" s="573"/>
      <c r="X3022" s="574">
        <f t="shared" si="378"/>
        <v>0</v>
      </c>
      <c r="Y3022" s="487"/>
      <c r="Z3022" s="487"/>
      <c r="AA3022" s="276">
        <f t="shared" si="379"/>
        <v>0</v>
      </c>
      <c r="AB3022" s="573"/>
      <c r="AC3022" s="487"/>
      <c r="AD3022" s="573"/>
      <c r="AE3022" s="487"/>
      <c r="AF3022" s="577">
        <f t="shared" si="383"/>
        <v>0</v>
      </c>
      <c r="AG3022" s="275">
        <f t="shared" si="384"/>
        <v>0</v>
      </c>
    </row>
    <row r="3023" spans="1:33" ht="12" customHeight="1">
      <c r="A3023" s="614" t="s">
        <v>1275</v>
      </c>
      <c r="B3023" s="615" t="s">
        <v>1805</v>
      </c>
      <c r="C3023" s="482" t="s">
        <v>419</v>
      </c>
      <c r="D3023" s="628"/>
      <c r="E3023" s="629"/>
      <c r="F3023" s="573"/>
      <c r="G3023" s="487"/>
      <c r="H3023" s="573"/>
      <c r="I3023" s="487"/>
      <c r="J3023" s="573"/>
      <c r="K3023" s="487"/>
      <c r="L3023" s="573"/>
      <c r="M3023" s="573"/>
      <c r="N3023" s="456">
        <f t="shared" si="377"/>
        <v>0</v>
      </c>
      <c r="O3023" s="487"/>
      <c r="P3023" s="487"/>
      <c r="Q3023" s="274">
        <f t="shared" si="380"/>
        <v>0</v>
      </c>
      <c r="R3023" s="574">
        <f t="shared" si="381"/>
        <v>0</v>
      </c>
      <c r="S3023" s="275">
        <f t="shared" si="382"/>
        <v>0</v>
      </c>
      <c r="T3023" s="575"/>
      <c r="U3023" s="487"/>
      <c r="V3023" s="576"/>
      <c r="W3023" s="573"/>
      <c r="X3023" s="574">
        <f t="shared" si="378"/>
        <v>0</v>
      </c>
      <c r="Y3023" s="487"/>
      <c r="Z3023" s="487"/>
      <c r="AA3023" s="276">
        <f t="shared" si="379"/>
        <v>0</v>
      </c>
      <c r="AB3023" s="573"/>
      <c r="AC3023" s="487"/>
      <c r="AD3023" s="573"/>
      <c r="AE3023" s="487"/>
      <c r="AF3023" s="577">
        <f t="shared" si="383"/>
        <v>0</v>
      </c>
      <c r="AG3023" s="275">
        <f t="shared" si="384"/>
        <v>0</v>
      </c>
    </row>
    <row r="3024" spans="1:33" ht="12" customHeight="1">
      <c r="A3024" s="614" t="s">
        <v>1275</v>
      </c>
      <c r="B3024" s="615" t="s">
        <v>1805</v>
      </c>
      <c r="C3024" s="251" t="s">
        <v>895</v>
      </c>
      <c r="D3024" s="628"/>
      <c r="E3024" s="629"/>
      <c r="F3024" s="573"/>
      <c r="G3024" s="487"/>
      <c r="H3024" s="573"/>
      <c r="I3024" s="487"/>
      <c r="J3024" s="573"/>
      <c r="K3024" s="487"/>
      <c r="L3024" s="573"/>
      <c r="M3024" s="573"/>
      <c r="N3024" s="456">
        <f t="shared" si="377"/>
        <v>0</v>
      </c>
      <c r="O3024" s="487"/>
      <c r="P3024" s="487"/>
      <c r="Q3024" s="274">
        <f t="shared" si="380"/>
        <v>0</v>
      </c>
      <c r="R3024" s="574">
        <f t="shared" si="381"/>
        <v>0</v>
      </c>
      <c r="S3024" s="275">
        <f t="shared" si="382"/>
        <v>0</v>
      </c>
      <c r="T3024" s="575">
        <f>354896546+737434</f>
        <v>355633980</v>
      </c>
      <c r="U3024" s="487">
        <f>350775693+200000</f>
        <v>350975693</v>
      </c>
      <c r="V3024" s="576"/>
      <c r="W3024" s="573"/>
      <c r="X3024" s="574">
        <f t="shared" si="378"/>
        <v>0</v>
      </c>
      <c r="Y3024" s="487"/>
      <c r="Z3024" s="487"/>
      <c r="AA3024" s="276">
        <f t="shared" si="379"/>
        <v>0</v>
      </c>
      <c r="AB3024" s="573"/>
      <c r="AC3024" s="487"/>
      <c r="AD3024" s="573"/>
      <c r="AE3024" s="487"/>
      <c r="AF3024" s="577">
        <f t="shared" si="383"/>
        <v>355633980</v>
      </c>
      <c r="AG3024" s="275">
        <f t="shared" si="384"/>
        <v>350975693</v>
      </c>
    </row>
    <row r="3025" spans="1:33" ht="12" customHeight="1">
      <c r="A3025" s="614" t="s">
        <v>1275</v>
      </c>
      <c r="B3025" s="626" t="s">
        <v>1882</v>
      </c>
      <c r="C3025" s="627" t="s">
        <v>1883</v>
      </c>
      <c r="D3025" s="628"/>
      <c r="E3025" s="629"/>
      <c r="F3025" s="573"/>
      <c r="G3025" s="487"/>
      <c r="H3025" s="573"/>
      <c r="I3025" s="487"/>
      <c r="J3025" s="573"/>
      <c r="K3025" s="487"/>
      <c r="L3025" s="573"/>
      <c r="M3025" s="573"/>
      <c r="N3025" s="456">
        <f t="shared" si="377"/>
        <v>0</v>
      </c>
      <c r="O3025" s="487"/>
      <c r="P3025" s="487"/>
      <c r="Q3025" s="274">
        <f t="shared" si="380"/>
        <v>0</v>
      </c>
      <c r="R3025" s="574">
        <f t="shared" si="381"/>
        <v>0</v>
      </c>
      <c r="S3025" s="275">
        <f t="shared" si="382"/>
        <v>0</v>
      </c>
      <c r="T3025" s="1144" t="s">
        <v>1229</v>
      </c>
      <c r="U3025" s="487"/>
      <c r="V3025" s="576"/>
      <c r="W3025" s="573"/>
      <c r="X3025" s="574">
        <f t="shared" si="378"/>
        <v>0</v>
      </c>
      <c r="Y3025" s="487"/>
      <c r="Z3025" s="487"/>
      <c r="AA3025" s="276">
        <f t="shared" si="379"/>
        <v>0</v>
      </c>
      <c r="AB3025" s="573"/>
      <c r="AC3025" s="487"/>
      <c r="AD3025" s="573"/>
      <c r="AE3025" s="487"/>
      <c r="AF3025" s="577">
        <f t="shared" si="383"/>
        <v>0</v>
      </c>
      <c r="AG3025" s="275">
        <f t="shared" si="384"/>
        <v>0</v>
      </c>
    </row>
    <row r="3026" spans="1:33" ht="12" customHeight="1">
      <c r="A3026" s="614" t="s">
        <v>1275</v>
      </c>
      <c r="B3026" s="626" t="s">
        <v>1763</v>
      </c>
      <c r="C3026" s="627" t="s">
        <v>1761</v>
      </c>
      <c r="D3026" s="628"/>
      <c r="E3026" s="629"/>
      <c r="F3026" s="573"/>
      <c r="G3026" s="487"/>
      <c r="H3026" s="573"/>
      <c r="I3026" s="487"/>
      <c r="J3026" s="573"/>
      <c r="K3026" s="487"/>
      <c r="L3026" s="573"/>
      <c r="M3026" s="573"/>
      <c r="N3026" s="456">
        <f t="shared" si="377"/>
        <v>0</v>
      </c>
      <c r="O3026" s="487"/>
      <c r="P3026" s="487"/>
      <c r="Q3026" s="274">
        <f t="shared" si="380"/>
        <v>0</v>
      </c>
      <c r="R3026" s="574">
        <f t="shared" si="381"/>
        <v>0</v>
      </c>
      <c r="S3026" s="275">
        <f t="shared" si="382"/>
        <v>0</v>
      </c>
      <c r="T3026" s="1151"/>
      <c r="U3026" s="487"/>
      <c r="V3026" s="576"/>
      <c r="W3026" s="573"/>
      <c r="X3026" s="574">
        <f t="shared" si="378"/>
        <v>0</v>
      </c>
      <c r="Y3026" s="487"/>
      <c r="Z3026" s="487"/>
      <c r="AA3026" s="276">
        <f t="shared" si="379"/>
        <v>0</v>
      </c>
      <c r="AB3026" s="573"/>
      <c r="AC3026" s="487"/>
      <c r="AD3026" s="573"/>
      <c r="AE3026" s="487"/>
      <c r="AF3026" s="577">
        <f t="shared" si="383"/>
        <v>0</v>
      </c>
      <c r="AG3026" s="275">
        <f t="shared" si="384"/>
        <v>0</v>
      </c>
    </row>
    <row r="3027" spans="1:33" ht="12" customHeight="1">
      <c r="A3027" s="614" t="s">
        <v>1275</v>
      </c>
      <c r="B3027" s="626" t="s">
        <v>1510</v>
      </c>
      <c r="C3027" s="627" t="s">
        <v>421</v>
      </c>
      <c r="D3027" s="628"/>
      <c r="E3027" s="629"/>
      <c r="F3027" s="573"/>
      <c r="G3027" s="487"/>
      <c r="H3027" s="573"/>
      <c r="I3027" s="487"/>
      <c r="J3027" s="573"/>
      <c r="K3027" s="487"/>
      <c r="L3027" s="573"/>
      <c r="M3027" s="573"/>
      <c r="N3027" s="456">
        <f t="shared" ref="N3027:N3090" si="385">SUM(L3027:M3027)</f>
        <v>0</v>
      </c>
      <c r="O3027" s="487"/>
      <c r="P3027" s="487"/>
      <c r="Q3027" s="274">
        <f t="shared" si="380"/>
        <v>0</v>
      </c>
      <c r="R3027" s="574">
        <f t="shared" si="381"/>
        <v>0</v>
      </c>
      <c r="S3027" s="275">
        <f t="shared" si="382"/>
        <v>0</v>
      </c>
      <c r="T3027" s="1151"/>
      <c r="U3027" s="487"/>
      <c r="V3027" s="576"/>
      <c r="W3027" s="573"/>
      <c r="X3027" s="574">
        <f t="shared" ref="X3027:X3090" si="386">SUM(V3027:W3027)</f>
        <v>0</v>
      </c>
      <c r="Y3027" s="487"/>
      <c r="Z3027" s="487"/>
      <c r="AA3027" s="276">
        <f t="shared" ref="AA3027:AA3090" si="387">SUM(Y3027:Z3027)</f>
        <v>0</v>
      </c>
      <c r="AB3027" s="573"/>
      <c r="AC3027" s="487"/>
      <c r="AD3027" s="573"/>
      <c r="AE3027" s="487"/>
      <c r="AF3027" s="577">
        <f t="shared" si="383"/>
        <v>0</v>
      </c>
      <c r="AG3027" s="275">
        <f t="shared" si="384"/>
        <v>0</v>
      </c>
    </row>
    <row r="3028" spans="1:33" ht="12" customHeight="1">
      <c r="A3028" s="614" t="s">
        <v>1275</v>
      </c>
      <c r="B3028" s="626" t="s">
        <v>1511</v>
      </c>
      <c r="C3028" s="627" t="s">
        <v>1883</v>
      </c>
      <c r="D3028" s="628"/>
      <c r="E3028" s="629"/>
      <c r="F3028" s="573"/>
      <c r="G3028" s="487"/>
      <c r="H3028" s="573"/>
      <c r="I3028" s="487"/>
      <c r="J3028" s="573"/>
      <c r="K3028" s="487"/>
      <c r="L3028" s="573"/>
      <c r="M3028" s="573"/>
      <c r="N3028" s="456">
        <f t="shared" si="385"/>
        <v>0</v>
      </c>
      <c r="O3028" s="487"/>
      <c r="P3028" s="487"/>
      <c r="Q3028" s="274">
        <f t="shared" si="380"/>
        <v>0</v>
      </c>
      <c r="R3028" s="574">
        <f t="shared" si="381"/>
        <v>0</v>
      </c>
      <c r="S3028" s="275">
        <f t="shared" si="382"/>
        <v>0</v>
      </c>
      <c r="T3028" s="1151"/>
      <c r="U3028" s="487"/>
      <c r="V3028" s="576"/>
      <c r="W3028" s="573"/>
      <c r="X3028" s="574">
        <f t="shared" si="386"/>
        <v>0</v>
      </c>
      <c r="Y3028" s="487"/>
      <c r="Z3028" s="487"/>
      <c r="AA3028" s="276">
        <f t="shared" si="387"/>
        <v>0</v>
      </c>
      <c r="AB3028" s="573"/>
      <c r="AC3028" s="487"/>
      <c r="AD3028" s="573"/>
      <c r="AE3028" s="487"/>
      <c r="AF3028" s="577">
        <f t="shared" si="383"/>
        <v>0</v>
      </c>
      <c r="AG3028" s="275">
        <f t="shared" si="384"/>
        <v>0</v>
      </c>
    </row>
    <row r="3029" spans="1:33" ht="12" customHeight="1">
      <c r="A3029" s="614" t="s">
        <v>1275</v>
      </c>
      <c r="B3029" s="626" t="s">
        <v>1412</v>
      </c>
      <c r="C3029" s="627" t="s">
        <v>1761</v>
      </c>
      <c r="D3029" s="628"/>
      <c r="E3029" s="629"/>
      <c r="F3029" s="573"/>
      <c r="G3029" s="487"/>
      <c r="H3029" s="573"/>
      <c r="I3029" s="487"/>
      <c r="J3029" s="573"/>
      <c r="K3029" s="487"/>
      <c r="L3029" s="573"/>
      <c r="M3029" s="573"/>
      <c r="N3029" s="456">
        <f t="shared" si="385"/>
        <v>0</v>
      </c>
      <c r="O3029" s="487"/>
      <c r="P3029" s="487"/>
      <c r="Q3029" s="274">
        <f t="shared" si="380"/>
        <v>0</v>
      </c>
      <c r="R3029" s="574">
        <f t="shared" si="381"/>
        <v>0</v>
      </c>
      <c r="S3029" s="275">
        <f t="shared" si="382"/>
        <v>0</v>
      </c>
      <c r="T3029" s="1151"/>
      <c r="U3029" s="487"/>
      <c r="V3029" s="576"/>
      <c r="W3029" s="573"/>
      <c r="X3029" s="574">
        <f t="shared" si="386"/>
        <v>0</v>
      </c>
      <c r="Y3029" s="487"/>
      <c r="Z3029" s="487"/>
      <c r="AA3029" s="276">
        <f t="shared" si="387"/>
        <v>0</v>
      </c>
      <c r="AB3029" s="573"/>
      <c r="AC3029" s="487"/>
      <c r="AD3029" s="573"/>
      <c r="AE3029" s="487"/>
      <c r="AF3029" s="577">
        <f t="shared" si="383"/>
        <v>0</v>
      </c>
      <c r="AG3029" s="275">
        <f t="shared" si="384"/>
        <v>0</v>
      </c>
    </row>
    <row r="3030" spans="1:33" ht="12" customHeight="1">
      <c r="A3030" s="614" t="s">
        <v>1275</v>
      </c>
      <c r="B3030" s="626" t="s">
        <v>1413</v>
      </c>
      <c r="C3030" s="627" t="s">
        <v>422</v>
      </c>
      <c r="D3030" s="628"/>
      <c r="E3030" s="629"/>
      <c r="F3030" s="573"/>
      <c r="G3030" s="487"/>
      <c r="H3030" s="573"/>
      <c r="I3030" s="487"/>
      <c r="J3030" s="573"/>
      <c r="K3030" s="487"/>
      <c r="L3030" s="573"/>
      <c r="M3030" s="573"/>
      <c r="N3030" s="456">
        <f t="shared" si="385"/>
        <v>0</v>
      </c>
      <c r="O3030" s="487"/>
      <c r="P3030" s="487"/>
      <c r="Q3030" s="274">
        <f t="shared" si="380"/>
        <v>0</v>
      </c>
      <c r="R3030" s="574">
        <f t="shared" si="381"/>
        <v>0</v>
      </c>
      <c r="S3030" s="275">
        <f t="shared" si="382"/>
        <v>0</v>
      </c>
      <c r="T3030" s="1151"/>
      <c r="U3030" s="487"/>
      <c r="V3030" s="576"/>
      <c r="W3030" s="573"/>
      <c r="X3030" s="574">
        <f t="shared" si="386"/>
        <v>0</v>
      </c>
      <c r="Y3030" s="487"/>
      <c r="Z3030" s="487"/>
      <c r="AA3030" s="276">
        <f t="shared" si="387"/>
        <v>0</v>
      </c>
      <c r="AB3030" s="573"/>
      <c r="AC3030" s="487"/>
      <c r="AD3030" s="573"/>
      <c r="AE3030" s="487"/>
      <c r="AF3030" s="577">
        <f t="shared" si="383"/>
        <v>0</v>
      </c>
      <c r="AG3030" s="275">
        <f t="shared" si="384"/>
        <v>0</v>
      </c>
    </row>
    <row r="3031" spans="1:33" ht="12" customHeight="1">
      <c r="A3031" s="614" t="s">
        <v>1275</v>
      </c>
      <c r="B3031" s="626" t="s">
        <v>1582</v>
      </c>
      <c r="C3031" s="627" t="s">
        <v>1883</v>
      </c>
      <c r="D3031" s="628"/>
      <c r="E3031" s="629"/>
      <c r="F3031" s="573"/>
      <c r="G3031" s="487"/>
      <c r="H3031" s="573"/>
      <c r="I3031" s="487"/>
      <c r="J3031" s="573"/>
      <c r="K3031" s="487"/>
      <c r="L3031" s="573"/>
      <c r="M3031" s="573"/>
      <c r="N3031" s="456">
        <f t="shared" si="385"/>
        <v>0</v>
      </c>
      <c r="O3031" s="487"/>
      <c r="P3031" s="487"/>
      <c r="Q3031" s="274">
        <f t="shared" si="380"/>
        <v>0</v>
      </c>
      <c r="R3031" s="574">
        <f t="shared" si="381"/>
        <v>0</v>
      </c>
      <c r="S3031" s="275">
        <f t="shared" si="382"/>
        <v>0</v>
      </c>
      <c r="T3031" s="1152"/>
      <c r="U3031" s="487"/>
      <c r="V3031" s="576"/>
      <c r="W3031" s="573"/>
      <c r="X3031" s="574">
        <f t="shared" si="386"/>
        <v>0</v>
      </c>
      <c r="Y3031" s="487"/>
      <c r="Z3031" s="487"/>
      <c r="AA3031" s="276">
        <f t="shared" si="387"/>
        <v>0</v>
      </c>
      <c r="AB3031" s="573"/>
      <c r="AC3031" s="487"/>
      <c r="AD3031" s="573"/>
      <c r="AE3031" s="487"/>
      <c r="AF3031" s="577">
        <f t="shared" si="383"/>
        <v>0</v>
      </c>
      <c r="AG3031" s="275">
        <f t="shared" si="384"/>
        <v>0</v>
      </c>
    </row>
    <row r="3032" spans="1:33" ht="12" customHeight="1">
      <c r="A3032" s="614" t="s">
        <v>1275</v>
      </c>
      <c r="B3032" s="626" t="s">
        <v>1583</v>
      </c>
      <c r="C3032" s="627" t="s">
        <v>1761</v>
      </c>
      <c r="D3032" s="628"/>
      <c r="E3032" s="629"/>
      <c r="F3032" s="573"/>
      <c r="G3032" s="487"/>
      <c r="H3032" s="573"/>
      <c r="I3032" s="487"/>
      <c r="J3032" s="573"/>
      <c r="K3032" s="487"/>
      <c r="L3032" s="573"/>
      <c r="M3032" s="573"/>
      <c r="N3032" s="456">
        <f t="shared" si="385"/>
        <v>0</v>
      </c>
      <c r="O3032" s="487"/>
      <c r="P3032" s="487"/>
      <c r="Q3032" s="274">
        <f t="shared" si="380"/>
        <v>0</v>
      </c>
      <c r="R3032" s="574">
        <f t="shared" si="381"/>
        <v>0</v>
      </c>
      <c r="S3032" s="275">
        <f t="shared" si="382"/>
        <v>0</v>
      </c>
      <c r="T3032" s="575"/>
      <c r="U3032" s="487"/>
      <c r="V3032" s="576"/>
      <c r="W3032" s="573"/>
      <c r="X3032" s="574">
        <f t="shared" si="386"/>
        <v>0</v>
      </c>
      <c r="Y3032" s="487"/>
      <c r="Z3032" s="487"/>
      <c r="AA3032" s="276">
        <f t="shared" si="387"/>
        <v>0</v>
      </c>
      <c r="AB3032" s="573"/>
      <c r="AC3032" s="487"/>
      <c r="AD3032" s="573"/>
      <c r="AE3032" s="487"/>
      <c r="AF3032" s="577">
        <f t="shared" si="383"/>
        <v>0</v>
      </c>
      <c r="AG3032" s="275">
        <f t="shared" si="384"/>
        <v>0</v>
      </c>
    </row>
    <row r="3033" spans="1:33" ht="12" customHeight="1">
      <c r="A3033" s="614" t="s">
        <v>1275</v>
      </c>
      <c r="B3033" s="615" t="s">
        <v>1805</v>
      </c>
      <c r="C3033" s="251" t="s">
        <v>896</v>
      </c>
      <c r="D3033" s="628"/>
      <c r="E3033" s="629"/>
      <c r="F3033" s="573"/>
      <c r="G3033" s="487"/>
      <c r="H3033" s="573"/>
      <c r="I3033" s="487"/>
      <c r="J3033" s="573"/>
      <c r="K3033" s="487"/>
      <c r="L3033" s="573"/>
      <c r="M3033" s="573"/>
      <c r="N3033" s="456">
        <f t="shared" si="385"/>
        <v>0</v>
      </c>
      <c r="O3033" s="487"/>
      <c r="P3033" s="487"/>
      <c r="Q3033" s="274">
        <f t="shared" si="380"/>
        <v>0</v>
      </c>
      <c r="R3033" s="574">
        <f t="shared" si="381"/>
        <v>0</v>
      </c>
      <c r="S3033" s="275">
        <f t="shared" si="382"/>
        <v>0</v>
      </c>
      <c r="T3033" s="575">
        <v>4521443</v>
      </c>
      <c r="U3033" s="487">
        <v>4521443</v>
      </c>
      <c r="V3033" s="576"/>
      <c r="W3033" s="573"/>
      <c r="X3033" s="574">
        <f t="shared" si="386"/>
        <v>0</v>
      </c>
      <c r="Y3033" s="487"/>
      <c r="Z3033" s="487"/>
      <c r="AA3033" s="276">
        <f t="shared" si="387"/>
        <v>0</v>
      </c>
      <c r="AB3033" s="573"/>
      <c r="AC3033" s="487"/>
      <c r="AD3033" s="573"/>
      <c r="AE3033" s="487"/>
      <c r="AF3033" s="577">
        <f t="shared" si="383"/>
        <v>4521443</v>
      </c>
      <c r="AG3033" s="275">
        <f t="shared" si="384"/>
        <v>4521443</v>
      </c>
    </row>
    <row r="3034" spans="1:33" ht="12" customHeight="1">
      <c r="A3034" s="614" t="s">
        <v>1275</v>
      </c>
      <c r="B3034" s="626" t="s">
        <v>1882</v>
      </c>
      <c r="C3034" s="627" t="s">
        <v>1883</v>
      </c>
      <c r="D3034" s="628"/>
      <c r="E3034" s="629"/>
      <c r="F3034" s="573"/>
      <c r="G3034" s="487"/>
      <c r="H3034" s="573"/>
      <c r="I3034" s="487"/>
      <c r="J3034" s="573"/>
      <c r="K3034" s="487"/>
      <c r="L3034" s="573"/>
      <c r="M3034" s="573"/>
      <c r="N3034" s="456">
        <f t="shared" si="385"/>
        <v>0</v>
      </c>
      <c r="O3034" s="487"/>
      <c r="P3034" s="487"/>
      <c r="Q3034" s="274">
        <f t="shared" si="380"/>
        <v>0</v>
      </c>
      <c r="R3034" s="574">
        <f t="shared" si="381"/>
        <v>0</v>
      </c>
      <c r="S3034" s="275">
        <f t="shared" si="382"/>
        <v>0</v>
      </c>
      <c r="T3034" s="1144" t="s">
        <v>1229</v>
      </c>
      <c r="U3034" s="487"/>
      <c r="V3034" s="576"/>
      <c r="W3034" s="573"/>
      <c r="X3034" s="574">
        <f t="shared" si="386"/>
        <v>0</v>
      </c>
      <c r="Y3034" s="487"/>
      <c r="Z3034" s="487"/>
      <c r="AA3034" s="276">
        <f t="shared" si="387"/>
        <v>0</v>
      </c>
      <c r="AB3034" s="573"/>
      <c r="AC3034" s="487"/>
      <c r="AD3034" s="573"/>
      <c r="AE3034" s="487"/>
      <c r="AF3034" s="577">
        <f t="shared" si="383"/>
        <v>0</v>
      </c>
      <c r="AG3034" s="275">
        <f t="shared" si="384"/>
        <v>0</v>
      </c>
    </row>
    <row r="3035" spans="1:33" ht="12" customHeight="1">
      <c r="A3035" s="614" t="s">
        <v>1275</v>
      </c>
      <c r="B3035" s="626" t="s">
        <v>1763</v>
      </c>
      <c r="C3035" s="627" t="s">
        <v>1761</v>
      </c>
      <c r="D3035" s="628"/>
      <c r="E3035" s="629"/>
      <c r="F3035" s="573"/>
      <c r="G3035" s="487"/>
      <c r="H3035" s="573"/>
      <c r="I3035" s="487"/>
      <c r="J3035" s="573"/>
      <c r="K3035" s="487"/>
      <c r="L3035" s="573"/>
      <c r="M3035" s="573"/>
      <c r="N3035" s="456">
        <f t="shared" si="385"/>
        <v>0</v>
      </c>
      <c r="O3035" s="487"/>
      <c r="P3035" s="487"/>
      <c r="Q3035" s="274">
        <f t="shared" si="380"/>
        <v>0</v>
      </c>
      <c r="R3035" s="574">
        <f t="shared" si="381"/>
        <v>0</v>
      </c>
      <c r="S3035" s="275">
        <f t="shared" si="382"/>
        <v>0</v>
      </c>
      <c r="T3035" s="1151"/>
      <c r="U3035" s="487"/>
      <c r="V3035" s="576"/>
      <c r="W3035" s="573"/>
      <c r="X3035" s="574">
        <f t="shared" si="386"/>
        <v>0</v>
      </c>
      <c r="Y3035" s="487"/>
      <c r="Z3035" s="487"/>
      <c r="AA3035" s="276">
        <f t="shared" si="387"/>
        <v>0</v>
      </c>
      <c r="AB3035" s="573"/>
      <c r="AC3035" s="487"/>
      <c r="AD3035" s="573"/>
      <c r="AE3035" s="487"/>
      <c r="AF3035" s="577">
        <f t="shared" si="383"/>
        <v>0</v>
      </c>
      <c r="AG3035" s="275">
        <f t="shared" si="384"/>
        <v>0</v>
      </c>
    </row>
    <row r="3036" spans="1:33" ht="12" customHeight="1">
      <c r="A3036" s="614" t="s">
        <v>1275</v>
      </c>
      <c r="B3036" s="626" t="s">
        <v>1510</v>
      </c>
      <c r="C3036" s="627" t="s">
        <v>421</v>
      </c>
      <c r="D3036" s="628"/>
      <c r="E3036" s="629"/>
      <c r="F3036" s="573"/>
      <c r="G3036" s="487"/>
      <c r="H3036" s="573"/>
      <c r="I3036" s="487"/>
      <c r="J3036" s="573"/>
      <c r="K3036" s="487"/>
      <c r="L3036" s="573"/>
      <c r="M3036" s="573"/>
      <c r="N3036" s="456">
        <f t="shared" si="385"/>
        <v>0</v>
      </c>
      <c r="O3036" s="487"/>
      <c r="P3036" s="487"/>
      <c r="Q3036" s="274">
        <f t="shared" si="380"/>
        <v>0</v>
      </c>
      <c r="R3036" s="574">
        <f t="shared" si="381"/>
        <v>0</v>
      </c>
      <c r="S3036" s="275">
        <f t="shared" si="382"/>
        <v>0</v>
      </c>
      <c r="T3036" s="1151"/>
      <c r="U3036" s="487"/>
      <c r="V3036" s="576"/>
      <c r="W3036" s="573"/>
      <c r="X3036" s="574">
        <f t="shared" si="386"/>
        <v>0</v>
      </c>
      <c r="Y3036" s="487"/>
      <c r="Z3036" s="487"/>
      <c r="AA3036" s="276">
        <f t="shared" si="387"/>
        <v>0</v>
      </c>
      <c r="AB3036" s="573"/>
      <c r="AC3036" s="487"/>
      <c r="AD3036" s="573"/>
      <c r="AE3036" s="487"/>
      <c r="AF3036" s="577">
        <f t="shared" si="383"/>
        <v>0</v>
      </c>
      <c r="AG3036" s="275">
        <f t="shared" si="384"/>
        <v>0</v>
      </c>
    </row>
    <row r="3037" spans="1:33" ht="12" customHeight="1">
      <c r="A3037" s="614" t="s">
        <v>1275</v>
      </c>
      <c r="B3037" s="626" t="s">
        <v>1511</v>
      </c>
      <c r="C3037" s="627" t="s">
        <v>1883</v>
      </c>
      <c r="D3037" s="628"/>
      <c r="E3037" s="629"/>
      <c r="F3037" s="573"/>
      <c r="G3037" s="487"/>
      <c r="H3037" s="573"/>
      <c r="I3037" s="487"/>
      <c r="J3037" s="573"/>
      <c r="K3037" s="487"/>
      <c r="L3037" s="573"/>
      <c r="M3037" s="573"/>
      <c r="N3037" s="456">
        <f t="shared" si="385"/>
        <v>0</v>
      </c>
      <c r="O3037" s="487"/>
      <c r="P3037" s="487"/>
      <c r="Q3037" s="274">
        <f t="shared" si="380"/>
        <v>0</v>
      </c>
      <c r="R3037" s="574">
        <f t="shared" si="381"/>
        <v>0</v>
      </c>
      <c r="S3037" s="275">
        <f t="shared" si="382"/>
        <v>0</v>
      </c>
      <c r="T3037" s="1151"/>
      <c r="U3037" s="487"/>
      <c r="V3037" s="576"/>
      <c r="W3037" s="573"/>
      <c r="X3037" s="574">
        <f t="shared" si="386"/>
        <v>0</v>
      </c>
      <c r="Y3037" s="487"/>
      <c r="Z3037" s="487"/>
      <c r="AA3037" s="276">
        <f t="shared" si="387"/>
        <v>0</v>
      </c>
      <c r="AB3037" s="573"/>
      <c r="AC3037" s="487"/>
      <c r="AD3037" s="573"/>
      <c r="AE3037" s="487"/>
      <c r="AF3037" s="577">
        <f t="shared" si="383"/>
        <v>0</v>
      </c>
      <c r="AG3037" s="275">
        <f t="shared" si="384"/>
        <v>0</v>
      </c>
    </row>
    <row r="3038" spans="1:33" ht="12" customHeight="1">
      <c r="A3038" s="614" t="s">
        <v>1275</v>
      </c>
      <c r="B3038" s="626" t="s">
        <v>1412</v>
      </c>
      <c r="C3038" s="627" t="s">
        <v>1761</v>
      </c>
      <c r="D3038" s="628"/>
      <c r="E3038" s="629"/>
      <c r="F3038" s="573"/>
      <c r="G3038" s="487"/>
      <c r="H3038" s="573"/>
      <c r="I3038" s="487"/>
      <c r="J3038" s="573"/>
      <c r="K3038" s="487"/>
      <c r="L3038" s="573"/>
      <c r="M3038" s="573"/>
      <c r="N3038" s="456">
        <f t="shared" si="385"/>
        <v>0</v>
      </c>
      <c r="O3038" s="487"/>
      <c r="P3038" s="487"/>
      <c r="Q3038" s="274">
        <f t="shared" si="380"/>
        <v>0</v>
      </c>
      <c r="R3038" s="574">
        <f t="shared" si="381"/>
        <v>0</v>
      </c>
      <c r="S3038" s="275">
        <f t="shared" si="382"/>
        <v>0</v>
      </c>
      <c r="T3038" s="1151"/>
      <c r="U3038" s="487"/>
      <c r="V3038" s="576"/>
      <c r="W3038" s="573"/>
      <c r="X3038" s="574">
        <f t="shared" si="386"/>
        <v>0</v>
      </c>
      <c r="Y3038" s="487"/>
      <c r="Z3038" s="487"/>
      <c r="AA3038" s="276">
        <f t="shared" si="387"/>
        <v>0</v>
      </c>
      <c r="AB3038" s="573"/>
      <c r="AC3038" s="487"/>
      <c r="AD3038" s="573"/>
      <c r="AE3038" s="487"/>
      <c r="AF3038" s="577">
        <f t="shared" si="383"/>
        <v>0</v>
      </c>
      <c r="AG3038" s="275">
        <f t="shared" si="384"/>
        <v>0</v>
      </c>
    </row>
    <row r="3039" spans="1:33" ht="12" customHeight="1">
      <c r="A3039" s="614" t="s">
        <v>1275</v>
      </c>
      <c r="B3039" s="626" t="s">
        <v>1413</v>
      </c>
      <c r="C3039" s="627" t="s">
        <v>422</v>
      </c>
      <c r="D3039" s="628"/>
      <c r="E3039" s="629"/>
      <c r="F3039" s="573"/>
      <c r="G3039" s="487"/>
      <c r="H3039" s="573"/>
      <c r="I3039" s="487"/>
      <c r="J3039" s="573"/>
      <c r="K3039" s="487"/>
      <c r="L3039" s="573"/>
      <c r="M3039" s="573"/>
      <c r="N3039" s="456">
        <f t="shared" si="385"/>
        <v>0</v>
      </c>
      <c r="O3039" s="487"/>
      <c r="P3039" s="487"/>
      <c r="Q3039" s="274">
        <f t="shared" si="380"/>
        <v>0</v>
      </c>
      <c r="R3039" s="574">
        <f t="shared" si="381"/>
        <v>0</v>
      </c>
      <c r="S3039" s="275">
        <f t="shared" si="382"/>
        <v>0</v>
      </c>
      <c r="T3039" s="1151"/>
      <c r="U3039" s="487"/>
      <c r="V3039" s="576"/>
      <c r="W3039" s="573"/>
      <c r="X3039" s="574">
        <f t="shared" si="386"/>
        <v>0</v>
      </c>
      <c r="Y3039" s="487"/>
      <c r="Z3039" s="487"/>
      <c r="AA3039" s="276">
        <f t="shared" si="387"/>
        <v>0</v>
      </c>
      <c r="AB3039" s="573"/>
      <c r="AC3039" s="487"/>
      <c r="AD3039" s="573"/>
      <c r="AE3039" s="487"/>
      <c r="AF3039" s="577">
        <f t="shared" si="383"/>
        <v>0</v>
      </c>
      <c r="AG3039" s="275">
        <f t="shared" si="384"/>
        <v>0</v>
      </c>
    </row>
    <row r="3040" spans="1:33" ht="12" customHeight="1">
      <c r="A3040" s="614" t="s">
        <v>1275</v>
      </c>
      <c r="B3040" s="626" t="s">
        <v>1582</v>
      </c>
      <c r="C3040" s="627" t="s">
        <v>1883</v>
      </c>
      <c r="D3040" s="628"/>
      <c r="E3040" s="629"/>
      <c r="F3040" s="573"/>
      <c r="G3040" s="487"/>
      <c r="H3040" s="573"/>
      <c r="I3040" s="487"/>
      <c r="J3040" s="573"/>
      <c r="K3040" s="487"/>
      <c r="L3040" s="573"/>
      <c r="M3040" s="573"/>
      <c r="N3040" s="456">
        <f t="shared" si="385"/>
        <v>0</v>
      </c>
      <c r="O3040" s="487"/>
      <c r="P3040" s="487"/>
      <c r="Q3040" s="274">
        <f t="shared" si="380"/>
        <v>0</v>
      </c>
      <c r="R3040" s="574">
        <f t="shared" si="381"/>
        <v>0</v>
      </c>
      <c r="S3040" s="275">
        <f t="shared" si="382"/>
        <v>0</v>
      </c>
      <c r="T3040" s="1152"/>
      <c r="U3040" s="487"/>
      <c r="V3040" s="576"/>
      <c r="W3040" s="573"/>
      <c r="X3040" s="574">
        <f t="shared" si="386"/>
        <v>0</v>
      </c>
      <c r="Y3040" s="487"/>
      <c r="Z3040" s="487"/>
      <c r="AA3040" s="276">
        <f t="shared" si="387"/>
        <v>0</v>
      </c>
      <c r="AB3040" s="573"/>
      <c r="AC3040" s="487"/>
      <c r="AD3040" s="573"/>
      <c r="AE3040" s="487"/>
      <c r="AF3040" s="577">
        <f t="shared" si="383"/>
        <v>0</v>
      </c>
      <c r="AG3040" s="275">
        <f t="shared" si="384"/>
        <v>0</v>
      </c>
    </row>
    <row r="3041" spans="1:33" ht="12" customHeight="1">
      <c r="A3041" s="614" t="s">
        <v>1275</v>
      </c>
      <c r="B3041" s="626" t="s">
        <v>1583</v>
      </c>
      <c r="C3041" s="627" t="s">
        <v>1761</v>
      </c>
      <c r="D3041" s="628"/>
      <c r="E3041" s="629"/>
      <c r="F3041" s="573"/>
      <c r="G3041" s="487"/>
      <c r="H3041" s="573"/>
      <c r="I3041" s="487"/>
      <c r="J3041" s="573"/>
      <c r="K3041" s="487"/>
      <c r="L3041" s="573"/>
      <c r="M3041" s="573"/>
      <c r="N3041" s="456">
        <f t="shared" si="385"/>
        <v>0</v>
      </c>
      <c r="O3041" s="487"/>
      <c r="P3041" s="487"/>
      <c r="Q3041" s="274">
        <f t="shared" si="380"/>
        <v>0</v>
      </c>
      <c r="R3041" s="574">
        <f t="shared" si="381"/>
        <v>0</v>
      </c>
      <c r="S3041" s="275">
        <f t="shared" si="382"/>
        <v>0</v>
      </c>
      <c r="T3041" s="575"/>
      <c r="U3041" s="487"/>
      <c r="V3041" s="576"/>
      <c r="W3041" s="573"/>
      <c r="X3041" s="574">
        <f t="shared" si="386"/>
        <v>0</v>
      </c>
      <c r="Y3041" s="487"/>
      <c r="Z3041" s="487"/>
      <c r="AA3041" s="276">
        <f t="shared" si="387"/>
        <v>0</v>
      </c>
      <c r="AB3041" s="573"/>
      <c r="AC3041" s="487"/>
      <c r="AD3041" s="573"/>
      <c r="AE3041" s="487"/>
      <c r="AF3041" s="577">
        <f t="shared" si="383"/>
        <v>0</v>
      </c>
      <c r="AG3041" s="275">
        <f t="shared" si="384"/>
        <v>0</v>
      </c>
    </row>
    <row r="3042" spans="1:33" ht="12" customHeight="1">
      <c r="A3042" s="614" t="s">
        <v>1275</v>
      </c>
      <c r="B3042" s="615" t="s">
        <v>1805</v>
      </c>
      <c r="C3042" s="251" t="s">
        <v>897</v>
      </c>
      <c r="D3042" s="628"/>
      <c r="E3042" s="629"/>
      <c r="F3042" s="573"/>
      <c r="G3042" s="487"/>
      <c r="H3042" s="573"/>
      <c r="I3042" s="487"/>
      <c r="J3042" s="573"/>
      <c r="K3042" s="487"/>
      <c r="L3042" s="573"/>
      <c r="M3042" s="573"/>
      <c r="N3042" s="456">
        <f t="shared" si="385"/>
        <v>0</v>
      </c>
      <c r="O3042" s="487"/>
      <c r="P3042" s="487"/>
      <c r="Q3042" s="274">
        <f t="shared" si="380"/>
        <v>0</v>
      </c>
      <c r="R3042" s="574">
        <f t="shared" si="381"/>
        <v>0</v>
      </c>
      <c r="S3042" s="275">
        <f t="shared" si="382"/>
        <v>0</v>
      </c>
      <c r="T3042" s="575">
        <v>5616355</v>
      </c>
      <c r="U3042" s="487">
        <v>0</v>
      </c>
      <c r="V3042" s="576"/>
      <c r="W3042" s="573"/>
      <c r="X3042" s="574">
        <f t="shared" si="386"/>
        <v>0</v>
      </c>
      <c r="Y3042" s="487"/>
      <c r="Z3042" s="487"/>
      <c r="AA3042" s="276">
        <f t="shared" si="387"/>
        <v>0</v>
      </c>
      <c r="AB3042" s="573"/>
      <c r="AC3042" s="487"/>
      <c r="AD3042" s="573"/>
      <c r="AE3042" s="487"/>
      <c r="AF3042" s="577">
        <f t="shared" si="383"/>
        <v>5616355</v>
      </c>
      <c r="AG3042" s="275">
        <f t="shared" si="384"/>
        <v>0</v>
      </c>
    </row>
    <row r="3043" spans="1:33" ht="12" customHeight="1">
      <c r="A3043" s="614" t="s">
        <v>1275</v>
      </c>
      <c r="B3043" s="626" t="s">
        <v>1882</v>
      </c>
      <c r="C3043" s="627" t="s">
        <v>1883</v>
      </c>
      <c r="D3043" s="628"/>
      <c r="E3043" s="629"/>
      <c r="F3043" s="573"/>
      <c r="G3043" s="487"/>
      <c r="H3043" s="573"/>
      <c r="I3043" s="487"/>
      <c r="J3043" s="573"/>
      <c r="K3043" s="487"/>
      <c r="L3043" s="573"/>
      <c r="M3043" s="573"/>
      <c r="N3043" s="456">
        <f t="shared" si="385"/>
        <v>0</v>
      </c>
      <c r="O3043" s="487"/>
      <c r="P3043" s="487"/>
      <c r="Q3043" s="274">
        <f t="shared" si="380"/>
        <v>0</v>
      </c>
      <c r="R3043" s="574">
        <f t="shared" si="381"/>
        <v>0</v>
      </c>
      <c r="S3043" s="275">
        <f t="shared" si="382"/>
        <v>0</v>
      </c>
      <c r="T3043" s="1144" t="s">
        <v>1229</v>
      </c>
      <c r="U3043" s="487"/>
      <c r="V3043" s="576"/>
      <c r="W3043" s="573"/>
      <c r="X3043" s="574">
        <f t="shared" si="386"/>
        <v>0</v>
      </c>
      <c r="Y3043" s="487"/>
      <c r="Z3043" s="487"/>
      <c r="AA3043" s="276">
        <f t="shared" si="387"/>
        <v>0</v>
      </c>
      <c r="AB3043" s="573"/>
      <c r="AC3043" s="487"/>
      <c r="AD3043" s="573"/>
      <c r="AE3043" s="487"/>
      <c r="AF3043" s="577">
        <f t="shared" si="383"/>
        <v>0</v>
      </c>
      <c r="AG3043" s="275">
        <f t="shared" si="384"/>
        <v>0</v>
      </c>
    </row>
    <row r="3044" spans="1:33" ht="12" customHeight="1">
      <c r="A3044" s="614" t="s">
        <v>1275</v>
      </c>
      <c r="B3044" s="626" t="s">
        <v>1763</v>
      </c>
      <c r="C3044" s="627" t="s">
        <v>1761</v>
      </c>
      <c r="D3044" s="628"/>
      <c r="E3044" s="629"/>
      <c r="F3044" s="573"/>
      <c r="G3044" s="487"/>
      <c r="H3044" s="573"/>
      <c r="I3044" s="487"/>
      <c r="J3044" s="573"/>
      <c r="K3044" s="487"/>
      <c r="L3044" s="573"/>
      <c r="M3044" s="573"/>
      <c r="N3044" s="456">
        <f t="shared" si="385"/>
        <v>0</v>
      </c>
      <c r="O3044" s="487"/>
      <c r="P3044" s="487"/>
      <c r="Q3044" s="274">
        <f t="shared" si="380"/>
        <v>0</v>
      </c>
      <c r="R3044" s="574">
        <f t="shared" si="381"/>
        <v>0</v>
      </c>
      <c r="S3044" s="275">
        <f t="shared" si="382"/>
        <v>0</v>
      </c>
      <c r="T3044" s="1151"/>
      <c r="U3044" s="487"/>
      <c r="V3044" s="576"/>
      <c r="W3044" s="573"/>
      <c r="X3044" s="574">
        <f t="shared" si="386"/>
        <v>0</v>
      </c>
      <c r="Y3044" s="487"/>
      <c r="Z3044" s="487"/>
      <c r="AA3044" s="276">
        <f t="shared" si="387"/>
        <v>0</v>
      </c>
      <c r="AB3044" s="573"/>
      <c r="AC3044" s="487"/>
      <c r="AD3044" s="573"/>
      <c r="AE3044" s="487"/>
      <c r="AF3044" s="577">
        <f t="shared" si="383"/>
        <v>0</v>
      </c>
      <c r="AG3044" s="275">
        <f t="shared" si="384"/>
        <v>0</v>
      </c>
    </row>
    <row r="3045" spans="1:33" ht="12" customHeight="1">
      <c r="A3045" s="614" t="s">
        <v>1275</v>
      </c>
      <c r="B3045" s="626" t="s">
        <v>1510</v>
      </c>
      <c r="C3045" s="627" t="s">
        <v>421</v>
      </c>
      <c r="D3045" s="628"/>
      <c r="E3045" s="629"/>
      <c r="F3045" s="573"/>
      <c r="G3045" s="487"/>
      <c r="H3045" s="573"/>
      <c r="I3045" s="487"/>
      <c r="J3045" s="573"/>
      <c r="K3045" s="487"/>
      <c r="L3045" s="573"/>
      <c r="M3045" s="573"/>
      <c r="N3045" s="456">
        <f t="shared" si="385"/>
        <v>0</v>
      </c>
      <c r="O3045" s="487"/>
      <c r="P3045" s="487"/>
      <c r="Q3045" s="274">
        <f t="shared" si="380"/>
        <v>0</v>
      </c>
      <c r="R3045" s="574">
        <f t="shared" si="381"/>
        <v>0</v>
      </c>
      <c r="S3045" s="275">
        <f t="shared" si="382"/>
        <v>0</v>
      </c>
      <c r="T3045" s="1151"/>
      <c r="U3045" s="487"/>
      <c r="V3045" s="576"/>
      <c r="W3045" s="573"/>
      <c r="X3045" s="574">
        <f t="shared" si="386"/>
        <v>0</v>
      </c>
      <c r="Y3045" s="487"/>
      <c r="Z3045" s="487"/>
      <c r="AA3045" s="276">
        <f t="shared" si="387"/>
        <v>0</v>
      </c>
      <c r="AB3045" s="573"/>
      <c r="AC3045" s="487"/>
      <c r="AD3045" s="573"/>
      <c r="AE3045" s="487"/>
      <c r="AF3045" s="577">
        <f t="shared" si="383"/>
        <v>0</v>
      </c>
      <c r="AG3045" s="275">
        <f t="shared" si="384"/>
        <v>0</v>
      </c>
    </row>
    <row r="3046" spans="1:33" ht="12" customHeight="1">
      <c r="A3046" s="614" t="s">
        <v>1275</v>
      </c>
      <c r="B3046" s="626" t="s">
        <v>1511</v>
      </c>
      <c r="C3046" s="627" t="s">
        <v>1883</v>
      </c>
      <c r="D3046" s="628"/>
      <c r="E3046" s="629"/>
      <c r="F3046" s="573"/>
      <c r="G3046" s="487"/>
      <c r="H3046" s="573"/>
      <c r="I3046" s="487"/>
      <c r="J3046" s="573"/>
      <c r="K3046" s="487"/>
      <c r="L3046" s="573"/>
      <c r="M3046" s="573"/>
      <c r="N3046" s="456">
        <f t="shared" si="385"/>
        <v>0</v>
      </c>
      <c r="O3046" s="487"/>
      <c r="P3046" s="487"/>
      <c r="Q3046" s="274">
        <f t="shared" si="380"/>
        <v>0</v>
      </c>
      <c r="R3046" s="574">
        <f t="shared" si="381"/>
        <v>0</v>
      </c>
      <c r="S3046" s="275">
        <f t="shared" si="382"/>
        <v>0</v>
      </c>
      <c r="T3046" s="1151"/>
      <c r="U3046" s="487"/>
      <c r="V3046" s="576"/>
      <c r="W3046" s="573"/>
      <c r="X3046" s="574">
        <f t="shared" si="386"/>
        <v>0</v>
      </c>
      <c r="Y3046" s="487"/>
      <c r="Z3046" s="487"/>
      <c r="AA3046" s="276">
        <f t="shared" si="387"/>
        <v>0</v>
      </c>
      <c r="AB3046" s="573"/>
      <c r="AC3046" s="487"/>
      <c r="AD3046" s="573"/>
      <c r="AE3046" s="487"/>
      <c r="AF3046" s="577">
        <f t="shared" si="383"/>
        <v>0</v>
      </c>
      <c r="AG3046" s="275">
        <f t="shared" si="384"/>
        <v>0</v>
      </c>
    </row>
    <row r="3047" spans="1:33" ht="12" customHeight="1">
      <c r="A3047" s="614" t="s">
        <v>1275</v>
      </c>
      <c r="B3047" s="626" t="s">
        <v>1412</v>
      </c>
      <c r="C3047" s="627" t="s">
        <v>1761</v>
      </c>
      <c r="D3047" s="628"/>
      <c r="E3047" s="629"/>
      <c r="F3047" s="573"/>
      <c r="G3047" s="487"/>
      <c r="H3047" s="573"/>
      <c r="I3047" s="487"/>
      <c r="J3047" s="573"/>
      <c r="K3047" s="487"/>
      <c r="L3047" s="573"/>
      <c r="M3047" s="573"/>
      <c r="N3047" s="456">
        <f t="shared" si="385"/>
        <v>0</v>
      </c>
      <c r="O3047" s="487"/>
      <c r="P3047" s="487"/>
      <c r="Q3047" s="274">
        <f t="shared" si="380"/>
        <v>0</v>
      </c>
      <c r="R3047" s="574">
        <f t="shared" si="381"/>
        <v>0</v>
      </c>
      <c r="S3047" s="275">
        <f t="shared" si="382"/>
        <v>0</v>
      </c>
      <c r="T3047" s="1151"/>
      <c r="U3047" s="487"/>
      <c r="V3047" s="576"/>
      <c r="W3047" s="573"/>
      <c r="X3047" s="574">
        <f t="shared" si="386"/>
        <v>0</v>
      </c>
      <c r="Y3047" s="487"/>
      <c r="Z3047" s="487"/>
      <c r="AA3047" s="276">
        <f t="shared" si="387"/>
        <v>0</v>
      </c>
      <c r="AB3047" s="573"/>
      <c r="AC3047" s="487"/>
      <c r="AD3047" s="573"/>
      <c r="AE3047" s="487"/>
      <c r="AF3047" s="577">
        <f t="shared" si="383"/>
        <v>0</v>
      </c>
      <c r="AG3047" s="275">
        <f t="shared" si="384"/>
        <v>0</v>
      </c>
    </row>
    <row r="3048" spans="1:33" ht="12" customHeight="1">
      <c r="A3048" s="614" t="s">
        <v>1275</v>
      </c>
      <c r="B3048" s="626" t="s">
        <v>1413</v>
      </c>
      <c r="C3048" s="627" t="s">
        <v>422</v>
      </c>
      <c r="D3048" s="628"/>
      <c r="E3048" s="629"/>
      <c r="F3048" s="573"/>
      <c r="G3048" s="487"/>
      <c r="H3048" s="573"/>
      <c r="I3048" s="487"/>
      <c r="J3048" s="573"/>
      <c r="K3048" s="487"/>
      <c r="L3048" s="573"/>
      <c r="M3048" s="573"/>
      <c r="N3048" s="456">
        <f t="shared" si="385"/>
        <v>0</v>
      </c>
      <c r="O3048" s="487"/>
      <c r="P3048" s="487"/>
      <c r="Q3048" s="274">
        <f t="shared" si="380"/>
        <v>0</v>
      </c>
      <c r="R3048" s="574">
        <f t="shared" si="381"/>
        <v>0</v>
      </c>
      <c r="S3048" s="275">
        <f t="shared" si="382"/>
        <v>0</v>
      </c>
      <c r="T3048" s="1151"/>
      <c r="U3048" s="487"/>
      <c r="V3048" s="576"/>
      <c r="W3048" s="573"/>
      <c r="X3048" s="574">
        <f t="shared" si="386"/>
        <v>0</v>
      </c>
      <c r="Y3048" s="487"/>
      <c r="Z3048" s="487"/>
      <c r="AA3048" s="276">
        <f t="shared" si="387"/>
        <v>0</v>
      </c>
      <c r="AB3048" s="573"/>
      <c r="AC3048" s="487"/>
      <c r="AD3048" s="573"/>
      <c r="AE3048" s="487"/>
      <c r="AF3048" s="577">
        <f t="shared" si="383"/>
        <v>0</v>
      </c>
      <c r="AG3048" s="275">
        <f t="shared" si="384"/>
        <v>0</v>
      </c>
    </row>
    <row r="3049" spans="1:33" ht="12" customHeight="1">
      <c r="A3049" s="614" t="s">
        <v>1275</v>
      </c>
      <c r="B3049" s="626" t="s">
        <v>1582</v>
      </c>
      <c r="C3049" s="627" t="s">
        <v>1883</v>
      </c>
      <c r="D3049" s="628"/>
      <c r="E3049" s="629"/>
      <c r="F3049" s="573"/>
      <c r="G3049" s="487"/>
      <c r="H3049" s="573"/>
      <c r="I3049" s="487"/>
      <c r="J3049" s="573"/>
      <c r="K3049" s="487"/>
      <c r="L3049" s="573"/>
      <c r="M3049" s="573"/>
      <c r="N3049" s="456">
        <f t="shared" si="385"/>
        <v>0</v>
      </c>
      <c r="O3049" s="487"/>
      <c r="P3049" s="487"/>
      <c r="Q3049" s="274">
        <f t="shared" si="380"/>
        <v>0</v>
      </c>
      <c r="R3049" s="574">
        <f t="shared" si="381"/>
        <v>0</v>
      </c>
      <c r="S3049" s="275">
        <f t="shared" si="382"/>
        <v>0</v>
      </c>
      <c r="T3049" s="1152"/>
      <c r="U3049" s="487"/>
      <c r="V3049" s="576"/>
      <c r="W3049" s="573"/>
      <c r="X3049" s="574">
        <f t="shared" si="386"/>
        <v>0</v>
      </c>
      <c r="Y3049" s="487"/>
      <c r="Z3049" s="487"/>
      <c r="AA3049" s="276">
        <f t="shared" si="387"/>
        <v>0</v>
      </c>
      <c r="AB3049" s="573"/>
      <c r="AC3049" s="487"/>
      <c r="AD3049" s="573"/>
      <c r="AE3049" s="487"/>
      <c r="AF3049" s="577">
        <f t="shared" si="383"/>
        <v>0</v>
      </c>
      <c r="AG3049" s="275">
        <f t="shared" si="384"/>
        <v>0</v>
      </c>
    </row>
    <row r="3050" spans="1:33" ht="12" customHeight="1">
      <c r="A3050" s="614" t="s">
        <v>1275</v>
      </c>
      <c r="B3050" s="626" t="s">
        <v>1583</v>
      </c>
      <c r="C3050" s="627" t="s">
        <v>1761</v>
      </c>
      <c r="D3050" s="628"/>
      <c r="E3050" s="629"/>
      <c r="F3050" s="573"/>
      <c r="G3050" s="487"/>
      <c r="H3050" s="573"/>
      <c r="I3050" s="487"/>
      <c r="J3050" s="573"/>
      <c r="K3050" s="487"/>
      <c r="L3050" s="573"/>
      <c r="M3050" s="573"/>
      <c r="N3050" s="456">
        <f t="shared" si="385"/>
        <v>0</v>
      </c>
      <c r="O3050" s="487"/>
      <c r="P3050" s="487"/>
      <c r="Q3050" s="274">
        <f t="shared" si="380"/>
        <v>0</v>
      </c>
      <c r="R3050" s="574">
        <f t="shared" si="381"/>
        <v>0</v>
      </c>
      <c r="S3050" s="275">
        <f t="shared" si="382"/>
        <v>0</v>
      </c>
      <c r="T3050" s="575"/>
      <c r="U3050" s="487"/>
      <c r="V3050" s="576"/>
      <c r="W3050" s="573"/>
      <c r="X3050" s="574">
        <f t="shared" si="386"/>
        <v>0</v>
      </c>
      <c r="Y3050" s="487"/>
      <c r="Z3050" s="487"/>
      <c r="AA3050" s="276">
        <f t="shared" si="387"/>
        <v>0</v>
      </c>
      <c r="AB3050" s="573"/>
      <c r="AC3050" s="487"/>
      <c r="AD3050" s="573"/>
      <c r="AE3050" s="487"/>
      <c r="AF3050" s="577">
        <f t="shared" si="383"/>
        <v>0</v>
      </c>
      <c r="AG3050" s="275">
        <f t="shared" si="384"/>
        <v>0</v>
      </c>
    </row>
    <row r="3051" spans="1:33" ht="12" customHeight="1">
      <c r="A3051" s="614" t="s">
        <v>1275</v>
      </c>
      <c r="B3051" s="615" t="s">
        <v>1805</v>
      </c>
      <c r="C3051" s="251" t="s">
        <v>898</v>
      </c>
      <c r="D3051" s="628"/>
      <c r="E3051" s="629"/>
      <c r="F3051" s="573"/>
      <c r="G3051" s="487"/>
      <c r="H3051" s="573"/>
      <c r="I3051" s="487"/>
      <c r="J3051" s="573"/>
      <c r="K3051" s="487"/>
      <c r="L3051" s="573"/>
      <c r="M3051" s="573"/>
      <c r="N3051" s="456">
        <f t="shared" si="385"/>
        <v>0</v>
      </c>
      <c r="O3051" s="487"/>
      <c r="P3051" s="487"/>
      <c r="Q3051" s="274">
        <f t="shared" si="380"/>
        <v>0</v>
      </c>
      <c r="R3051" s="574">
        <f t="shared" si="381"/>
        <v>0</v>
      </c>
      <c r="S3051" s="275">
        <f t="shared" si="382"/>
        <v>0</v>
      </c>
      <c r="T3051" s="575">
        <v>197047</v>
      </c>
      <c r="U3051" s="487">
        <v>197047</v>
      </c>
      <c r="V3051" s="576"/>
      <c r="W3051" s="573"/>
      <c r="X3051" s="574">
        <f t="shared" si="386"/>
        <v>0</v>
      </c>
      <c r="Y3051" s="487"/>
      <c r="Z3051" s="487"/>
      <c r="AA3051" s="276">
        <f t="shared" si="387"/>
        <v>0</v>
      </c>
      <c r="AB3051" s="573"/>
      <c r="AC3051" s="487"/>
      <c r="AD3051" s="573"/>
      <c r="AE3051" s="487"/>
      <c r="AF3051" s="577">
        <f t="shared" si="383"/>
        <v>197047</v>
      </c>
      <c r="AG3051" s="275">
        <f t="shared" si="384"/>
        <v>197047</v>
      </c>
    </row>
    <row r="3052" spans="1:33" ht="12" customHeight="1">
      <c r="A3052" s="614" t="s">
        <v>1275</v>
      </c>
      <c r="B3052" s="626" t="s">
        <v>1882</v>
      </c>
      <c r="C3052" s="627" t="s">
        <v>1883</v>
      </c>
      <c r="D3052" s="628"/>
      <c r="E3052" s="629"/>
      <c r="F3052" s="573"/>
      <c r="G3052" s="487"/>
      <c r="H3052" s="573"/>
      <c r="I3052" s="487"/>
      <c r="J3052" s="573"/>
      <c r="K3052" s="487"/>
      <c r="L3052" s="573"/>
      <c r="M3052" s="573"/>
      <c r="N3052" s="456">
        <f t="shared" si="385"/>
        <v>0</v>
      </c>
      <c r="O3052" s="487"/>
      <c r="P3052" s="487"/>
      <c r="Q3052" s="274">
        <f t="shared" si="380"/>
        <v>0</v>
      </c>
      <c r="R3052" s="574">
        <f t="shared" si="381"/>
        <v>0</v>
      </c>
      <c r="S3052" s="275">
        <f t="shared" si="382"/>
        <v>0</v>
      </c>
      <c r="T3052" s="1144" t="s">
        <v>1229</v>
      </c>
      <c r="U3052" s="487"/>
      <c r="V3052" s="576"/>
      <c r="W3052" s="573"/>
      <c r="X3052" s="574">
        <f t="shared" si="386"/>
        <v>0</v>
      </c>
      <c r="Y3052" s="487"/>
      <c r="Z3052" s="487"/>
      <c r="AA3052" s="276">
        <f t="shared" si="387"/>
        <v>0</v>
      </c>
      <c r="AB3052" s="573"/>
      <c r="AC3052" s="487"/>
      <c r="AD3052" s="573"/>
      <c r="AE3052" s="487"/>
      <c r="AF3052" s="577">
        <f t="shared" si="383"/>
        <v>0</v>
      </c>
      <c r="AG3052" s="275">
        <f t="shared" si="384"/>
        <v>0</v>
      </c>
    </row>
    <row r="3053" spans="1:33" ht="12" customHeight="1">
      <c r="A3053" s="614" t="s">
        <v>1275</v>
      </c>
      <c r="B3053" s="626" t="s">
        <v>1763</v>
      </c>
      <c r="C3053" s="627" t="s">
        <v>1761</v>
      </c>
      <c r="D3053" s="628"/>
      <c r="E3053" s="629"/>
      <c r="F3053" s="573"/>
      <c r="G3053" s="487"/>
      <c r="H3053" s="573"/>
      <c r="I3053" s="487"/>
      <c r="J3053" s="573"/>
      <c r="K3053" s="487"/>
      <c r="L3053" s="573"/>
      <c r="M3053" s="573"/>
      <c r="N3053" s="456">
        <f t="shared" si="385"/>
        <v>0</v>
      </c>
      <c r="O3053" s="487"/>
      <c r="P3053" s="487"/>
      <c r="Q3053" s="274">
        <f t="shared" si="380"/>
        <v>0</v>
      </c>
      <c r="R3053" s="574">
        <f t="shared" si="381"/>
        <v>0</v>
      </c>
      <c r="S3053" s="275">
        <f t="shared" si="382"/>
        <v>0</v>
      </c>
      <c r="T3053" s="1151"/>
      <c r="U3053" s="487"/>
      <c r="V3053" s="576"/>
      <c r="W3053" s="573"/>
      <c r="X3053" s="574">
        <f t="shared" si="386"/>
        <v>0</v>
      </c>
      <c r="Y3053" s="487"/>
      <c r="Z3053" s="487"/>
      <c r="AA3053" s="276">
        <f t="shared" si="387"/>
        <v>0</v>
      </c>
      <c r="AB3053" s="573"/>
      <c r="AC3053" s="487"/>
      <c r="AD3053" s="573"/>
      <c r="AE3053" s="487"/>
      <c r="AF3053" s="577">
        <f t="shared" si="383"/>
        <v>0</v>
      </c>
      <c r="AG3053" s="275">
        <f t="shared" si="384"/>
        <v>0</v>
      </c>
    </row>
    <row r="3054" spans="1:33" ht="12" customHeight="1">
      <c r="A3054" s="614" t="s">
        <v>1275</v>
      </c>
      <c r="B3054" s="626" t="s">
        <v>1510</v>
      </c>
      <c r="C3054" s="627" t="s">
        <v>421</v>
      </c>
      <c r="D3054" s="628"/>
      <c r="E3054" s="629"/>
      <c r="F3054" s="573"/>
      <c r="G3054" s="487"/>
      <c r="H3054" s="573"/>
      <c r="I3054" s="487"/>
      <c r="J3054" s="573"/>
      <c r="K3054" s="487"/>
      <c r="L3054" s="573"/>
      <c r="M3054" s="573"/>
      <c r="N3054" s="456">
        <f t="shared" si="385"/>
        <v>0</v>
      </c>
      <c r="O3054" s="487"/>
      <c r="P3054" s="487"/>
      <c r="Q3054" s="274">
        <f t="shared" si="380"/>
        <v>0</v>
      </c>
      <c r="R3054" s="574">
        <f t="shared" si="381"/>
        <v>0</v>
      </c>
      <c r="S3054" s="275">
        <f t="shared" si="382"/>
        <v>0</v>
      </c>
      <c r="T3054" s="1151"/>
      <c r="U3054" s="487"/>
      <c r="V3054" s="576"/>
      <c r="W3054" s="573"/>
      <c r="X3054" s="574">
        <f t="shared" si="386"/>
        <v>0</v>
      </c>
      <c r="Y3054" s="487"/>
      <c r="Z3054" s="487"/>
      <c r="AA3054" s="276">
        <f t="shared" si="387"/>
        <v>0</v>
      </c>
      <c r="AB3054" s="573"/>
      <c r="AC3054" s="487"/>
      <c r="AD3054" s="573"/>
      <c r="AE3054" s="487"/>
      <c r="AF3054" s="577">
        <f t="shared" si="383"/>
        <v>0</v>
      </c>
      <c r="AG3054" s="275">
        <f t="shared" si="384"/>
        <v>0</v>
      </c>
    </row>
    <row r="3055" spans="1:33" ht="12" customHeight="1">
      <c r="A3055" s="614" t="s">
        <v>1275</v>
      </c>
      <c r="B3055" s="626" t="s">
        <v>1511</v>
      </c>
      <c r="C3055" s="627" t="s">
        <v>1883</v>
      </c>
      <c r="D3055" s="628"/>
      <c r="E3055" s="629"/>
      <c r="F3055" s="573"/>
      <c r="G3055" s="487"/>
      <c r="H3055" s="573"/>
      <c r="I3055" s="487"/>
      <c r="J3055" s="573"/>
      <c r="K3055" s="487"/>
      <c r="L3055" s="573"/>
      <c r="M3055" s="573"/>
      <c r="N3055" s="456">
        <f t="shared" si="385"/>
        <v>0</v>
      </c>
      <c r="O3055" s="487"/>
      <c r="P3055" s="487"/>
      <c r="Q3055" s="274">
        <f t="shared" si="380"/>
        <v>0</v>
      </c>
      <c r="R3055" s="574">
        <f t="shared" si="381"/>
        <v>0</v>
      </c>
      <c r="S3055" s="275">
        <f t="shared" si="382"/>
        <v>0</v>
      </c>
      <c r="T3055" s="1151"/>
      <c r="U3055" s="487"/>
      <c r="V3055" s="576"/>
      <c r="W3055" s="573"/>
      <c r="X3055" s="574">
        <f t="shared" si="386"/>
        <v>0</v>
      </c>
      <c r="Y3055" s="487"/>
      <c r="Z3055" s="487"/>
      <c r="AA3055" s="276">
        <f t="shared" si="387"/>
        <v>0</v>
      </c>
      <c r="AB3055" s="573"/>
      <c r="AC3055" s="487"/>
      <c r="AD3055" s="573"/>
      <c r="AE3055" s="487"/>
      <c r="AF3055" s="577">
        <f t="shared" si="383"/>
        <v>0</v>
      </c>
      <c r="AG3055" s="275">
        <f t="shared" si="384"/>
        <v>0</v>
      </c>
    </row>
    <row r="3056" spans="1:33" ht="12" customHeight="1">
      <c r="A3056" s="614" t="s">
        <v>1275</v>
      </c>
      <c r="B3056" s="626" t="s">
        <v>1412</v>
      </c>
      <c r="C3056" s="627" t="s">
        <v>1761</v>
      </c>
      <c r="D3056" s="628"/>
      <c r="E3056" s="629"/>
      <c r="F3056" s="573"/>
      <c r="G3056" s="487"/>
      <c r="H3056" s="573"/>
      <c r="I3056" s="487"/>
      <c r="J3056" s="573"/>
      <c r="K3056" s="487"/>
      <c r="L3056" s="573"/>
      <c r="M3056" s="573"/>
      <c r="N3056" s="456">
        <f t="shared" si="385"/>
        <v>0</v>
      </c>
      <c r="O3056" s="487"/>
      <c r="P3056" s="487"/>
      <c r="Q3056" s="274">
        <f t="shared" si="380"/>
        <v>0</v>
      </c>
      <c r="R3056" s="574">
        <f t="shared" si="381"/>
        <v>0</v>
      </c>
      <c r="S3056" s="275">
        <f t="shared" si="382"/>
        <v>0</v>
      </c>
      <c r="T3056" s="1151"/>
      <c r="U3056" s="487"/>
      <c r="V3056" s="576"/>
      <c r="W3056" s="573"/>
      <c r="X3056" s="574">
        <f t="shared" si="386"/>
        <v>0</v>
      </c>
      <c r="Y3056" s="487"/>
      <c r="Z3056" s="487"/>
      <c r="AA3056" s="276">
        <f t="shared" si="387"/>
        <v>0</v>
      </c>
      <c r="AB3056" s="573"/>
      <c r="AC3056" s="487"/>
      <c r="AD3056" s="573"/>
      <c r="AE3056" s="487"/>
      <c r="AF3056" s="577">
        <f t="shared" si="383"/>
        <v>0</v>
      </c>
      <c r="AG3056" s="275">
        <f t="shared" si="384"/>
        <v>0</v>
      </c>
    </row>
    <row r="3057" spans="1:33" ht="12" customHeight="1">
      <c r="A3057" s="614" t="s">
        <v>1275</v>
      </c>
      <c r="B3057" s="626" t="s">
        <v>1413</v>
      </c>
      <c r="C3057" s="627" t="s">
        <v>422</v>
      </c>
      <c r="D3057" s="628"/>
      <c r="E3057" s="629"/>
      <c r="F3057" s="573"/>
      <c r="G3057" s="487"/>
      <c r="H3057" s="573"/>
      <c r="I3057" s="487"/>
      <c r="J3057" s="573"/>
      <c r="K3057" s="487"/>
      <c r="L3057" s="573"/>
      <c r="M3057" s="573"/>
      <c r="N3057" s="456">
        <f t="shared" si="385"/>
        <v>0</v>
      </c>
      <c r="O3057" s="487"/>
      <c r="P3057" s="487"/>
      <c r="Q3057" s="274">
        <f t="shared" si="380"/>
        <v>0</v>
      </c>
      <c r="R3057" s="574">
        <f t="shared" si="381"/>
        <v>0</v>
      </c>
      <c r="S3057" s="275">
        <f t="shared" si="382"/>
        <v>0</v>
      </c>
      <c r="T3057" s="1151"/>
      <c r="U3057" s="487"/>
      <c r="V3057" s="576"/>
      <c r="W3057" s="573"/>
      <c r="X3057" s="574">
        <f t="shared" si="386"/>
        <v>0</v>
      </c>
      <c r="Y3057" s="487"/>
      <c r="Z3057" s="487"/>
      <c r="AA3057" s="276">
        <f t="shared" si="387"/>
        <v>0</v>
      </c>
      <c r="AB3057" s="573"/>
      <c r="AC3057" s="487"/>
      <c r="AD3057" s="573"/>
      <c r="AE3057" s="487"/>
      <c r="AF3057" s="577">
        <f t="shared" si="383"/>
        <v>0</v>
      </c>
      <c r="AG3057" s="275">
        <f t="shared" si="384"/>
        <v>0</v>
      </c>
    </row>
    <row r="3058" spans="1:33" ht="12" customHeight="1">
      <c r="A3058" s="614" t="s">
        <v>1275</v>
      </c>
      <c r="B3058" s="626" t="s">
        <v>1582</v>
      </c>
      <c r="C3058" s="627" t="s">
        <v>1883</v>
      </c>
      <c r="D3058" s="628"/>
      <c r="E3058" s="629"/>
      <c r="F3058" s="573"/>
      <c r="G3058" s="487"/>
      <c r="H3058" s="573"/>
      <c r="I3058" s="487"/>
      <c r="J3058" s="573"/>
      <c r="K3058" s="487"/>
      <c r="L3058" s="573"/>
      <c r="M3058" s="573"/>
      <c r="N3058" s="456">
        <f t="shared" si="385"/>
        <v>0</v>
      </c>
      <c r="O3058" s="487"/>
      <c r="P3058" s="487"/>
      <c r="Q3058" s="274">
        <f t="shared" si="380"/>
        <v>0</v>
      </c>
      <c r="R3058" s="574">
        <f t="shared" si="381"/>
        <v>0</v>
      </c>
      <c r="S3058" s="275">
        <f t="shared" si="382"/>
        <v>0</v>
      </c>
      <c r="T3058" s="1152"/>
      <c r="U3058" s="487"/>
      <c r="V3058" s="576"/>
      <c r="W3058" s="573"/>
      <c r="X3058" s="574">
        <f t="shared" si="386"/>
        <v>0</v>
      </c>
      <c r="Y3058" s="487"/>
      <c r="Z3058" s="487"/>
      <c r="AA3058" s="276">
        <f t="shared" si="387"/>
        <v>0</v>
      </c>
      <c r="AB3058" s="573"/>
      <c r="AC3058" s="487"/>
      <c r="AD3058" s="573"/>
      <c r="AE3058" s="487"/>
      <c r="AF3058" s="577">
        <f t="shared" si="383"/>
        <v>0</v>
      </c>
      <c r="AG3058" s="275">
        <f t="shared" si="384"/>
        <v>0</v>
      </c>
    </row>
    <row r="3059" spans="1:33" ht="12" customHeight="1">
      <c r="A3059" s="614" t="s">
        <v>1275</v>
      </c>
      <c r="B3059" s="626" t="s">
        <v>1583</v>
      </c>
      <c r="C3059" s="627" t="s">
        <v>1761</v>
      </c>
      <c r="D3059" s="628"/>
      <c r="E3059" s="629"/>
      <c r="F3059" s="573"/>
      <c r="G3059" s="487"/>
      <c r="H3059" s="573"/>
      <c r="I3059" s="487"/>
      <c r="J3059" s="573"/>
      <c r="K3059" s="487"/>
      <c r="L3059" s="573"/>
      <c r="M3059" s="573"/>
      <c r="N3059" s="456">
        <f t="shared" si="385"/>
        <v>0</v>
      </c>
      <c r="O3059" s="487"/>
      <c r="P3059" s="487"/>
      <c r="Q3059" s="274">
        <f t="shared" si="380"/>
        <v>0</v>
      </c>
      <c r="R3059" s="574">
        <f t="shared" si="381"/>
        <v>0</v>
      </c>
      <c r="S3059" s="275">
        <f t="shared" si="382"/>
        <v>0</v>
      </c>
      <c r="T3059" s="575"/>
      <c r="U3059" s="487"/>
      <c r="V3059" s="576"/>
      <c r="W3059" s="573"/>
      <c r="X3059" s="574">
        <f t="shared" si="386"/>
        <v>0</v>
      </c>
      <c r="Y3059" s="487"/>
      <c r="Z3059" s="487"/>
      <c r="AA3059" s="276">
        <f t="shared" si="387"/>
        <v>0</v>
      </c>
      <c r="AB3059" s="573"/>
      <c r="AC3059" s="487"/>
      <c r="AD3059" s="573"/>
      <c r="AE3059" s="487"/>
      <c r="AF3059" s="577">
        <f t="shared" si="383"/>
        <v>0</v>
      </c>
      <c r="AG3059" s="275">
        <f t="shared" si="384"/>
        <v>0</v>
      </c>
    </row>
    <row r="3060" spans="1:33" ht="12" customHeight="1">
      <c r="A3060" s="614" t="s">
        <v>1275</v>
      </c>
      <c r="B3060" s="615" t="s">
        <v>1805</v>
      </c>
      <c r="C3060" s="251" t="s">
        <v>899</v>
      </c>
      <c r="D3060" s="628"/>
      <c r="E3060" s="629"/>
      <c r="F3060" s="573"/>
      <c r="G3060" s="487"/>
      <c r="H3060" s="573"/>
      <c r="I3060" s="487"/>
      <c r="J3060" s="573"/>
      <c r="K3060" s="487"/>
      <c r="L3060" s="573"/>
      <c r="M3060" s="573"/>
      <c r="N3060" s="456">
        <f t="shared" si="385"/>
        <v>0</v>
      </c>
      <c r="O3060" s="487"/>
      <c r="P3060" s="487"/>
      <c r="Q3060" s="274">
        <f t="shared" si="380"/>
        <v>0</v>
      </c>
      <c r="R3060" s="574">
        <f t="shared" si="381"/>
        <v>0</v>
      </c>
      <c r="S3060" s="275">
        <f t="shared" si="382"/>
        <v>0</v>
      </c>
      <c r="T3060" s="575">
        <v>106477</v>
      </c>
      <c r="U3060" s="487">
        <v>106477</v>
      </c>
      <c r="V3060" s="576"/>
      <c r="W3060" s="573"/>
      <c r="X3060" s="574">
        <f t="shared" si="386"/>
        <v>0</v>
      </c>
      <c r="Y3060" s="487"/>
      <c r="Z3060" s="487"/>
      <c r="AA3060" s="276">
        <f t="shared" si="387"/>
        <v>0</v>
      </c>
      <c r="AB3060" s="573"/>
      <c r="AC3060" s="487"/>
      <c r="AD3060" s="573"/>
      <c r="AE3060" s="487"/>
      <c r="AF3060" s="577">
        <f t="shared" si="383"/>
        <v>106477</v>
      </c>
      <c r="AG3060" s="275">
        <f t="shared" si="384"/>
        <v>106477</v>
      </c>
    </row>
    <row r="3061" spans="1:33" ht="12" customHeight="1">
      <c r="A3061" s="614" t="s">
        <v>1275</v>
      </c>
      <c r="B3061" s="626" t="s">
        <v>1882</v>
      </c>
      <c r="C3061" s="627" t="s">
        <v>1883</v>
      </c>
      <c r="D3061" s="628"/>
      <c r="E3061" s="629"/>
      <c r="F3061" s="573"/>
      <c r="G3061" s="487"/>
      <c r="H3061" s="573"/>
      <c r="I3061" s="487"/>
      <c r="J3061" s="573"/>
      <c r="K3061" s="487"/>
      <c r="L3061" s="573"/>
      <c r="M3061" s="573"/>
      <c r="N3061" s="456">
        <f t="shared" si="385"/>
        <v>0</v>
      </c>
      <c r="O3061" s="487"/>
      <c r="P3061" s="487"/>
      <c r="Q3061" s="274">
        <f t="shared" si="380"/>
        <v>0</v>
      </c>
      <c r="R3061" s="574">
        <f t="shared" si="381"/>
        <v>0</v>
      </c>
      <c r="S3061" s="275">
        <f t="shared" si="382"/>
        <v>0</v>
      </c>
      <c r="T3061" s="1144" t="s">
        <v>1229</v>
      </c>
      <c r="U3061" s="487"/>
      <c r="V3061" s="576"/>
      <c r="W3061" s="573"/>
      <c r="X3061" s="574">
        <f t="shared" si="386"/>
        <v>0</v>
      </c>
      <c r="Y3061" s="487"/>
      <c r="Z3061" s="487"/>
      <c r="AA3061" s="276">
        <f t="shared" si="387"/>
        <v>0</v>
      </c>
      <c r="AB3061" s="573"/>
      <c r="AC3061" s="487"/>
      <c r="AD3061" s="573"/>
      <c r="AE3061" s="487"/>
      <c r="AF3061" s="577">
        <f t="shared" si="383"/>
        <v>0</v>
      </c>
      <c r="AG3061" s="275">
        <f t="shared" si="384"/>
        <v>0</v>
      </c>
    </row>
    <row r="3062" spans="1:33" ht="12" customHeight="1">
      <c r="A3062" s="614" t="s">
        <v>1275</v>
      </c>
      <c r="B3062" s="626" t="s">
        <v>1763</v>
      </c>
      <c r="C3062" s="627" t="s">
        <v>1761</v>
      </c>
      <c r="D3062" s="628"/>
      <c r="E3062" s="629"/>
      <c r="F3062" s="573"/>
      <c r="G3062" s="487"/>
      <c r="H3062" s="573"/>
      <c r="I3062" s="487"/>
      <c r="J3062" s="573"/>
      <c r="K3062" s="487"/>
      <c r="L3062" s="573"/>
      <c r="M3062" s="573"/>
      <c r="N3062" s="456">
        <f t="shared" si="385"/>
        <v>0</v>
      </c>
      <c r="O3062" s="487"/>
      <c r="P3062" s="487"/>
      <c r="Q3062" s="274">
        <f t="shared" si="380"/>
        <v>0</v>
      </c>
      <c r="R3062" s="574">
        <f t="shared" si="381"/>
        <v>0</v>
      </c>
      <c r="S3062" s="275">
        <f t="shared" si="382"/>
        <v>0</v>
      </c>
      <c r="T3062" s="1151"/>
      <c r="U3062" s="487"/>
      <c r="V3062" s="576"/>
      <c r="W3062" s="573"/>
      <c r="X3062" s="574">
        <f t="shared" si="386"/>
        <v>0</v>
      </c>
      <c r="Y3062" s="487"/>
      <c r="Z3062" s="487"/>
      <c r="AA3062" s="276">
        <f t="shared" si="387"/>
        <v>0</v>
      </c>
      <c r="AB3062" s="573"/>
      <c r="AC3062" s="487"/>
      <c r="AD3062" s="573"/>
      <c r="AE3062" s="487"/>
      <c r="AF3062" s="577">
        <f t="shared" si="383"/>
        <v>0</v>
      </c>
      <c r="AG3062" s="275">
        <f t="shared" si="384"/>
        <v>0</v>
      </c>
    </row>
    <row r="3063" spans="1:33" ht="12" customHeight="1">
      <c r="A3063" s="614" t="s">
        <v>1275</v>
      </c>
      <c r="B3063" s="626" t="s">
        <v>1510</v>
      </c>
      <c r="C3063" s="627" t="s">
        <v>421</v>
      </c>
      <c r="D3063" s="628"/>
      <c r="E3063" s="629"/>
      <c r="F3063" s="573"/>
      <c r="G3063" s="487"/>
      <c r="H3063" s="573"/>
      <c r="I3063" s="487"/>
      <c r="J3063" s="573"/>
      <c r="K3063" s="487"/>
      <c r="L3063" s="573"/>
      <c r="M3063" s="573"/>
      <c r="N3063" s="456">
        <f t="shared" si="385"/>
        <v>0</v>
      </c>
      <c r="O3063" s="487"/>
      <c r="P3063" s="487"/>
      <c r="Q3063" s="274">
        <f t="shared" si="380"/>
        <v>0</v>
      </c>
      <c r="R3063" s="574">
        <f t="shared" si="381"/>
        <v>0</v>
      </c>
      <c r="S3063" s="275">
        <f t="shared" si="382"/>
        <v>0</v>
      </c>
      <c r="T3063" s="1151"/>
      <c r="U3063" s="487"/>
      <c r="V3063" s="576"/>
      <c r="W3063" s="573"/>
      <c r="X3063" s="574">
        <f t="shared" si="386"/>
        <v>0</v>
      </c>
      <c r="Y3063" s="487"/>
      <c r="Z3063" s="487"/>
      <c r="AA3063" s="276">
        <f t="shared" si="387"/>
        <v>0</v>
      </c>
      <c r="AB3063" s="573"/>
      <c r="AC3063" s="487"/>
      <c r="AD3063" s="573"/>
      <c r="AE3063" s="487"/>
      <c r="AF3063" s="577">
        <f t="shared" si="383"/>
        <v>0</v>
      </c>
      <c r="AG3063" s="275">
        <f t="shared" si="384"/>
        <v>0</v>
      </c>
    </row>
    <row r="3064" spans="1:33" ht="12" customHeight="1">
      <c r="A3064" s="614" t="s">
        <v>1275</v>
      </c>
      <c r="B3064" s="626" t="s">
        <v>1511</v>
      </c>
      <c r="C3064" s="627" t="s">
        <v>1883</v>
      </c>
      <c r="D3064" s="628"/>
      <c r="E3064" s="629"/>
      <c r="F3064" s="573"/>
      <c r="G3064" s="487"/>
      <c r="H3064" s="573"/>
      <c r="I3064" s="487"/>
      <c r="J3064" s="573"/>
      <c r="K3064" s="487"/>
      <c r="L3064" s="573"/>
      <c r="M3064" s="573"/>
      <c r="N3064" s="456">
        <f t="shared" si="385"/>
        <v>0</v>
      </c>
      <c r="O3064" s="487"/>
      <c r="P3064" s="487"/>
      <c r="Q3064" s="274">
        <f t="shared" si="380"/>
        <v>0</v>
      </c>
      <c r="R3064" s="574">
        <f t="shared" si="381"/>
        <v>0</v>
      </c>
      <c r="S3064" s="275">
        <f t="shared" si="382"/>
        <v>0</v>
      </c>
      <c r="T3064" s="1151"/>
      <c r="U3064" s="487"/>
      <c r="V3064" s="576"/>
      <c r="W3064" s="573"/>
      <c r="X3064" s="574">
        <f t="shared" si="386"/>
        <v>0</v>
      </c>
      <c r="Y3064" s="487"/>
      <c r="Z3064" s="487"/>
      <c r="AA3064" s="276">
        <f t="shared" si="387"/>
        <v>0</v>
      </c>
      <c r="AB3064" s="573"/>
      <c r="AC3064" s="487"/>
      <c r="AD3064" s="573"/>
      <c r="AE3064" s="487"/>
      <c r="AF3064" s="577">
        <f t="shared" si="383"/>
        <v>0</v>
      </c>
      <c r="AG3064" s="275">
        <f t="shared" si="384"/>
        <v>0</v>
      </c>
    </row>
    <row r="3065" spans="1:33" ht="12" customHeight="1">
      <c r="A3065" s="614" t="s">
        <v>1275</v>
      </c>
      <c r="B3065" s="626" t="s">
        <v>1412</v>
      </c>
      <c r="C3065" s="627" t="s">
        <v>1761</v>
      </c>
      <c r="D3065" s="628"/>
      <c r="E3065" s="629"/>
      <c r="F3065" s="573"/>
      <c r="G3065" s="487"/>
      <c r="H3065" s="573"/>
      <c r="I3065" s="487"/>
      <c r="J3065" s="573"/>
      <c r="K3065" s="487"/>
      <c r="L3065" s="573"/>
      <c r="M3065" s="573"/>
      <c r="N3065" s="456">
        <f t="shared" si="385"/>
        <v>0</v>
      </c>
      <c r="O3065" s="487"/>
      <c r="P3065" s="487"/>
      <c r="Q3065" s="274">
        <f t="shared" si="380"/>
        <v>0</v>
      </c>
      <c r="R3065" s="574">
        <f t="shared" si="381"/>
        <v>0</v>
      </c>
      <c r="S3065" s="275">
        <f t="shared" si="382"/>
        <v>0</v>
      </c>
      <c r="T3065" s="1151"/>
      <c r="U3065" s="487"/>
      <c r="V3065" s="576"/>
      <c r="W3065" s="573"/>
      <c r="X3065" s="574">
        <f t="shared" si="386"/>
        <v>0</v>
      </c>
      <c r="Y3065" s="487"/>
      <c r="Z3065" s="487"/>
      <c r="AA3065" s="276">
        <f t="shared" si="387"/>
        <v>0</v>
      </c>
      <c r="AB3065" s="573"/>
      <c r="AC3065" s="487"/>
      <c r="AD3065" s="573"/>
      <c r="AE3065" s="487"/>
      <c r="AF3065" s="577">
        <f t="shared" si="383"/>
        <v>0</v>
      </c>
      <c r="AG3065" s="275">
        <f t="shared" si="384"/>
        <v>0</v>
      </c>
    </row>
    <row r="3066" spans="1:33" ht="12" customHeight="1">
      <c r="A3066" s="614" t="s">
        <v>1275</v>
      </c>
      <c r="B3066" s="626" t="s">
        <v>1413</v>
      </c>
      <c r="C3066" s="627" t="s">
        <v>422</v>
      </c>
      <c r="D3066" s="628"/>
      <c r="E3066" s="629"/>
      <c r="F3066" s="573"/>
      <c r="G3066" s="487"/>
      <c r="H3066" s="573"/>
      <c r="I3066" s="487"/>
      <c r="J3066" s="573"/>
      <c r="K3066" s="487"/>
      <c r="L3066" s="573"/>
      <c r="M3066" s="573"/>
      <c r="N3066" s="456">
        <f t="shared" si="385"/>
        <v>0</v>
      </c>
      <c r="O3066" s="487"/>
      <c r="P3066" s="487"/>
      <c r="Q3066" s="274">
        <f t="shared" si="380"/>
        <v>0</v>
      </c>
      <c r="R3066" s="574">
        <f t="shared" si="381"/>
        <v>0</v>
      </c>
      <c r="S3066" s="275">
        <f t="shared" si="382"/>
        <v>0</v>
      </c>
      <c r="T3066" s="1151"/>
      <c r="U3066" s="487"/>
      <c r="V3066" s="576"/>
      <c r="W3066" s="573"/>
      <c r="X3066" s="574">
        <f t="shared" si="386"/>
        <v>0</v>
      </c>
      <c r="Y3066" s="487"/>
      <c r="Z3066" s="487"/>
      <c r="AA3066" s="276">
        <f t="shared" si="387"/>
        <v>0</v>
      </c>
      <c r="AB3066" s="573"/>
      <c r="AC3066" s="487"/>
      <c r="AD3066" s="573"/>
      <c r="AE3066" s="487"/>
      <c r="AF3066" s="577">
        <f t="shared" si="383"/>
        <v>0</v>
      </c>
      <c r="AG3066" s="275">
        <f t="shared" si="384"/>
        <v>0</v>
      </c>
    </row>
    <row r="3067" spans="1:33" ht="12" customHeight="1">
      <c r="A3067" s="614" t="s">
        <v>1275</v>
      </c>
      <c r="B3067" s="626" t="s">
        <v>1582</v>
      </c>
      <c r="C3067" s="627" t="s">
        <v>1883</v>
      </c>
      <c r="D3067" s="628"/>
      <c r="E3067" s="629"/>
      <c r="F3067" s="573"/>
      <c r="G3067" s="487"/>
      <c r="H3067" s="573"/>
      <c r="I3067" s="487"/>
      <c r="J3067" s="573"/>
      <c r="K3067" s="487"/>
      <c r="L3067" s="573"/>
      <c r="M3067" s="573"/>
      <c r="N3067" s="456">
        <f t="shared" si="385"/>
        <v>0</v>
      </c>
      <c r="O3067" s="487"/>
      <c r="P3067" s="487"/>
      <c r="Q3067" s="274">
        <f t="shared" si="380"/>
        <v>0</v>
      </c>
      <c r="R3067" s="574">
        <f t="shared" si="381"/>
        <v>0</v>
      </c>
      <c r="S3067" s="275">
        <f t="shared" si="382"/>
        <v>0</v>
      </c>
      <c r="T3067" s="1152"/>
      <c r="U3067" s="487"/>
      <c r="V3067" s="576"/>
      <c r="W3067" s="573"/>
      <c r="X3067" s="574">
        <f t="shared" si="386"/>
        <v>0</v>
      </c>
      <c r="Y3067" s="487"/>
      <c r="Z3067" s="487"/>
      <c r="AA3067" s="276">
        <f t="shared" si="387"/>
        <v>0</v>
      </c>
      <c r="AB3067" s="573"/>
      <c r="AC3067" s="487"/>
      <c r="AD3067" s="573"/>
      <c r="AE3067" s="487"/>
      <c r="AF3067" s="577">
        <f t="shared" si="383"/>
        <v>0</v>
      </c>
      <c r="AG3067" s="275">
        <f t="shared" si="384"/>
        <v>0</v>
      </c>
    </row>
    <row r="3068" spans="1:33" ht="12" customHeight="1">
      <c r="A3068" s="614" t="s">
        <v>1275</v>
      </c>
      <c r="B3068" s="626" t="s">
        <v>1583</v>
      </c>
      <c r="C3068" s="627" t="s">
        <v>1761</v>
      </c>
      <c r="D3068" s="628"/>
      <c r="E3068" s="629"/>
      <c r="F3068" s="573"/>
      <c r="G3068" s="487"/>
      <c r="H3068" s="573"/>
      <c r="I3068" s="487"/>
      <c r="J3068" s="573"/>
      <c r="K3068" s="487"/>
      <c r="L3068" s="573"/>
      <c r="M3068" s="573"/>
      <c r="N3068" s="456">
        <f t="shared" si="385"/>
        <v>0</v>
      </c>
      <c r="O3068" s="487"/>
      <c r="P3068" s="487"/>
      <c r="Q3068" s="274">
        <f t="shared" si="380"/>
        <v>0</v>
      </c>
      <c r="R3068" s="574">
        <f t="shared" si="381"/>
        <v>0</v>
      </c>
      <c r="S3068" s="275">
        <f t="shared" si="382"/>
        <v>0</v>
      </c>
      <c r="T3068" s="575"/>
      <c r="U3068" s="487"/>
      <c r="V3068" s="576"/>
      <c r="W3068" s="573"/>
      <c r="X3068" s="574">
        <f t="shared" si="386"/>
        <v>0</v>
      </c>
      <c r="Y3068" s="487"/>
      <c r="Z3068" s="487"/>
      <c r="AA3068" s="276">
        <f t="shared" si="387"/>
        <v>0</v>
      </c>
      <c r="AB3068" s="573"/>
      <c r="AC3068" s="487"/>
      <c r="AD3068" s="573"/>
      <c r="AE3068" s="487"/>
      <c r="AF3068" s="577">
        <f t="shared" si="383"/>
        <v>0</v>
      </c>
      <c r="AG3068" s="275">
        <f t="shared" si="384"/>
        <v>0</v>
      </c>
    </row>
    <row r="3069" spans="1:33" ht="12" customHeight="1">
      <c r="A3069" s="614" t="s">
        <v>1275</v>
      </c>
      <c r="B3069" s="615" t="s">
        <v>1805</v>
      </c>
      <c r="C3069" s="251" t="s">
        <v>900</v>
      </c>
      <c r="D3069" s="628"/>
      <c r="E3069" s="629"/>
      <c r="F3069" s="573"/>
      <c r="G3069" s="487"/>
      <c r="H3069" s="573"/>
      <c r="I3069" s="487"/>
      <c r="J3069" s="573"/>
      <c r="K3069" s="487"/>
      <c r="L3069" s="573"/>
      <c r="M3069" s="573"/>
      <c r="N3069" s="456">
        <f t="shared" si="385"/>
        <v>0</v>
      </c>
      <c r="O3069" s="487"/>
      <c r="P3069" s="487"/>
      <c r="Q3069" s="274">
        <f t="shared" si="380"/>
        <v>0</v>
      </c>
      <c r="R3069" s="574">
        <f t="shared" si="381"/>
        <v>0</v>
      </c>
      <c r="S3069" s="275">
        <f t="shared" si="382"/>
        <v>0</v>
      </c>
      <c r="T3069" s="575">
        <v>918565</v>
      </c>
      <c r="U3069" s="487">
        <v>918565</v>
      </c>
      <c r="V3069" s="576"/>
      <c r="W3069" s="573"/>
      <c r="X3069" s="574">
        <f t="shared" si="386"/>
        <v>0</v>
      </c>
      <c r="Y3069" s="487"/>
      <c r="Z3069" s="487"/>
      <c r="AA3069" s="276">
        <f t="shared" si="387"/>
        <v>0</v>
      </c>
      <c r="AB3069" s="573"/>
      <c r="AC3069" s="487"/>
      <c r="AD3069" s="573"/>
      <c r="AE3069" s="487"/>
      <c r="AF3069" s="577">
        <f t="shared" si="383"/>
        <v>918565</v>
      </c>
      <c r="AG3069" s="275">
        <f t="shared" si="384"/>
        <v>918565</v>
      </c>
    </row>
    <row r="3070" spans="1:33" ht="12" customHeight="1">
      <c r="A3070" s="614" t="s">
        <v>1275</v>
      </c>
      <c r="B3070" s="626" t="s">
        <v>1882</v>
      </c>
      <c r="C3070" s="627" t="s">
        <v>1883</v>
      </c>
      <c r="D3070" s="628"/>
      <c r="E3070" s="629"/>
      <c r="F3070" s="573"/>
      <c r="G3070" s="487"/>
      <c r="H3070" s="573"/>
      <c r="I3070" s="487"/>
      <c r="J3070" s="573"/>
      <c r="K3070" s="487"/>
      <c r="L3070" s="573"/>
      <c r="M3070" s="573"/>
      <c r="N3070" s="456">
        <f t="shared" si="385"/>
        <v>0</v>
      </c>
      <c r="O3070" s="487"/>
      <c r="P3070" s="487"/>
      <c r="Q3070" s="274">
        <f t="shared" si="380"/>
        <v>0</v>
      </c>
      <c r="R3070" s="574">
        <f t="shared" si="381"/>
        <v>0</v>
      </c>
      <c r="S3070" s="275">
        <f t="shared" si="382"/>
        <v>0</v>
      </c>
      <c r="T3070" s="1144" t="s">
        <v>1229</v>
      </c>
      <c r="U3070" s="487"/>
      <c r="V3070" s="576"/>
      <c r="W3070" s="573"/>
      <c r="X3070" s="574">
        <f t="shared" si="386"/>
        <v>0</v>
      </c>
      <c r="Y3070" s="487"/>
      <c r="Z3070" s="487"/>
      <c r="AA3070" s="276">
        <f t="shared" si="387"/>
        <v>0</v>
      </c>
      <c r="AB3070" s="573"/>
      <c r="AC3070" s="487"/>
      <c r="AD3070" s="573"/>
      <c r="AE3070" s="487"/>
      <c r="AF3070" s="577">
        <f t="shared" si="383"/>
        <v>0</v>
      </c>
      <c r="AG3070" s="275">
        <f t="shared" si="384"/>
        <v>0</v>
      </c>
    </row>
    <row r="3071" spans="1:33" ht="12" customHeight="1">
      <c r="A3071" s="614" t="s">
        <v>1275</v>
      </c>
      <c r="B3071" s="626" t="s">
        <v>1763</v>
      </c>
      <c r="C3071" s="627" t="s">
        <v>1761</v>
      </c>
      <c r="D3071" s="628"/>
      <c r="E3071" s="629"/>
      <c r="F3071" s="573"/>
      <c r="G3071" s="487"/>
      <c r="H3071" s="573"/>
      <c r="I3071" s="487"/>
      <c r="J3071" s="573"/>
      <c r="K3071" s="487"/>
      <c r="L3071" s="573"/>
      <c r="M3071" s="573"/>
      <c r="N3071" s="456">
        <f t="shared" si="385"/>
        <v>0</v>
      </c>
      <c r="O3071" s="487"/>
      <c r="P3071" s="487"/>
      <c r="Q3071" s="274">
        <f t="shared" si="380"/>
        <v>0</v>
      </c>
      <c r="R3071" s="574">
        <f t="shared" si="381"/>
        <v>0</v>
      </c>
      <c r="S3071" s="275">
        <f t="shared" si="382"/>
        <v>0</v>
      </c>
      <c r="T3071" s="1151"/>
      <c r="U3071" s="487"/>
      <c r="V3071" s="576"/>
      <c r="W3071" s="573"/>
      <c r="X3071" s="574">
        <f t="shared" si="386"/>
        <v>0</v>
      </c>
      <c r="Y3071" s="487"/>
      <c r="Z3071" s="487"/>
      <c r="AA3071" s="276">
        <f t="shared" si="387"/>
        <v>0</v>
      </c>
      <c r="AB3071" s="573"/>
      <c r="AC3071" s="487"/>
      <c r="AD3071" s="573"/>
      <c r="AE3071" s="487"/>
      <c r="AF3071" s="577">
        <f t="shared" si="383"/>
        <v>0</v>
      </c>
      <c r="AG3071" s="275">
        <f t="shared" si="384"/>
        <v>0</v>
      </c>
    </row>
    <row r="3072" spans="1:33" ht="12" customHeight="1">
      <c r="A3072" s="614" t="s">
        <v>1275</v>
      </c>
      <c r="B3072" s="626" t="s">
        <v>1510</v>
      </c>
      <c r="C3072" s="627" t="s">
        <v>421</v>
      </c>
      <c r="D3072" s="628"/>
      <c r="E3072" s="629"/>
      <c r="F3072" s="573"/>
      <c r="G3072" s="487"/>
      <c r="H3072" s="573"/>
      <c r="I3072" s="487"/>
      <c r="J3072" s="573"/>
      <c r="K3072" s="487"/>
      <c r="L3072" s="573"/>
      <c r="M3072" s="573"/>
      <c r="N3072" s="456">
        <f t="shared" si="385"/>
        <v>0</v>
      </c>
      <c r="O3072" s="487"/>
      <c r="P3072" s="487"/>
      <c r="Q3072" s="274">
        <f t="shared" si="380"/>
        <v>0</v>
      </c>
      <c r="R3072" s="574">
        <f t="shared" si="381"/>
        <v>0</v>
      </c>
      <c r="S3072" s="275">
        <f t="shared" si="382"/>
        <v>0</v>
      </c>
      <c r="T3072" s="1151"/>
      <c r="U3072" s="487"/>
      <c r="V3072" s="576"/>
      <c r="W3072" s="573"/>
      <c r="X3072" s="574">
        <f t="shared" si="386"/>
        <v>0</v>
      </c>
      <c r="Y3072" s="487"/>
      <c r="Z3072" s="487"/>
      <c r="AA3072" s="276">
        <f t="shared" si="387"/>
        <v>0</v>
      </c>
      <c r="AB3072" s="573"/>
      <c r="AC3072" s="487"/>
      <c r="AD3072" s="573"/>
      <c r="AE3072" s="487"/>
      <c r="AF3072" s="577">
        <f t="shared" si="383"/>
        <v>0</v>
      </c>
      <c r="AG3072" s="275">
        <f t="shared" si="384"/>
        <v>0</v>
      </c>
    </row>
    <row r="3073" spans="1:33" ht="12" customHeight="1">
      <c r="A3073" s="614" t="s">
        <v>1275</v>
      </c>
      <c r="B3073" s="626" t="s">
        <v>1511</v>
      </c>
      <c r="C3073" s="627" t="s">
        <v>1883</v>
      </c>
      <c r="D3073" s="628"/>
      <c r="E3073" s="629"/>
      <c r="F3073" s="573"/>
      <c r="G3073" s="487"/>
      <c r="H3073" s="573"/>
      <c r="I3073" s="487"/>
      <c r="J3073" s="573"/>
      <c r="K3073" s="487"/>
      <c r="L3073" s="573"/>
      <c r="M3073" s="573"/>
      <c r="N3073" s="456">
        <f t="shared" si="385"/>
        <v>0</v>
      </c>
      <c r="O3073" s="487"/>
      <c r="P3073" s="487"/>
      <c r="Q3073" s="274">
        <f t="shared" si="380"/>
        <v>0</v>
      </c>
      <c r="R3073" s="574">
        <f t="shared" si="381"/>
        <v>0</v>
      </c>
      <c r="S3073" s="275">
        <f t="shared" si="382"/>
        <v>0</v>
      </c>
      <c r="T3073" s="1151"/>
      <c r="U3073" s="487"/>
      <c r="V3073" s="576"/>
      <c r="W3073" s="573"/>
      <c r="X3073" s="574">
        <f t="shared" si="386"/>
        <v>0</v>
      </c>
      <c r="Y3073" s="487"/>
      <c r="Z3073" s="487"/>
      <c r="AA3073" s="276">
        <f t="shared" si="387"/>
        <v>0</v>
      </c>
      <c r="AB3073" s="573"/>
      <c r="AC3073" s="487"/>
      <c r="AD3073" s="573"/>
      <c r="AE3073" s="487"/>
      <c r="AF3073" s="577">
        <f t="shared" si="383"/>
        <v>0</v>
      </c>
      <c r="AG3073" s="275">
        <f t="shared" si="384"/>
        <v>0</v>
      </c>
    </row>
    <row r="3074" spans="1:33" ht="12" customHeight="1">
      <c r="A3074" s="614" t="s">
        <v>1275</v>
      </c>
      <c r="B3074" s="626" t="s">
        <v>1412</v>
      </c>
      <c r="C3074" s="627" t="s">
        <v>1761</v>
      </c>
      <c r="D3074" s="628"/>
      <c r="E3074" s="629"/>
      <c r="F3074" s="573"/>
      <c r="G3074" s="487"/>
      <c r="H3074" s="573"/>
      <c r="I3074" s="487"/>
      <c r="J3074" s="573"/>
      <c r="K3074" s="487"/>
      <c r="L3074" s="573"/>
      <c r="M3074" s="573"/>
      <c r="N3074" s="456">
        <f t="shared" si="385"/>
        <v>0</v>
      </c>
      <c r="O3074" s="487"/>
      <c r="P3074" s="487"/>
      <c r="Q3074" s="274">
        <f t="shared" si="380"/>
        <v>0</v>
      </c>
      <c r="R3074" s="574">
        <f t="shared" si="381"/>
        <v>0</v>
      </c>
      <c r="S3074" s="275">
        <f t="shared" si="382"/>
        <v>0</v>
      </c>
      <c r="T3074" s="1151"/>
      <c r="U3074" s="487"/>
      <c r="V3074" s="576"/>
      <c r="W3074" s="573"/>
      <c r="X3074" s="574">
        <f t="shared" si="386"/>
        <v>0</v>
      </c>
      <c r="Y3074" s="487"/>
      <c r="Z3074" s="487"/>
      <c r="AA3074" s="276">
        <f t="shared" si="387"/>
        <v>0</v>
      </c>
      <c r="AB3074" s="573"/>
      <c r="AC3074" s="487"/>
      <c r="AD3074" s="573"/>
      <c r="AE3074" s="487"/>
      <c r="AF3074" s="577">
        <f t="shared" si="383"/>
        <v>0</v>
      </c>
      <c r="AG3074" s="275">
        <f t="shared" si="384"/>
        <v>0</v>
      </c>
    </row>
    <row r="3075" spans="1:33" ht="12" customHeight="1">
      <c r="A3075" s="614" t="s">
        <v>1275</v>
      </c>
      <c r="B3075" s="626" t="s">
        <v>1413</v>
      </c>
      <c r="C3075" s="627" t="s">
        <v>422</v>
      </c>
      <c r="D3075" s="628"/>
      <c r="E3075" s="629"/>
      <c r="F3075" s="573"/>
      <c r="G3075" s="487"/>
      <c r="H3075" s="573"/>
      <c r="I3075" s="487"/>
      <c r="J3075" s="573"/>
      <c r="K3075" s="487"/>
      <c r="L3075" s="573"/>
      <c r="M3075" s="573"/>
      <c r="N3075" s="456">
        <f t="shared" si="385"/>
        <v>0</v>
      </c>
      <c r="O3075" s="487"/>
      <c r="P3075" s="487"/>
      <c r="Q3075" s="274">
        <f t="shared" si="380"/>
        <v>0</v>
      </c>
      <c r="R3075" s="574">
        <f t="shared" si="381"/>
        <v>0</v>
      </c>
      <c r="S3075" s="275">
        <f t="shared" si="382"/>
        <v>0</v>
      </c>
      <c r="T3075" s="1151"/>
      <c r="U3075" s="487"/>
      <c r="V3075" s="576"/>
      <c r="W3075" s="573"/>
      <c r="X3075" s="574">
        <f t="shared" si="386"/>
        <v>0</v>
      </c>
      <c r="Y3075" s="487"/>
      <c r="Z3075" s="487"/>
      <c r="AA3075" s="276">
        <f t="shared" si="387"/>
        <v>0</v>
      </c>
      <c r="AB3075" s="573"/>
      <c r="AC3075" s="487"/>
      <c r="AD3075" s="573"/>
      <c r="AE3075" s="487"/>
      <c r="AF3075" s="577">
        <f t="shared" si="383"/>
        <v>0</v>
      </c>
      <c r="AG3075" s="275">
        <f t="shared" si="384"/>
        <v>0</v>
      </c>
    </row>
    <row r="3076" spans="1:33" ht="12" customHeight="1">
      <c r="A3076" s="614" t="s">
        <v>1275</v>
      </c>
      <c r="B3076" s="626" t="s">
        <v>1582</v>
      </c>
      <c r="C3076" s="627" t="s">
        <v>1883</v>
      </c>
      <c r="D3076" s="628"/>
      <c r="E3076" s="629"/>
      <c r="F3076" s="573"/>
      <c r="G3076" s="487"/>
      <c r="H3076" s="573"/>
      <c r="I3076" s="487"/>
      <c r="J3076" s="573"/>
      <c r="K3076" s="487"/>
      <c r="L3076" s="573"/>
      <c r="M3076" s="573"/>
      <c r="N3076" s="456">
        <f t="shared" si="385"/>
        <v>0</v>
      </c>
      <c r="O3076" s="487"/>
      <c r="P3076" s="487"/>
      <c r="Q3076" s="274">
        <f t="shared" si="380"/>
        <v>0</v>
      </c>
      <c r="R3076" s="574">
        <f t="shared" si="381"/>
        <v>0</v>
      </c>
      <c r="S3076" s="275">
        <f t="shared" si="382"/>
        <v>0</v>
      </c>
      <c r="T3076" s="1152"/>
      <c r="U3076" s="487"/>
      <c r="V3076" s="576"/>
      <c r="W3076" s="573"/>
      <c r="X3076" s="574">
        <f t="shared" si="386"/>
        <v>0</v>
      </c>
      <c r="Y3076" s="487"/>
      <c r="Z3076" s="487"/>
      <c r="AA3076" s="276">
        <f t="shared" si="387"/>
        <v>0</v>
      </c>
      <c r="AB3076" s="573"/>
      <c r="AC3076" s="487"/>
      <c r="AD3076" s="573"/>
      <c r="AE3076" s="487"/>
      <c r="AF3076" s="577">
        <f t="shared" si="383"/>
        <v>0</v>
      </c>
      <c r="AG3076" s="275">
        <f t="shared" si="384"/>
        <v>0</v>
      </c>
    </row>
    <row r="3077" spans="1:33" ht="12" customHeight="1">
      <c r="A3077" s="614" t="s">
        <v>1275</v>
      </c>
      <c r="B3077" s="626" t="s">
        <v>1583</v>
      </c>
      <c r="C3077" s="627" t="s">
        <v>1761</v>
      </c>
      <c r="D3077" s="628"/>
      <c r="E3077" s="629"/>
      <c r="F3077" s="573"/>
      <c r="G3077" s="487"/>
      <c r="H3077" s="573"/>
      <c r="I3077" s="487"/>
      <c r="J3077" s="573"/>
      <c r="K3077" s="487"/>
      <c r="L3077" s="573"/>
      <c r="M3077" s="573"/>
      <c r="N3077" s="456">
        <f t="shared" si="385"/>
        <v>0</v>
      </c>
      <c r="O3077" s="487"/>
      <c r="P3077" s="487"/>
      <c r="Q3077" s="274">
        <f t="shared" si="380"/>
        <v>0</v>
      </c>
      <c r="R3077" s="574">
        <f t="shared" si="381"/>
        <v>0</v>
      </c>
      <c r="S3077" s="275">
        <f t="shared" si="382"/>
        <v>0</v>
      </c>
      <c r="T3077" s="575"/>
      <c r="U3077" s="487"/>
      <c r="V3077" s="576"/>
      <c r="W3077" s="573"/>
      <c r="X3077" s="574">
        <f t="shared" si="386"/>
        <v>0</v>
      </c>
      <c r="Y3077" s="487"/>
      <c r="Z3077" s="487"/>
      <c r="AA3077" s="276">
        <f t="shared" si="387"/>
        <v>0</v>
      </c>
      <c r="AB3077" s="573"/>
      <c r="AC3077" s="487"/>
      <c r="AD3077" s="573"/>
      <c r="AE3077" s="487"/>
      <c r="AF3077" s="577">
        <f t="shared" si="383"/>
        <v>0</v>
      </c>
      <c r="AG3077" s="275">
        <f t="shared" si="384"/>
        <v>0</v>
      </c>
    </row>
    <row r="3078" spans="1:33" ht="12" customHeight="1">
      <c r="A3078" s="614" t="s">
        <v>1275</v>
      </c>
      <c r="B3078" s="615" t="s">
        <v>1805</v>
      </c>
      <c r="C3078" s="251" t="s">
        <v>901</v>
      </c>
      <c r="D3078" s="628"/>
      <c r="E3078" s="629"/>
      <c r="F3078" s="573"/>
      <c r="G3078" s="487"/>
      <c r="H3078" s="573"/>
      <c r="I3078" s="487"/>
      <c r="J3078" s="573"/>
      <c r="K3078" s="487"/>
      <c r="L3078" s="573"/>
      <c r="M3078" s="573"/>
      <c r="N3078" s="456">
        <f t="shared" si="385"/>
        <v>0</v>
      </c>
      <c r="O3078" s="487"/>
      <c r="P3078" s="487"/>
      <c r="Q3078" s="274">
        <f t="shared" si="380"/>
        <v>0</v>
      </c>
      <c r="R3078" s="574">
        <f t="shared" si="381"/>
        <v>0</v>
      </c>
      <c r="S3078" s="275">
        <f t="shared" si="382"/>
        <v>0</v>
      </c>
      <c r="T3078" s="575">
        <v>45633</v>
      </c>
      <c r="U3078" s="487">
        <v>45633</v>
      </c>
      <c r="V3078" s="576"/>
      <c r="W3078" s="573"/>
      <c r="X3078" s="574">
        <f t="shared" si="386"/>
        <v>0</v>
      </c>
      <c r="Y3078" s="487"/>
      <c r="Z3078" s="487"/>
      <c r="AA3078" s="276">
        <f t="shared" si="387"/>
        <v>0</v>
      </c>
      <c r="AB3078" s="573"/>
      <c r="AC3078" s="487"/>
      <c r="AD3078" s="573"/>
      <c r="AE3078" s="487"/>
      <c r="AF3078" s="577">
        <f t="shared" si="383"/>
        <v>45633</v>
      </c>
      <c r="AG3078" s="275">
        <f t="shared" si="384"/>
        <v>45633</v>
      </c>
    </row>
    <row r="3079" spans="1:33" ht="12" customHeight="1">
      <c r="A3079" s="614" t="s">
        <v>1275</v>
      </c>
      <c r="B3079" s="626" t="s">
        <v>1882</v>
      </c>
      <c r="C3079" s="627" t="s">
        <v>1883</v>
      </c>
      <c r="D3079" s="628"/>
      <c r="E3079" s="629"/>
      <c r="F3079" s="573"/>
      <c r="G3079" s="487"/>
      <c r="H3079" s="573"/>
      <c r="I3079" s="487"/>
      <c r="J3079" s="573"/>
      <c r="K3079" s="487"/>
      <c r="L3079" s="573"/>
      <c r="M3079" s="573"/>
      <c r="N3079" s="456">
        <f t="shared" si="385"/>
        <v>0</v>
      </c>
      <c r="O3079" s="487"/>
      <c r="P3079" s="487"/>
      <c r="Q3079" s="274">
        <f t="shared" si="380"/>
        <v>0</v>
      </c>
      <c r="R3079" s="574">
        <f t="shared" si="381"/>
        <v>0</v>
      </c>
      <c r="S3079" s="275">
        <f t="shared" si="382"/>
        <v>0</v>
      </c>
      <c r="T3079" s="1144" t="s">
        <v>1229</v>
      </c>
      <c r="U3079" s="487"/>
      <c r="V3079" s="576"/>
      <c r="W3079" s="573"/>
      <c r="X3079" s="574">
        <f t="shared" si="386"/>
        <v>0</v>
      </c>
      <c r="Y3079" s="487"/>
      <c r="Z3079" s="487"/>
      <c r="AA3079" s="276">
        <f t="shared" si="387"/>
        <v>0</v>
      </c>
      <c r="AB3079" s="573"/>
      <c r="AC3079" s="487"/>
      <c r="AD3079" s="573"/>
      <c r="AE3079" s="487"/>
      <c r="AF3079" s="577">
        <f t="shared" si="383"/>
        <v>0</v>
      </c>
      <c r="AG3079" s="275">
        <f t="shared" si="384"/>
        <v>0</v>
      </c>
    </row>
    <row r="3080" spans="1:33" ht="12" customHeight="1">
      <c r="A3080" s="614" t="s">
        <v>1275</v>
      </c>
      <c r="B3080" s="626" t="s">
        <v>1763</v>
      </c>
      <c r="C3080" s="627" t="s">
        <v>1761</v>
      </c>
      <c r="D3080" s="628"/>
      <c r="E3080" s="629"/>
      <c r="F3080" s="573"/>
      <c r="G3080" s="487"/>
      <c r="H3080" s="573"/>
      <c r="I3080" s="487"/>
      <c r="J3080" s="573"/>
      <c r="K3080" s="487"/>
      <c r="L3080" s="573"/>
      <c r="M3080" s="573"/>
      <c r="N3080" s="456">
        <f t="shared" si="385"/>
        <v>0</v>
      </c>
      <c r="O3080" s="487"/>
      <c r="P3080" s="487"/>
      <c r="Q3080" s="274">
        <f t="shared" si="380"/>
        <v>0</v>
      </c>
      <c r="R3080" s="574">
        <f t="shared" si="381"/>
        <v>0</v>
      </c>
      <c r="S3080" s="275">
        <f t="shared" si="382"/>
        <v>0</v>
      </c>
      <c r="T3080" s="1151"/>
      <c r="U3080" s="487"/>
      <c r="V3080" s="576"/>
      <c r="W3080" s="573"/>
      <c r="X3080" s="574">
        <f t="shared" si="386"/>
        <v>0</v>
      </c>
      <c r="Y3080" s="487"/>
      <c r="Z3080" s="487"/>
      <c r="AA3080" s="276">
        <f t="shared" si="387"/>
        <v>0</v>
      </c>
      <c r="AB3080" s="573"/>
      <c r="AC3080" s="487"/>
      <c r="AD3080" s="573"/>
      <c r="AE3080" s="487"/>
      <c r="AF3080" s="577">
        <f t="shared" si="383"/>
        <v>0</v>
      </c>
      <c r="AG3080" s="275">
        <f t="shared" si="384"/>
        <v>0</v>
      </c>
    </row>
    <row r="3081" spans="1:33" ht="12" customHeight="1">
      <c r="A3081" s="614" t="s">
        <v>1275</v>
      </c>
      <c r="B3081" s="626" t="s">
        <v>1510</v>
      </c>
      <c r="C3081" s="627" t="s">
        <v>421</v>
      </c>
      <c r="D3081" s="628"/>
      <c r="E3081" s="629"/>
      <c r="F3081" s="573"/>
      <c r="G3081" s="487"/>
      <c r="H3081" s="573"/>
      <c r="I3081" s="487"/>
      <c r="J3081" s="573"/>
      <c r="K3081" s="487"/>
      <c r="L3081" s="573"/>
      <c r="M3081" s="573"/>
      <c r="N3081" s="456">
        <f t="shared" si="385"/>
        <v>0</v>
      </c>
      <c r="O3081" s="487"/>
      <c r="P3081" s="487"/>
      <c r="Q3081" s="274">
        <f t="shared" si="380"/>
        <v>0</v>
      </c>
      <c r="R3081" s="574">
        <f t="shared" si="381"/>
        <v>0</v>
      </c>
      <c r="S3081" s="275">
        <f t="shared" si="382"/>
        <v>0</v>
      </c>
      <c r="T3081" s="1151"/>
      <c r="U3081" s="487"/>
      <c r="V3081" s="576"/>
      <c r="W3081" s="573"/>
      <c r="X3081" s="574">
        <f t="shared" si="386"/>
        <v>0</v>
      </c>
      <c r="Y3081" s="487"/>
      <c r="Z3081" s="487"/>
      <c r="AA3081" s="276">
        <f t="shared" si="387"/>
        <v>0</v>
      </c>
      <c r="AB3081" s="573"/>
      <c r="AC3081" s="487"/>
      <c r="AD3081" s="573"/>
      <c r="AE3081" s="487"/>
      <c r="AF3081" s="577">
        <f t="shared" si="383"/>
        <v>0</v>
      </c>
      <c r="AG3081" s="275">
        <f t="shared" si="384"/>
        <v>0</v>
      </c>
    </row>
    <row r="3082" spans="1:33" ht="12" customHeight="1">
      <c r="A3082" s="614" t="s">
        <v>1275</v>
      </c>
      <c r="B3082" s="626" t="s">
        <v>1511</v>
      </c>
      <c r="C3082" s="627" t="s">
        <v>1883</v>
      </c>
      <c r="D3082" s="628"/>
      <c r="E3082" s="629"/>
      <c r="F3082" s="573"/>
      <c r="G3082" s="487"/>
      <c r="H3082" s="573"/>
      <c r="I3082" s="487"/>
      <c r="J3082" s="573"/>
      <c r="K3082" s="487"/>
      <c r="L3082" s="573"/>
      <c r="M3082" s="573"/>
      <c r="N3082" s="456">
        <f t="shared" si="385"/>
        <v>0</v>
      </c>
      <c r="O3082" s="487"/>
      <c r="P3082" s="487"/>
      <c r="Q3082" s="274">
        <f t="shared" ref="Q3082:Q3145" si="388">SUM(O3082:P3082)</f>
        <v>0</v>
      </c>
      <c r="R3082" s="574">
        <f t="shared" ref="R3082:R3145" si="389">SUM(F3082,H3082,J3082,L3082)</f>
        <v>0</v>
      </c>
      <c r="S3082" s="275">
        <f t="shared" ref="S3082:S3145" si="390">SUM(G3082,I3082,K3082,O3082)</f>
        <v>0</v>
      </c>
      <c r="T3082" s="1151"/>
      <c r="U3082" s="487"/>
      <c r="V3082" s="576"/>
      <c r="W3082" s="573"/>
      <c r="X3082" s="574">
        <f t="shared" si="386"/>
        <v>0</v>
      </c>
      <c r="Y3082" s="487"/>
      <c r="Z3082" s="487"/>
      <c r="AA3082" s="276">
        <f t="shared" si="387"/>
        <v>0</v>
      </c>
      <c r="AB3082" s="573"/>
      <c r="AC3082" s="487"/>
      <c r="AD3082" s="573"/>
      <c r="AE3082" s="487"/>
      <c r="AF3082" s="577">
        <f t="shared" ref="AF3082:AF3145" si="391">SUM(R3082,T3082,V3082,AB3082,AD3082)</f>
        <v>0</v>
      </c>
      <c r="AG3082" s="275">
        <f t="shared" ref="AG3082:AG3145" si="392">SUM(S3082,U3082,Y3082,AC3082,AE3082)</f>
        <v>0</v>
      </c>
    </row>
    <row r="3083" spans="1:33" ht="12" customHeight="1">
      <c r="A3083" s="614" t="s">
        <v>1275</v>
      </c>
      <c r="B3083" s="626" t="s">
        <v>1412</v>
      </c>
      <c r="C3083" s="627" t="s">
        <v>1761</v>
      </c>
      <c r="D3083" s="628"/>
      <c r="E3083" s="629"/>
      <c r="F3083" s="573"/>
      <c r="G3083" s="487"/>
      <c r="H3083" s="573"/>
      <c r="I3083" s="487"/>
      <c r="J3083" s="573"/>
      <c r="K3083" s="487"/>
      <c r="L3083" s="573"/>
      <c r="M3083" s="573"/>
      <c r="N3083" s="456">
        <f t="shared" si="385"/>
        <v>0</v>
      </c>
      <c r="O3083" s="487"/>
      <c r="P3083" s="487"/>
      <c r="Q3083" s="274">
        <f t="shared" si="388"/>
        <v>0</v>
      </c>
      <c r="R3083" s="574">
        <f t="shared" si="389"/>
        <v>0</v>
      </c>
      <c r="S3083" s="275">
        <f t="shared" si="390"/>
        <v>0</v>
      </c>
      <c r="T3083" s="1151"/>
      <c r="U3083" s="487"/>
      <c r="V3083" s="576"/>
      <c r="W3083" s="573"/>
      <c r="X3083" s="574">
        <f t="shared" si="386"/>
        <v>0</v>
      </c>
      <c r="Y3083" s="487"/>
      <c r="Z3083" s="487"/>
      <c r="AA3083" s="276">
        <f t="shared" si="387"/>
        <v>0</v>
      </c>
      <c r="AB3083" s="573"/>
      <c r="AC3083" s="487"/>
      <c r="AD3083" s="573"/>
      <c r="AE3083" s="487"/>
      <c r="AF3083" s="577">
        <f t="shared" si="391"/>
        <v>0</v>
      </c>
      <c r="AG3083" s="275">
        <f t="shared" si="392"/>
        <v>0</v>
      </c>
    </row>
    <row r="3084" spans="1:33" ht="12" customHeight="1">
      <c r="A3084" s="614" t="s">
        <v>1275</v>
      </c>
      <c r="B3084" s="626" t="s">
        <v>1413</v>
      </c>
      <c r="C3084" s="627" t="s">
        <v>422</v>
      </c>
      <c r="D3084" s="628"/>
      <c r="E3084" s="629"/>
      <c r="F3084" s="573"/>
      <c r="G3084" s="487"/>
      <c r="H3084" s="573"/>
      <c r="I3084" s="487"/>
      <c r="J3084" s="573"/>
      <c r="K3084" s="487"/>
      <c r="L3084" s="573"/>
      <c r="M3084" s="573"/>
      <c r="N3084" s="456">
        <f t="shared" si="385"/>
        <v>0</v>
      </c>
      <c r="O3084" s="487"/>
      <c r="P3084" s="487"/>
      <c r="Q3084" s="274">
        <f t="shared" si="388"/>
        <v>0</v>
      </c>
      <c r="R3084" s="574">
        <f t="shared" si="389"/>
        <v>0</v>
      </c>
      <c r="S3084" s="275">
        <f t="shared" si="390"/>
        <v>0</v>
      </c>
      <c r="T3084" s="1151"/>
      <c r="U3084" s="487"/>
      <c r="V3084" s="576"/>
      <c r="W3084" s="573"/>
      <c r="X3084" s="574">
        <f t="shared" si="386"/>
        <v>0</v>
      </c>
      <c r="Y3084" s="487"/>
      <c r="Z3084" s="487"/>
      <c r="AA3084" s="276">
        <f t="shared" si="387"/>
        <v>0</v>
      </c>
      <c r="AB3084" s="573"/>
      <c r="AC3084" s="487"/>
      <c r="AD3084" s="573"/>
      <c r="AE3084" s="487"/>
      <c r="AF3084" s="577">
        <f t="shared" si="391"/>
        <v>0</v>
      </c>
      <c r="AG3084" s="275">
        <f t="shared" si="392"/>
        <v>0</v>
      </c>
    </row>
    <row r="3085" spans="1:33" ht="12" customHeight="1">
      <c r="A3085" s="614" t="s">
        <v>1275</v>
      </c>
      <c r="B3085" s="626" t="s">
        <v>1582</v>
      </c>
      <c r="C3085" s="627" t="s">
        <v>1883</v>
      </c>
      <c r="D3085" s="628"/>
      <c r="E3085" s="629"/>
      <c r="F3085" s="573"/>
      <c r="G3085" s="487"/>
      <c r="H3085" s="573"/>
      <c r="I3085" s="487"/>
      <c r="J3085" s="573"/>
      <c r="K3085" s="487"/>
      <c r="L3085" s="573"/>
      <c r="M3085" s="573"/>
      <c r="N3085" s="456">
        <f t="shared" si="385"/>
        <v>0</v>
      </c>
      <c r="O3085" s="487"/>
      <c r="P3085" s="487"/>
      <c r="Q3085" s="274">
        <f t="shared" si="388"/>
        <v>0</v>
      </c>
      <c r="R3085" s="574">
        <f t="shared" si="389"/>
        <v>0</v>
      </c>
      <c r="S3085" s="275">
        <f t="shared" si="390"/>
        <v>0</v>
      </c>
      <c r="T3085" s="1152"/>
      <c r="U3085" s="487"/>
      <c r="V3085" s="576"/>
      <c r="W3085" s="573"/>
      <c r="X3085" s="574">
        <f t="shared" si="386"/>
        <v>0</v>
      </c>
      <c r="Y3085" s="487"/>
      <c r="Z3085" s="487"/>
      <c r="AA3085" s="276">
        <f t="shared" si="387"/>
        <v>0</v>
      </c>
      <c r="AB3085" s="573"/>
      <c r="AC3085" s="487"/>
      <c r="AD3085" s="573"/>
      <c r="AE3085" s="487"/>
      <c r="AF3085" s="577">
        <f t="shared" si="391"/>
        <v>0</v>
      </c>
      <c r="AG3085" s="275">
        <f t="shared" si="392"/>
        <v>0</v>
      </c>
    </row>
    <row r="3086" spans="1:33" ht="12" customHeight="1">
      <c r="A3086" s="614" t="s">
        <v>1275</v>
      </c>
      <c r="B3086" s="626" t="s">
        <v>1583</v>
      </c>
      <c r="C3086" s="627" t="s">
        <v>1761</v>
      </c>
      <c r="D3086" s="628"/>
      <c r="E3086" s="629"/>
      <c r="F3086" s="573"/>
      <c r="G3086" s="487"/>
      <c r="H3086" s="573"/>
      <c r="I3086" s="487"/>
      <c r="J3086" s="573"/>
      <c r="K3086" s="487"/>
      <c r="L3086" s="573"/>
      <c r="M3086" s="573"/>
      <c r="N3086" s="456">
        <f t="shared" si="385"/>
        <v>0</v>
      </c>
      <c r="O3086" s="487"/>
      <c r="P3086" s="487"/>
      <c r="Q3086" s="274">
        <f t="shared" si="388"/>
        <v>0</v>
      </c>
      <c r="R3086" s="574">
        <f t="shared" si="389"/>
        <v>0</v>
      </c>
      <c r="S3086" s="275">
        <f t="shared" si="390"/>
        <v>0</v>
      </c>
      <c r="T3086" s="575"/>
      <c r="U3086" s="487"/>
      <c r="V3086" s="576"/>
      <c r="W3086" s="573"/>
      <c r="X3086" s="574">
        <f t="shared" si="386"/>
        <v>0</v>
      </c>
      <c r="Y3086" s="487"/>
      <c r="Z3086" s="487"/>
      <c r="AA3086" s="276">
        <f t="shared" si="387"/>
        <v>0</v>
      </c>
      <c r="AB3086" s="573"/>
      <c r="AC3086" s="487"/>
      <c r="AD3086" s="573"/>
      <c r="AE3086" s="487"/>
      <c r="AF3086" s="577">
        <f t="shared" si="391"/>
        <v>0</v>
      </c>
      <c r="AG3086" s="275">
        <f t="shared" si="392"/>
        <v>0</v>
      </c>
    </row>
    <row r="3087" spans="1:33" ht="12" customHeight="1">
      <c r="A3087" s="614" t="s">
        <v>1275</v>
      </c>
      <c r="B3087" s="615" t="s">
        <v>1805</v>
      </c>
      <c r="C3087" s="251" t="s">
        <v>902</v>
      </c>
      <c r="D3087" s="628"/>
      <c r="E3087" s="629"/>
      <c r="F3087" s="573"/>
      <c r="G3087" s="487"/>
      <c r="H3087" s="573"/>
      <c r="I3087" s="487"/>
      <c r="J3087" s="573"/>
      <c r="K3087" s="487"/>
      <c r="L3087" s="573"/>
      <c r="M3087" s="573"/>
      <c r="N3087" s="456">
        <f t="shared" si="385"/>
        <v>0</v>
      </c>
      <c r="O3087" s="487"/>
      <c r="P3087" s="487"/>
      <c r="Q3087" s="274">
        <f t="shared" si="388"/>
        <v>0</v>
      </c>
      <c r="R3087" s="574">
        <f t="shared" si="389"/>
        <v>0</v>
      </c>
      <c r="S3087" s="275">
        <f t="shared" si="390"/>
        <v>0</v>
      </c>
      <c r="T3087" s="575">
        <v>197813</v>
      </c>
      <c r="U3087" s="487">
        <v>197813</v>
      </c>
      <c r="V3087" s="576"/>
      <c r="W3087" s="573"/>
      <c r="X3087" s="574">
        <f t="shared" si="386"/>
        <v>0</v>
      </c>
      <c r="Y3087" s="487"/>
      <c r="Z3087" s="487"/>
      <c r="AA3087" s="276">
        <f t="shared" si="387"/>
        <v>0</v>
      </c>
      <c r="AB3087" s="573"/>
      <c r="AC3087" s="487"/>
      <c r="AD3087" s="573"/>
      <c r="AE3087" s="487"/>
      <c r="AF3087" s="577">
        <f t="shared" si="391"/>
        <v>197813</v>
      </c>
      <c r="AG3087" s="275">
        <f t="shared" si="392"/>
        <v>197813</v>
      </c>
    </row>
    <row r="3088" spans="1:33" ht="12" customHeight="1">
      <c r="A3088" s="614" t="s">
        <v>1275</v>
      </c>
      <c r="B3088" s="626" t="s">
        <v>1882</v>
      </c>
      <c r="C3088" s="627" t="s">
        <v>1883</v>
      </c>
      <c r="D3088" s="628"/>
      <c r="E3088" s="629"/>
      <c r="F3088" s="573"/>
      <c r="G3088" s="487"/>
      <c r="H3088" s="573"/>
      <c r="I3088" s="487"/>
      <c r="J3088" s="573"/>
      <c r="K3088" s="487"/>
      <c r="L3088" s="573"/>
      <c r="M3088" s="573"/>
      <c r="N3088" s="456">
        <f t="shared" si="385"/>
        <v>0</v>
      </c>
      <c r="O3088" s="487"/>
      <c r="P3088" s="487"/>
      <c r="Q3088" s="274">
        <f t="shared" si="388"/>
        <v>0</v>
      </c>
      <c r="R3088" s="574">
        <f t="shared" si="389"/>
        <v>0</v>
      </c>
      <c r="S3088" s="275">
        <f t="shared" si="390"/>
        <v>0</v>
      </c>
      <c r="T3088" s="1144" t="s">
        <v>1229</v>
      </c>
      <c r="U3088" s="487"/>
      <c r="V3088" s="576"/>
      <c r="W3088" s="573"/>
      <c r="X3088" s="574">
        <f t="shared" si="386"/>
        <v>0</v>
      </c>
      <c r="Y3088" s="487"/>
      <c r="Z3088" s="487"/>
      <c r="AA3088" s="276">
        <f t="shared" si="387"/>
        <v>0</v>
      </c>
      <c r="AB3088" s="573"/>
      <c r="AC3088" s="487"/>
      <c r="AD3088" s="573"/>
      <c r="AE3088" s="487"/>
      <c r="AF3088" s="577">
        <f t="shared" si="391"/>
        <v>0</v>
      </c>
      <c r="AG3088" s="275">
        <f t="shared" si="392"/>
        <v>0</v>
      </c>
    </row>
    <row r="3089" spans="1:33" ht="12" customHeight="1">
      <c r="A3089" s="614" t="s">
        <v>1275</v>
      </c>
      <c r="B3089" s="626" t="s">
        <v>1763</v>
      </c>
      <c r="C3089" s="627" t="s">
        <v>1761</v>
      </c>
      <c r="D3089" s="628"/>
      <c r="E3089" s="629"/>
      <c r="F3089" s="573"/>
      <c r="G3089" s="487"/>
      <c r="H3089" s="573"/>
      <c r="I3089" s="487"/>
      <c r="J3089" s="573"/>
      <c r="K3089" s="487"/>
      <c r="L3089" s="573"/>
      <c r="M3089" s="573"/>
      <c r="N3089" s="456">
        <f t="shared" si="385"/>
        <v>0</v>
      </c>
      <c r="O3089" s="487"/>
      <c r="P3089" s="487"/>
      <c r="Q3089" s="274">
        <f t="shared" si="388"/>
        <v>0</v>
      </c>
      <c r="R3089" s="574">
        <f t="shared" si="389"/>
        <v>0</v>
      </c>
      <c r="S3089" s="275">
        <f t="shared" si="390"/>
        <v>0</v>
      </c>
      <c r="T3089" s="1151"/>
      <c r="U3089" s="487"/>
      <c r="V3089" s="576"/>
      <c r="W3089" s="573"/>
      <c r="X3089" s="574">
        <f t="shared" si="386"/>
        <v>0</v>
      </c>
      <c r="Y3089" s="487"/>
      <c r="Z3089" s="487"/>
      <c r="AA3089" s="276">
        <f t="shared" si="387"/>
        <v>0</v>
      </c>
      <c r="AB3089" s="573"/>
      <c r="AC3089" s="487"/>
      <c r="AD3089" s="573"/>
      <c r="AE3089" s="487"/>
      <c r="AF3089" s="577">
        <f t="shared" si="391"/>
        <v>0</v>
      </c>
      <c r="AG3089" s="275">
        <f t="shared" si="392"/>
        <v>0</v>
      </c>
    </row>
    <row r="3090" spans="1:33" ht="12" customHeight="1">
      <c r="A3090" s="614" t="s">
        <v>1275</v>
      </c>
      <c r="B3090" s="626" t="s">
        <v>1510</v>
      </c>
      <c r="C3090" s="627" t="s">
        <v>421</v>
      </c>
      <c r="D3090" s="628"/>
      <c r="E3090" s="629"/>
      <c r="F3090" s="573"/>
      <c r="G3090" s="487"/>
      <c r="H3090" s="573"/>
      <c r="I3090" s="487"/>
      <c r="J3090" s="573"/>
      <c r="K3090" s="487"/>
      <c r="L3090" s="573"/>
      <c r="M3090" s="573"/>
      <c r="N3090" s="456">
        <f t="shared" si="385"/>
        <v>0</v>
      </c>
      <c r="O3090" s="487"/>
      <c r="P3090" s="487"/>
      <c r="Q3090" s="274">
        <f t="shared" si="388"/>
        <v>0</v>
      </c>
      <c r="R3090" s="574">
        <f t="shared" si="389"/>
        <v>0</v>
      </c>
      <c r="S3090" s="275">
        <f t="shared" si="390"/>
        <v>0</v>
      </c>
      <c r="T3090" s="1151"/>
      <c r="U3090" s="487"/>
      <c r="V3090" s="576"/>
      <c r="W3090" s="573"/>
      <c r="X3090" s="574">
        <f t="shared" si="386"/>
        <v>0</v>
      </c>
      <c r="Y3090" s="487"/>
      <c r="Z3090" s="487"/>
      <c r="AA3090" s="276">
        <f t="shared" si="387"/>
        <v>0</v>
      </c>
      <c r="AB3090" s="573"/>
      <c r="AC3090" s="487"/>
      <c r="AD3090" s="573"/>
      <c r="AE3090" s="487"/>
      <c r="AF3090" s="577">
        <f t="shared" si="391"/>
        <v>0</v>
      </c>
      <c r="AG3090" s="275">
        <f t="shared" si="392"/>
        <v>0</v>
      </c>
    </row>
    <row r="3091" spans="1:33" ht="12" customHeight="1">
      <c r="A3091" s="614" t="s">
        <v>1275</v>
      </c>
      <c r="B3091" s="626" t="s">
        <v>1511</v>
      </c>
      <c r="C3091" s="627" t="s">
        <v>1883</v>
      </c>
      <c r="D3091" s="628"/>
      <c r="E3091" s="629"/>
      <c r="F3091" s="573"/>
      <c r="G3091" s="487"/>
      <c r="H3091" s="573"/>
      <c r="I3091" s="487"/>
      <c r="J3091" s="573"/>
      <c r="K3091" s="487"/>
      <c r="L3091" s="573"/>
      <c r="M3091" s="573"/>
      <c r="N3091" s="456">
        <f t="shared" ref="N3091:N3154" si="393">SUM(L3091:M3091)</f>
        <v>0</v>
      </c>
      <c r="O3091" s="487"/>
      <c r="P3091" s="487"/>
      <c r="Q3091" s="274">
        <f t="shared" si="388"/>
        <v>0</v>
      </c>
      <c r="R3091" s="574">
        <f t="shared" si="389"/>
        <v>0</v>
      </c>
      <c r="S3091" s="275">
        <f t="shared" si="390"/>
        <v>0</v>
      </c>
      <c r="T3091" s="1151"/>
      <c r="U3091" s="487"/>
      <c r="V3091" s="576"/>
      <c r="W3091" s="573"/>
      <c r="X3091" s="574">
        <f t="shared" ref="X3091:X3154" si="394">SUM(V3091:W3091)</f>
        <v>0</v>
      </c>
      <c r="Y3091" s="487"/>
      <c r="Z3091" s="487"/>
      <c r="AA3091" s="276">
        <f t="shared" ref="AA3091:AA3154" si="395">SUM(Y3091:Z3091)</f>
        <v>0</v>
      </c>
      <c r="AB3091" s="573"/>
      <c r="AC3091" s="487"/>
      <c r="AD3091" s="573"/>
      <c r="AE3091" s="487"/>
      <c r="AF3091" s="577">
        <f t="shared" si="391"/>
        <v>0</v>
      </c>
      <c r="AG3091" s="275">
        <f t="shared" si="392"/>
        <v>0</v>
      </c>
    </row>
    <row r="3092" spans="1:33" ht="12" customHeight="1">
      <c r="A3092" s="614" t="s">
        <v>1275</v>
      </c>
      <c r="B3092" s="626" t="s">
        <v>1412</v>
      </c>
      <c r="C3092" s="627" t="s">
        <v>1761</v>
      </c>
      <c r="D3092" s="628"/>
      <c r="E3092" s="629"/>
      <c r="F3092" s="573"/>
      <c r="G3092" s="487"/>
      <c r="H3092" s="573"/>
      <c r="I3092" s="487"/>
      <c r="J3092" s="573"/>
      <c r="K3092" s="487"/>
      <c r="L3092" s="573"/>
      <c r="M3092" s="573"/>
      <c r="N3092" s="456">
        <f t="shared" si="393"/>
        <v>0</v>
      </c>
      <c r="O3092" s="487"/>
      <c r="P3092" s="487"/>
      <c r="Q3092" s="274">
        <f t="shared" si="388"/>
        <v>0</v>
      </c>
      <c r="R3092" s="574">
        <f t="shared" si="389"/>
        <v>0</v>
      </c>
      <c r="S3092" s="275">
        <f t="shared" si="390"/>
        <v>0</v>
      </c>
      <c r="T3092" s="1151"/>
      <c r="U3092" s="487"/>
      <c r="V3092" s="576"/>
      <c r="W3092" s="573"/>
      <c r="X3092" s="574">
        <f t="shared" si="394"/>
        <v>0</v>
      </c>
      <c r="Y3092" s="487"/>
      <c r="Z3092" s="487"/>
      <c r="AA3092" s="276">
        <f t="shared" si="395"/>
        <v>0</v>
      </c>
      <c r="AB3092" s="573"/>
      <c r="AC3092" s="487"/>
      <c r="AD3092" s="573"/>
      <c r="AE3092" s="487"/>
      <c r="AF3092" s="577">
        <f t="shared" si="391"/>
        <v>0</v>
      </c>
      <c r="AG3092" s="275">
        <f t="shared" si="392"/>
        <v>0</v>
      </c>
    </row>
    <row r="3093" spans="1:33" ht="12" customHeight="1">
      <c r="A3093" s="614" t="s">
        <v>1275</v>
      </c>
      <c r="B3093" s="626" t="s">
        <v>1413</v>
      </c>
      <c r="C3093" s="627" t="s">
        <v>422</v>
      </c>
      <c r="D3093" s="628"/>
      <c r="E3093" s="629"/>
      <c r="F3093" s="573"/>
      <c r="G3093" s="487"/>
      <c r="H3093" s="573"/>
      <c r="I3093" s="487"/>
      <c r="J3093" s="573"/>
      <c r="K3093" s="487"/>
      <c r="L3093" s="573"/>
      <c r="M3093" s="573"/>
      <c r="N3093" s="456">
        <f t="shared" si="393"/>
        <v>0</v>
      </c>
      <c r="O3093" s="487"/>
      <c r="P3093" s="487"/>
      <c r="Q3093" s="274">
        <f t="shared" si="388"/>
        <v>0</v>
      </c>
      <c r="R3093" s="574">
        <f t="shared" si="389"/>
        <v>0</v>
      </c>
      <c r="S3093" s="275">
        <f t="shared" si="390"/>
        <v>0</v>
      </c>
      <c r="T3093" s="1151"/>
      <c r="U3093" s="487"/>
      <c r="V3093" s="576"/>
      <c r="W3093" s="573"/>
      <c r="X3093" s="574">
        <f t="shared" si="394"/>
        <v>0</v>
      </c>
      <c r="Y3093" s="487"/>
      <c r="Z3093" s="487"/>
      <c r="AA3093" s="276">
        <f t="shared" si="395"/>
        <v>0</v>
      </c>
      <c r="AB3093" s="573"/>
      <c r="AC3093" s="487"/>
      <c r="AD3093" s="573"/>
      <c r="AE3093" s="487"/>
      <c r="AF3093" s="577">
        <f t="shared" si="391"/>
        <v>0</v>
      </c>
      <c r="AG3093" s="275">
        <f t="shared" si="392"/>
        <v>0</v>
      </c>
    </row>
    <row r="3094" spans="1:33" ht="12" customHeight="1">
      <c r="A3094" s="614" t="s">
        <v>1275</v>
      </c>
      <c r="B3094" s="626" t="s">
        <v>1582</v>
      </c>
      <c r="C3094" s="627" t="s">
        <v>1883</v>
      </c>
      <c r="D3094" s="628"/>
      <c r="E3094" s="629"/>
      <c r="F3094" s="573"/>
      <c r="G3094" s="487"/>
      <c r="H3094" s="573"/>
      <c r="I3094" s="487"/>
      <c r="J3094" s="573"/>
      <c r="K3094" s="487"/>
      <c r="L3094" s="573"/>
      <c r="M3094" s="573"/>
      <c r="N3094" s="456">
        <f t="shared" si="393"/>
        <v>0</v>
      </c>
      <c r="O3094" s="487"/>
      <c r="P3094" s="487"/>
      <c r="Q3094" s="274">
        <f t="shared" si="388"/>
        <v>0</v>
      </c>
      <c r="R3094" s="574">
        <f t="shared" si="389"/>
        <v>0</v>
      </c>
      <c r="S3094" s="275">
        <f t="shared" si="390"/>
        <v>0</v>
      </c>
      <c r="T3094" s="1152"/>
      <c r="U3094" s="487"/>
      <c r="V3094" s="576"/>
      <c r="W3094" s="573"/>
      <c r="X3094" s="574">
        <f t="shared" si="394"/>
        <v>0</v>
      </c>
      <c r="Y3094" s="487"/>
      <c r="Z3094" s="487"/>
      <c r="AA3094" s="276">
        <f t="shared" si="395"/>
        <v>0</v>
      </c>
      <c r="AB3094" s="573"/>
      <c r="AC3094" s="487"/>
      <c r="AD3094" s="573"/>
      <c r="AE3094" s="487"/>
      <c r="AF3094" s="577">
        <f t="shared" si="391"/>
        <v>0</v>
      </c>
      <c r="AG3094" s="275">
        <f t="shared" si="392"/>
        <v>0</v>
      </c>
    </row>
    <row r="3095" spans="1:33" ht="12" customHeight="1">
      <c r="A3095" s="614" t="s">
        <v>1275</v>
      </c>
      <c r="B3095" s="626" t="s">
        <v>1583</v>
      </c>
      <c r="C3095" s="627" t="s">
        <v>1761</v>
      </c>
      <c r="D3095" s="628"/>
      <c r="E3095" s="629"/>
      <c r="F3095" s="573"/>
      <c r="G3095" s="487"/>
      <c r="H3095" s="573"/>
      <c r="I3095" s="487"/>
      <c r="J3095" s="573"/>
      <c r="K3095" s="487"/>
      <c r="L3095" s="573"/>
      <c r="M3095" s="573"/>
      <c r="N3095" s="456">
        <f t="shared" si="393"/>
        <v>0</v>
      </c>
      <c r="O3095" s="487"/>
      <c r="P3095" s="487"/>
      <c r="Q3095" s="274">
        <f t="shared" si="388"/>
        <v>0</v>
      </c>
      <c r="R3095" s="574">
        <f t="shared" si="389"/>
        <v>0</v>
      </c>
      <c r="S3095" s="275">
        <f t="shared" si="390"/>
        <v>0</v>
      </c>
      <c r="T3095" s="575"/>
      <c r="U3095" s="487"/>
      <c r="V3095" s="576"/>
      <c r="W3095" s="573"/>
      <c r="X3095" s="574">
        <f t="shared" si="394"/>
        <v>0</v>
      </c>
      <c r="Y3095" s="487"/>
      <c r="Z3095" s="487"/>
      <c r="AA3095" s="276">
        <f t="shared" si="395"/>
        <v>0</v>
      </c>
      <c r="AB3095" s="573"/>
      <c r="AC3095" s="487"/>
      <c r="AD3095" s="573"/>
      <c r="AE3095" s="487"/>
      <c r="AF3095" s="577">
        <f t="shared" si="391"/>
        <v>0</v>
      </c>
      <c r="AG3095" s="275">
        <f t="shared" si="392"/>
        <v>0</v>
      </c>
    </row>
    <row r="3096" spans="1:33" ht="12" customHeight="1">
      <c r="A3096" s="614" t="s">
        <v>1275</v>
      </c>
      <c r="B3096" s="615" t="s">
        <v>1807</v>
      </c>
      <c r="C3096" s="482" t="s">
        <v>1879</v>
      </c>
      <c r="D3096" s="628"/>
      <c r="E3096" s="629"/>
      <c r="F3096" s="573"/>
      <c r="G3096" s="487"/>
      <c r="H3096" s="573"/>
      <c r="I3096" s="487"/>
      <c r="J3096" s="573"/>
      <c r="K3096" s="487"/>
      <c r="L3096" s="573"/>
      <c r="M3096" s="573"/>
      <c r="N3096" s="456">
        <f t="shared" si="393"/>
        <v>0</v>
      </c>
      <c r="O3096" s="487"/>
      <c r="P3096" s="487"/>
      <c r="Q3096" s="274">
        <f t="shared" si="388"/>
        <v>0</v>
      </c>
      <c r="R3096" s="574">
        <f t="shared" si="389"/>
        <v>0</v>
      </c>
      <c r="S3096" s="275">
        <f t="shared" si="390"/>
        <v>0</v>
      </c>
      <c r="T3096" s="575"/>
      <c r="U3096" s="487"/>
      <c r="V3096" s="576"/>
      <c r="W3096" s="573"/>
      <c r="X3096" s="574">
        <f t="shared" si="394"/>
        <v>0</v>
      </c>
      <c r="Y3096" s="487"/>
      <c r="Z3096" s="487"/>
      <c r="AA3096" s="276">
        <f t="shared" si="395"/>
        <v>0</v>
      </c>
      <c r="AB3096" s="573"/>
      <c r="AC3096" s="487"/>
      <c r="AD3096" s="573"/>
      <c r="AE3096" s="487"/>
      <c r="AF3096" s="577">
        <f t="shared" si="391"/>
        <v>0</v>
      </c>
      <c r="AG3096" s="275">
        <f t="shared" si="392"/>
        <v>0</v>
      </c>
    </row>
    <row r="3097" spans="1:33" ht="12" customHeight="1">
      <c r="A3097" s="614" t="s">
        <v>1275</v>
      </c>
      <c r="B3097" s="626" t="s">
        <v>1766</v>
      </c>
      <c r="C3097" s="627" t="s">
        <v>1883</v>
      </c>
      <c r="D3097" s="628"/>
      <c r="E3097" s="629"/>
      <c r="F3097" s="573"/>
      <c r="G3097" s="487"/>
      <c r="H3097" s="573"/>
      <c r="I3097" s="487"/>
      <c r="J3097" s="573"/>
      <c r="K3097" s="487"/>
      <c r="L3097" s="573"/>
      <c r="M3097" s="573"/>
      <c r="N3097" s="456">
        <f t="shared" si="393"/>
        <v>0</v>
      </c>
      <c r="O3097" s="487"/>
      <c r="P3097" s="487"/>
      <c r="Q3097" s="274">
        <f t="shared" si="388"/>
        <v>0</v>
      </c>
      <c r="R3097" s="574">
        <f t="shared" si="389"/>
        <v>0</v>
      </c>
      <c r="S3097" s="275">
        <f t="shared" si="390"/>
        <v>0</v>
      </c>
      <c r="T3097" s="1150"/>
      <c r="U3097" s="487"/>
      <c r="V3097" s="576"/>
      <c r="W3097" s="573"/>
      <c r="X3097" s="574">
        <f t="shared" si="394"/>
        <v>0</v>
      </c>
      <c r="Y3097" s="487"/>
      <c r="Z3097" s="487"/>
      <c r="AA3097" s="276">
        <f t="shared" si="395"/>
        <v>0</v>
      </c>
      <c r="AB3097" s="573"/>
      <c r="AC3097" s="487"/>
      <c r="AD3097" s="573"/>
      <c r="AE3097" s="487"/>
      <c r="AF3097" s="577">
        <f t="shared" si="391"/>
        <v>0</v>
      </c>
      <c r="AG3097" s="275">
        <f t="shared" si="392"/>
        <v>0</v>
      </c>
    </row>
    <row r="3098" spans="1:33" ht="12" customHeight="1">
      <c r="A3098" s="614" t="s">
        <v>1275</v>
      </c>
      <c r="B3098" s="626" t="s">
        <v>1767</v>
      </c>
      <c r="C3098" s="627" t="s">
        <v>1761</v>
      </c>
      <c r="D3098" s="628"/>
      <c r="E3098" s="629"/>
      <c r="F3098" s="573"/>
      <c r="G3098" s="487"/>
      <c r="H3098" s="573"/>
      <c r="I3098" s="487"/>
      <c r="J3098" s="573"/>
      <c r="K3098" s="487"/>
      <c r="L3098" s="573"/>
      <c r="M3098" s="573"/>
      <c r="N3098" s="456">
        <f t="shared" si="393"/>
        <v>0</v>
      </c>
      <c r="O3098" s="487"/>
      <c r="P3098" s="487"/>
      <c r="Q3098" s="274">
        <f t="shared" si="388"/>
        <v>0</v>
      </c>
      <c r="R3098" s="574">
        <f t="shared" si="389"/>
        <v>0</v>
      </c>
      <c r="S3098" s="275">
        <f t="shared" si="390"/>
        <v>0</v>
      </c>
      <c r="T3098" s="1150"/>
      <c r="U3098" s="487"/>
      <c r="V3098" s="576"/>
      <c r="W3098" s="573"/>
      <c r="X3098" s="574">
        <f t="shared" si="394"/>
        <v>0</v>
      </c>
      <c r="Y3098" s="487"/>
      <c r="Z3098" s="487"/>
      <c r="AA3098" s="276">
        <f t="shared" si="395"/>
        <v>0</v>
      </c>
      <c r="AB3098" s="573"/>
      <c r="AC3098" s="487"/>
      <c r="AD3098" s="573"/>
      <c r="AE3098" s="487"/>
      <c r="AF3098" s="577">
        <f t="shared" si="391"/>
        <v>0</v>
      </c>
      <c r="AG3098" s="275">
        <f t="shared" si="392"/>
        <v>0</v>
      </c>
    </row>
    <row r="3099" spans="1:33" ht="12" customHeight="1">
      <c r="A3099" s="614" t="s">
        <v>1275</v>
      </c>
      <c r="B3099" s="615" t="s">
        <v>1806</v>
      </c>
      <c r="C3099" s="482" t="s">
        <v>879</v>
      </c>
      <c r="D3099" s="628"/>
      <c r="E3099" s="629"/>
      <c r="F3099" s="573"/>
      <c r="G3099" s="487"/>
      <c r="H3099" s="573"/>
      <c r="I3099" s="487"/>
      <c r="J3099" s="573"/>
      <c r="K3099" s="487"/>
      <c r="L3099" s="573"/>
      <c r="M3099" s="573"/>
      <c r="N3099" s="456">
        <f t="shared" si="393"/>
        <v>0</v>
      </c>
      <c r="O3099" s="487"/>
      <c r="P3099" s="487"/>
      <c r="Q3099" s="274">
        <f t="shared" si="388"/>
        <v>0</v>
      </c>
      <c r="R3099" s="574">
        <f t="shared" si="389"/>
        <v>0</v>
      </c>
      <c r="S3099" s="275">
        <f t="shared" si="390"/>
        <v>0</v>
      </c>
      <c r="T3099" s="575"/>
      <c r="U3099" s="487"/>
      <c r="V3099" s="576"/>
      <c r="W3099" s="573"/>
      <c r="X3099" s="574">
        <f t="shared" si="394"/>
        <v>0</v>
      </c>
      <c r="Y3099" s="487"/>
      <c r="Z3099" s="487"/>
      <c r="AA3099" s="276">
        <f t="shared" si="395"/>
        <v>0</v>
      </c>
      <c r="AB3099" s="573"/>
      <c r="AC3099" s="487"/>
      <c r="AD3099" s="573"/>
      <c r="AE3099" s="487"/>
      <c r="AF3099" s="577">
        <f t="shared" si="391"/>
        <v>0</v>
      </c>
      <c r="AG3099" s="275">
        <f t="shared" si="392"/>
        <v>0</v>
      </c>
    </row>
    <row r="3100" spans="1:33" ht="12" customHeight="1">
      <c r="A3100" s="614" t="s">
        <v>1275</v>
      </c>
      <c r="B3100" s="615" t="s">
        <v>1805</v>
      </c>
      <c r="C3100" s="251" t="s">
        <v>880</v>
      </c>
      <c r="D3100" s="628"/>
      <c r="E3100" s="629"/>
      <c r="F3100" s="573"/>
      <c r="G3100" s="487"/>
      <c r="H3100" s="573"/>
      <c r="I3100" s="487"/>
      <c r="J3100" s="573"/>
      <c r="K3100" s="487"/>
      <c r="L3100" s="573"/>
      <c r="M3100" s="573"/>
      <c r="N3100" s="456">
        <f t="shared" si="393"/>
        <v>0</v>
      </c>
      <c r="O3100" s="487"/>
      <c r="P3100" s="487"/>
      <c r="Q3100" s="274">
        <f t="shared" si="388"/>
        <v>0</v>
      </c>
      <c r="R3100" s="574">
        <f t="shared" si="389"/>
        <v>0</v>
      </c>
      <c r="S3100" s="275">
        <f t="shared" si="390"/>
        <v>0</v>
      </c>
      <c r="T3100" s="575">
        <v>436491</v>
      </c>
      <c r="U3100" s="487">
        <v>436492</v>
      </c>
      <c r="V3100" s="576"/>
      <c r="W3100" s="573"/>
      <c r="X3100" s="574">
        <f t="shared" si="394"/>
        <v>0</v>
      </c>
      <c r="Y3100" s="487"/>
      <c r="Z3100" s="487"/>
      <c r="AA3100" s="276">
        <f t="shared" si="395"/>
        <v>0</v>
      </c>
      <c r="AB3100" s="573"/>
      <c r="AC3100" s="487"/>
      <c r="AD3100" s="573"/>
      <c r="AE3100" s="487"/>
      <c r="AF3100" s="577">
        <f t="shared" si="391"/>
        <v>436491</v>
      </c>
      <c r="AG3100" s="275">
        <f t="shared" si="392"/>
        <v>436492</v>
      </c>
    </row>
    <row r="3101" spans="1:33" ht="12" customHeight="1">
      <c r="A3101" s="614" t="s">
        <v>1275</v>
      </c>
      <c r="B3101" s="626" t="s">
        <v>1764</v>
      </c>
      <c r="C3101" s="627" t="s">
        <v>1883</v>
      </c>
      <c r="D3101" s="628"/>
      <c r="E3101" s="629"/>
      <c r="F3101" s="573"/>
      <c r="G3101" s="487"/>
      <c r="H3101" s="573"/>
      <c r="I3101" s="487"/>
      <c r="J3101" s="573"/>
      <c r="K3101" s="487"/>
      <c r="L3101" s="573"/>
      <c r="M3101" s="573"/>
      <c r="N3101" s="456">
        <f t="shared" si="393"/>
        <v>0</v>
      </c>
      <c r="O3101" s="487"/>
      <c r="P3101" s="487"/>
      <c r="Q3101" s="274">
        <f t="shared" si="388"/>
        <v>0</v>
      </c>
      <c r="R3101" s="574">
        <f t="shared" si="389"/>
        <v>0</v>
      </c>
      <c r="S3101" s="275">
        <f t="shared" si="390"/>
        <v>0</v>
      </c>
      <c r="T3101" s="1150" t="s">
        <v>1225</v>
      </c>
      <c r="U3101" s="487"/>
      <c r="V3101" s="576"/>
      <c r="W3101" s="573"/>
      <c r="X3101" s="574">
        <f t="shared" si="394"/>
        <v>0</v>
      </c>
      <c r="Y3101" s="487"/>
      <c r="Z3101" s="487"/>
      <c r="AA3101" s="276">
        <f t="shared" si="395"/>
        <v>0</v>
      </c>
      <c r="AB3101" s="573"/>
      <c r="AC3101" s="487"/>
      <c r="AD3101" s="573"/>
      <c r="AE3101" s="487"/>
      <c r="AF3101" s="577">
        <f t="shared" si="391"/>
        <v>0</v>
      </c>
      <c r="AG3101" s="275">
        <f t="shared" si="392"/>
        <v>0</v>
      </c>
    </row>
    <row r="3102" spans="1:33" ht="12" customHeight="1">
      <c r="A3102" s="614" t="s">
        <v>1275</v>
      </c>
      <c r="B3102" s="626" t="s">
        <v>1765</v>
      </c>
      <c r="C3102" s="627" t="s">
        <v>1761</v>
      </c>
      <c r="D3102" s="628"/>
      <c r="E3102" s="629"/>
      <c r="F3102" s="573"/>
      <c r="G3102" s="487"/>
      <c r="H3102" s="573"/>
      <c r="I3102" s="487"/>
      <c r="J3102" s="573"/>
      <c r="K3102" s="487"/>
      <c r="L3102" s="573"/>
      <c r="M3102" s="573"/>
      <c r="N3102" s="456">
        <f t="shared" si="393"/>
        <v>0</v>
      </c>
      <c r="O3102" s="487"/>
      <c r="P3102" s="487"/>
      <c r="Q3102" s="274">
        <f t="shared" si="388"/>
        <v>0</v>
      </c>
      <c r="R3102" s="574">
        <f t="shared" si="389"/>
        <v>0</v>
      </c>
      <c r="S3102" s="275">
        <f t="shared" si="390"/>
        <v>0</v>
      </c>
      <c r="T3102" s="1150"/>
      <c r="U3102" s="487"/>
      <c r="V3102" s="576"/>
      <c r="W3102" s="573"/>
      <c r="X3102" s="574">
        <f t="shared" si="394"/>
        <v>0</v>
      </c>
      <c r="Y3102" s="487"/>
      <c r="Z3102" s="487"/>
      <c r="AA3102" s="276">
        <f t="shared" si="395"/>
        <v>0</v>
      </c>
      <c r="AB3102" s="573"/>
      <c r="AC3102" s="487"/>
      <c r="AD3102" s="573"/>
      <c r="AE3102" s="487"/>
      <c r="AF3102" s="577">
        <f t="shared" si="391"/>
        <v>0</v>
      </c>
      <c r="AG3102" s="275">
        <f t="shared" si="392"/>
        <v>0</v>
      </c>
    </row>
    <row r="3103" spans="1:33" ht="12" customHeight="1">
      <c r="A3103" s="769" t="s">
        <v>1284</v>
      </c>
      <c r="B3103" s="631" t="s">
        <v>1776</v>
      </c>
      <c r="C3103" s="632" t="s">
        <v>81</v>
      </c>
      <c r="D3103" s="730">
        <v>232186</v>
      </c>
      <c r="E3103" s="1032">
        <v>1</v>
      </c>
      <c r="F3103" s="622">
        <f>129848684</f>
        <v>129848684</v>
      </c>
      <c r="G3103" s="487">
        <v>130592125</v>
      </c>
      <c r="H3103" s="622">
        <v>2955000</v>
      </c>
      <c r="I3103" s="487">
        <v>1000000</v>
      </c>
      <c r="J3103" s="573"/>
      <c r="K3103" s="487"/>
      <c r="L3103" s="573">
        <v>176947691</v>
      </c>
      <c r="M3103" s="573">
        <v>311338</v>
      </c>
      <c r="N3103" s="456">
        <f t="shared" si="393"/>
        <v>177259029</v>
      </c>
      <c r="O3103" s="487">
        <v>191983793</v>
      </c>
      <c r="P3103" s="487">
        <v>311338</v>
      </c>
      <c r="Q3103" s="274">
        <f t="shared" si="388"/>
        <v>192295131</v>
      </c>
      <c r="R3103" s="574">
        <f t="shared" si="389"/>
        <v>309751375</v>
      </c>
      <c r="S3103" s="275">
        <f t="shared" si="390"/>
        <v>323575918</v>
      </c>
      <c r="T3103" s="575"/>
      <c r="U3103" s="487"/>
      <c r="V3103" s="576"/>
      <c r="W3103" s="573"/>
      <c r="X3103" s="574">
        <f t="shared" si="394"/>
        <v>0</v>
      </c>
      <c r="Y3103" s="487"/>
      <c r="Z3103" s="487"/>
      <c r="AA3103" s="276">
        <f t="shared" si="395"/>
        <v>0</v>
      </c>
      <c r="AB3103" s="573"/>
      <c r="AC3103" s="487"/>
      <c r="AD3103" s="573"/>
      <c r="AE3103" s="487"/>
      <c r="AF3103" s="577">
        <f t="shared" si="391"/>
        <v>309751375</v>
      </c>
      <c r="AG3103" s="275">
        <f t="shared" si="392"/>
        <v>323575918</v>
      </c>
    </row>
    <row r="3104" spans="1:33" ht="12" customHeight="1">
      <c r="A3104" s="769" t="s">
        <v>1284</v>
      </c>
      <c r="B3104" s="631" t="s">
        <v>1776</v>
      </c>
      <c r="C3104" s="632" t="s">
        <v>77</v>
      </c>
      <c r="D3104" s="730">
        <v>234076</v>
      </c>
      <c r="E3104" s="733">
        <v>1</v>
      </c>
      <c r="F3104" s="622">
        <f>138450514-18604451</f>
        <v>119846063</v>
      </c>
      <c r="G3104" s="487">
        <f>138061776-AC3105</f>
        <v>119482986</v>
      </c>
      <c r="H3104" s="622">
        <v>5324250</v>
      </c>
      <c r="I3104" s="487">
        <v>3146875</v>
      </c>
      <c r="J3104" s="573"/>
      <c r="K3104" s="487"/>
      <c r="L3104" s="573">
        <f>285205129-36117432</f>
        <v>249087697</v>
      </c>
      <c r="M3104" s="573">
        <v>760448</v>
      </c>
      <c r="N3104" s="456">
        <f t="shared" si="393"/>
        <v>249848145</v>
      </c>
      <c r="O3104" s="487">
        <f>311107797-AE3105</f>
        <v>277536633</v>
      </c>
      <c r="P3104" s="487">
        <v>760448</v>
      </c>
      <c r="Q3104" s="274">
        <f t="shared" si="388"/>
        <v>278297081</v>
      </c>
      <c r="R3104" s="574">
        <f t="shared" si="389"/>
        <v>374258010</v>
      </c>
      <c r="S3104" s="275">
        <f t="shared" si="390"/>
        <v>400166494</v>
      </c>
      <c r="T3104" s="575"/>
      <c r="U3104" s="487"/>
      <c r="V3104" s="576"/>
      <c r="W3104" s="573"/>
      <c r="X3104" s="574">
        <f t="shared" si="394"/>
        <v>0</v>
      </c>
      <c r="Y3104" s="487"/>
      <c r="Z3104" s="487"/>
      <c r="AA3104" s="276">
        <f t="shared" si="395"/>
        <v>0</v>
      </c>
      <c r="AB3104" s="573"/>
      <c r="AC3104" s="487"/>
      <c r="AD3104" s="573"/>
      <c r="AE3104" s="487"/>
      <c r="AF3104" s="577">
        <f t="shared" si="391"/>
        <v>374258010</v>
      </c>
      <c r="AG3104" s="275">
        <f t="shared" si="392"/>
        <v>400166494</v>
      </c>
    </row>
    <row r="3105" spans="1:33" ht="12" customHeight="1">
      <c r="A3105" s="769" t="s">
        <v>1284</v>
      </c>
      <c r="B3105" s="631" t="s">
        <v>1793</v>
      </c>
      <c r="C3105" s="770" t="s">
        <v>1614</v>
      </c>
      <c r="D3105" s="730">
        <v>234076</v>
      </c>
      <c r="E3105" s="733">
        <v>1</v>
      </c>
      <c r="F3105" s="622"/>
      <c r="G3105" s="487"/>
      <c r="H3105" s="622"/>
      <c r="I3105" s="487"/>
      <c r="J3105" s="573"/>
      <c r="K3105" s="487"/>
      <c r="L3105" s="573"/>
      <c r="M3105" s="573"/>
      <c r="N3105" s="456">
        <f t="shared" si="393"/>
        <v>0</v>
      </c>
      <c r="O3105" s="483"/>
      <c r="P3105" s="487"/>
      <c r="Q3105" s="274">
        <f t="shared" si="388"/>
        <v>0</v>
      </c>
      <c r="R3105" s="574">
        <f t="shared" si="389"/>
        <v>0</v>
      </c>
      <c r="S3105" s="275">
        <f t="shared" si="390"/>
        <v>0</v>
      </c>
      <c r="T3105" s="575"/>
      <c r="U3105" s="487"/>
      <c r="V3105" s="576"/>
      <c r="W3105" s="573"/>
      <c r="X3105" s="574">
        <f t="shared" si="394"/>
        <v>0</v>
      </c>
      <c r="Y3105" s="487"/>
      <c r="Z3105" s="487"/>
      <c r="AA3105" s="276">
        <f t="shared" si="395"/>
        <v>0</v>
      </c>
      <c r="AB3105" s="573">
        <v>18604451</v>
      </c>
      <c r="AC3105" s="487">
        <v>18578790</v>
      </c>
      <c r="AD3105" s="573">
        <v>31794403</v>
      </c>
      <c r="AE3105" s="487">
        <v>33571164</v>
      </c>
      <c r="AF3105" s="577">
        <f t="shared" si="391"/>
        <v>50398854</v>
      </c>
      <c r="AG3105" s="275">
        <f t="shared" si="392"/>
        <v>52149954</v>
      </c>
    </row>
    <row r="3106" spans="1:33" ht="12" customHeight="1">
      <c r="A3106" s="769" t="s">
        <v>1284</v>
      </c>
      <c r="B3106" s="631" t="s">
        <v>1776</v>
      </c>
      <c r="C3106" s="769" t="s">
        <v>78</v>
      </c>
      <c r="D3106" s="730">
        <v>233921</v>
      </c>
      <c r="E3106" s="733">
        <v>1</v>
      </c>
      <c r="F3106" s="622">
        <f>165606706-11522114</f>
        <v>154084592</v>
      </c>
      <c r="G3106" s="487">
        <f>168264739-11187861+1569824</f>
        <v>158646702</v>
      </c>
      <c r="H3106" s="622">
        <v>7277250</v>
      </c>
      <c r="I3106" s="487">
        <v>3121875</v>
      </c>
      <c r="J3106" s="573"/>
      <c r="K3106" s="487"/>
      <c r="L3106" s="573">
        <f>256719288-9746167</f>
        <v>246973121</v>
      </c>
      <c r="M3106" s="573">
        <v>794424</v>
      </c>
      <c r="N3106" s="456">
        <f t="shared" si="393"/>
        <v>247767545</v>
      </c>
      <c r="O3106" s="487">
        <v>267939204</v>
      </c>
      <c r="P3106" s="487">
        <v>794424</v>
      </c>
      <c r="Q3106" s="274">
        <f t="shared" si="388"/>
        <v>268733628</v>
      </c>
      <c r="R3106" s="574">
        <f t="shared" si="389"/>
        <v>408334963</v>
      </c>
      <c r="S3106" s="275">
        <f t="shared" si="390"/>
        <v>429707781</v>
      </c>
      <c r="T3106" s="575"/>
      <c r="U3106" s="487"/>
      <c r="V3106" s="576"/>
      <c r="W3106" s="573"/>
      <c r="X3106" s="574">
        <f t="shared" si="394"/>
        <v>0</v>
      </c>
      <c r="Y3106" s="487"/>
      <c r="Z3106" s="487"/>
      <c r="AA3106" s="276">
        <f t="shared" si="395"/>
        <v>0</v>
      </c>
      <c r="AB3106" s="573"/>
      <c r="AC3106" s="487"/>
      <c r="AD3106" s="573"/>
      <c r="AE3106" s="483"/>
      <c r="AF3106" s="577">
        <f t="shared" si="391"/>
        <v>408334963</v>
      </c>
      <c r="AG3106" s="275">
        <f t="shared" si="392"/>
        <v>429707781</v>
      </c>
    </row>
    <row r="3107" spans="1:33" ht="12" customHeight="1">
      <c r="A3107" s="769" t="s">
        <v>1284</v>
      </c>
      <c r="B3107" s="631" t="s">
        <v>1793</v>
      </c>
      <c r="C3107" s="771" t="s">
        <v>462</v>
      </c>
      <c r="D3107" s="730">
        <v>233921</v>
      </c>
      <c r="E3107" s="733">
        <v>1</v>
      </c>
      <c r="F3107" s="573"/>
      <c r="G3107" s="487"/>
      <c r="H3107" s="573"/>
      <c r="I3107" s="487"/>
      <c r="J3107" s="573"/>
      <c r="K3107" s="487"/>
      <c r="L3107" s="573"/>
      <c r="M3107" s="573"/>
      <c r="N3107" s="456">
        <f t="shared" si="393"/>
        <v>0</v>
      </c>
      <c r="O3107" s="487"/>
      <c r="P3107" s="487"/>
      <c r="Q3107" s="274">
        <f t="shared" si="388"/>
        <v>0</v>
      </c>
      <c r="R3107" s="574">
        <f t="shared" si="389"/>
        <v>0</v>
      </c>
      <c r="S3107" s="275">
        <f t="shared" si="390"/>
        <v>0</v>
      </c>
      <c r="T3107" s="575"/>
      <c r="U3107" s="487"/>
      <c r="V3107" s="576"/>
      <c r="W3107" s="573"/>
      <c r="X3107" s="574">
        <f t="shared" si="394"/>
        <v>0</v>
      </c>
      <c r="Y3107" s="487"/>
      <c r="Z3107" s="487"/>
      <c r="AA3107" s="276">
        <f t="shared" si="395"/>
        <v>0</v>
      </c>
      <c r="AB3107" s="573">
        <f>11522114+2550849</f>
        <v>14072963</v>
      </c>
      <c r="AC3107" s="487">
        <f>11187861+2552334</f>
        <v>13740195</v>
      </c>
      <c r="AD3107" s="573">
        <v>9746167</v>
      </c>
      <c r="AE3107" s="487">
        <v>10235377</v>
      </c>
      <c r="AF3107" s="577">
        <f t="shared" si="391"/>
        <v>23819130</v>
      </c>
      <c r="AG3107" s="275">
        <f t="shared" si="392"/>
        <v>23975572</v>
      </c>
    </row>
    <row r="3108" spans="1:33" ht="12" customHeight="1">
      <c r="A3108" s="769" t="s">
        <v>1284</v>
      </c>
      <c r="B3108" s="631" t="s">
        <v>1780</v>
      </c>
      <c r="C3108" s="286" t="s">
        <v>1231</v>
      </c>
      <c r="D3108" s="730">
        <v>233921</v>
      </c>
      <c r="E3108" s="733">
        <v>1</v>
      </c>
      <c r="F3108" s="573"/>
      <c r="G3108" s="487"/>
      <c r="H3108" s="573">
        <v>26779649</v>
      </c>
      <c r="I3108" s="487">
        <v>30642574</v>
      </c>
      <c r="J3108" s="573"/>
      <c r="K3108" s="487"/>
      <c r="L3108" s="573"/>
      <c r="M3108" s="573"/>
      <c r="N3108" s="456">
        <f t="shared" si="393"/>
        <v>0</v>
      </c>
      <c r="O3108" s="487"/>
      <c r="P3108" s="487"/>
      <c r="Q3108" s="274">
        <f t="shared" si="388"/>
        <v>0</v>
      </c>
      <c r="R3108" s="574">
        <f t="shared" si="389"/>
        <v>26779649</v>
      </c>
      <c r="S3108" s="275">
        <f t="shared" si="390"/>
        <v>30642574</v>
      </c>
      <c r="T3108" s="575"/>
      <c r="U3108" s="487"/>
      <c r="V3108" s="576"/>
      <c r="W3108" s="573"/>
      <c r="X3108" s="574">
        <f t="shared" si="394"/>
        <v>0</v>
      </c>
      <c r="Y3108" s="487"/>
      <c r="Z3108" s="487"/>
      <c r="AA3108" s="276">
        <f t="shared" si="395"/>
        <v>0</v>
      </c>
      <c r="AB3108" s="573"/>
      <c r="AC3108" s="487"/>
      <c r="AD3108" s="573"/>
      <c r="AE3108" s="487"/>
      <c r="AF3108" s="577">
        <f t="shared" si="391"/>
        <v>26779649</v>
      </c>
      <c r="AG3108" s="275">
        <f t="shared" si="392"/>
        <v>30642574</v>
      </c>
    </row>
    <row r="3109" spans="1:33" ht="12" customHeight="1">
      <c r="A3109" s="769" t="s">
        <v>1284</v>
      </c>
      <c r="B3109" s="631" t="s">
        <v>1781</v>
      </c>
      <c r="C3109" s="286" t="s">
        <v>1232</v>
      </c>
      <c r="D3109" s="730">
        <v>233921</v>
      </c>
      <c r="E3109" s="733">
        <v>1</v>
      </c>
      <c r="F3109" s="573"/>
      <c r="G3109" s="487"/>
      <c r="H3109" s="573">
        <v>33476293</v>
      </c>
      <c r="I3109" s="487">
        <f>33571758-2552334</f>
        <v>31019424</v>
      </c>
      <c r="J3109" s="573"/>
      <c r="K3109" s="487"/>
      <c r="L3109" s="573"/>
      <c r="M3109" s="573"/>
      <c r="N3109" s="456">
        <f t="shared" si="393"/>
        <v>0</v>
      </c>
      <c r="O3109" s="487"/>
      <c r="P3109" s="487"/>
      <c r="Q3109" s="274">
        <f t="shared" si="388"/>
        <v>0</v>
      </c>
      <c r="R3109" s="574">
        <f t="shared" si="389"/>
        <v>33476293</v>
      </c>
      <c r="S3109" s="275">
        <f t="shared" si="390"/>
        <v>31019424</v>
      </c>
      <c r="T3109" s="575"/>
      <c r="U3109" s="487"/>
      <c r="V3109" s="576"/>
      <c r="W3109" s="573"/>
      <c r="X3109" s="574">
        <f t="shared" si="394"/>
        <v>0</v>
      </c>
      <c r="Y3109" s="487"/>
      <c r="Z3109" s="487"/>
      <c r="AA3109" s="276">
        <f t="shared" si="395"/>
        <v>0</v>
      </c>
      <c r="AB3109" s="573"/>
      <c r="AC3109" s="487"/>
      <c r="AD3109" s="573"/>
      <c r="AE3109" s="487"/>
      <c r="AF3109" s="577">
        <f t="shared" si="391"/>
        <v>33476293</v>
      </c>
      <c r="AG3109" s="275">
        <f t="shared" si="392"/>
        <v>31019424</v>
      </c>
    </row>
    <row r="3110" spans="1:33" ht="12" customHeight="1">
      <c r="A3110" s="769" t="s">
        <v>1284</v>
      </c>
      <c r="B3110" s="631" t="s">
        <v>1776</v>
      </c>
      <c r="C3110" s="632" t="s">
        <v>79</v>
      </c>
      <c r="D3110" s="730">
        <v>231624</v>
      </c>
      <c r="E3110" s="733">
        <v>2</v>
      </c>
      <c r="F3110" s="622">
        <f>45747385</f>
        <v>45747385</v>
      </c>
      <c r="G3110" s="487">
        <v>45126221</v>
      </c>
      <c r="H3110" s="622">
        <v>200000</v>
      </c>
      <c r="I3110" s="487">
        <v>75000</v>
      </c>
      <c r="J3110" s="573"/>
      <c r="K3110" s="487"/>
      <c r="L3110" s="573">
        <v>75906698</v>
      </c>
      <c r="M3110" s="573">
        <v>241596</v>
      </c>
      <c r="N3110" s="456">
        <f t="shared" si="393"/>
        <v>76148294</v>
      </c>
      <c r="O3110" s="487">
        <v>81313895</v>
      </c>
      <c r="P3110" s="487">
        <v>241596</v>
      </c>
      <c r="Q3110" s="274">
        <f t="shared" si="388"/>
        <v>81555491</v>
      </c>
      <c r="R3110" s="574">
        <f t="shared" si="389"/>
        <v>121854083</v>
      </c>
      <c r="S3110" s="275">
        <f t="shared" si="390"/>
        <v>126515116</v>
      </c>
      <c r="T3110" s="575"/>
      <c r="U3110" s="487"/>
      <c r="V3110" s="576"/>
      <c r="W3110" s="573"/>
      <c r="X3110" s="574">
        <f t="shared" si="394"/>
        <v>0</v>
      </c>
      <c r="Y3110" s="487"/>
      <c r="Z3110" s="487"/>
      <c r="AA3110" s="276">
        <f t="shared" si="395"/>
        <v>0</v>
      </c>
      <c r="AB3110" s="573"/>
      <c r="AC3110" s="487"/>
      <c r="AD3110" s="573"/>
      <c r="AE3110" s="487"/>
      <c r="AF3110" s="577">
        <f t="shared" si="391"/>
        <v>121854083</v>
      </c>
      <c r="AG3110" s="275">
        <f t="shared" si="392"/>
        <v>126515116</v>
      </c>
    </row>
    <row r="3111" spans="1:33" ht="12" customHeight="1">
      <c r="A3111" s="769" t="s">
        <v>1284</v>
      </c>
      <c r="B3111" s="631" t="s">
        <v>1783</v>
      </c>
      <c r="C3111" s="286" t="s">
        <v>1881</v>
      </c>
      <c r="D3111" s="730">
        <v>231624</v>
      </c>
      <c r="E3111" s="733">
        <v>2</v>
      </c>
      <c r="F3111" s="573"/>
      <c r="G3111" s="487"/>
      <c r="H3111" s="573"/>
      <c r="I3111" s="487"/>
      <c r="J3111" s="573"/>
      <c r="K3111" s="487"/>
      <c r="L3111" s="573"/>
      <c r="M3111" s="573"/>
      <c r="N3111" s="456">
        <f t="shared" si="393"/>
        <v>0</v>
      </c>
      <c r="O3111" s="487"/>
      <c r="P3111" s="487"/>
      <c r="Q3111" s="274">
        <f t="shared" si="388"/>
        <v>0</v>
      </c>
      <c r="R3111" s="574">
        <f t="shared" si="389"/>
        <v>0</v>
      </c>
      <c r="S3111" s="275">
        <f t="shared" si="390"/>
        <v>0</v>
      </c>
      <c r="T3111" s="575"/>
      <c r="U3111" s="487"/>
      <c r="V3111" s="576"/>
      <c r="W3111" s="573"/>
      <c r="X3111" s="574">
        <f t="shared" si="394"/>
        <v>0</v>
      </c>
      <c r="Y3111" s="487"/>
      <c r="Z3111" s="487"/>
      <c r="AA3111" s="276">
        <f t="shared" si="395"/>
        <v>0</v>
      </c>
      <c r="AB3111" s="573"/>
      <c r="AC3111" s="487"/>
      <c r="AD3111" s="573"/>
      <c r="AE3111" s="487"/>
      <c r="AF3111" s="577">
        <f t="shared" si="391"/>
        <v>0</v>
      </c>
      <c r="AG3111" s="275">
        <f t="shared" si="392"/>
        <v>0</v>
      </c>
    </row>
    <row r="3112" spans="1:33" ht="12" customHeight="1">
      <c r="A3112" s="769" t="s">
        <v>1284</v>
      </c>
      <c r="B3112" s="631" t="s">
        <v>1783</v>
      </c>
      <c r="C3112" s="771" t="s">
        <v>80</v>
      </c>
      <c r="D3112" s="730">
        <v>231624</v>
      </c>
      <c r="E3112" s="733">
        <v>2</v>
      </c>
      <c r="F3112" s="573"/>
      <c r="G3112" s="487"/>
      <c r="H3112" s="573">
        <f>19242121+155000</f>
        <v>19397121</v>
      </c>
      <c r="I3112" s="487">
        <v>19495729</v>
      </c>
      <c r="J3112" s="573"/>
      <c r="K3112" s="487"/>
      <c r="L3112" s="573"/>
      <c r="M3112" s="573"/>
      <c r="N3112" s="456">
        <f t="shared" si="393"/>
        <v>0</v>
      </c>
      <c r="O3112" s="487"/>
      <c r="P3112" s="487"/>
      <c r="Q3112" s="274">
        <f t="shared" si="388"/>
        <v>0</v>
      </c>
      <c r="R3112" s="574">
        <f t="shared" si="389"/>
        <v>19397121</v>
      </c>
      <c r="S3112" s="275">
        <f t="shared" si="390"/>
        <v>19495729</v>
      </c>
      <c r="T3112" s="575"/>
      <c r="U3112" s="487"/>
      <c r="V3112" s="576"/>
      <c r="W3112" s="573"/>
      <c r="X3112" s="574">
        <f t="shared" si="394"/>
        <v>0</v>
      </c>
      <c r="Y3112" s="487"/>
      <c r="Z3112" s="487"/>
      <c r="AA3112" s="276">
        <f t="shared" si="395"/>
        <v>0</v>
      </c>
      <c r="AB3112" s="573"/>
      <c r="AC3112" s="487"/>
      <c r="AD3112" s="573"/>
      <c r="AE3112" s="487"/>
      <c r="AF3112" s="577">
        <f t="shared" si="391"/>
        <v>19397121</v>
      </c>
      <c r="AG3112" s="275">
        <f t="shared" si="392"/>
        <v>19495729</v>
      </c>
    </row>
    <row r="3113" spans="1:33" ht="12" customHeight="1">
      <c r="A3113" s="769" t="s">
        <v>1284</v>
      </c>
      <c r="B3113" s="631" t="s">
        <v>1776</v>
      </c>
      <c r="C3113" s="632" t="s">
        <v>82</v>
      </c>
      <c r="D3113" s="730">
        <v>232982</v>
      </c>
      <c r="E3113" s="733">
        <v>2</v>
      </c>
      <c r="F3113" s="622">
        <f>104022636</f>
        <v>104022636</v>
      </c>
      <c r="G3113" s="487">
        <v>107960537</v>
      </c>
      <c r="H3113" s="622">
        <v>4000000</v>
      </c>
      <c r="I3113" s="487">
        <v>3000000</v>
      </c>
      <c r="J3113" s="573"/>
      <c r="K3113" s="487"/>
      <c r="L3113" s="573">
        <v>83175276</v>
      </c>
      <c r="M3113" s="573">
        <v>193298</v>
      </c>
      <c r="N3113" s="456">
        <f t="shared" si="393"/>
        <v>83368574</v>
      </c>
      <c r="O3113" s="487">
        <v>90975657</v>
      </c>
      <c r="P3113" s="487">
        <v>193298</v>
      </c>
      <c r="Q3113" s="274">
        <f t="shared" si="388"/>
        <v>91168955</v>
      </c>
      <c r="R3113" s="574">
        <f t="shared" si="389"/>
        <v>191197912</v>
      </c>
      <c r="S3113" s="275">
        <f t="shared" si="390"/>
        <v>201936194</v>
      </c>
      <c r="T3113" s="575"/>
      <c r="U3113" s="487"/>
      <c r="V3113" s="576"/>
      <c r="W3113" s="573"/>
      <c r="X3113" s="574">
        <f t="shared" si="394"/>
        <v>0</v>
      </c>
      <c r="Y3113" s="487"/>
      <c r="Z3113" s="487"/>
      <c r="AA3113" s="276">
        <f t="shared" si="395"/>
        <v>0</v>
      </c>
      <c r="AB3113" s="573"/>
      <c r="AC3113" s="487"/>
      <c r="AD3113" s="573"/>
      <c r="AE3113" s="487"/>
      <c r="AF3113" s="577">
        <f t="shared" si="391"/>
        <v>191197912</v>
      </c>
      <c r="AG3113" s="275">
        <f t="shared" si="392"/>
        <v>201936194</v>
      </c>
    </row>
    <row r="3114" spans="1:33" ht="12" customHeight="1">
      <c r="A3114" s="769" t="s">
        <v>1284</v>
      </c>
      <c r="B3114" s="631" t="s">
        <v>1776</v>
      </c>
      <c r="C3114" s="769" t="s">
        <v>83</v>
      </c>
      <c r="D3114" s="730">
        <v>234030</v>
      </c>
      <c r="E3114" s="733">
        <v>2</v>
      </c>
      <c r="F3114" s="622">
        <f>186090659-30350551</f>
        <v>155740108</v>
      </c>
      <c r="G3114" s="487">
        <f>190638509-30424890</f>
        <v>160213619</v>
      </c>
      <c r="H3114" s="622">
        <v>3100000</v>
      </c>
      <c r="I3114" s="487">
        <v>2162500</v>
      </c>
      <c r="J3114" s="573"/>
      <c r="K3114" s="487"/>
      <c r="L3114" s="573">
        <f>194612810-29236135</f>
        <v>165376675</v>
      </c>
      <c r="M3114" s="573">
        <v>289108</v>
      </c>
      <c r="N3114" s="456">
        <f t="shared" si="393"/>
        <v>165665783</v>
      </c>
      <c r="O3114" s="487">
        <f>215279926-30935471</f>
        <v>184344455</v>
      </c>
      <c r="P3114" s="487">
        <v>289108</v>
      </c>
      <c r="Q3114" s="274">
        <f t="shared" si="388"/>
        <v>184633563</v>
      </c>
      <c r="R3114" s="574">
        <f t="shared" si="389"/>
        <v>324216783</v>
      </c>
      <c r="S3114" s="275">
        <f t="shared" si="390"/>
        <v>346720574</v>
      </c>
      <c r="T3114" s="575"/>
      <c r="U3114" s="487"/>
      <c r="V3114" s="576"/>
      <c r="W3114" s="573"/>
      <c r="X3114" s="574">
        <f t="shared" si="394"/>
        <v>0</v>
      </c>
      <c r="Y3114" s="487"/>
      <c r="Z3114" s="487"/>
      <c r="AA3114" s="276">
        <f t="shared" si="395"/>
        <v>0</v>
      </c>
      <c r="AB3114" s="573"/>
      <c r="AC3114" s="487"/>
      <c r="AD3114" s="573"/>
      <c r="AE3114" s="487"/>
      <c r="AF3114" s="577">
        <f t="shared" si="391"/>
        <v>324216783</v>
      </c>
      <c r="AG3114" s="275">
        <f t="shared" si="392"/>
        <v>346720574</v>
      </c>
    </row>
    <row r="3115" spans="1:33" ht="12" customHeight="1">
      <c r="A3115" s="769" t="s">
        <v>1284</v>
      </c>
      <c r="B3115" s="631" t="s">
        <v>1793</v>
      </c>
      <c r="C3115" s="771" t="s">
        <v>1614</v>
      </c>
      <c r="D3115" s="730">
        <v>234030</v>
      </c>
      <c r="E3115" s="733">
        <v>2</v>
      </c>
      <c r="F3115" s="573"/>
      <c r="G3115" s="487"/>
      <c r="H3115" s="573"/>
      <c r="I3115" s="487"/>
      <c r="J3115" s="573"/>
      <c r="K3115" s="487"/>
      <c r="L3115" s="573"/>
      <c r="M3115" s="573"/>
      <c r="N3115" s="456">
        <f t="shared" si="393"/>
        <v>0</v>
      </c>
      <c r="O3115" s="487"/>
      <c r="P3115" s="487"/>
      <c r="Q3115" s="274">
        <f t="shared" si="388"/>
        <v>0</v>
      </c>
      <c r="R3115" s="574">
        <f t="shared" si="389"/>
        <v>0</v>
      </c>
      <c r="S3115" s="275">
        <f t="shared" si="390"/>
        <v>0</v>
      </c>
      <c r="T3115" s="575"/>
      <c r="U3115" s="487"/>
      <c r="V3115" s="576"/>
      <c r="W3115" s="573"/>
      <c r="X3115" s="574">
        <f t="shared" si="394"/>
        <v>0</v>
      </c>
      <c r="Y3115" s="487"/>
      <c r="Z3115" s="487"/>
      <c r="AA3115" s="276">
        <f t="shared" si="395"/>
        <v>0</v>
      </c>
      <c r="AB3115" s="573">
        <v>30350551</v>
      </c>
      <c r="AC3115" s="487">
        <v>30424890</v>
      </c>
      <c r="AD3115" s="573">
        <v>29236135</v>
      </c>
      <c r="AE3115" s="487">
        <v>30935471</v>
      </c>
      <c r="AF3115" s="577">
        <f t="shared" si="391"/>
        <v>59586686</v>
      </c>
      <c r="AG3115" s="275">
        <f t="shared" si="392"/>
        <v>61360361</v>
      </c>
    </row>
    <row r="3116" spans="1:33" ht="12" customHeight="1">
      <c r="A3116" s="769" t="s">
        <v>1284</v>
      </c>
      <c r="B3116" s="631" t="s">
        <v>1776</v>
      </c>
      <c r="C3116" s="769" t="s">
        <v>84</v>
      </c>
      <c r="D3116" s="730">
        <v>232423</v>
      </c>
      <c r="E3116" s="733">
        <v>3</v>
      </c>
      <c r="F3116" s="573">
        <v>72507281</v>
      </c>
      <c r="G3116" s="487">
        <v>75665513</v>
      </c>
      <c r="H3116" s="573"/>
      <c r="I3116" s="487"/>
      <c r="J3116" s="573"/>
      <c r="K3116" s="487"/>
      <c r="L3116" s="573">
        <v>123131910</v>
      </c>
      <c r="M3116" s="573">
        <v>457402</v>
      </c>
      <c r="N3116" s="456">
        <f t="shared" si="393"/>
        <v>123589312</v>
      </c>
      <c r="O3116" s="487">
        <v>133861031</v>
      </c>
      <c r="P3116" s="487">
        <v>457402</v>
      </c>
      <c r="Q3116" s="274">
        <f t="shared" si="388"/>
        <v>134318433</v>
      </c>
      <c r="R3116" s="574">
        <f t="shared" si="389"/>
        <v>195639191</v>
      </c>
      <c r="S3116" s="275">
        <f t="shared" si="390"/>
        <v>209526544</v>
      </c>
      <c r="T3116" s="575"/>
      <c r="U3116" s="487"/>
      <c r="V3116" s="576"/>
      <c r="W3116" s="573"/>
      <c r="X3116" s="574">
        <f t="shared" si="394"/>
        <v>0</v>
      </c>
      <c r="Y3116" s="487"/>
      <c r="Z3116" s="487"/>
      <c r="AA3116" s="276">
        <f t="shared" si="395"/>
        <v>0</v>
      </c>
      <c r="AB3116" s="573"/>
      <c r="AC3116" s="487"/>
      <c r="AD3116" s="573"/>
      <c r="AE3116" s="487"/>
      <c r="AF3116" s="577">
        <f t="shared" si="391"/>
        <v>195639191</v>
      </c>
      <c r="AG3116" s="275">
        <f t="shared" si="392"/>
        <v>209526544</v>
      </c>
    </row>
    <row r="3117" spans="1:33" ht="12" customHeight="1">
      <c r="A3117" s="769" t="s">
        <v>1284</v>
      </c>
      <c r="B3117" s="631" t="s">
        <v>1776</v>
      </c>
      <c r="C3117" s="632" t="s">
        <v>85</v>
      </c>
      <c r="D3117" s="730">
        <v>233277</v>
      </c>
      <c r="E3117" s="733">
        <v>3</v>
      </c>
      <c r="F3117" s="573">
        <v>48607861</v>
      </c>
      <c r="G3117" s="487">
        <v>50500693</v>
      </c>
      <c r="H3117" s="573"/>
      <c r="I3117" s="487"/>
      <c r="J3117" s="573"/>
      <c r="K3117" s="487"/>
      <c r="L3117" s="573">
        <v>42964349</v>
      </c>
      <c r="M3117" s="573">
        <v>71570</v>
      </c>
      <c r="N3117" s="456">
        <f t="shared" si="393"/>
        <v>43035919</v>
      </c>
      <c r="O3117" s="487">
        <v>45336394</v>
      </c>
      <c r="P3117" s="487">
        <v>71570</v>
      </c>
      <c r="Q3117" s="274">
        <f t="shared" si="388"/>
        <v>45407964</v>
      </c>
      <c r="R3117" s="574">
        <f t="shared" si="389"/>
        <v>91572210</v>
      </c>
      <c r="S3117" s="275">
        <f t="shared" si="390"/>
        <v>95837087</v>
      </c>
      <c r="T3117" s="575"/>
      <c r="U3117" s="487"/>
      <c r="V3117" s="576"/>
      <c r="W3117" s="573"/>
      <c r="X3117" s="574">
        <f t="shared" si="394"/>
        <v>0</v>
      </c>
      <c r="Y3117" s="487"/>
      <c r="Z3117" s="487"/>
      <c r="AA3117" s="276">
        <f t="shared" si="395"/>
        <v>0</v>
      </c>
      <c r="AB3117" s="573"/>
      <c r="AC3117" s="487"/>
      <c r="AD3117" s="573"/>
      <c r="AE3117" s="487"/>
      <c r="AF3117" s="577">
        <f t="shared" si="391"/>
        <v>91572210</v>
      </c>
      <c r="AG3117" s="275">
        <f t="shared" si="392"/>
        <v>95837087</v>
      </c>
    </row>
    <row r="3118" spans="1:33" ht="12" customHeight="1">
      <c r="A3118" s="769" t="s">
        <v>1284</v>
      </c>
      <c r="B3118" s="631" t="s">
        <v>1776</v>
      </c>
      <c r="C3118" s="632" t="s">
        <v>86</v>
      </c>
      <c r="D3118" s="730">
        <v>231712</v>
      </c>
      <c r="E3118" s="733">
        <v>4</v>
      </c>
      <c r="F3118" s="622">
        <f>26559753</f>
        <v>26559753</v>
      </c>
      <c r="G3118" s="487">
        <v>28410868</v>
      </c>
      <c r="H3118" s="622">
        <v>250000</v>
      </c>
      <c r="I3118" s="487">
        <v>237500</v>
      </c>
      <c r="J3118" s="573"/>
      <c r="K3118" s="487"/>
      <c r="L3118" s="573">
        <v>20755425</v>
      </c>
      <c r="M3118" s="573">
        <v>11324</v>
      </c>
      <c r="N3118" s="456">
        <f t="shared" si="393"/>
        <v>20766749</v>
      </c>
      <c r="O3118" s="487">
        <v>22658899</v>
      </c>
      <c r="P3118" s="487">
        <v>11324</v>
      </c>
      <c r="Q3118" s="274">
        <f t="shared" si="388"/>
        <v>22670223</v>
      </c>
      <c r="R3118" s="574">
        <f t="shared" si="389"/>
        <v>47565178</v>
      </c>
      <c r="S3118" s="275">
        <f t="shared" si="390"/>
        <v>51307267</v>
      </c>
      <c r="T3118" s="575"/>
      <c r="U3118" s="487"/>
      <c r="V3118" s="576"/>
      <c r="W3118" s="573"/>
      <c r="X3118" s="574">
        <f t="shared" si="394"/>
        <v>0</v>
      </c>
      <c r="Y3118" s="487"/>
      <c r="Z3118" s="487"/>
      <c r="AA3118" s="276">
        <f t="shared" si="395"/>
        <v>0</v>
      </c>
      <c r="AB3118" s="573"/>
      <c r="AC3118" s="487"/>
      <c r="AD3118" s="573"/>
      <c r="AE3118" s="487"/>
      <c r="AF3118" s="577">
        <f t="shared" si="391"/>
        <v>47565178</v>
      </c>
      <c r="AG3118" s="275">
        <f t="shared" si="392"/>
        <v>51307267</v>
      </c>
    </row>
    <row r="3119" spans="1:33" ht="12" customHeight="1">
      <c r="A3119" s="769" t="s">
        <v>1284</v>
      </c>
      <c r="B3119" s="631" t="s">
        <v>1776</v>
      </c>
      <c r="C3119" s="632" t="s">
        <v>87</v>
      </c>
      <c r="D3119" s="730">
        <v>232937</v>
      </c>
      <c r="E3119" s="733">
        <v>4</v>
      </c>
      <c r="F3119" s="573">
        <v>44509518</v>
      </c>
      <c r="G3119" s="487">
        <v>44947653</v>
      </c>
      <c r="H3119" s="573"/>
      <c r="I3119" s="487"/>
      <c r="J3119" s="573"/>
      <c r="K3119" s="487"/>
      <c r="L3119" s="573">
        <v>29072390</v>
      </c>
      <c r="M3119" s="573">
        <v>113258</v>
      </c>
      <c r="N3119" s="456">
        <f t="shared" si="393"/>
        <v>29185648</v>
      </c>
      <c r="O3119" s="487">
        <v>29985345</v>
      </c>
      <c r="P3119" s="487">
        <v>113258</v>
      </c>
      <c r="Q3119" s="274">
        <f t="shared" si="388"/>
        <v>30098603</v>
      </c>
      <c r="R3119" s="574">
        <f t="shared" si="389"/>
        <v>73581908</v>
      </c>
      <c r="S3119" s="275">
        <f t="shared" si="390"/>
        <v>74932998</v>
      </c>
      <c r="T3119" s="575"/>
      <c r="U3119" s="487"/>
      <c r="V3119" s="576"/>
      <c r="W3119" s="573"/>
      <c r="X3119" s="574">
        <f t="shared" si="394"/>
        <v>0</v>
      </c>
      <c r="Y3119" s="487"/>
      <c r="Z3119" s="487"/>
      <c r="AA3119" s="276">
        <f t="shared" si="395"/>
        <v>0</v>
      </c>
      <c r="AB3119" s="573"/>
      <c r="AC3119" s="487"/>
      <c r="AD3119" s="573"/>
      <c r="AE3119" s="487"/>
      <c r="AF3119" s="577">
        <f t="shared" si="391"/>
        <v>73581908</v>
      </c>
      <c r="AG3119" s="275">
        <f t="shared" si="392"/>
        <v>74932998</v>
      </c>
    </row>
    <row r="3120" spans="1:33" ht="12" customHeight="1">
      <c r="A3120" s="769" t="s">
        <v>1284</v>
      </c>
      <c r="B3120" s="631" t="s">
        <v>1776</v>
      </c>
      <c r="C3120" s="632" t="s">
        <v>928</v>
      </c>
      <c r="D3120" s="730">
        <v>234155</v>
      </c>
      <c r="E3120" s="733">
        <v>4</v>
      </c>
      <c r="F3120" s="573">
        <v>32175269</v>
      </c>
      <c r="G3120" s="487">
        <v>32892905</v>
      </c>
      <c r="H3120" s="573"/>
      <c r="I3120" s="487"/>
      <c r="J3120" s="573"/>
      <c r="K3120" s="487"/>
      <c r="L3120" s="573">
        <v>27247716</v>
      </c>
      <c r="M3120" s="573">
        <v>142136</v>
      </c>
      <c r="N3120" s="456">
        <f t="shared" si="393"/>
        <v>27389852</v>
      </c>
      <c r="O3120" s="487">
        <v>26745871</v>
      </c>
      <c r="P3120" s="487">
        <v>142136</v>
      </c>
      <c r="Q3120" s="274">
        <f t="shared" si="388"/>
        <v>26888007</v>
      </c>
      <c r="R3120" s="574">
        <f t="shared" si="389"/>
        <v>59422985</v>
      </c>
      <c r="S3120" s="275">
        <f t="shared" si="390"/>
        <v>59638776</v>
      </c>
      <c r="T3120" s="575"/>
      <c r="U3120" s="487"/>
      <c r="V3120" s="576"/>
      <c r="W3120" s="573"/>
      <c r="X3120" s="574">
        <f t="shared" si="394"/>
        <v>0</v>
      </c>
      <c r="Y3120" s="487"/>
      <c r="Z3120" s="487"/>
      <c r="AA3120" s="276">
        <f t="shared" si="395"/>
        <v>0</v>
      </c>
      <c r="AB3120" s="573"/>
      <c r="AC3120" s="487"/>
      <c r="AD3120" s="573"/>
      <c r="AE3120" s="487"/>
      <c r="AF3120" s="577">
        <f t="shared" si="391"/>
        <v>59422985</v>
      </c>
      <c r="AG3120" s="275">
        <f t="shared" si="392"/>
        <v>59638776</v>
      </c>
    </row>
    <row r="3121" spans="1:33" ht="12" customHeight="1">
      <c r="A3121" s="769" t="s">
        <v>1284</v>
      </c>
      <c r="B3121" s="631" t="s">
        <v>1780</v>
      </c>
      <c r="C3121" s="286" t="s">
        <v>1769</v>
      </c>
      <c r="D3121" s="730">
        <v>234155</v>
      </c>
      <c r="E3121" s="733">
        <v>4</v>
      </c>
      <c r="F3121" s="573"/>
      <c r="G3121" s="487"/>
      <c r="H3121" s="573">
        <v>4498867</v>
      </c>
      <c r="I3121" s="487">
        <v>4726880</v>
      </c>
      <c r="J3121" s="573"/>
      <c r="K3121" s="487"/>
      <c r="L3121" s="573"/>
      <c r="M3121" s="573"/>
      <c r="N3121" s="456">
        <f t="shared" si="393"/>
        <v>0</v>
      </c>
      <c r="O3121" s="487"/>
      <c r="P3121" s="487"/>
      <c r="Q3121" s="274">
        <f t="shared" si="388"/>
        <v>0</v>
      </c>
      <c r="R3121" s="574">
        <f t="shared" si="389"/>
        <v>4498867</v>
      </c>
      <c r="S3121" s="275">
        <f t="shared" si="390"/>
        <v>4726880</v>
      </c>
      <c r="T3121" s="575"/>
      <c r="U3121" s="487"/>
      <c r="V3121" s="576"/>
      <c r="W3121" s="573"/>
      <c r="X3121" s="574">
        <f t="shared" si="394"/>
        <v>0</v>
      </c>
      <c r="Y3121" s="487"/>
      <c r="Z3121" s="487"/>
      <c r="AA3121" s="276">
        <f t="shared" si="395"/>
        <v>0</v>
      </c>
      <c r="AB3121" s="573"/>
      <c r="AC3121" s="487"/>
      <c r="AD3121" s="573"/>
      <c r="AE3121" s="487"/>
      <c r="AF3121" s="577">
        <f t="shared" si="391"/>
        <v>4498867</v>
      </c>
      <c r="AG3121" s="275">
        <f t="shared" si="392"/>
        <v>4726880</v>
      </c>
    </row>
    <row r="3122" spans="1:33" ht="12" customHeight="1">
      <c r="A3122" s="769" t="s">
        <v>1284</v>
      </c>
      <c r="B3122" s="631" t="s">
        <v>1776</v>
      </c>
      <c r="C3122" s="632" t="s">
        <v>929</v>
      </c>
      <c r="D3122" s="730">
        <v>232566</v>
      </c>
      <c r="E3122" s="733">
        <v>5</v>
      </c>
      <c r="F3122" s="573">
        <v>26114254</v>
      </c>
      <c r="G3122" s="487">
        <v>28463538</v>
      </c>
      <c r="H3122" s="573"/>
      <c r="I3122" s="487"/>
      <c r="J3122" s="573"/>
      <c r="K3122" s="487"/>
      <c r="L3122" s="573">
        <v>20261762</v>
      </c>
      <c r="M3122" s="573">
        <v>21646</v>
      </c>
      <c r="N3122" s="456">
        <f t="shared" si="393"/>
        <v>20283408</v>
      </c>
      <c r="O3122" s="487">
        <v>21678727</v>
      </c>
      <c r="P3122" s="487">
        <v>21646</v>
      </c>
      <c r="Q3122" s="274">
        <f t="shared" si="388"/>
        <v>21700373</v>
      </c>
      <c r="R3122" s="574">
        <f t="shared" si="389"/>
        <v>46376016</v>
      </c>
      <c r="S3122" s="275">
        <f t="shared" si="390"/>
        <v>50142265</v>
      </c>
      <c r="T3122" s="575"/>
      <c r="U3122" s="487"/>
      <c r="V3122" s="576"/>
      <c r="W3122" s="573"/>
      <c r="X3122" s="574">
        <f t="shared" si="394"/>
        <v>0</v>
      </c>
      <c r="Y3122" s="487"/>
      <c r="Z3122" s="487"/>
      <c r="AA3122" s="276">
        <f t="shared" si="395"/>
        <v>0</v>
      </c>
      <c r="AB3122" s="573"/>
      <c r="AC3122" s="487"/>
      <c r="AD3122" s="573"/>
      <c r="AE3122" s="487"/>
      <c r="AF3122" s="577">
        <f t="shared" si="391"/>
        <v>46376016</v>
      </c>
      <c r="AG3122" s="275">
        <f t="shared" si="392"/>
        <v>50142265</v>
      </c>
    </row>
    <row r="3123" spans="1:33" ht="12" customHeight="1">
      <c r="A3123" s="769" t="s">
        <v>1284</v>
      </c>
      <c r="B3123" s="631" t="s">
        <v>1776</v>
      </c>
      <c r="C3123" s="772" t="s">
        <v>930</v>
      </c>
      <c r="D3123" s="730">
        <v>232681</v>
      </c>
      <c r="E3123" s="733">
        <v>5</v>
      </c>
      <c r="F3123" s="573">
        <v>21843866</v>
      </c>
      <c r="G3123" s="487">
        <v>22410393</v>
      </c>
      <c r="H3123" s="573"/>
      <c r="I3123" s="487"/>
      <c r="J3123" s="573"/>
      <c r="K3123" s="487"/>
      <c r="L3123" s="573">
        <v>31591659</v>
      </c>
      <c r="M3123" s="573">
        <v>102204</v>
      </c>
      <c r="N3123" s="456">
        <f t="shared" si="393"/>
        <v>31693863</v>
      </c>
      <c r="O3123" s="487">
        <v>33064744</v>
      </c>
      <c r="P3123" s="487">
        <v>102204</v>
      </c>
      <c r="Q3123" s="274">
        <f t="shared" si="388"/>
        <v>33166948</v>
      </c>
      <c r="R3123" s="574">
        <f t="shared" si="389"/>
        <v>53435525</v>
      </c>
      <c r="S3123" s="275">
        <f t="shared" si="390"/>
        <v>55475137</v>
      </c>
      <c r="T3123" s="575"/>
      <c r="U3123" s="487"/>
      <c r="V3123" s="576"/>
      <c r="W3123" s="573"/>
      <c r="X3123" s="574">
        <f t="shared" si="394"/>
        <v>0</v>
      </c>
      <c r="Y3123" s="487"/>
      <c r="Z3123" s="487"/>
      <c r="AA3123" s="276">
        <f t="shared" si="395"/>
        <v>0</v>
      </c>
      <c r="AB3123" s="573"/>
      <c r="AC3123" s="487"/>
      <c r="AD3123" s="573"/>
      <c r="AE3123" s="487"/>
      <c r="AF3123" s="577">
        <f t="shared" si="391"/>
        <v>53435525</v>
      </c>
      <c r="AG3123" s="275">
        <f t="shared" si="392"/>
        <v>55475137</v>
      </c>
    </row>
    <row r="3124" spans="1:33" ht="12" customHeight="1">
      <c r="A3124" s="769" t="s">
        <v>1284</v>
      </c>
      <c r="B3124" s="631" t="s">
        <v>1776</v>
      </c>
      <c r="C3124" s="632" t="s">
        <v>1908</v>
      </c>
      <c r="D3124" s="730">
        <v>233897</v>
      </c>
      <c r="E3124" s="733">
        <v>6</v>
      </c>
      <c r="F3124" s="573">
        <v>14327467</v>
      </c>
      <c r="G3124" s="487">
        <v>14514147</v>
      </c>
      <c r="H3124" s="573"/>
      <c r="I3124" s="487"/>
      <c r="J3124" s="573"/>
      <c r="K3124" s="487"/>
      <c r="L3124" s="573">
        <v>5735200</v>
      </c>
      <c r="M3124" s="573">
        <v>7800</v>
      </c>
      <c r="N3124" s="456">
        <f t="shared" si="393"/>
        <v>5743000</v>
      </c>
      <c r="O3124" s="487">
        <v>5914200</v>
      </c>
      <c r="P3124" s="487">
        <v>7800</v>
      </c>
      <c r="Q3124" s="274">
        <f t="shared" si="388"/>
        <v>5922000</v>
      </c>
      <c r="R3124" s="574">
        <f t="shared" si="389"/>
        <v>20062667</v>
      </c>
      <c r="S3124" s="275">
        <f t="shared" si="390"/>
        <v>20428347</v>
      </c>
      <c r="T3124" s="575"/>
      <c r="U3124" s="487"/>
      <c r="V3124" s="576"/>
      <c r="W3124" s="573"/>
      <c r="X3124" s="574">
        <f t="shared" si="394"/>
        <v>0</v>
      </c>
      <c r="Y3124" s="487"/>
      <c r="Z3124" s="487"/>
      <c r="AA3124" s="276">
        <f t="shared" si="395"/>
        <v>0</v>
      </c>
      <c r="AB3124" s="573"/>
      <c r="AC3124" s="487"/>
      <c r="AD3124" s="573"/>
      <c r="AE3124" s="487"/>
      <c r="AF3124" s="577">
        <f t="shared" si="391"/>
        <v>20062667</v>
      </c>
      <c r="AG3124" s="275">
        <f t="shared" si="392"/>
        <v>20428347</v>
      </c>
    </row>
    <row r="3125" spans="1:33" ht="12" customHeight="1">
      <c r="A3125" s="769" t="s">
        <v>1284</v>
      </c>
      <c r="B3125" s="631" t="s">
        <v>1776</v>
      </c>
      <c r="C3125" s="769" t="s">
        <v>1909</v>
      </c>
      <c r="D3125" s="730">
        <v>232414</v>
      </c>
      <c r="E3125" s="733">
        <v>8</v>
      </c>
      <c r="F3125" s="573"/>
      <c r="G3125" s="487"/>
      <c r="H3125" s="573"/>
      <c r="I3125" s="487"/>
      <c r="J3125" s="573"/>
      <c r="K3125" s="487"/>
      <c r="L3125" s="573"/>
      <c r="M3125" s="573"/>
      <c r="N3125" s="456">
        <f t="shared" si="393"/>
        <v>0</v>
      </c>
      <c r="O3125" s="487"/>
      <c r="P3125" s="487"/>
      <c r="Q3125" s="274">
        <f t="shared" si="388"/>
        <v>0</v>
      </c>
      <c r="R3125" s="574">
        <f t="shared" si="389"/>
        <v>0</v>
      </c>
      <c r="S3125" s="275">
        <f t="shared" si="390"/>
        <v>0</v>
      </c>
      <c r="T3125" s="575"/>
      <c r="U3125" s="487"/>
      <c r="V3125" s="576"/>
      <c r="W3125" s="573"/>
      <c r="X3125" s="574">
        <f t="shared" si="394"/>
        <v>0</v>
      </c>
      <c r="Y3125" s="487"/>
      <c r="Z3125" s="487"/>
      <c r="AA3125" s="276">
        <f t="shared" si="395"/>
        <v>0</v>
      </c>
      <c r="AB3125" s="573"/>
      <c r="AC3125" s="487"/>
      <c r="AD3125" s="573"/>
      <c r="AE3125" s="487"/>
      <c r="AF3125" s="577">
        <f t="shared" si="391"/>
        <v>0</v>
      </c>
      <c r="AG3125" s="275">
        <f t="shared" si="392"/>
        <v>0</v>
      </c>
    </row>
    <row r="3126" spans="1:33" ht="12" customHeight="1">
      <c r="A3126" s="769" t="s">
        <v>1284</v>
      </c>
      <c r="B3126" s="631" t="s">
        <v>1776</v>
      </c>
      <c r="C3126" s="632" t="s">
        <v>1910</v>
      </c>
      <c r="D3126" s="730">
        <v>232946</v>
      </c>
      <c r="E3126" s="733">
        <v>8</v>
      </c>
      <c r="F3126" s="573"/>
      <c r="G3126" s="487"/>
      <c r="H3126" s="573"/>
      <c r="I3126" s="487"/>
      <c r="J3126" s="573"/>
      <c r="K3126" s="487"/>
      <c r="L3126" s="573"/>
      <c r="M3126" s="573"/>
      <c r="N3126" s="456">
        <f t="shared" si="393"/>
        <v>0</v>
      </c>
      <c r="O3126" s="487"/>
      <c r="P3126" s="487"/>
      <c r="Q3126" s="274">
        <f t="shared" si="388"/>
        <v>0</v>
      </c>
      <c r="R3126" s="574">
        <f t="shared" si="389"/>
        <v>0</v>
      </c>
      <c r="S3126" s="275">
        <f t="shared" si="390"/>
        <v>0</v>
      </c>
      <c r="T3126" s="575"/>
      <c r="U3126" s="487"/>
      <c r="V3126" s="576"/>
      <c r="W3126" s="573"/>
      <c r="X3126" s="574">
        <f t="shared" si="394"/>
        <v>0</v>
      </c>
      <c r="Y3126" s="487"/>
      <c r="Z3126" s="487"/>
      <c r="AA3126" s="276">
        <f t="shared" si="395"/>
        <v>0</v>
      </c>
      <c r="AB3126" s="573"/>
      <c r="AC3126" s="487"/>
      <c r="AD3126" s="573"/>
      <c r="AE3126" s="487"/>
      <c r="AF3126" s="577">
        <f t="shared" si="391"/>
        <v>0</v>
      </c>
      <c r="AG3126" s="275">
        <f t="shared" si="392"/>
        <v>0</v>
      </c>
    </row>
    <row r="3127" spans="1:33" ht="12" customHeight="1">
      <c r="A3127" s="769" t="s">
        <v>1284</v>
      </c>
      <c r="B3127" s="631" t="s">
        <v>1776</v>
      </c>
      <c r="C3127" s="632" t="s">
        <v>173</v>
      </c>
      <c r="D3127" s="730">
        <v>233754</v>
      </c>
      <c r="E3127" s="733">
        <v>8</v>
      </c>
      <c r="F3127" s="573"/>
      <c r="G3127" s="487"/>
      <c r="H3127" s="573"/>
      <c r="I3127" s="487"/>
      <c r="J3127" s="573"/>
      <c r="K3127" s="487"/>
      <c r="L3127" s="573"/>
      <c r="M3127" s="573"/>
      <c r="N3127" s="456">
        <f t="shared" si="393"/>
        <v>0</v>
      </c>
      <c r="O3127" s="487"/>
      <c r="P3127" s="487"/>
      <c r="Q3127" s="274">
        <f t="shared" si="388"/>
        <v>0</v>
      </c>
      <c r="R3127" s="574">
        <f t="shared" si="389"/>
        <v>0</v>
      </c>
      <c r="S3127" s="275">
        <f t="shared" si="390"/>
        <v>0</v>
      </c>
      <c r="T3127" s="575"/>
      <c r="U3127" s="487"/>
      <c r="V3127" s="576"/>
      <c r="W3127" s="573"/>
      <c r="X3127" s="574">
        <f t="shared" si="394"/>
        <v>0</v>
      </c>
      <c r="Y3127" s="487"/>
      <c r="Z3127" s="487"/>
      <c r="AA3127" s="276">
        <f t="shared" si="395"/>
        <v>0</v>
      </c>
      <c r="AB3127" s="573"/>
      <c r="AC3127" s="487"/>
      <c r="AD3127" s="573"/>
      <c r="AE3127" s="487"/>
      <c r="AF3127" s="577">
        <f t="shared" si="391"/>
        <v>0</v>
      </c>
      <c r="AG3127" s="275">
        <f t="shared" si="392"/>
        <v>0</v>
      </c>
    </row>
    <row r="3128" spans="1:33" ht="12" customHeight="1">
      <c r="A3128" s="769" t="s">
        <v>1284</v>
      </c>
      <c r="B3128" s="631" t="s">
        <v>1776</v>
      </c>
      <c r="C3128" s="632" t="s">
        <v>174</v>
      </c>
      <c r="D3128" s="730">
        <v>233772</v>
      </c>
      <c r="E3128" s="733">
        <v>8</v>
      </c>
      <c r="F3128" s="573"/>
      <c r="G3128" s="487"/>
      <c r="H3128" s="573"/>
      <c r="I3128" s="487"/>
      <c r="J3128" s="573"/>
      <c r="K3128" s="487"/>
      <c r="L3128" s="573"/>
      <c r="M3128" s="573"/>
      <c r="N3128" s="456">
        <f t="shared" si="393"/>
        <v>0</v>
      </c>
      <c r="O3128" s="487"/>
      <c r="P3128" s="487"/>
      <c r="Q3128" s="274">
        <f t="shared" si="388"/>
        <v>0</v>
      </c>
      <c r="R3128" s="574">
        <f t="shared" si="389"/>
        <v>0</v>
      </c>
      <c r="S3128" s="275">
        <f t="shared" si="390"/>
        <v>0</v>
      </c>
      <c r="T3128" s="575"/>
      <c r="U3128" s="487"/>
      <c r="V3128" s="576"/>
      <c r="W3128" s="573"/>
      <c r="X3128" s="574">
        <f t="shared" si="394"/>
        <v>0</v>
      </c>
      <c r="Y3128" s="487"/>
      <c r="Z3128" s="487"/>
      <c r="AA3128" s="276">
        <f t="shared" si="395"/>
        <v>0</v>
      </c>
      <c r="AB3128" s="573"/>
      <c r="AC3128" s="487"/>
      <c r="AD3128" s="573"/>
      <c r="AE3128" s="487"/>
      <c r="AF3128" s="577">
        <f t="shared" si="391"/>
        <v>0</v>
      </c>
      <c r="AG3128" s="275">
        <f t="shared" si="392"/>
        <v>0</v>
      </c>
    </row>
    <row r="3129" spans="1:33" ht="12" customHeight="1">
      <c r="A3129" s="769" t="s">
        <v>1284</v>
      </c>
      <c r="B3129" s="631" t="s">
        <v>1776</v>
      </c>
      <c r="C3129" s="632" t="s">
        <v>175</v>
      </c>
      <c r="D3129" s="730">
        <v>231536</v>
      </c>
      <c r="E3129" s="733">
        <v>9</v>
      </c>
      <c r="F3129" s="573"/>
      <c r="G3129" s="487"/>
      <c r="H3129" s="573"/>
      <c r="I3129" s="487"/>
      <c r="J3129" s="573"/>
      <c r="K3129" s="487"/>
      <c r="L3129" s="573"/>
      <c r="M3129" s="573"/>
      <c r="N3129" s="456">
        <f t="shared" si="393"/>
        <v>0</v>
      </c>
      <c r="O3129" s="487"/>
      <c r="P3129" s="487"/>
      <c r="Q3129" s="274">
        <f t="shared" si="388"/>
        <v>0</v>
      </c>
      <c r="R3129" s="574">
        <f t="shared" si="389"/>
        <v>0</v>
      </c>
      <c r="S3129" s="275">
        <f t="shared" si="390"/>
        <v>0</v>
      </c>
      <c r="T3129" s="575"/>
      <c r="U3129" s="487"/>
      <c r="V3129" s="576"/>
      <c r="W3129" s="573"/>
      <c r="X3129" s="574">
        <f t="shared" si="394"/>
        <v>0</v>
      </c>
      <c r="Y3129" s="487"/>
      <c r="Z3129" s="487"/>
      <c r="AA3129" s="276">
        <f t="shared" si="395"/>
        <v>0</v>
      </c>
      <c r="AB3129" s="573"/>
      <c r="AC3129" s="487"/>
      <c r="AD3129" s="573"/>
      <c r="AE3129" s="487"/>
      <c r="AF3129" s="577">
        <f t="shared" si="391"/>
        <v>0</v>
      </c>
      <c r="AG3129" s="275">
        <f t="shared" si="392"/>
        <v>0</v>
      </c>
    </row>
    <row r="3130" spans="1:33" ht="12" customHeight="1">
      <c r="A3130" s="769" t="s">
        <v>1284</v>
      </c>
      <c r="B3130" s="631" t="s">
        <v>1776</v>
      </c>
      <c r="C3130" s="632" t="s">
        <v>176</v>
      </c>
      <c r="D3130" s="730">
        <v>231697</v>
      </c>
      <c r="E3130" s="733">
        <v>9</v>
      </c>
      <c r="F3130" s="573"/>
      <c r="G3130" s="487"/>
      <c r="H3130" s="573"/>
      <c r="I3130" s="487"/>
      <c r="J3130" s="573"/>
      <c r="K3130" s="487"/>
      <c r="L3130" s="573"/>
      <c r="M3130" s="573"/>
      <c r="N3130" s="456">
        <f t="shared" si="393"/>
        <v>0</v>
      </c>
      <c r="O3130" s="487"/>
      <c r="P3130" s="487"/>
      <c r="Q3130" s="274">
        <f t="shared" si="388"/>
        <v>0</v>
      </c>
      <c r="R3130" s="574">
        <f t="shared" si="389"/>
        <v>0</v>
      </c>
      <c r="S3130" s="275">
        <f t="shared" si="390"/>
        <v>0</v>
      </c>
      <c r="T3130" s="575"/>
      <c r="U3130" s="487"/>
      <c r="V3130" s="576"/>
      <c r="W3130" s="573"/>
      <c r="X3130" s="574">
        <f t="shared" si="394"/>
        <v>0</v>
      </c>
      <c r="Y3130" s="487"/>
      <c r="Z3130" s="487"/>
      <c r="AA3130" s="276">
        <f t="shared" si="395"/>
        <v>0</v>
      </c>
      <c r="AB3130" s="573"/>
      <c r="AC3130" s="487"/>
      <c r="AD3130" s="573"/>
      <c r="AE3130" s="487"/>
      <c r="AF3130" s="577">
        <f t="shared" si="391"/>
        <v>0</v>
      </c>
      <c r="AG3130" s="275">
        <f t="shared" si="392"/>
        <v>0</v>
      </c>
    </row>
    <row r="3131" spans="1:33" ht="12" customHeight="1">
      <c r="A3131" s="769" t="s">
        <v>1284</v>
      </c>
      <c r="B3131" s="631" t="s">
        <v>1776</v>
      </c>
      <c r="C3131" s="769" t="s">
        <v>177</v>
      </c>
      <c r="D3131" s="730">
        <v>231882</v>
      </c>
      <c r="E3131" s="733">
        <v>9</v>
      </c>
      <c r="F3131" s="573"/>
      <c r="G3131" s="487"/>
      <c r="H3131" s="573"/>
      <c r="I3131" s="487"/>
      <c r="J3131" s="573"/>
      <c r="K3131" s="487"/>
      <c r="L3131" s="573"/>
      <c r="M3131" s="573"/>
      <c r="N3131" s="456">
        <f t="shared" si="393"/>
        <v>0</v>
      </c>
      <c r="O3131" s="487"/>
      <c r="P3131" s="487"/>
      <c r="Q3131" s="274">
        <f t="shared" si="388"/>
        <v>0</v>
      </c>
      <c r="R3131" s="574">
        <f t="shared" si="389"/>
        <v>0</v>
      </c>
      <c r="S3131" s="275">
        <f t="shared" si="390"/>
        <v>0</v>
      </c>
      <c r="T3131" s="575"/>
      <c r="U3131" s="487"/>
      <c r="V3131" s="576"/>
      <c r="W3131" s="573"/>
      <c r="X3131" s="574">
        <f t="shared" si="394"/>
        <v>0</v>
      </c>
      <c r="Y3131" s="487"/>
      <c r="Z3131" s="487"/>
      <c r="AA3131" s="276">
        <f t="shared" si="395"/>
        <v>0</v>
      </c>
      <c r="AB3131" s="573"/>
      <c r="AC3131" s="487"/>
      <c r="AD3131" s="573"/>
      <c r="AE3131" s="487"/>
      <c r="AF3131" s="577">
        <f t="shared" si="391"/>
        <v>0</v>
      </c>
      <c r="AG3131" s="275">
        <f t="shared" si="392"/>
        <v>0</v>
      </c>
    </row>
    <row r="3132" spans="1:33" ht="12" customHeight="1">
      <c r="A3132" s="769" t="s">
        <v>1284</v>
      </c>
      <c r="B3132" s="631" t="s">
        <v>1776</v>
      </c>
      <c r="C3132" s="632" t="s">
        <v>178</v>
      </c>
      <c r="D3132" s="730">
        <v>232195</v>
      </c>
      <c r="E3132" s="733">
        <v>9</v>
      </c>
      <c r="F3132" s="573"/>
      <c r="G3132" s="487"/>
      <c r="H3132" s="573"/>
      <c r="I3132" s="487"/>
      <c r="J3132" s="573"/>
      <c r="K3132" s="487"/>
      <c r="L3132" s="573"/>
      <c r="M3132" s="573"/>
      <c r="N3132" s="456">
        <f t="shared" si="393"/>
        <v>0</v>
      </c>
      <c r="O3132" s="487"/>
      <c r="P3132" s="487"/>
      <c r="Q3132" s="274">
        <f t="shared" si="388"/>
        <v>0</v>
      </c>
      <c r="R3132" s="574">
        <f t="shared" si="389"/>
        <v>0</v>
      </c>
      <c r="S3132" s="275">
        <f t="shared" si="390"/>
        <v>0</v>
      </c>
      <c r="T3132" s="575"/>
      <c r="U3132" s="487"/>
      <c r="V3132" s="576"/>
      <c r="W3132" s="573"/>
      <c r="X3132" s="574">
        <f t="shared" si="394"/>
        <v>0</v>
      </c>
      <c r="Y3132" s="487"/>
      <c r="Z3132" s="487"/>
      <c r="AA3132" s="276">
        <f t="shared" si="395"/>
        <v>0</v>
      </c>
      <c r="AB3132" s="573"/>
      <c r="AC3132" s="487"/>
      <c r="AD3132" s="573"/>
      <c r="AE3132" s="487"/>
      <c r="AF3132" s="577">
        <f t="shared" si="391"/>
        <v>0</v>
      </c>
      <c r="AG3132" s="275">
        <f t="shared" si="392"/>
        <v>0</v>
      </c>
    </row>
    <row r="3133" spans="1:33" ht="12" customHeight="1">
      <c r="A3133" s="769" t="s">
        <v>1284</v>
      </c>
      <c r="B3133" s="631" t="s">
        <v>1776</v>
      </c>
      <c r="C3133" s="632" t="s">
        <v>179</v>
      </c>
      <c r="D3133" s="730">
        <v>232450</v>
      </c>
      <c r="E3133" s="733">
        <v>9</v>
      </c>
      <c r="F3133" s="573"/>
      <c r="G3133" s="487"/>
      <c r="H3133" s="573"/>
      <c r="I3133" s="487"/>
      <c r="J3133" s="573"/>
      <c r="K3133" s="487"/>
      <c r="L3133" s="573"/>
      <c r="M3133" s="573"/>
      <c r="N3133" s="456">
        <f t="shared" si="393"/>
        <v>0</v>
      </c>
      <c r="O3133" s="487"/>
      <c r="P3133" s="487"/>
      <c r="Q3133" s="274">
        <f t="shared" si="388"/>
        <v>0</v>
      </c>
      <c r="R3133" s="574">
        <f t="shared" si="389"/>
        <v>0</v>
      </c>
      <c r="S3133" s="275">
        <f t="shared" si="390"/>
        <v>0</v>
      </c>
      <c r="T3133" s="575"/>
      <c r="U3133" s="487"/>
      <c r="V3133" s="576"/>
      <c r="W3133" s="573"/>
      <c r="X3133" s="574">
        <f t="shared" si="394"/>
        <v>0</v>
      </c>
      <c r="Y3133" s="487"/>
      <c r="Z3133" s="487"/>
      <c r="AA3133" s="276">
        <f t="shared" si="395"/>
        <v>0</v>
      </c>
      <c r="AB3133" s="573"/>
      <c r="AC3133" s="487"/>
      <c r="AD3133" s="573"/>
      <c r="AE3133" s="487"/>
      <c r="AF3133" s="577">
        <f t="shared" si="391"/>
        <v>0</v>
      </c>
      <c r="AG3133" s="275">
        <f t="shared" si="392"/>
        <v>0</v>
      </c>
    </row>
    <row r="3134" spans="1:33" ht="12" customHeight="1">
      <c r="A3134" s="769" t="s">
        <v>1284</v>
      </c>
      <c r="B3134" s="631" t="s">
        <v>1776</v>
      </c>
      <c r="C3134" s="632" t="s">
        <v>180</v>
      </c>
      <c r="D3134" s="730">
        <v>232575</v>
      </c>
      <c r="E3134" s="733">
        <v>9</v>
      </c>
      <c r="F3134" s="573"/>
      <c r="G3134" s="487"/>
      <c r="H3134" s="573"/>
      <c r="I3134" s="487"/>
      <c r="J3134" s="573"/>
      <c r="K3134" s="487"/>
      <c r="L3134" s="573"/>
      <c r="M3134" s="573"/>
      <c r="N3134" s="456">
        <f t="shared" si="393"/>
        <v>0</v>
      </c>
      <c r="O3134" s="487"/>
      <c r="P3134" s="487"/>
      <c r="Q3134" s="274">
        <f t="shared" si="388"/>
        <v>0</v>
      </c>
      <c r="R3134" s="574">
        <f t="shared" si="389"/>
        <v>0</v>
      </c>
      <c r="S3134" s="275">
        <f t="shared" si="390"/>
        <v>0</v>
      </c>
      <c r="T3134" s="575"/>
      <c r="U3134" s="487"/>
      <c r="V3134" s="576"/>
      <c r="W3134" s="573"/>
      <c r="X3134" s="574">
        <f t="shared" si="394"/>
        <v>0</v>
      </c>
      <c r="Y3134" s="487"/>
      <c r="Z3134" s="487"/>
      <c r="AA3134" s="276">
        <f t="shared" si="395"/>
        <v>0</v>
      </c>
      <c r="AB3134" s="573"/>
      <c r="AC3134" s="487"/>
      <c r="AD3134" s="573"/>
      <c r="AE3134" s="487"/>
      <c r="AF3134" s="577">
        <f t="shared" si="391"/>
        <v>0</v>
      </c>
      <c r="AG3134" s="275">
        <f t="shared" si="392"/>
        <v>0</v>
      </c>
    </row>
    <row r="3135" spans="1:33" ht="12" customHeight="1">
      <c r="A3135" s="769" t="s">
        <v>1284</v>
      </c>
      <c r="B3135" s="631" t="s">
        <v>1776</v>
      </c>
      <c r="C3135" s="632" t="s">
        <v>181</v>
      </c>
      <c r="D3135" s="730">
        <v>232867</v>
      </c>
      <c r="E3135" s="733">
        <v>9</v>
      </c>
      <c r="F3135" s="573"/>
      <c r="G3135" s="487"/>
      <c r="H3135" s="573"/>
      <c r="I3135" s="487"/>
      <c r="J3135" s="573"/>
      <c r="K3135" s="487"/>
      <c r="L3135" s="573"/>
      <c r="M3135" s="573"/>
      <c r="N3135" s="456">
        <f t="shared" si="393"/>
        <v>0</v>
      </c>
      <c r="O3135" s="487"/>
      <c r="P3135" s="487"/>
      <c r="Q3135" s="274">
        <f t="shared" si="388"/>
        <v>0</v>
      </c>
      <c r="R3135" s="574">
        <f t="shared" si="389"/>
        <v>0</v>
      </c>
      <c r="S3135" s="275">
        <f t="shared" si="390"/>
        <v>0</v>
      </c>
      <c r="T3135" s="575"/>
      <c r="U3135" s="487"/>
      <c r="V3135" s="576"/>
      <c r="W3135" s="573"/>
      <c r="X3135" s="574">
        <f t="shared" si="394"/>
        <v>0</v>
      </c>
      <c r="Y3135" s="487"/>
      <c r="Z3135" s="487"/>
      <c r="AA3135" s="276">
        <f t="shared" si="395"/>
        <v>0</v>
      </c>
      <c r="AB3135" s="573"/>
      <c r="AC3135" s="487"/>
      <c r="AD3135" s="573"/>
      <c r="AE3135" s="487"/>
      <c r="AF3135" s="577">
        <f t="shared" si="391"/>
        <v>0</v>
      </c>
      <c r="AG3135" s="275">
        <f t="shared" si="392"/>
        <v>0</v>
      </c>
    </row>
    <row r="3136" spans="1:33" ht="12" customHeight="1">
      <c r="A3136" s="769" t="s">
        <v>1284</v>
      </c>
      <c r="B3136" s="631" t="s">
        <v>1776</v>
      </c>
      <c r="C3136" s="632" t="s">
        <v>772</v>
      </c>
      <c r="D3136" s="730">
        <v>233116</v>
      </c>
      <c r="E3136" s="733">
        <v>9</v>
      </c>
      <c r="F3136" s="573"/>
      <c r="G3136" s="487"/>
      <c r="H3136" s="573"/>
      <c r="I3136" s="487"/>
      <c r="J3136" s="573"/>
      <c r="K3136" s="487"/>
      <c r="L3136" s="573"/>
      <c r="M3136" s="573"/>
      <c r="N3136" s="456">
        <f t="shared" si="393"/>
        <v>0</v>
      </c>
      <c r="O3136" s="487"/>
      <c r="P3136" s="487"/>
      <c r="Q3136" s="274">
        <f t="shared" si="388"/>
        <v>0</v>
      </c>
      <c r="R3136" s="574">
        <f t="shared" si="389"/>
        <v>0</v>
      </c>
      <c r="S3136" s="275">
        <f t="shared" si="390"/>
        <v>0</v>
      </c>
      <c r="T3136" s="575"/>
      <c r="U3136" s="487"/>
      <c r="V3136" s="576"/>
      <c r="W3136" s="573"/>
      <c r="X3136" s="574">
        <f t="shared" si="394"/>
        <v>0</v>
      </c>
      <c r="Y3136" s="487"/>
      <c r="Z3136" s="487"/>
      <c r="AA3136" s="276">
        <f t="shared" si="395"/>
        <v>0</v>
      </c>
      <c r="AB3136" s="573"/>
      <c r="AC3136" s="487"/>
      <c r="AD3136" s="573"/>
      <c r="AE3136" s="487"/>
      <c r="AF3136" s="577">
        <f t="shared" si="391"/>
        <v>0</v>
      </c>
      <c r="AG3136" s="275">
        <f t="shared" si="392"/>
        <v>0</v>
      </c>
    </row>
    <row r="3137" spans="1:33" ht="12" customHeight="1">
      <c r="A3137" s="769" t="s">
        <v>1284</v>
      </c>
      <c r="B3137" s="631" t="s">
        <v>1776</v>
      </c>
      <c r="C3137" s="632" t="s">
        <v>773</v>
      </c>
      <c r="D3137" s="730">
        <v>233639</v>
      </c>
      <c r="E3137" s="733">
        <v>9</v>
      </c>
      <c r="F3137" s="573"/>
      <c r="G3137" s="487"/>
      <c r="H3137" s="573"/>
      <c r="I3137" s="487"/>
      <c r="J3137" s="573"/>
      <c r="K3137" s="487"/>
      <c r="L3137" s="573"/>
      <c r="M3137" s="573"/>
      <c r="N3137" s="456">
        <f t="shared" si="393"/>
        <v>0</v>
      </c>
      <c r="O3137" s="487"/>
      <c r="P3137" s="487"/>
      <c r="Q3137" s="274">
        <f t="shared" si="388"/>
        <v>0</v>
      </c>
      <c r="R3137" s="574">
        <f t="shared" si="389"/>
        <v>0</v>
      </c>
      <c r="S3137" s="275">
        <f t="shared" si="390"/>
        <v>0</v>
      </c>
      <c r="T3137" s="575"/>
      <c r="U3137" s="487"/>
      <c r="V3137" s="576"/>
      <c r="W3137" s="573"/>
      <c r="X3137" s="574">
        <f t="shared" si="394"/>
        <v>0</v>
      </c>
      <c r="Y3137" s="487"/>
      <c r="Z3137" s="487"/>
      <c r="AA3137" s="276">
        <f t="shared" si="395"/>
        <v>0</v>
      </c>
      <c r="AB3137" s="573"/>
      <c r="AC3137" s="487"/>
      <c r="AD3137" s="573"/>
      <c r="AE3137" s="487"/>
      <c r="AF3137" s="577">
        <f t="shared" si="391"/>
        <v>0</v>
      </c>
      <c r="AG3137" s="275">
        <f t="shared" si="392"/>
        <v>0</v>
      </c>
    </row>
    <row r="3138" spans="1:33" ht="12" customHeight="1">
      <c r="A3138" s="769" t="s">
        <v>1284</v>
      </c>
      <c r="B3138" s="631" t="s">
        <v>1776</v>
      </c>
      <c r="C3138" s="632" t="s">
        <v>774</v>
      </c>
      <c r="D3138" s="730">
        <v>233648</v>
      </c>
      <c r="E3138" s="733">
        <v>9</v>
      </c>
      <c r="F3138" s="573"/>
      <c r="G3138" s="487"/>
      <c r="H3138" s="573"/>
      <c r="I3138" s="487"/>
      <c r="J3138" s="573"/>
      <c r="K3138" s="487"/>
      <c r="L3138" s="573"/>
      <c r="M3138" s="573"/>
      <c r="N3138" s="456">
        <f t="shared" si="393"/>
        <v>0</v>
      </c>
      <c r="O3138" s="487"/>
      <c r="P3138" s="487"/>
      <c r="Q3138" s="274">
        <f t="shared" si="388"/>
        <v>0</v>
      </c>
      <c r="R3138" s="574">
        <f t="shared" si="389"/>
        <v>0</v>
      </c>
      <c r="S3138" s="275">
        <f t="shared" si="390"/>
        <v>0</v>
      </c>
      <c r="T3138" s="575"/>
      <c r="U3138" s="487"/>
      <c r="V3138" s="576"/>
      <c r="W3138" s="573"/>
      <c r="X3138" s="574">
        <f t="shared" si="394"/>
        <v>0</v>
      </c>
      <c r="Y3138" s="487"/>
      <c r="Z3138" s="487"/>
      <c r="AA3138" s="276">
        <f t="shared" si="395"/>
        <v>0</v>
      </c>
      <c r="AB3138" s="573"/>
      <c r="AC3138" s="487"/>
      <c r="AD3138" s="573"/>
      <c r="AE3138" s="487"/>
      <c r="AF3138" s="577">
        <f t="shared" si="391"/>
        <v>0</v>
      </c>
      <c r="AG3138" s="275">
        <f t="shared" si="392"/>
        <v>0</v>
      </c>
    </row>
    <row r="3139" spans="1:33" ht="12" customHeight="1">
      <c r="A3139" s="769" t="s">
        <v>1284</v>
      </c>
      <c r="B3139" s="631" t="s">
        <v>1776</v>
      </c>
      <c r="C3139" s="632" t="s">
        <v>775</v>
      </c>
      <c r="D3139" s="730">
        <v>233949</v>
      </c>
      <c r="E3139" s="733">
        <v>9</v>
      </c>
      <c r="F3139" s="573"/>
      <c r="G3139" s="487"/>
      <c r="H3139" s="573"/>
      <c r="I3139" s="487"/>
      <c r="J3139" s="573"/>
      <c r="K3139" s="487"/>
      <c r="L3139" s="573"/>
      <c r="M3139" s="573"/>
      <c r="N3139" s="456">
        <f t="shared" si="393"/>
        <v>0</v>
      </c>
      <c r="O3139" s="487"/>
      <c r="P3139" s="487"/>
      <c r="Q3139" s="274">
        <f t="shared" si="388"/>
        <v>0</v>
      </c>
      <c r="R3139" s="574">
        <f t="shared" si="389"/>
        <v>0</v>
      </c>
      <c r="S3139" s="275">
        <f t="shared" si="390"/>
        <v>0</v>
      </c>
      <c r="T3139" s="575"/>
      <c r="U3139" s="487"/>
      <c r="V3139" s="576"/>
      <c r="W3139" s="573"/>
      <c r="X3139" s="574">
        <f t="shared" si="394"/>
        <v>0</v>
      </c>
      <c r="Y3139" s="487"/>
      <c r="Z3139" s="487"/>
      <c r="AA3139" s="276">
        <f t="shared" si="395"/>
        <v>0</v>
      </c>
      <c r="AB3139" s="573"/>
      <c r="AC3139" s="487"/>
      <c r="AD3139" s="573"/>
      <c r="AE3139" s="487"/>
      <c r="AF3139" s="577">
        <f t="shared" si="391"/>
        <v>0</v>
      </c>
      <c r="AG3139" s="275">
        <f t="shared" si="392"/>
        <v>0</v>
      </c>
    </row>
    <row r="3140" spans="1:33" ht="12" customHeight="1">
      <c r="A3140" s="769" t="s">
        <v>1284</v>
      </c>
      <c r="B3140" s="631" t="s">
        <v>1776</v>
      </c>
      <c r="C3140" s="632" t="s">
        <v>776</v>
      </c>
      <c r="D3140" s="730">
        <v>231873</v>
      </c>
      <c r="E3140" s="733">
        <v>10</v>
      </c>
      <c r="F3140" s="573"/>
      <c r="G3140" s="487"/>
      <c r="H3140" s="573"/>
      <c r="I3140" s="487"/>
      <c r="J3140" s="573"/>
      <c r="K3140" s="487"/>
      <c r="L3140" s="573"/>
      <c r="M3140" s="573"/>
      <c r="N3140" s="456">
        <f t="shared" si="393"/>
        <v>0</v>
      </c>
      <c r="O3140" s="487"/>
      <c r="P3140" s="487"/>
      <c r="Q3140" s="274">
        <f t="shared" si="388"/>
        <v>0</v>
      </c>
      <c r="R3140" s="574">
        <f t="shared" si="389"/>
        <v>0</v>
      </c>
      <c r="S3140" s="275">
        <f t="shared" si="390"/>
        <v>0</v>
      </c>
      <c r="T3140" s="575"/>
      <c r="U3140" s="487"/>
      <c r="V3140" s="576"/>
      <c r="W3140" s="573"/>
      <c r="X3140" s="574">
        <f t="shared" si="394"/>
        <v>0</v>
      </c>
      <c r="Y3140" s="487"/>
      <c r="Z3140" s="487"/>
      <c r="AA3140" s="276">
        <f t="shared" si="395"/>
        <v>0</v>
      </c>
      <c r="AB3140" s="573"/>
      <c r="AC3140" s="487"/>
      <c r="AD3140" s="573"/>
      <c r="AE3140" s="487"/>
      <c r="AF3140" s="577">
        <f t="shared" si="391"/>
        <v>0</v>
      </c>
      <c r="AG3140" s="275">
        <f t="shared" si="392"/>
        <v>0</v>
      </c>
    </row>
    <row r="3141" spans="1:33" ht="12" customHeight="1">
      <c r="A3141" s="769" t="s">
        <v>1284</v>
      </c>
      <c r="B3141" s="631" t="s">
        <v>1776</v>
      </c>
      <c r="C3141" s="632" t="s">
        <v>777</v>
      </c>
      <c r="D3141" s="730">
        <v>232052</v>
      </c>
      <c r="E3141" s="733">
        <v>10</v>
      </c>
      <c r="F3141" s="573"/>
      <c r="G3141" s="487"/>
      <c r="H3141" s="573"/>
      <c r="I3141" s="487"/>
      <c r="J3141" s="573"/>
      <c r="K3141" s="487"/>
      <c r="L3141" s="573"/>
      <c r="M3141" s="573"/>
      <c r="N3141" s="456">
        <f t="shared" si="393"/>
        <v>0</v>
      </c>
      <c r="O3141" s="487"/>
      <c r="P3141" s="487"/>
      <c r="Q3141" s="274">
        <f t="shared" si="388"/>
        <v>0</v>
      </c>
      <c r="R3141" s="574">
        <f t="shared" si="389"/>
        <v>0</v>
      </c>
      <c r="S3141" s="275">
        <f t="shared" si="390"/>
        <v>0</v>
      </c>
      <c r="T3141" s="575"/>
      <c r="U3141" s="487"/>
      <c r="V3141" s="576"/>
      <c r="W3141" s="573"/>
      <c r="X3141" s="574">
        <f t="shared" si="394"/>
        <v>0</v>
      </c>
      <c r="Y3141" s="487"/>
      <c r="Z3141" s="487"/>
      <c r="AA3141" s="276">
        <f t="shared" si="395"/>
        <v>0</v>
      </c>
      <c r="AB3141" s="573"/>
      <c r="AC3141" s="487"/>
      <c r="AD3141" s="573"/>
      <c r="AE3141" s="487"/>
      <c r="AF3141" s="577">
        <f t="shared" si="391"/>
        <v>0</v>
      </c>
      <c r="AG3141" s="275">
        <f t="shared" si="392"/>
        <v>0</v>
      </c>
    </row>
    <row r="3142" spans="1:33" ht="12" customHeight="1">
      <c r="A3142" s="769" t="s">
        <v>1284</v>
      </c>
      <c r="B3142" s="631" t="s">
        <v>1776</v>
      </c>
      <c r="C3142" s="632" t="s">
        <v>778</v>
      </c>
      <c r="D3142" s="730">
        <v>232788</v>
      </c>
      <c r="E3142" s="733">
        <v>10</v>
      </c>
      <c r="F3142" s="573"/>
      <c r="G3142" s="487"/>
      <c r="H3142" s="573"/>
      <c r="I3142" s="487"/>
      <c r="J3142" s="573"/>
      <c r="K3142" s="487"/>
      <c r="L3142" s="573"/>
      <c r="M3142" s="573"/>
      <c r="N3142" s="456">
        <f t="shared" si="393"/>
        <v>0</v>
      </c>
      <c r="O3142" s="487"/>
      <c r="P3142" s="487"/>
      <c r="Q3142" s="274">
        <f t="shared" si="388"/>
        <v>0</v>
      </c>
      <c r="R3142" s="574">
        <f t="shared" si="389"/>
        <v>0</v>
      </c>
      <c r="S3142" s="275">
        <f t="shared" si="390"/>
        <v>0</v>
      </c>
      <c r="T3142" s="575"/>
      <c r="U3142" s="487"/>
      <c r="V3142" s="576"/>
      <c r="W3142" s="573"/>
      <c r="X3142" s="574">
        <f t="shared" si="394"/>
        <v>0</v>
      </c>
      <c r="Y3142" s="487"/>
      <c r="Z3142" s="487"/>
      <c r="AA3142" s="276">
        <f t="shared" si="395"/>
        <v>0</v>
      </c>
      <c r="AB3142" s="573"/>
      <c r="AC3142" s="487"/>
      <c r="AD3142" s="573"/>
      <c r="AE3142" s="487"/>
      <c r="AF3142" s="577">
        <f t="shared" si="391"/>
        <v>0</v>
      </c>
      <c r="AG3142" s="275">
        <f t="shared" si="392"/>
        <v>0</v>
      </c>
    </row>
    <row r="3143" spans="1:33" ht="12" customHeight="1">
      <c r="A3143" s="769" t="s">
        <v>1284</v>
      </c>
      <c r="B3143" s="631" t="s">
        <v>1776</v>
      </c>
      <c r="C3143" s="632" t="s">
        <v>779</v>
      </c>
      <c r="D3143" s="730">
        <v>233037</v>
      </c>
      <c r="E3143" s="733">
        <v>10</v>
      </c>
      <c r="F3143" s="573"/>
      <c r="G3143" s="487"/>
      <c r="H3143" s="573"/>
      <c r="I3143" s="487"/>
      <c r="J3143" s="573"/>
      <c r="K3143" s="487"/>
      <c r="L3143" s="573"/>
      <c r="M3143" s="573"/>
      <c r="N3143" s="456">
        <f t="shared" si="393"/>
        <v>0</v>
      </c>
      <c r="O3143" s="487"/>
      <c r="P3143" s="487"/>
      <c r="Q3143" s="274">
        <f t="shared" si="388"/>
        <v>0</v>
      </c>
      <c r="R3143" s="574">
        <f t="shared" si="389"/>
        <v>0</v>
      </c>
      <c r="S3143" s="275">
        <f t="shared" si="390"/>
        <v>0</v>
      </c>
      <c r="T3143" s="575"/>
      <c r="U3143" s="487"/>
      <c r="V3143" s="576"/>
      <c r="W3143" s="573"/>
      <c r="X3143" s="574">
        <f t="shared" si="394"/>
        <v>0</v>
      </c>
      <c r="Y3143" s="487"/>
      <c r="Z3143" s="487"/>
      <c r="AA3143" s="276">
        <f t="shared" si="395"/>
        <v>0</v>
      </c>
      <c r="AB3143" s="573"/>
      <c r="AC3143" s="487"/>
      <c r="AD3143" s="573"/>
      <c r="AE3143" s="487"/>
      <c r="AF3143" s="577">
        <f t="shared" si="391"/>
        <v>0</v>
      </c>
      <c r="AG3143" s="275">
        <f t="shared" si="392"/>
        <v>0</v>
      </c>
    </row>
    <row r="3144" spans="1:33" ht="12" customHeight="1">
      <c r="A3144" s="769" t="s">
        <v>1284</v>
      </c>
      <c r="B3144" s="631" t="s">
        <v>1776</v>
      </c>
      <c r="C3144" s="769" t="s">
        <v>771</v>
      </c>
      <c r="D3144" s="730">
        <v>233019</v>
      </c>
      <c r="E3144" s="1032">
        <v>10</v>
      </c>
      <c r="F3144" s="573"/>
      <c r="G3144" s="487"/>
      <c r="H3144" s="573"/>
      <c r="I3144" s="487"/>
      <c r="J3144" s="573"/>
      <c r="K3144" s="487"/>
      <c r="L3144" s="573"/>
      <c r="M3144" s="573"/>
      <c r="N3144" s="456">
        <f t="shared" si="393"/>
        <v>0</v>
      </c>
      <c r="O3144" s="487"/>
      <c r="P3144" s="487"/>
      <c r="Q3144" s="274">
        <f t="shared" si="388"/>
        <v>0</v>
      </c>
      <c r="R3144" s="574">
        <f t="shared" si="389"/>
        <v>0</v>
      </c>
      <c r="S3144" s="275">
        <f t="shared" si="390"/>
        <v>0</v>
      </c>
      <c r="T3144" s="575"/>
      <c r="U3144" s="487"/>
      <c r="V3144" s="576"/>
      <c r="W3144" s="573"/>
      <c r="X3144" s="574">
        <f t="shared" si="394"/>
        <v>0</v>
      </c>
      <c r="Y3144" s="487"/>
      <c r="Z3144" s="487"/>
      <c r="AA3144" s="276">
        <f t="shared" si="395"/>
        <v>0</v>
      </c>
      <c r="AB3144" s="573"/>
      <c r="AC3144" s="487"/>
      <c r="AD3144" s="573"/>
      <c r="AE3144" s="487"/>
      <c r="AF3144" s="577">
        <f t="shared" si="391"/>
        <v>0</v>
      </c>
      <c r="AG3144" s="275">
        <f t="shared" si="392"/>
        <v>0</v>
      </c>
    </row>
    <row r="3145" spans="1:33">
      <c r="A3145" s="769" t="s">
        <v>1284</v>
      </c>
      <c r="B3145" s="631" t="s">
        <v>1776</v>
      </c>
      <c r="C3145" s="632" t="s">
        <v>780</v>
      </c>
      <c r="D3145" s="730">
        <v>233310</v>
      </c>
      <c r="E3145" s="733">
        <v>10</v>
      </c>
      <c r="F3145" s="573"/>
      <c r="G3145" s="487"/>
      <c r="H3145" s="573"/>
      <c r="I3145" s="487"/>
      <c r="J3145" s="573"/>
      <c r="K3145" s="487"/>
      <c r="L3145" s="573"/>
      <c r="M3145" s="573"/>
      <c r="N3145" s="456">
        <f t="shared" si="393"/>
        <v>0</v>
      </c>
      <c r="O3145" s="487"/>
      <c r="P3145" s="487"/>
      <c r="Q3145" s="274">
        <f t="shared" si="388"/>
        <v>0</v>
      </c>
      <c r="R3145" s="574">
        <f t="shared" si="389"/>
        <v>0</v>
      </c>
      <c r="S3145" s="275">
        <f t="shared" si="390"/>
        <v>0</v>
      </c>
      <c r="T3145" s="575"/>
      <c r="U3145" s="487"/>
      <c r="V3145" s="576"/>
      <c r="W3145" s="573"/>
      <c r="X3145" s="574">
        <f t="shared" si="394"/>
        <v>0</v>
      </c>
      <c r="Y3145" s="487"/>
      <c r="Z3145" s="487"/>
      <c r="AA3145" s="276">
        <f t="shared" si="395"/>
        <v>0</v>
      </c>
      <c r="AB3145" s="573"/>
      <c r="AC3145" s="487"/>
      <c r="AD3145" s="573"/>
      <c r="AE3145" s="487"/>
      <c r="AF3145" s="577">
        <f t="shared" si="391"/>
        <v>0</v>
      </c>
      <c r="AG3145" s="275">
        <f t="shared" si="392"/>
        <v>0</v>
      </c>
    </row>
    <row r="3146" spans="1:33" ht="12" customHeight="1">
      <c r="A3146" s="769" t="s">
        <v>1284</v>
      </c>
      <c r="B3146" s="631" t="s">
        <v>1776</v>
      </c>
      <c r="C3146" s="632" t="s">
        <v>781</v>
      </c>
      <c r="D3146" s="730">
        <v>233338</v>
      </c>
      <c r="E3146" s="733">
        <v>10</v>
      </c>
      <c r="F3146" s="573">
        <v>5705412</v>
      </c>
      <c r="G3146" s="487">
        <v>5846156</v>
      </c>
      <c r="H3146" s="573"/>
      <c r="I3146" s="487"/>
      <c r="J3146" s="573"/>
      <c r="K3146" s="487"/>
      <c r="L3146" s="573">
        <v>2710500</v>
      </c>
      <c r="M3146" s="573">
        <v>1448</v>
      </c>
      <c r="N3146" s="456">
        <f t="shared" si="393"/>
        <v>2711948</v>
      </c>
      <c r="O3146" s="487">
        <v>3166500</v>
      </c>
      <c r="P3146" s="487">
        <v>1448</v>
      </c>
      <c r="Q3146" s="274">
        <f t="shared" ref="Q3146:Q3209" si="396">SUM(O3146:P3146)</f>
        <v>3167948</v>
      </c>
      <c r="R3146" s="574">
        <f t="shared" ref="R3146:R3209" si="397">SUM(F3146,H3146,J3146,L3146)</f>
        <v>8415912</v>
      </c>
      <c r="S3146" s="275">
        <f t="shared" ref="S3146:S3209" si="398">SUM(G3146,I3146,K3146,O3146)</f>
        <v>9012656</v>
      </c>
      <c r="T3146" s="575"/>
      <c r="U3146" s="487"/>
      <c r="V3146" s="576"/>
      <c r="W3146" s="573"/>
      <c r="X3146" s="574">
        <f t="shared" si="394"/>
        <v>0</v>
      </c>
      <c r="Y3146" s="487"/>
      <c r="Z3146" s="487"/>
      <c r="AA3146" s="276">
        <f t="shared" si="395"/>
        <v>0</v>
      </c>
      <c r="AB3146" s="573"/>
      <c r="AC3146" s="487"/>
      <c r="AD3146" s="573"/>
      <c r="AE3146" s="487"/>
      <c r="AF3146" s="577">
        <f t="shared" ref="AF3146:AF3209" si="399">SUM(R3146,T3146,V3146,AB3146,AD3146)</f>
        <v>8415912</v>
      </c>
      <c r="AG3146" s="275">
        <f t="shared" ref="AG3146:AG3209" si="400">SUM(S3146,U3146,Y3146,AC3146,AE3146)</f>
        <v>9012656</v>
      </c>
    </row>
    <row r="3147" spans="1:33" ht="12" customHeight="1">
      <c r="A3147" s="769" t="s">
        <v>1284</v>
      </c>
      <c r="B3147" s="631" t="s">
        <v>1776</v>
      </c>
      <c r="C3147" s="632" t="s">
        <v>782</v>
      </c>
      <c r="D3147" s="730">
        <v>233903</v>
      </c>
      <c r="E3147" s="733">
        <v>10</v>
      </c>
      <c r="F3147" s="573"/>
      <c r="G3147" s="487"/>
      <c r="H3147" s="573"/>
      <c r="I3147" s="487"/>
      <c r="J3147" s="573"/>
      <c r="K3147" s="487"/>
      <c r="L3147" s="573"/>
      <c r="M3147" s="573"/>
      <c r="N3147" s="456">
        <f t="shared" si="393"/>
        <v>0</v>
      </c>
      <c r="O3147" s="487"/>
      <c r="P3147" s="487"/>
      <c r="Q3147" s="274">
        <f t="shared" si="396"/>
        <v>0</v>
      </c>
      <c r="R3147" s="574">
        <f t="shared" si="397"/>
        <v>0</v>
      </c>
      <c r="S3147" s="275">
        <f t="shared" si="398"/>
        <v>0</v>
      </c>
      <c r="T3147" s="575"/>
      <c r="U3147" s="487"/>
      <c r="V3147" s="576"/>
      <c r="W3147" s="573"/>
      <c r="X3147" s="574">
        <f t="shared" si="394"/>
        <v>0</v>
      </c>
      <c r="Y3147" s="487"/>
      <c r="Z3147" s="487"/>
      <c r="AA3147" s="276">
        <f t="shared" si="395"/>
        <v>0</v>
      </c>
      <c r="AB3147" s="573"/>
      <c r="AC3147" s="487"/>
      <c r="AD3147" s="573"/>
      <c r="AE3147" s="487"/>
      <c r="AF3147" s="577">
        <f t="shared" si="399"/>
        <v>0</v>
      </c>
      <c r="AG3147" s="275">
        <f t="shared" si="400"/>
        <v>0</v>
      </c>
    </row>
    <row r="3148" spans="1:33" ht="12" customHeight="1">
      <c r="A3148" s="769" t="s">
        <v>1284</v>
      </c>
      <c r="B3148" s="631" t="s">
        <v>1776</v>
      </c>
      <c r="C3148" s="632" t="s">
        <v>783</v>
      </c>
      <c r="D3148" s="730">
        <v>234377</v>
      </c>
      <c r="E3148" s="733">
        <v>10</v>
      </c>
      <c r="F3148" s="573"/>
      <c r="G3148" s="487"/>
      <c r="H3148" s="573"/>
      <c r="I3148" s="487"/>
      <c r="J3148" s="573"/>
      <c r="K3148" s="487"/>
      <c r="L3148" s="573"/>
      <c r="M3148" s="573"/>
      <c r="N3148" s="456">
        <f t="shared" si="393"/>
        <v>0</v>
      </c>
      <c r="O3148" s="487"/>
      <c r="P3148" s="487"/>
      <c r="Q3148" s="274">
        <f t="shared" si="396"/>
        <v>0</v>
      </c>
      <c r="R3148" s="574">
        <f t="shared" si="397"/>
        <v>0</v>
      </c>
      <c r="S3148" s="275">
        <f t="shared" si="398"/>
        <v>0</v>
      </c>
      <c r="T3148" s="575"/>
      <c r="U3148" s="487"/>
      <c r="V3148" s="576"/>
      <c r="W3148" s="573"/>
      <c r="X3148" s="574">
        <f t="shared" si="394"/>
        <v>0</v>
      </c>
      <c r="Y3148" s="487"/>
      <c r="Z3148" s="487"/>
      <c r="AA3148" s="276">
        <f t="shared" si="395"/>
        <v>0</v>
      </c>
      <c r="AB3148" s="573"/>
      <c r="AC3148" s="487"/>
      <c r="AD3148" s="573"/>
      <c r="AE3148" s="487"/>
      <c r="AF3148" s="577">
        <f t="shared" si="399"/>
        <v>0</v>
      </c>
      <c r="AG3148" s="275">
        <f t="shared" si="400"/>
        <v>0</v>
      </c>
    </row>
    <row r="3149" spans="1:33" ht="12" customHeight="1">
      <c r="A3149" s="769" t="s">
        <v>1284</v>
      </c>
      <c r="B3149" s="631" t="s">
        <v>1776</v>
      </c>
      <c r="C3149" s="632" t="s">
        <v>784</v>
      </c>
      <c r="D3149" s="730"/>
      <c r="E3149" s="733">
        <v>11</v>
      </c>
      <c r="F3149" s="573">
        <f>374585743-15765557</f>
        <v>358820186</v>
      </c>
      <c r="G3149" s="487">
        <f>379657869-15765557</f>
        <v>363892312</v>
      </c>
      <c r="H3149" s="573"/>
      <c r="I3149" s="487"/>
      <c r="J3149" s="573">
        <v>5960000</v>
      </c>
      <c r="K3149" s="487">
        <v>9714492</v>
      </c>
      <c r="L3149" s="573">
        <v>291663741</v>
      </c>
      <c r="M3149" s="573">
        <v>415738</v>
      </c>
      <c r="N3149" s="456">
        <f t="shared" si="393"/>
        <v>292079479</v>
      </c>
      <c r="O3149" s="487">
        <v>323122065</v>
      </c>
      <c r="P3149" s="487">
        <v>415738</v>
      </c>
      <c r="Q3149" s="274">
        <f t="shared" si="396"/>
        <v>323537803</v>
      </c>
      <c r="R3149" s="574">
        <f t="shared" si="397"/>
        <v>656443927</v>
      </c>
      <c r="S3149" s="275">
        <f t="shared" si="398"/>
        <v>696728869</v>
      </c>
      <c r="T3149" s="575"/>
      <c r="U3149" s="487"/>
      <c r="V3149" s="576"/>
      <c r="W3149" s="573"/>
      <c r="X3149" s="574">
        <f t="shared" si="394"/>
        <v>0</v>
      </c>
      <c r="Y3149" s="487"/>
      <c r="Z3149" s="487"/>
      <c r="AA3149" s="276">
        <f t="shared" si="395"/>
        <v>0</v>
      </c>
      <c r="AB3149" s="573"/>
      <c r="AC3149" s="487"/>
      <c r="AD3149" s="573"/>
      <c r="AE3149" s="487"/>
      <c r="AF3149" s="577">
        <f t="shared" si="399"/>
        <v>656443927</v>
      </c>
      <c r="AG3149" s="275">
        <f t="shared" si="400"/>
        <v>696728869</v>
      </c>
    </row>
    <row r="3150" spans="1:33" ht="12" customHeight="1">
      <c r="A3150" s="769" t="s">
        <v>1284</v>
      </c>
      <c r="B3150" s="631" t="s">
        <v>1820</v>
      </c>
      <c r="C3150" s="769" t="s">
        <v>785</v>
      </c>
      <c r="D3150" s="730">
        <v>234085</v>
      </c>
      <c r="E3150" s="733">
        <v>15</v>
      </c>
      <c r="F3150" s="573"/>
      <c r="G3150" s="487"/>
      <c r="H3150" s="573"/>
      <c r="I3150" s="487"/>
      <c r="J3150" s="573"/>
      <c r="K3150" s="487"/>
      <c r="L3150" s="573"/>
      <c r="M3150" s="573"/>
      <c r="N3150" s="456">
        <f t="shared" si="393"/>
        <v>0</v>
      </c>
      <c r="O3150" s="483"/>
      <c r="P3150" s="487"/>
      <c r="Q3150" s="274">
        <f t="shared" si="396"/>
        <v>0</v>
      </c>
      <c r="R3150" s="574">
        <f t="shared" si="397"/>
        <v>0</v>
      </c>
      <c r="S3150" s="275">
        <f t="shared" si="398"/>
        <v>0</v>
      </c>
      <c r="T3150" s="575">
        <v>14938857</v>
      </c>
      <c r="U3150" s="487">
        <v>13401541</v>
      </c>
      <c r="V3150" s="576">
        <v>15928056</v>
      </c>
      <c r="W3150" s="573">
        <v>65262</v>
      </c>
      <c r="X3150" s="574">
        <f t="shared" si="394"/>
        <v>15993318</v>
      </c>
      <c r="Y3150" s="487">
        <v>17758056</v>
      </c>
      <c r="Z3150" s="487">
        <v>65262</v>
      </c>
      <c r="AA3150" s="276">
        <f t="shared" si="395"/>
        <v>17823318</v>
      </c>
      <c r="AB3150" s="573"/>
      <c r="AC3150" s="487"/>
      <c r="AD3150" s="573"/>
      <c r="AE3150" s="487"/>
      <c r="AF3150" s="577">
        <f t="shared" si="399"/>
        <v>30866913</v>
      </c>
      <c r="AG3150" s="275">
        <f t="shared" si="400"/>
        <v>31159597</v>
      </c>
    </row>
    <row r="3151" spans="1:33" ht="12" customHeight="1">
      <c r="A3151" s="769" t="s">
        <v>1284</v>
      </c>
      <c r="B3151" s="631" t="s">
        <v>1785</v>
      </c>
      <c r="C3151" s="287" t="s">
        <v>1753</v>
      </c>
      <c r="D3151" s="730"/>
      <c r="E3151" s="733"/>
      <c r="F3151" s="573"/>
      <c r="G3151" s="487"/>
      <c r="H3151" s="573"/>
      <c r="I3151" s="487"/>
      <c r="J3151" s="573"/>
      <c r="K3151" s="487"/>
      <c r="L3151" s="573"/>
      <c r="M3151" s="573"/>
      <c r="N3151" s="456">
        <f t="shared" si="393"/>
        <v>0</v>
      </c>
      <c r="O3151" s="487"/>
      <c r="P3151" s="487"/>
      <c r="Q3151" s="274">
        <f t="shared" si="396"/>
        <v>0</v>
      </c>
      <c r="R3151" s="574">
        <f t="shared" si="397"/>
        <v>0</v>
      </c>
      <c r="S3151" s="275">
        <f t="shared" si="398"/>
        <v>0</v>
      </c>
      <c r="T3151" s="575"/>
      <c r="U3151" s="487"/>
      <c r="V3151" s="576"/>
      <c r="W3151" s="573"/>
      <c r="X3151" s="574">
        <f t="shared" si="394"/>
        <v>0</v>
      </c>
      <c r="Y3151" s="487"/>
      <c r="Z3151" s="487"/>
      <c r="AA3151" s="276">
        <f t="shared" si="395"/>
        <v>0</v>
      </c>
      <c r="AB3151" s="573"/>
      <c r="AC3151" s="487"/>
      <c r="AD3151" s="573"/>
      <c r="AE3151" s="487"/>
      <c r="AF3151" s="577">
        <f t="shared" si="399"/>
        <v>0</v>
      </c>
      <c r="AG3151" s="275">
        <f t="shared" si="400"/>
        <v>0</v>
      </c>
    </row>
    <row r="3152" spans="1:33" ht="12" customHeight="1" thickBot="1">
      <c r="A3152" s="769" t="s">
        <v>1284</v>
      </c>
      <c r="B3152" s="631" t="s">
        <v>1791</v>
      </c>
      <c r="C3152" s="286" t="s">
        <v>1881</v>
      </c>
      <c r="D3152" s="730"/>
      <c r="E3152" s="733"/>
      <c r="F3152" s="573"/>
      <c r="G3152" s="487"/>
      <c r="H3152" s="573"/>
      <c r="I3152" s="487"/>
      <c r="J3152" s="573"/>
      <c r="K3152" s="487"/>
      <c r="L3152" s="573"/>
      <c r="M3152" s="573"/>
      <c r="N3152" s="456">
        <f t="shared" si="393"/>
        <v>0</v>
      </c>
      <c r="O3152" s="487"/>
      <c r="P3152" s="487"/>
      <c r="Q3152" s="274">
        <f t="shared" si="396"/>
        <v>0</v>
      </c>
      <c r="R3152" s="574">
        <f t="shared" si="397"/>
        <v>0</v>
      </c>
      <c r="S3152" s="275">
        <f t="shared" si="398"/>
        <v>0</v>
      </c>
      <c r="T3152" s="575"/>
      <c r="U3152" s="487"/>
      <c r="V3152" s="576"/>
      <c r="W3152" s="573"/>
      <c r="X3152" s="574">
        <f t="shared" si="394"/>
        <v>0</v>
      </c>
      <c r="Y3152" s="487"/>
      <c r="Z3152" s="487"/>
      <c r="AA3152" s="276">
        <f t="shared" si="395"/>
        <v>0</v>
      </c>
      <c r="AB3152" s="573"/>
      <c r="AC3152" s="487"/>
      <c r="AD3152" s="573"/>
      <c r="AE3152" s="487"/>
      <c r="AF3152" s="577">
        <f t="shared" si="399"/>
        <v>0</v>
      </c>
      <c r="AG3152" s="275">
        <f t="shared" si="400"/>
        <v>0</v>
      </c>
    </row>
    <row r="3153" spans="1:33" ht="12" customHeight="1">
      <c r="A3153" s="769" t="s">
        <v>1284</v>
      </c>
      <c r="B3153" s="631" t="s">
        <v>1791</v>
      </c>
      <c r="C3153" s="771" t="s">
        <v>786</v>
      </c>
      <c r="D3153" s="730"/>
      <c r="E3153" s="733"/>
      <c r="F3153" s="573"/>
      <c r="G3153" s="487"/>
      <c r="H3153" s="587">
        <v>5922337</v>
      </c>
      <c r="I3153" s="499">
        <v>5295878</v>
      </c>
      <c r="J3153" s="573"/>
      <c r="K3153" s="487"/>
      <c r="L3153" s="573"/>
      <c r="M3153" s="573"/>
      <c r="N3153" s="456">
        <f t="shared" si="393"/>
        <v>0</v>
      </c>
      <c r="O3153" s="487"/>
      <c r="P3153" s="487"/>
      <c r="Q3153" s="274">
        <f t="shared" si="396"/>
        <v>0</v>
      </c>
      <c r="R3153" s="574">
        <f t="shared" si="397"/>
        <v>5922337</v>
      </c>
      <c r="S3153" s="275">
        <f t="shared" si="398"/>
        <v>5295878</v>
      </c>
      <c r="T3153" s="575"/>
      <c r="U3153" s="487"/>
      <c r="V3153" s="576"/>
      <c r="W3153" s="573"/>
      <c r="X3153" s="574">
        <f t="shared" si="394"/>
        <v>0</v>
      </c>
      <c r="Y3153" s="487"/>
      <c r="Z3153" s="487"/>
      <c r="AA3153" s="276">
        <f t="shared" si="395"/>
        <v>0</v>
      </c>
      <c r="AB3153" s="573"/>
      <c r="AC3153" s="487"/>
      <c r="AD3153" s="573"/>
      <c r="AE3153" s="487"/>
      <c r="AF3153" s="577">
        <f t="shared" si="399"/>
        <v>5922337</v>
      </c>
      <c r="AG3153" s="275">
        <f t="shared" si="400"/>
        <v>5295878</v>
      </c>
    </row>
    <row r="3154" spans="1:33" ht="12" customHeight="1">
      <c r="A3154" s="769" t="s">
        <v>1284</v>
      </c>
      <c r="B3154" s="631" t="s">
        <v>1791</v>
      </c>
      <c r="C3154" s="771" t="s">
        <v>1233</v>
      </c>
      <c r="D3154" s="730"/>
      <c r="E3154" s="733"/>
      <c r="F3154" s="573"/>
      <c r="G3154" s="487"/>
      <c r="H3154" s="576">
        <v>1503126</v>
      </c>
      <c r="I3154" s="487">
        <v>1277657</v>
      </c>
      <c r="J3154" s="573"/>
      <c r="K3154" s="487"/>
      <c r="L3154" s="573"/>
      <c r="M3154" s="573"/>
      <c r="N3154" s="456">
        <f t="shared" si="393"/>
        <v>0</v>
      </c>
      <c r="O3154" s="487"/>
      <c r="P3154" s="487"/>
      <c r="Q3154" s="274">
        <f t="shared" si="396"/>
        <v>0</v>
      </c>
      <c r="R3154" s="574">
        <f t="shared" si="397"/>
        <v>1503126</v>
      </c>
      <c r="S3154" s="275">
        <f t="shared" si="398"/>
        <v>1277657</v>
      </c>
      <c r="T3154" s="575"/>
      <c r="U3154" s="487"/>
      <c r="V3154" s="576"/>
      <c r="W3154" s="573"/>
      <c r="X3154" s="574">
        <f t="shared" si="394"/>
        <v>0</v>
      </c>
      <c r="Y3154" s="487"/>
      <c r="Z3154" s="487"/>
      <c r="AA3154" s="276">
        <f t="shared" si="395"/>
        <v>0</v>
      </c>
      <c r="AB3154" s="573"/>
      <c r="AC3154" s="487"/>
      <c r="AD3154" s="573"/>
      <c r="AE3154" s="487"/>
      <c r="AF3154" s="577">
        <f t="shared" si="399"/>
        <v>1503126</v>
      </c>
      <c r="AG3154" s="275">
        <f t="shared" si="400"/>
        <v>1277657</v>
      </c>
    </row>
    <row r="3155" spans="1:33" ht="12" customHeight="1">
      <c r="A3155" s="769" t="s">
        <v>1284</v>
      </c>
      <c r="B3155" s="631" t="s">
        <v>1791</v>
      </c>
      <c r="C3155" s="771" t="s">
        <v>787</v>
      </c>
      <c r="D3155" s="730"/>
      <c r="E3155" s="733"/>
      <c r="F3155" s="573"/>
      <c r="G3155" s="487"/>
      <c r="H3155" s="576">
        <v>5141000</v>
      </c>
      <c r="I3155" s="487">
        <v>2600000</v>
      </c>
      <c r="J3155" s="573"/>
      <c r="K3155" s="487"/>
      <c r="L3155" s="573"/>
      <c r="M3155" s="573"/>
      <c r="N3155" s="456">
        <f t="shared" ref="N3155:N3218" si="401">SUM(L3155:M3155)</f>
        <v>0</v>
      </c>
      <c r="O3155" s="487"/>
      <c r="P3155" s="487"/>
      <c r="Q3155" s="274">
        <f t="shared" si="396"/>
        <v>0</v>
      </c>
      <c r="R3155" s="574">
        <f t="shared" si="397"/>
        <v>5141000</v>
      </c>
      <c r="S3155" s="275">
        <f t="shared" si="398"/>
        <v>2600000</v>
      </c>
      <c r="T3155" s="575"/>
      <c r="U3155" s="487"/>
      <c r="V3155" s="576"/>
      <c r="W3155" s="573"/>
      <c r="X3155" s="574">
        <f t="shared" ref="X3155:X3218" si="402">SUM(V3155:W3155)</f>
        <v>0</v>
      </c>
      <c r="Y3155" s="487"/>
      <c r="Z3155" s="487"/>
      <c r="AA3155" s="276">
        <f t="shared" ref="AA3155:AA3218" si="403">SUM(Y3155:Z3155)</f>
        <v>0</v>
      </c>
      <c r="AB3155" s="573"/>
      <c r="AC3155" s="487"/>
      <c r="AD3155" s="573"/>
      <c r="AE3155" s="487"/>
      <c r="AF3155" s="577">
        <f t="shared" si="399"/>
        <v>5141000</v>
      </c>
      <c r="AG3155" s="275">
        <f t="shared" si="400"/>
        <v>2600000</v>
      </c>
    </row>
    <row r="3156" spans="1:33" ht="12" customHeight="1">
      <c r="A3156" s="769" t="s">
        <v>1284</v>
      </c>
      <c r="B3156" s="631" t="s">
        <v>1791</v>
      </c>
      <c r="C3156" s="771" t="s">
        <v>788</v>
      </c>
      <c r="D3156" s="730"/>
      <c r="E3156" s="733"/>
      <c r="F3156" s="573"/>
      <c r="G3156" s="487"/>
      <c r="H3156" s="576">
        <v>2000000</v>
      </c>
      <c r="I3156" s="487">
        <v>0</v>
      </c>
      <c r="J3156" s="573"/>
      <c r="K3156" s="487"/>
      <c r="L3156" s="573"/>
      <c r="M3156" s="573"/>
      <c r="N3156" s="456">
        <f t="shared" si="401"/>
        <v>0</v>
      </c>
      <c r="O3156" s="487"/>
      <c r="P3156" s="487"/>
      <c r="Q3156" s="274">
        <f t="shared" si="396"/>
        <v>0</v>
      </c>
      <c r="R3156" s="574">
        <f t="shared" si="397"/>
        <v>2000000</v>
      </c>
      <c r="S3156" s="275">
        <f t="shared" si="398"/>
        <v>0</v>
      </c>
      <c r="T3156" s="575"/>
      <c r="U3156" s="487"/>
      <c r="V3156" s="576"/>
      <c r="W3156" s="573"/>
      <c r="X3156" s="574">
        <f t="shared" si="402"/>
        <v>0</v>
      </c>
      <c r="Y3156" s="487"/>
      <c r="Z3156" s="487"/>
      <c r="AA3156" s="276">
        <f t="shared" si="403"/>
        <v>0</v>
      </c>
      <c r="AB3156" s="573"/>
      <c r="AC3156" s="487"/>
      <c r="AD3156" s="573"/>
      <c r="AE3156" s="487"/>
      <c r="AF3156" s="577">
        <f t="shared" si="399"/>
        <v>2000000</v>
      </c>
      <c r="AG3156" s="275">
        <f t="shared" si="400"/>
        <v>0</v>
      </c>
    </row>
    <row r="3157" spans="1:33" ht="12" customHeight="1">
      <c r="A3157" s="769" t="s">
        <v>1284</v>
      </c>
      <c r="B3157" s="631" t="s">
        <v>1792</v>
      </c>
      <c r="C3157" s="288" t="s">
        <v>2037</v>
      </c>
      <c r="D3157" s="730"/>
      <c r="E3157" s="733"/>
      <c r="F3157" s="573"/>
      <c r="G3157" s="487"/>
      <c r="H3157" s="576"/>
      <c r="I3157" s="487"/>
      <c r="J3157" s="573"/>
      <c r="K3157" s="487"/>
      <c r="L3157" s="573"/>
      <c r="M3157" s="573"/>
      <c r="N3157" s="456">
        <f t="shared" si="401"/>
        <v>0</v>
      </c>
      <c r="O3157" s="487"/>
      <c r="P3157" s="487"/>
      <c r="Q3157" s="274">
        <f t="shared" si="396"/>
        <v>0</v>
      </c>
      <c r="R3157" s="574">
        <f t="shared" si="397"/>
        <v>0</v>
      </c>
      <c r="S3157" s="275">
        <f t="shared" si="398"/>
        <v>0</v>
      </c>
      <c r="T3157" s="575"/>
      <c r="U3157" s="487"/>
      <c r="V3157" s="576"/>
      <c r="W3157" s="573"/>
      <c r="X3157" s="574">
        <f t="shared" si="402"/>
        <v>0</v>
      </c>
      <c r="Y3157" s="487"/>
      <c r="Z3157" s="487"/>
      <c r="AA3157" s="276">
        <f t="shared" si="403"/>
        <v>0</v>
      </c>
      <c r="AB3157" s="573"/>
      <c r="AC3157" s="487"/>
      <c r="AD3157" s="573"/>
      <c r="AE3157" s="487"/>
      <c r="AF3157" s="577">
        <f t="shared" si="399"/>
        <v>0</v>
      </c>
      <c r="AG3157" s="275">
        <f t="shared" si="400"/>
        <v>0</v>
      </c>
    </row>
    <row r="3158" spans="1:33" ht="12" customHeight="1">
      <c r="A3158" s="769" t="s">
        <v>1284</v>
      </c>
      <c r="B3158" s="631" t="s">
        <v>1792</v>
      </c>
      <c r="C3158" s="771" t="s">
        <v>801</v>
      </c>
      <c r="D3158" s="730"/>
      <c r="E3158" s="733"/>
      <c r="F3158" s="573"/>
      <c r="G3158" s="487"/>
      <c r="H3158" s="576">
        <v>1212500</v>
      </c>
      <c r="I3158" s="487">
        <v>1384809</v>
      </c>
      <c r="J3158" s="573"/>
      <c r="K3158" s="487"/>
      <c r="L3158" s="573"/>
      <c r="M3158" s="573"/>
      <c r="N3158" s="456">
        <f t="shared" si="401"/>
        <v>0</v>
      </c>
      <c r="O3158" s="487"/>
      <c r="P3158" s="487"/>
      <c r="Q3158" s="274">
        <f t="shared" si="396"/>
        <v>0</v>
      </c>
      <c r="R3158" s="574">
        <f t="shared" si="397"/>
        <v>1212500</v>
      </c>
      <c r="S3158" s="275">
        <f t="shared" si="398"/>
        <v>1384809</v>
      </c>
      <c r="T3158" s="575"/>
      <c r="U3158" s="487"/>
      <c r="V3158" s="576"/>
      <c r="W3158" s="573"/>
      <c r="X3158" s="574">
        <f t="shared" si="402"/>
        <v>0</v>
      </c>
      <c r="Y3158" s="487"/>
      <c r="Z3158" s="487"/>
      <c r="AA3158" s="276">
        <f t="shared" si="403"/>
        <v>0</v>
      </c>
      <c r="AB3158" s="573"/>
      <c r="AC3158" s="487"/>
      <c r="AD3158" s="573"/>
      <c r="AE3158" s="487"/>
      <c r="AF3158" s="577">
        <f t="shared" si="399"/>
        <v>1212500</v>
      </c>
      <c r="AG3158" s="275">
        <f t="shared" si="400"/>
        <v>1384809</v>
      </c>
    </row>
    <row r="3159" spans="1:33" ht="12" customHeight="1">
      <c r="A3159" s="769" t="s">
        <v>1284</v>
      </c>
      <c r="B3159" s="631" t="s">
        <v>1821</v>
      </c>
      <c r="C3159" s="287" t="s">
        <v>1435</v>
      </c>
      <c r="D3159" s="730"/>
      <c r="E3159" s="733"/>
      <c r="F3159" s="573"/>
      <c r="G3159" s="487"/>
      <c r="H3159" s="576"/>
      <c r="I3159" s="487"/>
      <c r="J3159" s="573"/>
      <c r="K3159" s="487"/>
      <c r="L3159" s="573"/>
      <c r="M3159" s="573"/>
      <c r="N3159" s="456">
        <f t="shared" si="401"/>
        <v>0</v>
      </c>
      <c r="O3159" s="487"/>
      <c r="P3159" s="487"/>
      <c r="Q3159" s="274">
        <f t="shared" si="396"/>
        <v>0</v>
      </c>
      <c r="R3159" s="574">
        <f t="shared" si="397"/>
        <v>0</v>
      </c>
      <c r="S3159" s="275">
        <f t="shared" si="398"/>
        <v>0</v>
      </c>
      <c r="T3159" s="575"/>
      <c r="U3159" s="487"/>
      <c r="V3159" s="576"/>
      <c r="W3159" s="573"/>
      <c r="X3159" s="574">
        <f t="shared" si="402"/>
        <v>0</v>
      </c>
      <c r="Y3159" s="487"/>
      <c r="Z3159" s="487"/>
      <c r="AA3159" s="276">
        <f t="shared" si="403"/>
        <v>0</v>
      </c>
      <c r="AB3159" s="573"/>
      <c r="AC3159" s="487"/>
      <c r="AD3159" s="573"/>
      <c r="AE3159" s="487"/>
      <c r="AF3159" s="577">
        <f t="shared" si="399"/>
        <v>0</v>
      </c>
      <c r="AG3159" s="275">
        <f t="shared" si="400"/>
        <v>0</v>
      </c>
    </row>
    <row r="3160" spans="1:33" ht="12" customHeight="1">
      <c r="A3160" s="769" t="s">
        <v>1284</v>
      </c>
      <c r="B3160" s="631" t="s">
        <v>1821</v>
      </c>
      <c r="C3160" s="771" t="s">
        <v>789</v>
      </c>
      <c r="D3160" s="730"/>
      <c r="E3160" s="733"/>
      <c r="F3160" s="573"/>
      <c r="G3160" s="487"/>
      <c r="H3160" s="576">
        <v>6277568</v>
      </c>
      <c r="I3160" s="487">
        <v>6026466</v>
      </c>
      <c r="J3160" s="573"/>
      <c r="K3160" s="487"/>
      <c r="L3160" s="573"/>
      <c r="M3160" s="573"/>
      <c r="N3160" s="456">
        <f t="shared" si="401"/>
        <v>0</v>
      </c>
      <c r="O3160" s="487"/>
      <c r="P3160" s="487"/>
      <c r="Q3160" s="274">
        <f t="shared" si="396"/>
        <v>0</v>
      </c>
      <c r="R3160" s="574">
        <f t="shared" si="397"/>
        <v>6277568</v>
      </c>
      <c r="S3160" s="275">
        <f t="shared" si="398"/>
        <v>6026466</v>
      </c>
      <c r="T3160" s="575"/>
      <c r="U3160" s="487"/>
      <c r="V3160" s="576"/>
      <c r="W3160" s="573"/>
      <c r="X3160" s="574">
        <f t="shared" si="402"/>
        <v>0</v>
      </c>
      <c r="Y3160" s="487"/>
      <c r="Z3160" s="487"/>
      <c r="AA3160" s="276">
        <f t="shared" si="403"/>
        <v>0</v>
      </c>
      <c r="AB3160" s="573"/>
      <c r="AC3160" s="487"/>
      <c r="AD3160" s="573"/>
      <c r="AE3160" s="487"/>
      <c r="AF3160" s="577">
        <f t="shared" si="399"/>
        <v>6277568</v>
      </c>
      <c r="AG3160" s="275">
        <f t="shared" si="400"/>
        <v>6026466</v>
      </c>
    </row>
    <row r="3161" spans="1:33" ht="12" customHeight="1">
      <c r="A3161" s="769" t="s">
        <v>1284</v>
      </c>
      <c r="B3161" s="631" t="s">
        <v>1821</v>
      </c>
      <c r="C3161" s="771" t="s">
        <v>791</v>
      </c>
      <c r="D3161" s="730"/>
      <c r="E3161" s="733"/>
      <c r="F3161" s="573"/>
      <c r="G3161" s="487"/>
      <c r="H3161" s="576">
        <v>6003177</v>
      </c>
      <c r="I3161" s="487">
        <v>6003177</v>
      </c>
      <c r="J3161" s="573"/>
      <c r="K3161" s="487"/>
      <c r="L3161" s="573"/>
      <c r="M3161" s="573"/>
      <c r="N3161" s="456">
        <f t="shared" si="401"/>
        <v>0</v>
      </c>
      <c r="O3161" s="487"/>
      <c r="P3161" s="487"/>
      <c r="Q3161" s="274">
        <f t="shared" si="396"/>
        <v>0</v>
      </c>
      <c r="R3161" s="574">
        <f t="shared" si="397"/>
        <v>6003177</v>
      </c>
      <c r="S3161" s="275">
        <f t="shared" si="398"/>
        <v>6003177</v>
      </c>
      <c r="T3161" s="575"/>
      <c r="U3161" s="487"/>
      <c r="V3161" s="576"/>
      <c r="W3161" s="573"/>
      <c r="X3161" s="574">
        <f t="shared" si="402"/>
        <v>0</v>
      </c>
      <c r="Y3161" s="487"/>
      <c r="Z3161" s="487"/>
      <c r="AA3161" s="276">
        <f t="shared" si="403"/>
        <v>0</v>
      </c>
      <c r="AB3161" s="573"/>
      <c r="AC3161" s="487"/>
      <c r="AD3161" s="573"/>
      <c r="AE3161" s="487"/>
      <c r="AF3161" s="577">
        <f t="shared" si="399"/>
        <v>6003177</v>
      </c>
      <c r="AG3161" s="275">
        <f t="shared" si="400"/>
        <v>6003177</v>
      </c>
    </row>
    <row r="3162" spans="1:33" ht="12" customHeight="1">
      <c r="A3162" s="769" t="s">
        <v>1284</v>
      </c>
      <c r="B3162" s="631" t="s">
        <v>1821</v>
      </c>
      <c r="C3162" s="771" t="s">
        <v>792</v>
      </c>
      <c r="D3162" s="730"/>
      <c r="E3162" s="733"/>
      <c r="F3162" s="573"/>
      <c r="G3162" s="487"/>
      <c r="H3162" s="576">
        <v>546986</v>
      </c>
      <c r="I3162" s="487">
        <v>571899</v>
      </c>
      <c r="J3162" s="573"/>
      <c r="K3162" s="487"/>
      <c r="L3162" s="573"/>
      <c r="M3162" s="573"/>
      <c r="N3162" s="456">
        <f t="shared" si="401"/>
        <v>0</v>
      </c>
      <c r="O3162" s="487"/>
      <c r="P3162" s="487"/>
      <c r="Q3162" s="274">
        <f t="shared" si="396"/>
        <v>0</v>
      </c>
      <c r="R3162" s="574">
        <f t="shared" si="397"/>
        <v>546986</v>
      </c>
      <c r="S3162" s="275">
        <f t="shared" si="398"/>
        <v>571899</v>
      </c>
      <c r="T3162" s="575"/>
      <c r="U3162" s="487"/>
      <c r="V3162" s="576"/>
      <c r="W3162" s="573"/>
      <c r="X3162" s="574">
        <f t="shared" si="402"/>
        <v>0</v>
      </c>
      <c r="Y3162" s="487"/>
      <c r="Z3162" s="487"/>
      <c r="AA3162" s="276">
        <f t="shared" si="403"/>
        <v>0</v>
      </c>
      <c r="AB3162" s="573"/>
      <c r="AC3162" s="487"/>
      <c r="AD3162" s="573"/>
      <c r="AE3162" s="487"/>
      <c r="AF3162" s="577">
        <f t="shared" si="399"/>
        <v>546986</v>
      </c>
      <c r="AG3162" s="275">
        <f t="shared" si="400"/>
        <v>571899</v>
      </c>
    </row>
    <row r="3163" spans="1:33" ht="12" customHeight="1">
      <c r="A3163" s="769" t="s">
        <v>1284</v>
      </c>
      <c r="B3163" s="631" t="s">
        <v>1821</v>
      </c>
      <c r="C3163" s="770" t="s">
        <v>793</v>
      </c>
      <c r="D3163" s="730"/>
      <c r="E3163" s="733"/>
      <c r="F3163" s="573"/>
      <c r="G3163" s="487"/>
      <c r="H3163" s="576">
        <v>170000</v>
      </c>
      <c r="I3163" s="487">
        <v>170000</v>
      </c>
      <c r="J3163" s="573"/>
      <c r="K3163" s="487"/>
      <c r="L3163" s="573"/>
      <c r="M3163" s="573"/>
      <c r="N3163" s="456">
        <f t="shared" si="401"/>
        <v>0</v>
      </c>
      <c r="O3163" s="487"/>
      <c r="P3163" s="487"/>
      <c r="Q3163" s="274">
        <f t="shared" si="396"/>
        <v>0</v>
      </c>
      <c r="R3163" s="574">
        <f t="shared" si="397"/>
        <v>170000</v>
      </c>
      <c r="S3163" s="275">
        <f t="shared" si="398"/>
        <v>170000</v>
      </c>
      <c r="T3163" s="575"/>
      <c r="U3163" s="487"/>
      <c r="V3163" s="576"/>
      <c r="W3163" s="573"/>
      <c r="X3163" s="574">
        <f t="shared" si="402"/>
        <v>0</v>
      </c>
      <c r="Y3163" s="487"/>
      <c r="Z3163" s="487"/>
      <c r="AA3163" s="276">
        <f t="shared" si="403"/>
        <v>0</v>
      </c>
      <c r="AB3163" s="573"/>
      <c r="AC3163" s="487"/>
      <c r="AD3163" s="573"/>
      <c r="AE3163" s="487"/>
      <c r="AF3163" s="577">
        <f t="shared" si="399"/>
        <v>170000</v>
      </c>
      <c r="AG3163" s="275">
        <f t="shared" si="400"/>
        <v>170000</v>
      </c>
    </row>
    <row r="3164" spans="1:33" ht="12" customHeight="1">
      <c r="A3164" s="769" t="s">
        <v>1284</v>
      </c>
      <c r="B3164" s="631" t="s">
        <v>1821</v>
      </c>
      <c r="C3164" s="770" t="s">
        <v>794</v>
      </c>
      <c r="D3164" s="730"/>
      <c r="E3164" s="733"/>
      <c r="F3164" s="573"/>
      <c r="G3164" s="487"/>
      <c r="H3164" s="576">
        <v>544965</v>
      </c>
      <c r="I3164" s="487">
        <v>665344</v>
      </c>
      <c r="J3164" s="573"/>
      <c r="K3164" s="487"/>
      <c r="L3164" s="573"/>
      <c r="M3164" s="573"/>
      <c r="N3164" s="456">
        <f t="shared" si="401"/>
        <v>0</v>
      </c>
      <c r="O3164" s="487"/>
      <c r="P3164" s="487"/>
      <c r="Q3164" s="274">
        <f t="shared" si="396"/>
        <v>0</v>
      </c>
      <c r="R3164" s="574">
        <f t="shared" si="397"/>
        <v>544965</v>
      </c>
      <c r="S3164" s="275">
        <f t="shared" si="398"/>
        <v>665344</v>
      </c>
      <c r="T3164" s="575"/>
      <c r="U3164" s="487"/>
      <c r="V3164" s="576"/>
      <c r="W3164" s="573"/>
      <c r="X3164" s="574">
        <f t="shared" si="402"/>
        <v>0</v>
      </c>
      <c r="Y3164" s="487"/>
      <c r="Z3164" s="487"/>
      <c r="AA3164" s="276">
        <f t="shared" si="403"/>
        <v>0</v>
      </c>
      <c r="AB3164" s="573"/>
      <c r="AC3164" s="487"/>
      <c r="AD3164" s="573"/>
      <c r="AE3164" s="487"/>
      <c r="AF3164" s="577">
        <f t="shared" si="399"/>
        <v>544965</v>
      </c>
      <c r="AG3164" s="275">
        <f t="shared" si="400"/>
        <v>665344</v>
      </c>
    </row>
    <row r="3165" spans="1:33" ht="12" customHeight="1">
      <c r="A3165" s="769" t="s">
        <v>1284</v>
      </c>
      <c r="B3165" s="631" t="s">
        <v>1821</v>
      </c>
      <c r="C3165" s="771" t="s">
        <v>795</v>
      </c>
      <c r="D3165" s="730"/>
      <c r="E3165" s="733"/>
      <c r="F3165" s="573"/>
      <c r="G3165" s="487"/>
      <c r="H3165" s="576"/>
      <c r="I3165" s="487"/>
      <c r="J3165" s="573"/>
      <c r="K3165" s="487"/>
      <c r="L3165" s="573"/>
      <c r="M3165" s="573"/>
      <c r="N3165" s="456">
        <f t="shared" si="401"/>
        <v>0</v>
      </c>
      <c r="O3165" s="487"/>
      <c r="P3165" s="487"/>
      <c r="Q3165" s="274">
        <f t="shared" si="396"/>
        <v>0</v>
      </c>
      <c r="R3165" s="574">
        <f t="shared" si="397"/>
        <v>0</v>
      </c>
      <c r="S3165" s="275">
        <f t="shared" si="398"/>
        <v>0</v>
      </c>
      <c r="T3165" s="575"/>
      <c r="U3165" s="487"/>
      <c r="V3165" s="576"/>
      <c r="W3165" s="573"/>
      <c r="X3165" s="574">
        <f t="shared" si="402"/>
        <v>0</v>
      </c>
      <c r="Y3165" s="487"/>
      <c r="Z3165" s="487"/>
      <c r="AA3165" s="276">
        <f t="shared" si="403"/>
        <v>0</v>
      </c>
      <c r="AB3165" s="573">
        <v>17862303</v>
      </c>
      <c r="AC3165" s="487">
        <v>16624658</v>
      </c>
      <c r="AD3165" s="573"/>
      <c r="AE3165" s="487"/>
      <c r="AF3165" s="577">
        <f t="shared" si="399"/>
        <v>17862303</v>
      </c>
      <c r="AG3165" s="275">
        <f t="shared" si="400"/>
        <v>16624658</v>
      </c>
    </row>
    <row r="3166" spans="1:33" ht="12" customHeight="1">
      <c r="A3166" s="769" t="s">
        <v>1284</v>
      </c>
      <c r="B3166" s="631" t="s">
        <v>1821</v>
      </c>
      <c r="C3166" s="771" t="s">
        <v>796</v>
      </c>
      <c r="D3166" s="730"/>
      <c r="E3166" s="733"/>
      <c r="F3166" s="573"/>
      <c r="G3166" s="487"/>
      <c r="H3166" s="576">
        <v>44229771</v>
      </c>
      <c r="I3166" s="487">
        <v>58362902</v>
      </c>
      <c r="J3166" s="573"/>
      <c r="K3166" s="487"/>
      <c r="L3166" s="573"/>
      <c r="M3166" s="573"/>
      <c r="N3166" s="456">
        <f t="shared" si="401"/>
        <v>0</v>
      </c>
      <c r="O3166" s="487"/>
      <c r="P3166" s="487"/>
      <c r="Q3166" s="274">
        <f t="shared" si="396"/>
        <v>0</v>
      </c>
      <c r="R3166" s="574">
        <f t="shared" si="397"/>
        <v>44229771</v>
      </c>
      <c r="S3166" s="275">
        <f t="shared" si="398"/>
        <v>58362902</v>
      </c>
      <c r="T3166" s="575"/>
      <c r="U3166" s="487"/>
      <c r="V3166" s="576"/>
      <c r="W3166" s="573"/>
      <c r="X3166" s="574">
        <f t="shared" si="402"/>
        <v>0</v>
      </c>
      <c r="Y3166" s="487"/>
      <c r="Z3166" s="487"/>
      <c r="AA3166" s="276">
        <f t="shared" si="403"/>
        <v>0</v>
      </c>
      <c r="AB3166" s="573"/>
      <c r="AC3166" s="487"/>
      <c r="AD3166" s="573"/>
      <c r="AE3166" s="487"/>
      <c r="AF3166" s="577">
        <f t="shared" si="399"/>
        <v>44229771</v>
      </c>
      <c r="AG3166" s="275">
        <f t="shared" si="400"/>
        <v>58362902</v>
      </c>
    </row>
    <row r="3167" spans="1:33" ht="12" customHeight="1">
      <c r="A3167" s="769" t="s">
        <v>1284</v>
      </c>
      <c r="B3167" s="631" t="s">
        <v>1821</v>
      </c>
      <c r="C3167" s="771" t="s">
        <v>797</v>
      </c>
      <c r="D3167" s="730"/>
      <c r="E3167" s="733"/>
      <c r="F3167" s="573"/>
      <c r="G3167" s="487"/>
      <c r="H3167" s="576">
        <v>1390472</v>
      </c>
      <c r="I3167" s="487">
        <v>1747499</v>
      </c>
      <c r="J3167" s="573"/>
      <c r="K3167" s="487"/>
      <c r="L3167" s="573"/>
      <c r="M3167" s="573"/>
      <c r="N3167" s="456">
        <f t="shared" si="401"/>
        <v>0</v>
      </c>
      <c r="O3167" s="487"/>
      <c r="P3167" s="487"/>
      <c r="Q3167" s="274">
        <f t="shared" si="396"/>
        <v>0</v>
      </c>
      <c r="R3167" s="574">
        <f t="shared" si="397"/>
        <v>1390472</v>
      </c>
      <c r="S3167" s="275">
        <f t="shared" si="398"/>
        <v>1747499</v>
      </c>
      <c r="T3167" s="575"/>
      <c r="U3167" s="487"/>
      <c r="V3167" s="576"/>
      <c r="W3167" s="573"/>
      <c r="X3167" s="574">
        <f t="shared" si="402"/>
        <v>0</v>
      </c>
      <c r="Y3167" s="487"/>
      <c r="Z3167" s="487"/>
      <c r="AA3167" s="276">
        <f t="shared" si="403"/>
        <v>0</v>
      </c>
      <c r="AB3167" s="573"/>
      <c r="AC3167" s="487"/>
      <c r="AD3167" s="573"/>
      <c r="AE3167" s="487"/>
      <c r="AF3167" s="577">
        <f t="shared" si="399"/>
        <v>1390472</v>
      </c>
      <c r="AG3167" s="275">
        <f t="shared" si="400"/>
        <v>1747499</v>
      </c>
    </row>
    <row r="3168" spans="1:33" ht="12" customHeight="1">
      <c r="A3168" s="769" t="s">
        <v>1284</v>
      </c>
      <c r="B3168" s="631" t="s">
        <v>1821</v>
      </c>
      <c r="C3168" s="771" t="s">
        <v>798</v>
      </c>
      <c r="D3168" s="730"/>
      <c r="E3168" s="733"/>
      <c r="F3168" s="573"/>
      <c r="G3168" s="487"/>
      <c r="H3168" s="576">
        <v>1955363</v>
      </c>
      <c r="I3168" s="487">
        <v>1939493</v>
      </c>
      <c r="J3168" s="573"/>
      <c r="K3168" s="487"/>
      <c r="L3168" s="573"/>
      <c r="M3168" s="573"/>
      <c r="N3168" s="456">
        <f t="shared" si="401"/>
        <v>0</v>
      </c>
      <c r="O3168" s="487"/>
      <c r="P3168" s="487"/>
      <c r="Q3168" s="274">
        <f t="shared" si="396"/>
        <v>0</v>
      </c>
      <c r="R3168" s="574">
        <f t="shared" si="397"/>
        <v>1955363</v>
      </c>
      <c r="S3168" s="275">
        <f t="shared" si="398"/>
        <v>1939493</v>
      </c>
      <c r="T3168" s="575"/>
      <c r="U3168" s="487"/>
      <c r="V3168" s="576"/>
      <c r="W3168" s="573"/>
      <c r="X3168" s="574">
        <f t="shared" si="402"/>
        <v>0</v>
      </c>
      <c r="Y3168" s="487"/>
      <c r="Z3168" s="487"/>
      <c r="AA3168" s="276">
        <f t="shared" si="403"/>
        <v>0</v>
      </c>
      <c r="AB3168" s="573"/>
      <c r="AC3168" s="487"/>
      <c r="AD3168" s="573"/>
      <c r="AE3168" s="487"/>
      <c r="AF3168" s="577">
        <f t="shared" si="399"/>
        <v>1955363</v>
      </c>
      <c r="AG3168" s="275">
        <f t="shared" si="400"/>
        <v>1939493</v>
      </c>
    </row>
    <row r="3169" spans="1:33" ht="12" customHeight="1">
      <c r="A3169" s="769" t="s">
        <v>1284</v>
      </c>
      <c r="B3169" s="631" t="s">
        <v>1821</v>
      </c>
      <c r="C3169" s="771" t="s">
        <v>799</v>
      </c>
      <c r="D3169" s="730"/>
      <c r="E3169" s="733"/>
      <c r="F3169" s="573"/>
      <c r="G3169" s="487"/>
      <c r="H3169" s="576">
        <v>1248390</v>
      </c>
      <c r="I3169" s="487">
        <v>1186551</v>
      </c>
      <c r="J3169" s="573"/>
      <c r="K3169" s="487"/>
      <c r="L3169" s="573"/>
      <c r="M3169" s="573"/>
      <c r="N3169" s="456">
        <f t="shared" si="401"/>
        <v>0</v>
      </c>
      <c r="O3169" s="487"/>
      <c r="P3169" s="487"/>
      <c r="Q3169" s="274">
        <f t="shared" si="396"/>
        <v>0</v>
      </c>
      <c r="R3169" s="574">
        <f t="shared" si="397"/>
        <v>1248390</v>
      </c>
      <c r="S3169" s="275">
        <f t="shared" si="398"/>
        <v>1186551</v>
      </c>
      <c r="T3169" s="575"/>
      <c r="U3169" s="487"/>
      <c r="V3169" s="576"/>
      <c r="W3169" s="573"/>
      <c r="X3169" s="574">
        <f t="shared" si="402"/>
        <v>0</v>
      </c>
      <c r="Y3169" s="487"/>
      <c r="Z3169" s="487"/>
      <c r="AA3169" s="276">
        <f t="shared" si="403"/>
        <v>0</v>
      </c>
      <c r="AB3169" s="573"/>
      <c r="AC3169" s="487"/>
      <c r="AD3169" s="573"/>
      <c r="AE3169" s="487"/>
      <c r="AF3169" s="577">
        <f t="shared" si="399"/>
        <v>1248390</v>
      </c>
      <c r="AG3169" s="275">
        <f t="shared" si="400"/>
        <v>1186551</v>
      </c>
    </row>
    <row r="3170" spans="1:33" ht="12" customHeight="1">
      <c r="A3170" s="769" t="s">
        <v>1284</v>
      </c>
      <c r="B3170" s="631" t="s">
        <v>1821</v>
      </c>
      <c r="C3170" s="771" t="s">
        <v>800</v>
      </c>
      <c r="D3170" s="730"/>
      <c r="E3170" s="733"/>
      <c r="F3170" s="573"/>
      <c r="G3170" s="487"/>
      <c r="H3170" s="576">
        <v>5910573</v>
      </c>
      <c r="I3170" s="487">
        <v>5612027</v>
      </c>
      <c r="J3170" s="573"/>
      <c r="K3170" s="487"/>
      <c r="L3170" s="573"/>
      <c r="M3170" s="573"/>
      <c r="N3170" s="456">
        <f t="shared" si="401"/>
        <v>0</v>
      </c>
      <c r="O3170" s="487"/>
      <c r="P3170" s="487"/>
      <c r="Q3170" s="274">
        <f t="shared" si="396"/>
        <v>0</v>
      </c>
      <c r="R3170" s="574">
        <f t="shared" si="397"/>
        <v>5910573</v>
      </c>
      <c r="S3170" s="275">
        <f t="shared" si="398"/>
        <v>5612027</v>
      </c>
      <c r="T3170" s="575"/>
      <c r="U3170" s="487"/>
      <c r="V3170" s="576"/>
      <c r="W3170" s="573"/>
      <c r="X3170" s="574">
        <f t="shared" si="402"/>
        <v>0</v>
      </c>
      <c r="Y3170" s="487"/>
      <c r="Z3170" s="487"/>
      <c r="AA3170" s="276">
        <f t="shared" si="403"/>
        <v>0</v>
      </c>
      <c r="AB3170" s="573"/>
      <c r="AC3170" s="487"/>
      <c r="AD3170" s="573"/>
      <c r="AE3170" s="487"/>
      <c r="AF3170" s="577">
        <f t="shared" si="399"/>
        <v>5910573</v>
      </c>
      <c r="AG3170" s="275">
        <f t="shared" si="400"/>
        <v>5612027</v>
      </c>
    </row>
    <row r="3171" spans="1:33" ht="12" customHeight="1" thickBot="1">
      <c r="A3171" s="769" t="s">
        <v>1284</v>
      </c>
      <c r="B3171" s="631" t="s">
        <v>1797</v>
      </c>
      <c r="C3171" s="288" t="s">
        <v>802</v>
      </c>
      <c r="D3171" s="730"/>
      <c r="E3171" s="733"/>
      <c r="F3171" s="573"/>
      <c r="G3171" s="487"/>
      <c r="H3171" s="591">
        <v>1500000</v>
      </c>
      <c r="I3171" s="471">
        <v>0</v>
      </c>
      <c r="J3171" s="573"/>
      <c r="K3171" s="487"/>
      <c r="L3171" s="573"/>
      <c r="M3171" s="573"/>
      <c r="N3171" s="456">
        <f t="shared" si="401"/>
        <v>0</v>
      </c>
      <c r="O3171" s="487"/>
      <c r="P3171" s="487"/>
      <c r="Q3171" s="274">
        <f t="shared" si="396"/>
        <v>0</v>
      </c>
      <c r="R3171" s="574">
        <f t="shared" si="397"/>
        <v>1500000</v>
      </c>
      <c r="S3171" s="275">
        <f t="shared" si="398"/>
        <v>0</v>
      </c>
      <c r="T3171" s="575">
        <v>1500000</v>
      </c>
      <c r="U3171" s="487">
        <v>0</v>
      </c>
      <c r="V3171" s="576"/>
      <c r="W3171" s="573"/>
      <c r="X3171" s="574">
        <f t="shared" si="402"/>
        <v>0</v>
      </c>
      <c r="Y3171" s="487"/>
      <c r="Z3171" s="487"/>
      <c r="AA3171" s="276">
        <f t="shared" si="403"/>
        <v>0</v>
      </c>
      <c r="AB3171" s="573"/>
      <c r="AC3171" s="487"/>
      <c r="AD3171" s="573"/>
      <c r="AE3171" s="487"/>
      <c r="AF3171" s="577">
        <f t="shared" si="399"/>
        <v>3000000</v>
      </c>
      <c r="AG3171" s="275">
        <f t="shared" si="400"/>
        <v>0</v>
      </c>
    </row>
    <row r="3172" spans="1:33" ht="12" customHeight="1">
      <c r="A3172" s="769" t="s">
        <v>1284</v>
      </c>
      <c r="B3172" s="631" t="s">
        <v>1794</v>
      </c>
      <c r="C3172" s="287" t="s">
        <v>849</v>
      </c>
      <c r="D3172" s="730"/>
      <c r="E3172" s="733"/>
      <c r="F3172" s="573"/>
      <c r="G3172" s="487"/>
      <c r="H3172" s="573"/>
      <c r="I3172" s="487"/>
      <c r="J3172" s="573"/>
      <c r="K3172" s="487"/>
      <c r="L3172" s="573"/>
      <c r="M3172" s="573"/>
      <c r="N3172" s="456">
        <f t="shared" si="401"/>
        <v>0</v>
      </c>
      <c r="O3172" s="487"/>
      <c r="P3172" s="487"/>
      <c r="Q3172" s="274">
        <f t="shared" si="396"/>
        <v>0</v>
      </c>
      <c r="R3172" s="574">
        <f t="shared" si="397"/>
        <v>0</v>
      </c>
      <c r="S3172" s="275">
        <f t="shared" si="398"/>
        <v>0</v>
      </c>
      <c r="T3172" s="575"/>
      <c r="U3172" s="487"/>
      <c r="V3172" s="576"/>
      <c r="W3172" s="573"/>
      <c r="X3172" s="574">
        <f t="shared" si="402"/>
        <v>0</v>
      </c>
      <c r="Y3172" s="487"/>
      <c r="Z3172" s="487"/>
      <c r="AA3172" s="276">
        <f t="shared" si="403"/>
        <v>0</v>
      </c>
      <c r="AB3172" s="573"/>
      <c r="AC3172" s="487"/>
      <c r="AD3172" s="573"/>
      <c r="AE3172" s="487"/>
      <c r="AF3172" s="577">
        <f t="shared" si="399"/>
        <v>0</v>
      </c>
      <c r="AG3172" s="275">
        <f t="shared" si="400"/>
        <v>0</v>
      </c>
    </row>
    <row r="3173" spans="1:33" ht="12" customHeight="1">
      <c r="A3173" s="769" t="s">
        <v>1284</v>
      </c>
      <c r="B3173" s="631" t="s">
        <v>1795</v>
      </c>
      <c r="C3173" s="288" t="s">
        <v>957</v>
      </c>
      <c r="D3173" s="730"/>
      <c r="E3173" s="733"/>
      <c r="F3173" s="573"/>
      <c r="G3173" s="487"/>
      <c r="H3173" s="573"/>
      <c r="I3173" s="487"/>
      <c r="J3173" s="573"/>
      <c r="K3173" s="487"/>
      <c r="L3173" s="573"/>
      <c r="M3173" s="573"/>
      <c r="N3173" s="456">
        <f t="shared" si="401"/>
        <v>0</v>
      </c>
      <c r="O3173" s="487"/>
      <c r="P3173" s="487"/>
      <c r="Q3173" s="274">
        <f t="shared" si="396"/>
        <v>0</v>
      </c>
      <c r="R3173" s="574">
        <f t="shared" si="397"/>
        <v>0</v>
      </c>
      <c r="S3173" s="275">
        <f t="shared" si="398"/>
        <v>0</v>
      </c>
      <c r="T3173" s="575">
        <v>4014408</v>
      </c>
      <c r="U3173" s="487">
        <v>3947161</v>
      </c>
      <c r="V3173" s="576"/>
      <c r="W3173" s="573"/>
      <c r="X3173" s="574">
        <f t="shared" si="402"/>
        <v>0</v>
      </c>
      <c r="Y3173" s="487"/>
      <c r="Z3173" s="487"/>
      <c r="AA3173" s="276">
        <f t="shared" si="403"/>
        <v>0</v>
      </c>
      <c r="AB3173" s="573"/>
      <c r="AC3173" s="487"/>
      <c r="AD3173" s="573"/>
      <c r="AE3173" s="487"/>
      <c r="AF3173" s="577">
        <f t="shared" si="399"/>
        <v>4014408</v>
      </c>
      <c r="AG3173" s="275">
        <f t="shared" si="400"/>
        <v>3947161</v>
      </c>
    </row>
    <row r="3174" spans="1:33" ht="12" customHeight="1">
      <c r="A3174" s="769" t="s">
        <v>1284</v>
      </c>
      <c r="B3174" s="631" t="s">
        <v>1796</v>
      </c>
      <c r="C3174" s="288" t="s">
        <v>956</v>
      </c>
      <c r="D3174" s="730"/>
      <c r="E3174" s="733"/>
      <c r="F3174" s="573"/>
      <c r="G3174" s="487"/>
      <c r="H3174" s="573"/>
      <c r="I3174" s="487"/>
      <c r="J3174" s="573"/>
      <c r="K3174" s="487"/>
      <c r="L3174" s="573"/>
      <c r="M3174" s="573"/>
      <c r="N3174" s="456">
        <f t="shared" si="401"/>
        <v>0</v>
      </c>
      <c r="O3174" s="487"/>
      <c r="P3174" s="487"/>
      <c r="Q3174" s="274">
        <f t="shared" si="396"/>
        <v>0</v>
      </c>
      <c r="R3174" s="574">
        <f t="shared" si="397"/>
        <v>0</v>
      </c>
      <c r="S3174" s="275">
        <f t="shared" si="398"/>
        <v>0</v>
      </c>
      <c r="T3174" s="575">
        <v>15765557</v>
      </c>
      <c r="U3174" s="487">
        <v>15765557</v>
      </c>
      <c r="V3174" s="576"/>
      <c r="W3174" s="573"/>
      <c r="X3174" s="574">
        <f t="shared" si="402"/>
        <v>0</v>
      </c>
      <c r="Y3174" s="487"/>
      <c r="Z3174" s="487"/>
      <c r="AA3174" s="276">
        <f t="shared" si="403"/>
        <v>0</v>
      </c>
      <c r="AB3174" s="573"/>
      <c r="AC3174" s="487"/>
      <c r="AD3174" s="573"/>
      <c r="AE3174" s="487"/>
      <c r="AF3174" s="577">
        <f t="shared" si="399"/>
        <v>15765557</v>
      </c>
      <c r="AG3174" s="275">
        <f t="shared" si="400"/>
        <v>15765557</v>
      </c>
    </row>
    <row r="3175" spans="1:33" ht="12" customHeight="1">
      <c r="A3175" s="769" t="s">
        <v>1284</v>
      </c>
      <c r="B3175" s="631" t="s">
        <v>1797</v>
      </c>
      <c r="C3175" s="771" t="s">
        <v>1430</v>
      </c>
      <c r="D3175" s="730"/>
      <c r="E3175" s="733"/>
      <c r="F3175" s="573"/>
      <c r="G3175" s="487"/>
      <c r="H3175" s="573"/>
      <c r="I3175" s="487"/>
      <c r="J3175" s="573"/>
      <c r="K3175" s="487"/>
      <c r="L3175" s="573"/>
      <c r="M3175" s="573"/>
      <c r="N3175" s="456">
        <f t="shared" si="401"/>
        <v>0</v>
      </c>
      <c r="O3175" s="487"/>
      <c r="P3175" s="487"/>
      <c r="Q3175" s="274">
        <f t="shared" si="396"/>
        <v>0</v>
      </c>
      <c r="R3175" s="574">
        <f t="shared" si="397"/>
        <v>0</v>
      </c>
      <c r="S3175" s="275">
        <f t="shared" si="398"/>
        <v>0</v>
      </c>
      <c r="T3175" s="575"/>
      <c r="U3175" s="487"/>
      <c r="V3175" s="576"/>
      <c r="W3175" s="573"/>
      <c r="X3175" s="574">
        <f t="shared" si="402"/>
        <v>0</v>
      </c>
      <c r="Y3175" s="487"/>
      <c r="Z3175" s="487"/>
      <c r="AA3175" s="276">
        <f t="shared" si="403"/>
        <v>0</v>
      </c>
      <c r="AB3175" s="573"/>
      <c r="AC3175" s="487"/>
      <c r="AD3175" s="573"/>
      <c r="AE3175" s="487"/>
      <c r="AF3175" s="577">
        <f t="shared" si="399"/>
        <v>0</v>
      </c>
      <c r="AG3175" s="275">
        <f t="shared" si="400"/>
        <v>0</v>
      </c>
    </row>
    <row r="3176" spans="1:33" ht="12" customHeight="1">
      <c r="A3176" s="769" t="s">
        <v>1284</v>
      </c>
      <c r="B3176" s="631" t="s">
        <v>1798</v>
      </c>
      <c r="C3176" s="288" t="s">
        <v>1606</v>
      </c>
      <c r="D3176" s="730"/>
      <c r="E3176" s="733"/>
      <c r="F3176" s="573"/>
      <c r="G3176" s="487"/>
      <c r="H3176" s="573"/>
      <c r="I3176" s="487"/>
      <c r="J3176" s="573"/>
      <c r="K3176" s="487"/>
      <c r="L3176" s="573"/>
      <c r="M3176" s="573"/>
      <c r="N3176" s="456">
        <f t="shared" si="401"/>
        <v>0</v>
      </c>
      <c r="O3176" s="487"/>
      <c r="P3176" s="487"/>
      <c r="Q3176" s="274">
        <f t="shared" si="396"/>
        <v>0</v>
      </c>
      <c r="R3176" s="574">
        <f t="shared" si="397"/>
        <v>0</v>
      </c>
      <c r="S3176" s="275">
        <f t="shared" si="398"/>
        <v>0</v>
      </c>
      <c r="T3176" s="575"/>
      <c r="U3176" s="487"/>
      <c r="V3176" s="576"/>
      <c r="W3176" s="573"/>
      <c r="X3176" s="574">
        <f t="shared" si="402"/>
        <v>0</v>
      </c>
      <c r="Y3176" s="487"/>
      <c r="Z3176" s="487"/>
      <c r="AA3176" s="276">
        <f t="shared" si="403"/>
        <v>0</v>
      </c>
      <c r="AB3176" s="573"/>
      <c r="AC3176" s="487"/>
      <c r="AD3176" s="573"/>
      <c r="AE3176" s="487"/>
      <c r="AF3176" s="577">
        <f t="shared" si="399"/>
        <v>0</v>
      </c>
      <c r="AG3176" s="275">
        <f t="shared" si="400"/>
        <v>0</v>
      </c>
    </row>
    <row r="3177" spans="1:33" ht="12" customHeight="1">
      <c r="A3177" s="769" t="s">
        <v>1284</v>
      </c>
      <c r="B3177" s="631" t="s">
        <v>1799</v>
      </c>
      <c r="C3177" s="287" t="s">
        <v>853</v>
      </c>
      <c r="D3177" s="730"/>
      <c r="E3177" s="733"/>
      <c r="F3177" s="573"/>
      <c r="G3177" s="487"/>
      <c r="H3177" s="573"/>
      <c r="I3177" s="487"/>
      <c r="J3177" s="573"/>
      <c r="K3177" s="487"/>
      <c r="L3177" s="573"/>
      <c r="M3177" s="573"/>
      <c r="N3177" s="456">
        <f t="shared" si="401"/>
        <v>0</v>
      </c>
      <c r="O3177" s="487"/>
      <c r="P3177" s="487"/>
      <c r="Q3177" s="274">
        <f t="shared" si="396"/>
        <v>0</v>
      </c>
      <c r="R3177" s="574">
        <f t="shared" si="397"/>
        <v>0</v>
      </c>
      <c r="S3177" s="275">
        <f t="shared" si="398"/>
        <v>0</v>
      </c>
      <c r="T3177" s="575"/>
      <c r="U3177" s="487"/>
      <c r="V3177" s="576"/>
      <c r="W3177" s="573"/>
      <c r="X3177" s="574">
        <f t="shared" si="402"/>
        <v>0</v>
      </c>
      <c r="Y3177" s="487"/>
      <c r="Z3177" s="487"/>
      <c r="AA3177" s="276">
        <f t="shared" si="403"/>
        <v>0</v>
      </c>
      <c r="AB3177" s="573"/>
      <c r="AC3177" s="487"/>
      <c r="AD3177" s="573"/>
      <c r="AE3177" s="487"/>
      <c r="AF3177" s="577">
        <f t="shared" si="399"/>
        <v>0</v>
      </c>
      <c r="AG3177" s="275">
        <f t="shared" si="400"/>
        <v>0</v>
      </c>
    </row>
    <row r="3178" spans="1:33" ht="12" customHeight="1">
      <c r="A3178" s="769" t="s">
        <v>1284</v>
      </c>
      <c r="B3178" s="631" t="s">
        <v>1800</v>
      </c>
      <c r="C3178" s="287" t="s">
        <v>858</v>
      </c>
      <c r="D3178" s="730"/>
      <c r="E3178" s="733"/>
      <c r="F3178" s="573"/>
      <c r="G3178" s="487"/>
      <c r="H3178" s="573"/>
      <c r="I3178" s="487"/>
      <c r="J3178" s="573"/>
      <c r="K3178" s="487"/>
      <c r="L3178" s="573"/>
      <c r="M3178" s="573"/>
      <c r="N3178" s="456">
        <f t="shared" si="401"/>
        <v>0</v>
      </c>
      <c r="O3178" s="487"/>
      <c r="P3178" s="487"/>
      <c r="Q3178" s="274">
        <f t="shared" si="396"/>
        <v>0</v>
      </c>
      <c r="R3178" s="574">
        <f t="shared" si="397"/>
        <v>0</v>
      </c>
      <c r="S3178" s="275">
        <f t="shared" si="398"/>
        <v>0</v>
      </c>
      <c r="T3178" s="575"/>
      <c r="U3178" s="487"/>
      <c r="V3178" s="576"/>
      <c r="W3178" s="573"/>
      <c r="X3178" s="574">
        <f t="shared" si="402"/>
        <v>0</v>
      </c>
      <c r="Y3178" s="487"/>
      <c r="Z3178" s="487"/>
      <c r="AA3178" s="276">
        <f t="shared" si="403"/>
        <v>0</v>
      </c>
      <c r="AB3178" s="573"/>
      <c r="AC3178" s="487"/>
      <c r="AD3178" s="573"/>
      <c r="AE3178" s="487"/>
      <c r="AF3178" s="577">
        <f t="shared" si="399"/>
        <v>0</v>
      </c>
      <c r="AG3178" s="275">
        <f t="shared" si="400"/>
        <v>0</v>
      </c>
    </row>
    <row r="3179" spans="1:33" ht="12" customHeight="1">
      <c r="A3179" s="769" t="s">
        <v>1284</v>
      </c>
      <c r="B3179" s="631" t="s">
        <v>1801</v>
      </c>
      <c r="C3179" s="288" t="s">
        <v>859</v>
      </c>
      <c r="D3179" s="730"/>
      <c r="E3179" s="733"/>
      <c r="F3179" s="573"/>
      <c r="G3179" s="487"/>
      <c r="H3179" s="573"/>
      <c r="I3179" s="487"/>
      <c r="J3179" s="573"/>
      <c r="K3179" s="487"/>
      <c r="L3179" s="573"/>
      <c r="M3179" s="573"/>
      <c r="N3179" s="456">
        <f t="shared" si="401"/>
        <v>0</v>
      </c>
      <c r="O3179" s="487"/>
      <c r="P3179" s="487"/>
      <c r="Q3179" s="274">
        <f t="shared" si="396"/>
        <v>0</v>
      </c>
      <c r="R3179" s="574">
        <f t="shared" si="397"/>
        <v>0</v>
      </c>
      <c r="S3179" s="275">
        <f t="shared" si="398"/>
        <v>0</v>
      </c>
      <c r="T3179" s="575"/>
      <c r="U3179" s="487"/>
      <c r="V3179" s="576"/>
      <c r="W3179" s="573"/>
      <c r="X3179" s="574">
        <f t="shared" si="402"/>
        <v>0</v>
      </c>
      <c r="Y3179" s="487"/>
      <c r="Z3179" s="487"/>
      <c r="AA3179" s="276">
        <f t="shared" si="403"/>
        <v>0</v>
      </c>
      <c r="AB3179" s="573"/>
      <c r="AC3179" s="487"/>
      <c r="AD3179" s="573"/>
      <c r="AE3179" s="487"/>
      <c r="AF3179" s="577">
        <f t="shared" si="399"/>
        <v>0</v>
      </c>
      <c r="AG3179" s="275">
        <f t="shared" si="400"/>
        <v>0</v>
      </c>
    </row>
    <row r="3180" spans="1:33" ht="12" customHeight="1">
      <c r="A3180" s="769" t="s">
        <v>1284</v>
      </c>
      <c r="B3180" s="631" t="s">
        <v>1801</v>
      </c>
      <c r="C3180" s="770" t="s">
        <v>704</v>
      </c>
      <c r="D3180" s="730"/>
      <c r="E3180" s="733"/>
      <c r="F3180" s="573"/>
      <c r="G3180" s="487"/>
      <c r="H3180" s="573"/>
      <c r="I3180" s="487"/>
      <c r="J3180" s="573"/>
      <c r="K3180" s="487"/>
      <c r="L3180" s="573"/>
      <c r="M3180" s="573"/>
      <c r="N3180" s="456">
        <f t="shared" si="401"/>
        <v>0</v>
      </c>
      <c r="O3180" s="487"/>
      <c r="P3180" s="487"/>
      <c r="Q3180" s="274">
        <f t="shared" si="396"/>
        <v>0</v>
      </c>
      <c r="R3180" s="574">
        <f t="shared" si="397"/>
        <v>0</v>
      </c>
      <c r="S3180" s="275">
        <f t="shared" si="398"/>
        <v>0</v>
      </c>
      <c r="T3180" s="575">
        <v>26640</v>
      </c>
      <c r="U3180" s="487">
        <v>26640</v>
      </c>
      <c r="V3180" s="576"/>
      <c r="W3180" s="573"/>
      <c r="X3180" s="574">
        <f t="shared" si="402"/>
        <v>0</v>
      </c>
      <c r="Y3180" s="487"/>
      <c r="Z3180" s="487"/>
      <c r="AA3180" s="276">
        <f t="shared" si="403"/>
        <v>0</v>
      </c>
      <c r="AB3180" s="573"/>
      <c r="AC3180" s="487"/>
      <c r="AD3180" s="573"/>
      <c r="AE3180" s="487"/>
      <c r="AF3180" s="577">
        <f t="shared" si="399"/>
        <v>26640</v>
      </c>
      <c r="AG3180" s="275">
        <f t="shared" si="400"/>
        <v>26640</v>
      </c>
    </row>
    <row r="3181" spans="1:33" ht="12" customHeight="1">
      <c r="A3181" s="769" t="s">
        <v>1284</v>
      </c>
      <c r="B3181" s="631" t="s">
        <v>1802</v>
      </c>
      <c r="C3181" s="288" t="s">
        <v>861</v>
      </c>
      <c r="D3181" s="730"/>
      <c r="E3181" s="733"/>
      <c r="F3181" s="573"/>
      <c r="G3181" s="487"/>
      <c r="H3181" s="573"/>
      <c r="I3181" s="487"/>
      <c r="J3181" s="573"/>
      <c r="K3181" s="487"/>
      <c r="L3181" s="573"/>
      <c r="M3181" s="573"/>
      <c r="N3181" s="456">
        <f t="shared" si="401"/>
        <v>0</v>
      </c>
      <c r="O3181" s="487"/>
      <c r="P3181" s="487"/>
      <c r="Q3181" s="274">
        <f t="shared" si="396"/>
        <v>0</v>
      </c>
      <c r="R3181" s="574">
        <f t="shared" si="397"/>
        <v>0</v>
      </c>
      <c r="S3181" s="275">
        <f t="shared" si="398"/>
        <v>0</v>
      </c>
      <c r="T3181" s="575"/>
      <c r="U3181" s="487"/>
      <c r="V3181" s="576"/>
      <c r="W3181" s="573"/>
      <c r="X3181" s="574">
        <f t="shared" si="402"/>
        <v>0</v>
      </c>
      <c r="Y3181" s="487"/>
      <c r="Z3181" s="487"/>
      <c r="AA3181" s="276">
        <f t="shared" si="403"/>
        <v>0</v>
      </c>
      <c r="AB3181" s="573"/>
      <c r="AC3181" s="487"/>
      <c r="AD3181" s="573"/>
      <c r="AE3181" s="487"/>
      <c r="AF3181" s="577">
        <f t="shared" si="399"/>
        <v>0</v>
      </c>
      <c r="AG3181" s="275">
        <f t="shared" si="400"/>
        <v>0</v>
      </c>
    </row>
    <row r="3182" spans="1:33" ht="12" customHeight="1">
      <c r="A3182" s="769" t="s">
        <v>1284</v>
      </c>
      <c r="B3182" s="631" t="s">
        <v>1802</v>
      </c>
      <c r="C3182" s="770" t="s">
        <v>803</v>
      </c>
      <c r="D3182" s="730"/>
      <c r="E3182" s="733"/>
      <c r="F3182" s="573"/>
      <c r="G3182" s="487"/>
      <c r="H3182" s="573"/>
      <c r="I3182" s="487"/>
      <c r="J3182" s="573"/>
      <c r="K3182" s="487"/>
      <c r="L3182" s="573"/>
      <c r="M3182" s="573"/>
      <c r="N3182" s="456">
        <f t="shared" si="401"/>
        <v>0</v>
      </c>
      <c r="O3182" s="487"/>
      <c r="P3182" s="487"/>
      <c r="Q3182" s="274">
        <f t="shared" si="396"/>
        <v>0</v>
      </c>
      <c r="R3182" s="574">
        <f t="shared" si="397"/>
        <v>0</v>
      </c>
      <c r="S3182" s="275">
        <f t="shared" si="398"/>
        <v>0</v>
      </c>
      <c r="T3182" s="575"/>
      <c r="U3182" s="487"/>
      <c r="V3182" s="576"/>
      <c r="W3182" s="573"/>
      <c r="X3182" s="574">
        <f t="shared" si="402"/>
        <v>0</v>
      </c>
      <c r="Y3182" s="487"/>
      <c r="Z3182" s="487"/>
      <c r="AA3182" s="276">
        <f t="shared" si="403"/>
        <v>0</v>
      </c>
      <c r="AB3182" s="573"/>
      <c r="AC3182" s="487"/>
      <c r="AD3182" s="573"/>
      <c r="AE3182" s="487"/>
      <c r="AF3182" s="577">
        <f t="shared" si="399"/>
        <v>0</v>
      </c>
      <c r="AG3182" s="275">
        <f t="shared" si="400"/>
        <v>0</v>
      </c>
    </row>
    <row r="3183" spans="1:33" ht="12" customHeight="1">
      <c r="A3183" s="769" t="s">
        <v>1284</v>
      </c>
      <c r="B3183" s="631" t="s">
        <v>1802</v>
      </c>
      <c r="C3183" s="770" t="s">
        <v>804</v>
      </c>
      <c r="D3183" s="730"/>
      <c r="E3183" s="733"/>
      <c r="F3183" s="573"/>
      <c r="G3183" s="487"/>
      <c r="H3183" s="573"/>
      <c r="I3183" s="487"/>
      <c r="J3183" s="573"/>
      <c r="K3183" s="487"/>
      <c r="L3183" s="573"/>
      <c r="M3183" s="573"/>
      <c r="N3183" s="456">
        <f t="shared" si="401"/>
        <v>0</v>
      </c>
      <c r="O3183" s="487"/>
      <c r="P3183" s="487"/>
      <c r="Q3183" s="274">
        <f t="shared" si="396"/>
        <v>0</v>
      </c>
      <c r="R3183" s="574">
        <f t="shared" si="397"/>
        <v>0</v>
      </c>
      <c r="S3183" s="275">
        <f t="shared" si="398"/>
        <v>0</v>
      </c>
      <c r="T3183" s="575"/>
      <c r="U3183" s="487"/>
      <c r="V3183" s="576"/>
      <c r="W3183" s="573"/>
      <c r="X3183" s="574">
        <f t="shared" si="402"/>
        <v>0</v>
      </c>
      <c r="Y3183" s="487"/>
      <c r="Z3183" s="487"/>
      <c r="AA3183" s="276">
        <f t="shared" si="403"/>
        <v>0</v>
      </c>
      <c r="AB3183" s="573"/>
      <c r="AC3183" s="487"/>
      <c r="AD3183" s="573"/>
      <c r="AE3183" s="487"/>
      <c r="AF3183" s="577">
        <f t="shared" si="399"/>
        <v>0</v>
      </c>
      <c r="AG3183" s="275">
        <f t="shared" si="400"/>
        <v>0</v>
      </c>
    </row>
    <row r="3184" spans="1:33" ht="12" customHeight="1">
      <c r="A3184" s="769" t="s">
        <v>1284</v>
      </c>
      <c r="B3184" s="631" t="s">
        <v>1802</v>
      </c>
      <c r="C3184" s="770" t="s">
        <v>526</v>
      </c>
      <c r="D3184" s="730"/>
      <c r="E3184" s="733"/>
      <c r="F3184" s="573"/>
      <c r="G3184" s="487"/>
      <c r="H3184" s="573"/>
      <c r="I3184" s="487"/>
      <c r="J3184" s="573"/>
      <c r="K3184" s="487"/>
      <c r="L3184" s="573"/>
      <c r="M3184" s="573"/>
      <c r="N3184" s="456">
        <f t="shared" si="401"/>
        <v>0</v>
      </c>
      <c r="O3184" s="487"/>
      <c r="P3184" s="487"/>
      <c r="Q3184" s="274">
        <f t="shared" si="396"/>
        <v>0</v>
      </c>
      <c r="R3184" s="574">
        <f t="shared" si="397"/>
        <v>0</v>
      </c>
      <c r="S3184" s="275">
        <f t="shared" si="398"/>
        <v>0</v>
      </c>
      <c r="T3184" s="575"/>
      <c r="U3184" s="487"/>
      <c r="V3184" s="576"/>
      <c r="W3184" s="573"/>
      <c r="X3184" s="574">
        <f t="shared" si="402"/>
        <v>0</v>
      </c>
      <c r="Y3184" s="487"/>
      <c r="Z3184" s="487"/>
      <c r="AA3184" s="276">
        <f t="shared" si="403"/>
        <v>0</v>
      </c>
      <c r="AB3184" s="573"/>
      <c r="AC3184" s="487"/>
      <c r="AD3184" s="573"/>
      <c r="AE3184" s="487"/>
      <c r="AF3184" s="577">
        <f t="shared" si="399"/>
        <v>0</v>
      </c>
      <c r="AG3184" s="275">
        <f t="shared" si="400"/>
        <v>0</v>
      </c>
    </row>
    <row r="3185" spans="1:33" ht="12" customHeight="1">
      <c r="A3185" s="769" t="s">
        <v>1284</v>
      </c>
      <c r="B3185" s="631" t="s">
        <v>1802</v>
      </c>
      <c r="C3185" s="770" t="s">
        <v>805</v>
      </c>
      <c r="D3185" s="730"/>
      <c r="E3185" s="733"/>
      <c r="F3185" s="573"/>
      <c r="G3185" s="487"/>
      <c r="H3185" s="573"/>
      <c r="I3185" s="487"/>
      <c r="J3185" s="573"/>
      <c r="K3185" s="487"/>
      <c r="L3185" s="573"/>
      <c r="M3185" s="573"/>
      <c r="N3185" s="456">
        <f t="shared" si="401"/>
        <v>0</v>
      </c>
      <c r="O3185" s="487"/>
      <c r="P3185" s="487"/>
      <c r="Q3185" s="274">
        <f t="shared" si="396"/>
        <v>0</v>
      </c>
      <c r="R3185" s="574">
        <f t="shared" si="397"/>
        <v>0</v>
      </c>
      <c r="S3185" s="275">
        <f t="shared" si="398"/>
        <v>0</v>
      </c>
      <c r="T3185" s="575"/>
      <c r="U3185" s="487"/>
      <c r="V3185" s="576"/>
      <c r="W3185" s="573"/>
      <c r="X3185" s="574">
        <f t="shared" si="402"/>
        <v>0</v>
      </c>
      <c r="Y3185" s="487"/>
      <c r="Z3185" s="487"/>
      <c r="AA3185" s="276">
        <f t="shared" si="403"/>
        <v>0</v>
      </c>
      <c r="AB3185" s="573"/>
      <c r="AC3185" s="487"/>
      <c r="AD3185" s="573"/>
      <c r="AE3185" s="487"/>
      <c r="AF3185" s="577">
        <f t="shared" si="399"/>
        <v>0</v>
      </c>
      <c r="AG3185" s="275">
        <f t="shared" si="400"/>
        <v>0</v>
      </c>
    </row>
    <row r="3186" spans="1:33" ht="12" customHeight="1">
      <c r="A3186" s="769" t="s">
        <v>1284</v>
      </c>
      <c r="B3186" s="631" t="s">
        <v>1803</v>
      </c>
      <c r="C3186" s="288" t="s">
        <v>954</v>
      </c>
      <c r="D3186" s="730"/>
      <c r="E3186" s="733"/>
      <c r="F3186" s="573"/>
      <c r="G3186" s="487"/>
      <c r="H3186" s="573"/>
      <c r="I3186" s="487"/>
      <c r="J3186" s="573"/>
      <c r="K3186" s="487"/>
      <c r="L3186" s="573"/>
      <c r="M3186" s="573"/>
      <c r="N3186" s="456">
        <f t="shared" si="401"/>
        <v>0</v>
      </c>
      <c r="O3186" s="487"/>
      <c r="P3186" s="487"/>
      <c r="Q3186" s="274">
        <f t="shared" si="396"/>
        <v>0</v>
      </c>
      <c r="R3186" s="574">
        <f t="shared" si="397"/>
        <v>0</v>
      </c>
      <c r="S3186" s="275">
        <f t="shared" si="398"/>
        <v>0</v>
      </c>
      <c r="T3186" s="575">
        <v>170000</v>
      </c>
      <c r="U3186" s="487">
        <v>170000</v>
      </c>
      <c r="V3186" s="576"/>
      <c r="W3186" s="573"/>
      <c r="X3186" s="574">
        <f t="shared" si="402"/>
        <v>0</v>
      </c>
      <c r="Y3186" s="487"/>
      <c r="Z3186" s="487"/>
      <c r="AA3186" s="276">
        <f t="shared" si="403"/>
        <v>0</v>
      </c>
      <c r="AB3186" s="573"/>
      <c r="AC3186" s="487"/>
      <c r="AD3186" s="573"/>
      <c r="AE3186" s="487"/>
      <c r="AF3186" s="577">
        <f t="shared" si="399"/>
        <v>170000</v>
      </c>
      <c r="AG3186" s="275">
        <f t="shared" si="400"/>
        <v>170000</v>
      </c>
    </row>
    <row r="3187" spans="1:33" ht="12" customHeight="1">
      <c r="A3187" s="769" t="s">
        <v>1284</v>
      </c>
      <c r="B3187" s="631" t="s">
        <v>1804</v>
      </c>
      <c r="C3187" s="289" t="s">
        <v>418</v>
      </c>
      <c r="D3187" s="730"/>
      <c r="E3187" s="733"/>
      <c r="F3187" s="573"/>
      <c r="G3187" s="487"/>
      <c r="H3187" s="573"/>
      <c r="I3187" s="487"/>
      <c r="J3187" s="573"/>
      <c r="K3187" s="487"/>
      <c r="L3187" s="573"/>
      <c r="M3187" s="573"/>
      <c r="N3187" s="456">
        <f t="shared" si="401"/>
        <v>0</v>
      </c>
      <c r="O3187" s="487"/>
      <c r="P3187" s="487"/>
      <c r="Q3187" s="274">
        <f t="shared" si="396"/>
        <v>0</v>
      </c>
      <c r="R3187" s="574">
        <f t="shared" si="397"/>
        <v>0</v>
      </c>
      <c r="S3187" s="275">
        <f t="shared" si="398"/>
        <v>0</v>
      </c>
      <c r="T3187" s="575"/>
      <c r="U3187" s="487"/>
      <c r="V3187" s="576"/>
      <c r="W3187" s="573"/>
      <c r="X3187" s="574">
        <f t="shared" si="402"/>
        <v>0</v>
      </c>
      <c r="Y3187" s="487"/>
      <c r="Z3187" s="487"/>
      <c r="AA3187" s="276">
        <f t="shared" si="403"/>
        <v>0</v>
      </c>
      <c r="AB3187" s="573"/>
      <c r="AC3187" s="487"/>
      <c r="AD3187" s="573"/>
      <c r="AE3187" s="487"/>
      <c r="AF3187" s="577">
        <f t="shared" si="399"/>
        <v>0</v>
      </c>
      <c r="AG3187" s="275">
        <f t="shared" si="400"/>
        <v>0</v>
      </c>
    </row>
    <row r="3188" spans="1:33" ht="12" customHeight="1">
      <c r="A3188" s="769" t="s">
        <v>1284</v>
      </c>
      <c r="B3188" s="631" t="s">
        <v>1805</v>
      </c>
      <c r="C3188" s="484" t="s">
        <v>419</v>
      </c>
      <c r="D3188" s="730"/>
      <c r="E3188" s="733"/>
      <c r="F3188" s="573"/>
      <c r="G3188" s="487"/>
      <c r="H3188" s="573"/>
      <c r="I3188" s="487"/>
      <c r="J3188" s="573"/>
      <c r="K3188" s="487"/>
      <c r="L3188" s="573"/>
      <c r="M3188" s="573"/>
      <c r="N3188" s="456">
        <f t="shared" si="401"/>
        <v>0</v>
      </c>
      <c r="O3188" s="487"/>
      <c r="P3188" s="487"/>
      <c r="Q3188" s="274">
        <f t="shared" si="396"/>
        <v>0</v>
      </c>
      <c r="R3188" s="574">
        <f t="shared" si="397"/>
        <v>0</v>
      </c>
      <c r="S3188" s="275">
        <f t="shared" si="398"/>
        <v>0</v>
      </c>
      <c r="T3188" s="575"/>
      <c r="U3188" s="487"/>
      <c r="V3188" s="576"/>
      <c r="W3188" s="573"/>
      <c r="X3188" s="574">
        <f t="shared" si="402"/>
        <v>0</v>
      </c>
      <c r="Y3188" s="487"/>
      <c r="Z3188" s="487"/>
      <c r="AA3188" s="276">
        <f t="shared" si="403"/>
        <v>0</v>
      </c>
      <c r="AB3188" s="573"/>
      <c r="AC3188" s="487"/>
      <c r="AD3188" s="573"/>
      <c r="AE3188" s="487"/>
      <c r="AF3188" s="577">
        <f t="shared" si="399"/>
        <v>0</v>
      </c>
      <c r="AG3188" s="275">
        <f t="shared" si="400"/>
        <v>0</v>
      </c>
    </row>
    <row r="3189" spans="1:33" ht="12" customHeight="1">
      <c r="A3189" s="769" t="s">
        <v>1284</v>
      </c>
      <c r="B3189" s="631" t="s">
        <v>1805</v>
      </c>
      <c r="C3189" s="290" t="s">
        <v>806</v>
      </c>
      <c r="D3189" s="730"/>
      <c r="E3189" s="733"/>
      <c r="F3189" s="573"/>
      <c r="G3189" s="487"/>
      <c r="H3189" s="573"/>
      <c r="I3189" s="487"/>
      <c r="J3189" s="573"/>
      <c r="K3189" s="487"/>
      <c r="L3189" s="573"/>
      <c r="M3189" s="573"/>
      <c r="N3189" s="456">
        <f t="shared" si="401"/>
        <v>0</v>
      </c>
      <c r="O3189" s="487"/>
      <c r="P3189" s="487"/>
      <c r="Q3189" s="274">
        <f t="shared" si="396"/>
        <v>0</v>
      </c>
      <c r="R3189" s="574">
        <f t="shared" si="397"/>
        <v>0</v>
      </c>
      <c r="S3189" s="275">
        <f t="shared" si="398"/>
        <v>0</v>
      </c>
      <c r="T3189" s="575"/>
      <c r="U3189" s="487"/>
      <c r="V3189" s="576"/>
      <c r="W3189" s="573"/>
      <c r="X3189" s="574">
        <f t="shared" si="402"/>
        <v>0</v>
      </c>
      <c r="Y3189" s="487"/>
      <c r="Z3189" s="487"/>
      <c r="AA3189" s="276">
        <f t="shared" si="403"/>
        <v>0</v>
      </c>
      <c r="AB3189" s="573"/>
      <c r="AC3189" s="487"/>
      <c r="AD3189" s="573"/>
      <c r="AE3189" s="487"/>
      <c r="AF3189" s="577">
        <f t="shared" si="399"/>
        <v>0</v>
      </c>
      <c r="AG3189" s="275">
        <f t="shared" si="400"/>
        <v>0</v>
      </c>
    </row>
    <row r="3190" spans="1:33" ht="12" customHeight="1">
      <c r="A3190" s="769" t="s">
        <v>1284</v>
      </c>
      <c r="B3190" s="773" t="s">
        <v>1510</v>
      </c>
      <c r="C3190" s="774" t="s">
        <v>421</v>
      </c>
      <c r="D3190" s="775"/>
      <c r="E3190" s="634"/>
      <c r="F3190" s="573"/>
      <c r="G3190" s="487"/>
      <c r="H3190" s="573"/>
      <c r="I3190" s="487"/>
      <c r="J3190" s="573"/>
      <c r="K3190" s="487"/>
      <c r="L3190" s="573"/>
      <c r="M3190" s="573"/>
      <c r="N3190" s="456">
        <f t="shared" si="401"/>
        <v>0</v>
      </c>
      <c r="O3190" s="487"/>
      <c r="P3190" s="487"/>
      <c r="Q3190" s="274">
        <f t="shared" si="396"/>
        <v>0</v>
      </c>
      <c r="R3190" s="574">
        <f t="shared" si="397"/>
        <v>0</v>
      </c>
      <c r="S3190" s="275">
        <f t="shared" si="398"/>
        <v>0</v>
      </c>
      <c r="T3190" s="575"/>
      <c r="U3190" s="487"/>
      <c r="V3190" s="576"/>
      <c r="W3190" s="573"/>
      <c r="X3190" s="574">
        <f t="shared" si="402"/>
        <v>0</v>
      </c>
      <c r="Y3190" s="487"/>
      <c r="Z3190" s="487"/>
      <c r="AA3190" s="276">
        <f t="shared" si="403"/>
        <v>0</v>
      </c>
      <c r="AB3190" s="573"/>
      <c r="AC3190" s="487"/>
      <c r="AD3190" s="573"/>
      <c r="AE3190" s="487"/>
      <c r="AF3190" s="577">
        <f t="shared" si="399"/>
        <v>0</v>
      </c>
      <c r="AG3190" s="275">
        <f t="shared" si="400"/>
        <v>0</v>
      </c>
    </row>
    <row r="3191" spans="1:33" ht="12" customHeight="1">
      <c r="A3191" s="769" t="s">
        <v>1284</v>
      </c>
      <c r="B3191" s="773" t="s">
        <v>1511</v>
      </c>
      <c r="C3191" s="774" t="s">
        <v>1883</v>
      </c>
      <c r="D3191" s="775"/>
      <c r="E3191" s="634"/>
      <c r="F3191" s="573"/>
      <c r="G3191" s="487"/>
      <c r="H3191" s="573"/>
      <c r="I3191" s="487"/>
      <c r="J3191" s="573"/>
      <c r="K3191" s="487"/>
      <c r="L3191" s="573"/>
      <c r="M3191" s="573"/>
      <c r="N3191" s="456">
        <f t="shared" si="401"/>
        <v>0</v>
      </c>
      <c r="O3191" s="487"/>
      <c r="P3191" s="487"/>
      <c r="Q3191" s="274">
        <f t="shared" si="396"/>
        <v>0</v>
      </c>
      <c r="R3191" s="574">
        <f t="shared" si="397"/>
        <v>0</v>
      </c>
      <c r="S3191" s="275">
        <f t="shared" si="398"/>
        <v>0</v>
      </c>
      <c r="T3191" s="575">
        <v>3372105</v>
      </c>
      <c r="U3191" s="658">
        <v>3372105</v>
      </c>
      <c r="V3191" s="576"/>
      <c r="W3191" s="573"/>
      <c r="X3191" s="574">
        <f t="shared" si="402"/>
        <v>0</v>
      </c>
      <c r="Y3191" s="487"/>
      <c r="Z3191" s="487"/>
      <c r="AA3191" s="276">
        <f t="shared" si="403"/>
        <v>0</v>
      </c>
      <c r="AB3191" s="573"/>
      <c r="AC3191" s="487"/>
      <c r="AD3191" s="573"/>
      <c r="AE3191" s="487"/>
      <c r="AF3191" s="577">
        <f t="shared" si="399"/>
        <v>3372105</v>
      </c>
      <c r="AG3191" s="275">
        <f t="shared" si="400"/>
        <v>3372105</v>
      </c>
    </row>
    <row r="3192" spans="1:33" ht="12" customHeight="1">
      <c r="A3192" s="769" t="s">
        <v>1284</v>
      </c>
      <c r="B3192" s="773" t="s">
        <v>1412</v>
      </c>
      <c r="C3192" s="774" t="s">
        <v>807</v>
      </c>
      <c r="D3192" s="775"/>
      <c r="E3192" s="634"/>
      <c r="F3192" s="573"/>
      <c r="G3192" s="487"/>
      <c r="H3192" s="573"/>
      <c r="I3192" s="487"/>
      <c r="J3192" s="573"/>
      <c r="K3192" s="487"/>
      <c r="L3192" s="573"/>
      <c r="M3192" s="573"/>
      <c r="N3192" s="456">
        <f t="shared" si="401"/>
        <v>0</v>
      </c>
      <c r="O3192" s="487"/>
      <c r="P3192" s="487"/>
      <c r="Q3192" s="274">
        <f t="shared" si="396"/>
        <v>0</v>
      </c>
      <c r="R3192" s="574">
        <f t="shared" si="397"/>
        <v>0</v>
      </c>
      <c r="S3192" s="275">
        <f t="shared" si="398"/>
        <v>0</v>
      </c>
      <c r="T3192" s="575">
        <v>1000000</v>
      </c>
      <c r="U3192" s="487">
        <v>1000000</v>
      </c>
      <c r="V3192" s="576"/>
      <c r="W3192" s="573"/>
      <c r="X3192" s="574">
        <f t="shared" si="402"/>
        <v>0</v>
      </c>
      <c r="Y3192" s="487"/>
      <c r="Z3192" s="487"/>
      <c r="AA3192" s="276">
        <f t="shared" si="403"/>
        <v>0</v>
      </c>
      <c r="AB3192" s="573"/>
      <c r="AC3192" s="487"/>
      <c r="AD3192" s="573"/>
      <c r="AE3192" s="487"/>
      <c r="AF3192" s="577">
        <f t="shared" si="399"/>
        <v>1000000</v>
      </c>
      <c r="AG3192" s="275">
        <f t="shared" si="400"/>
        <v>1000000</v>
      </c>
    </row>
    <row r="3193" spans="1:33" ht="12" customHeight="1">
      <c r="A3193" s="769" t="s">
        <v>1284</v>
      </c>
      <c r="B3193" s="631" t="s">
        <v>1413</v>
      </c>
      <c r="C3193" s="774" t="s">
        <v>422</v>
      </c>
      <c r="D3193" s="775"/>
      <c r="E3193" s="634"/>
      <c r="F3193" s="573"/>
      <c r="G3193" s="487"/>
      <c r="H3193" s="573"/>
      <c r="I3193" s="487"/>
      <c r="J3193" s="573"/>
      <c r="K3193" s="487"/>
      <c r="L3193" s="573"/>
      <c r="M3193" s="573"/>
      <c r="N3193" s="456">
        <f t="shared" si="401"/>
        <v>0</v>
      </c>
      <c r="O3193" s="487"/>
      <c r="P3193" s="487"/>
      <c r="Q3193" s="274">
        <f t="shared" si="396"/>
        <v>0</v>
      </c>
      <c r="R3193" s="574">
        <f t="shared" si="397"/>
        <v>0</v>
      </c>
      <c r="S3193" s="275">
        <f t="shared" si="398"/>
        <v>0</v>
      </c>
      <c r="T3193" s="575"/>
      <c r="U3193" s="487"/>
      <c r="V3193" s="576"/>
      <c r="W3193" s="573"/>
      <c r="X3193" s="574">
        <f t="shared" si="402"/>
        <v>0</v>
      </c>
      <c r="Y3193" s="487"/>
      <c r="Z3193" s="487"/>
      <c r="AA3193" s="276">
        <f t="shared" si="403"/>
        <v>0</v>
      </c>
      <c r="AB3193" s="573"/>
      <c r="AC3193" s="487"/>
      <c r="AD3193" s="573"/>
      <c r="AE3193" s="487"/>
      <c r="AF3193" s="577">
        <f t="shared" si="399"/>
        <v>0</v>
      </c>
      <c r="AG3193" s="275">
        <f t="shared" si="400"/>
        <v>0</v>
      </c>
    </row>
    <row r="3194" spans="1:33" ht="12" customHeight="1">
      <c r="A3194" s="769" t="s">
        <v>1284</v>
      </c>
      <c r="B3194" s="773" t="s">
        <v>1582</v>
      </c>
      <c r="C3194" s="774" t="s">
        <v>1883</v>
      </c>
      <c r="D3194" s="775"/>
      <c r="E3194" s="634"/>
      <c r="F3194" s="573"/>
      <c r="G3194" s="487"/>
      <c r="H3194" s="573"/>
      <c r="I3194" s="487"/>
      <c r="J3194" s="573"/>
      <c r="K3194" s="487"/>
      <c r="L3194" s="573"/>
      <c r="M3194" s="573"/>
      <c r="N3194" s="456">
        <f t="shared" si="401"/>
        <v>0</v>
      </c>
      <c r="O3194" s="487"/>
      <c r="P3194" s="487"/>
      <c r="Q3194" s="274">
        <f t="shared" si="396"/>
        <v>0</v>
      </c>
      <c r="R3194" s="574">
        <f t="shared" si="397"/>
        <v>0</v>
      </c>
      <c r="S3194" s="275">
        <f t="shared" si="398"/>
        <v>0</v>
      </c>
      <c r="T3194" s="575">
        <v>1041645</v>
      </c>
      <c r="U3194" s="487">
        <v>1041645</v>
      </c>
      <c r="V3194" s="576"/>
      <c r="W3194" s="573"/>
      <c r="X3194" s="574">
        <f t="shared" si="402"/>
        <v>0</v>
      </c>
      <c r="Y3194" s="487"/>
      <c r="Z3194" s="487"/>
      <c r="AA3194" s="276">
        <f t="shared" si="403"/>
        <v>0</v>
      </c>
      <c r="AB3194" s="573"/>
      <c r="AC3194" s="487"/>
      <c r="AD3194" s="573"/>
      <c r="AE3194" s="487"/>
      <c r="AF3194" s="577">
        <f t="shared" si="399"/>
        <v>1041645</v>
      </c>
      <c r="AG3194" s="275">
        <f t="shared" si="400"/>
        <v>1041645</v>
      </c>
    </row>
    <row r="3195" spans="1:33" ht="12" customHeight="1">
      <c r="A3195" s="769" t="s">
        <v>1284</v>
      </c>
      <c r="B3195" s="773" t="s">
        <v>1583</v>
      </c>
      <c r="C3195" s="774" t="s">
        <v>1761</v>
      </c>
      <c r="D3195" s="775"/>
      <c r="E3195" s="634"/>
      <c r="F3195" s="573"/>
      <c r="G3195" s="487"/>
      <c r="H3195" s="573"/>
      <c r="I3195" s="487"/>
      <c r="J3195" s="573"/>
      <c r="K3195" s="487"/>
      <c r="L3195" s="573"/>
      <c r="M3195" s="573"/>
      <c r="N3195" s="456">
        <f t="shared" si="401"/>
        <v>0</v>
      </c>
      <c r="O3195" s="487"/>
      <c r="P3195" s="487"/>
      <c r="Q3195" s="274">
        <f t="shared" si="396"/>
        <v>0</v>
      </c>
      <c r="R3195" s="574">
        <f t="shared" si="397"/>
        <v>0</v>
      </c>
      <c r="S3195" s="275">
        <f t="shared" si="398"/>
        <v>0</v>
      </c>
      <c r="T3195" s="575"/>
      <c r="U3195" s="487"/>
      <c r="V3195" s="576"/>
      <c r="W3195" s="573"/>
      <c r="X3195" s="574">
        <f t="shared" si="402"/>
        <v>0</v>
      </c>
      <c r="Y3195" s="487"/>
      <c r="Z3195" s="487"/>
      <c r="AA3195" s="276">
        <f t="shared" si="403"/>
        <v>0</v>
      </c>
      <c r="AB3195" s="573"/>
      <c r="AC3195" s="487"/>
      <c r="AD3195" s="573"/>
      <c r="AE3195" s="487"/>
      <c r="AF3195" s="577">
        <f t="shared" si="399"/>
        <v>0</v>
      </c>
      <c r="AG3195" s="275">
        <f t="shared" si="400"/>
        <v>0</v>
      </c>
    </row>
    <row r="3196" spans="1:33" ht="12" customHeight="1">
      <c r="A3196" s="769" t="s">
        <v>1284</v>
      </c>
      <c r="B3196" s="773" t="s">
        <v>1806</v>
      </c>
      <c r="C3196" s="485" t="s">
        <v>193</v>
      </c>
      <c r="D3196" s="775"/>
      <c r="E3196" s="634"/>
      <c r="F3196" s="573"/>
      <c r="G3196" s="487"/>
      <c r="H3196" s="573"/>
      <c r="I3196" s="487"/>
      <c r="J3196" s="573"/>
      <c r="K3196" s="487"/>
      <c r="L3196" s="573"/>
      <c r="M3196" s="573"/>
      <c r="N3196" s="456">
        <f t="shared" si="401"/>
        <v>0</v>
      </c>
      <c r="O3196" s="487"/>
      <c r="P3196" s="487"/>
      <c r="Q3196" s="274">
        <f t="shared" si="396"/>
        <v>0</v>
      </c>
      <c r="R3196" s="574">
        <f t="shared" si="397"/>
        <v>0</v>
      </c>
      <c r="S3196" s="275">
        <f t="shared" si="398"/>
        <v>0</v>
      </c>
      <c r="T3196" s="575"/>
      <c r="U3196" s="487"/>
      <c r="V3196" s="576"/>
      <c r="W3196" s="573"/>
      <c r="X3196" s="574">
        <f t="shared" si="402"/>
        <v>0</v>
      </c>
      <c r="Y3196" s="487"/>
      <c r="Z3196" s="487"/>
      <c r="AA3196" s="276">
        <f t="shared" si="403"/>
        <v>0</v>
      </c>
      <c r="AB3196" s="573"/>
      <c r="AC3196" s="487"/>
      <c r="AD3196" s="573"/>
      <c r="AE3196" s="487"/>
      <c r="AF3196" s="577">
        <f t="shared" si="399"/>
        <v>0</v>
      </c>
      <c r="AG3196" s="275">
        <f t="shared" si="400"/>
        <v>0</v>
      </c>
    </row>
    <row r="3197" spans="1:33" ht="12" customHeight="1">
      <c r="A3197" s="769" t="s">
        <v>1284</v>
      </c>
      <c r="B3197" s="773" t="s">
        <v>1806</v>
      </c>
      <c r="C3197" s="290" t="s">
        <v>806</v>
      </c>
      <c r="D3197" s="775"/>
      <c r="E3197" s="634"/>
      <c r="F3197" s="573"/>
      <c r="G3197" s="487"/>
      <c r="H3197" s="573"/>
      <c r="I3197" s="487"/>
      <c r="J3197" s="573"/>
      <c r="K3197" s="487"/>
      <c r="L3197" s="573"/>
      <c r="M3197" s="573"/>
      <c r="N3197" s="456">
        <f t="shared" si="401"/>
        <v>0</v>
      </c>
      <c r="O3197" s="487"/>
      <c r="P3197" s="487"/>
      <c r="Q3197" s="274">
        <f t="shared" si="396"/>
        <v>0</v>
      </c>
      <c r="R3197" s="574">
        <f t="shared" si="397"/>
        <v>0</v>
      </c>
      <c r="S3197" s="275">
        <f t="shared" si="398"/>
        <v>0</v>
      </c>
      <c r="T3197" s="575"/>
      <c r="U3197" s="487"/>
      <c r="V3197" s="576"/>
      <c r="W3197" s="573"/>
      <c r="X3197" s="574">
        <f t="shared" si="402"/>
        <v>0</v>
      </c>
      <c r="Y3197" s="487"/>
      <c r="Z3197" s="487"/>
      <c r="AA3197" s="276">
        <f t="shared" si="403"/>
        <v>0</v>
      </c>
      <c r="AB3197" s="573"/>
      <c r="AC3197" s="487"/>
      <c r="AD3197" s="573"/>
      <c r="AE3197" s="487"/>
      <c r="AF3197" s="577">
        <f t="shared" si="399"/>
        <v>0</v>
      </c>
      <c r="AG3197" s="275">
        <f t="shared" si="400"/>
        <v>0</v>
      </c>
    </row>
    <row r="3198" spans="1:33" ht="12" customHeight="1">
      <c r="A3198" s="769" t="s">
        <v>1284</v>
      </c>
      <c r="B3198" s="773" t="s">
        <v>1764</v>
      </c>
      <c r="C3198" s="774" t="s">
        <v>1883</v>
      </c>
      <c r="D3198" s="775"/>
      <c r="E3198" s="634"/>
      <c r="F3198" s="573"/>
      <c r="G3198" s="487"/>
      <c r="H3198" s="573"/>
      <c r="I3198" s="487"/>
      <c r="J3198" s="573"/>
      <c r="K3198" s="487"/>
      <c r="L3198" s="573"/>
      <c r="M3198" s="573"/>
      <c r="N3198" s="456">
        <f t="shared" si="401"/>
        <v>0</v>
      </c>
      <c r="O3198" s="487"/>
      <c r="P3198" s="487"/>
      <c r="Q3198" s="274">
        <f t="shared" si="396"/>
        <v>0</v>
      </c>
      <c r="R3198" s="574">
        <f t="shared" si="397"/>
        <v>0</v>
      </c>
      <c r="S3198" s="275">
        <f t="shared" si="398"/>
        <v>0</v>
      </c>
      <c r="T3198" s="575">
        <v>113704799</v>
      </c>
      <c r="U3198" s="487">
        <v>122968040</v>
      </c>
      <c r="V3198" s="576"/>
      <c r="W3198" s="573"/>
      <c r="X3198" s="574">
        <f t="shared" si="402"/>
        <v>0</v>
      </c>
      <c r="Y3198" s="487"/>
      <c r="Z3198" s="487"/>
      <c r="AA3198" s="276">
        <f t="shared" si="403"/>
        <v>0</v>
      </c>
      <c r="AB3198" s="573"/>
      <c r="AC3198" s="487"/>
      <c r="AD3198" s="573"/>
      <c r="AE3198" s="487"/>
      <c r="AF3198" s="577">
        <f t="shared" si="399"/>
        <v>113704799</v>
      </c>
      <c r="AG3198" s="275">
        <f t="shared" si="400"/>
        <v>122968040</v>
      </c>
    </row>
    <row r="3199" spans="1:33" ht="12" customHeight="1">
      <c r="A3199" s="769" t="s">
        <v>1284</v>
      </c>
      <c r="B3199" s="773" t="s">
        <v>1765</v>
      </c>
      <c r="C3199" s="774" t="s">
        <v>1761</v>
      </c>
      <c r="D3199" s="775"/>
      <c r="E3199" s="634"/>
      <c r="F3199" s="573"/>
      <c r="G3199" s="487"/>
      <c r="H3199" s="573"/>
      <c r="I3199" s="487"/>
      <c r="J3199" s="573"/>
      <c r="K3199" s="487"/>
      <c r="L3199" s="573"/>
      <c r="M3199" s="573"/>
      <c r="N3199" s="456">
        <f t="shared" si="401"/>
        <v>0</v>
      </c>
      <c r="O3199" s="487"/>
      <c r="P3199" s="487"/>
      <c r="Q3199" s="274">
        <f t="shared" si="396"/>
        <v>0</v>
      </c>
      <c r="R3199" s="574">
        <f t="shared" si="397"/>
        <v>0</v>
      </c>
      <c r="S3199" s="275">
        <f t="shared" si="398"/>
        <v>0</v>
      </c>
      <c r="T3199" s="575">
        <v>12359822</v>
      </c>
      <c r="U3199" s="487">
        <v>12359822</v>
      </c>
      <c r="V3199" s="576"/>
      <c r="W3199" s="573"/>
      <c r="X3199" s="574">
        <f t="shared" si="402"/>
        <v>0</v>
      </c>
      <c r="Y3199" s="487"/>
      <c r="Z3199" s="487"/>
      <c r="AA3199" s="276">
        <f t="shared" si="403"/>
        <v>0</v>
      </c>
      <c r="AB3199" s="573"/>
      <c r="AC3199" s="487"/>
      <c r="AD3199" s="573"/>
      <c r="AE3199" s="487"/>
      <c r="AF3199" s="577">
        <f t="shared" si="399"/>
        <v>12359822</v>
      </c>
      <c r="AG3199" s="275">
        <f t="shared" si="400"/>
        <v>12359822</v>
      </c>
    </row>
    <row r="3200" spans="1:33" ht="12" customHeight="1">
      <c r="A3200" s="769" t="s">
        <v>1284</v>
      </c>
      <c r="B3200" s="773" t="s">
        <v>1806</v>
      </c>
      <c r="C3200" s="774" t="s">
        <v>1234</v>
      </c>
      <c r="D3200" s="775"/>
      <c r="E3200" s="634"/>
      <c r="F3200" s="573"/>
      <c r="G3200" s="487"/>
      <c r="H3200" s="573"/>
      <c r="I3200" s="487"/>
      <c r="J3200" s="573"/>
      <c r="K3200" s="487"/>
      <c r="L3200" s="573"/>
      <c r="M3200" s="573"/>
      <c r="N3200" s="456">
        <f t="shared" si="401"/>
        <v>0</v>
      </c>
      <c r="O3200" s="487"/>
      <c r="P3200" s="487"/>
      <c r="Q3200" s="274">
        <f t="shared" si="396"/>
        <v>0</v>
      </c>
      <c r="R3200" s="574">
        <f t="shared" si="397"/>
        <v>0</v>
      </c>
      <c r="S3200" s="275">
        <f t="shared" si="398"/>
        <v>0</v>
      </c>
      <c r="T3200" s="575"/>
      <c r="U3200" s="487">
        <v>300000</v>
      </c>
      <c r="V3200" s="576"/>
      <c r="W3200" s="573"/>
      <c r="X3200" s="574">
        <f t="shared" si="402"/>
        <v>0</v>
      </c>
      <c r="Y3200" s="487"/>
      <c r="Z3200" s="487"/>
      <c r="AA3200" s="276">
        <f t="shared" si="403"/>
        <v>0</v>
      </c>
      <c r="AB3200" s="573"/>
      <c r="AC3200" s="487"/>
      <c r="AD3200" s="573"/>
      <c r="AE3200" s="487"/>
      <c r="AF3200" s="577">
        <f t="shared" si="399"/>
        <v>0</v>
      </c>
      <c r="AG3200" s="275">
        <f t="shared" si="400"/>
        <v>300000</v>
      </c>
    </row>
    <row r="3201" spans="1:33" ht="12" customHeight="1">
      <c r="A3201" s="769" t="s">
        <v>1284</v>
      </c>
      <c r="B3201" s="631" t="s">
        <v>1807</v>
      </c>
      <c r="C3201" s="484" t="s">
        <v>1879</v>
      </c>
      <c r="D3201" s="730"/>
      <c r="E3201" s="733"/>
      <c r="F3201" s="573"/>
      <c r="G3201" s="487"/>
      <c r="H3201" s="573"/>
      <c r="I3201" s="487"/>
      <c r="J3201" s="573"/>
      <c r="K3201" s="487"/>
      <c r="L3201" s="573"/>
      <c r="M3201" s="573"/>
      <c r="N3201" s="456">
        <f t="shared" si="401"/>
        <v>0</v>
      </c>
      <c r="O3201" s="487"/>
      <c r="P3201" s="487"/>
      <c r="Q3201" s="274">
        <f t="shared" si="396"/>
        <v>0</v>
      </c>
      <c r="R3201" s="574">
        <f t="shared" si="397"/>
        <v>0</v>
      </c>
      <c r="S3201" s="275">
        <f t="shared" si="398"/>
        <v>0</v>
      </c>
      <c r="T3201" s="575"/>
      <c r="U3201" s="487"/>
      <c r="V3201" s="576"/>
      <c r="W3201" s="573"/>
      <c r="X3201" s="574">
        <f t="shared" si="402"/>
        <v>0</v>
      </c>
      <c r="Y3201" s="487"/>
      <c r="Z3201" s="487"/>
      <c r="AA3201" s="276">
        <f t="shared" si="403"/>
        <v>0</v>
      </c>
      <c r="AB3201" s="573"/>
      <c r="AC3201" s="487"/>
      <c r="AD3201" s="573"/>
      <c r="AE3201" s="487"/>
      <c r="AF3201" s="577">
        <f t="shared" si="399"/>
        <v>0</v>
      </c>
      <c r="AG3201" s="275">
        <f t="shared" si="400"/>
        <v>0</v>
      </c>
    </row>
    <row r="3202" spans="1:33" ht="12" customHeight="1">
      <c r="A3202" s="769" t="s">
        <v>1284</v>
      </c>
      <c r="B3202" s="631" t="s">
        <v>1807</v>
      </c>
      <c r="C3202" s="291" t="s">
        <v>808</v>
      </c>
      <c r="D3202" s="730"/>
      <c r="E3202" s="733"/>
      <c r="F3202" s="573"/>
      <c r="G3202" s="487"/>
      <c r="H3202" s="573"/>
      <c r="I3202" s="487"/>
      <c r="J3202" s="573"/>
      <c r="K3202" s="487"/>
      <c r="L3202" s="573"/>
      <c r="M3202" s="573"/>
      <c r="N3202" s="456">
        <f t="shared" si="401"/>
        <v>0</v>
      </c>
      <c r="O3202" s="487"/>
      <c r="P3202" s="487"/>
      <c r="Q3202" s="274">
        <f t="shared" si="396"/>
        <v>0</v>
      </c>
      <c r="R3202" s="574">
        <f t="shared" si="397"/>
        <v>0</v>
      </c>
      <c r="S3202" s="275">
        <f t="shared" si="398"/>
        <v>0</v>
      </c>
      <c r="T3202" s="575"/>
      <c r="U3202" s="487"/>
      <c r="V3202" s="576"/>
      <c r="W3202" s="573"/>
      <c r="X3202" s="574">
        <f t="shared" si="402"/>
        <v>0</v>
      </c>
      <c r="Y3202" s="487"/>
      <c r="Z3202" s="487"/>
      <c r="AA3202" s="276">
        <f t="shared" si="403"/>
        <v>0</v>
      </c>
      <c r="AB3202" s="573"/>
      <c r="AC3202" s="487"/>
      <c r="AD3202" s="573"/>
      <c r="AE3202" s="487"/>
      <c r="AF3202" s="577">
        <f t="shared" si="399"/>
        <v>0</v>
      </c>
      <c r="AG3202" s="275">
        <f t="shared" si="400"/>
        <v>0</v>
      </c>
    </row>
    <row r="3203" spans="1:33" ht="12" customHeight="1">
      <c r="A3203" s="769" t="s">
        <v>1284</v>
      </c>
      <c r="B3203" s="773" t="s">
        <v>1766</v>
      </c>
      <c r="C3203" s="774" t="s">
        <v>1883</v>
      </c>
      <c r="D3203" s="775"/>
      <c r="E3203" s="634"/>
      <c r="F3203" s="573"/>
      <c r="G3203" s="487"/>
      <c r="H3203" s="573"/>
      <c r="I3203" s="487"/>
      <c r="J3203" s="573"/>
      <c r="K3203" s="487"/>
      <c r="L3203" s="573"/>
      <c r="M3203" s="573"/>
      <c r="N3203" s="456">
        <f t="shared" si="401"/>
        <v>0</v>
      </c>
      <c r="O3203" s="487"/>
      <c r="P3203" s="487"/>
      <c r="Q3203" s="274">
        <f t="shared" si="396"/>
        <v>0</v>
      </c>
      <c r="R3203" s="574">
        <f t="shared" si="397"/>
        <v>0</v>
      </c>
      <c r="S3203" s="275">
        <f t="shared" si="398"/>
        <v>0</v>
      </c>
      <c r="T3203" s="575"/>
      <c r="U3203" s="487"/>
      <c r="V3203" s="576"/>
      <c r="W3203" s="573"/>
      <c r="X3203" s="574">
        <f t="shared" si="402"/>
        <v>0</v>
      </c>
      <c r="Y3203" s="487"/>
      <c r="Z3203" s="487"/>
      <c r="AA3203" s="276">
        <f t="shared" si="403"/>
        <v>0</v>
      </c>
      <c r="AB3203" s="573"/>
      <c r="AC3203" s="487"/>
      <c r="AD3203" s="573"/>
      <c r="AE3203" s="487"/>
      <c r="AF3203" s="577">
        <f t="shared" si="399"/>
        <v>0</v>
      </c>
      <c r="AG3203" s="275">
        <f t="shared" si="400"/>
        <v>0</v>
      </c>
    </row>
    <row r="3204" spans="1:33" ht="12" customHeight="1">
      <c r="A3204" s="769" t="s">
        <v>1284</v>
      </c>
      <c r="B3204" s="773" t="s">
        <v>1767</v>
      </c>
      <c r="C3204" s="774" t="s">
        <v>1761</v>
      </c>
      <c r="D3204" s="775"/>
      <c r="E3204" s="634"/>
      <c r="F3204" s="573"/>
      <c r="G3204" s="487"/>
      <c r="H3204" s="573"/>
      <c r="I3204" s="487"/>
      <c r="J3204" s="573"/>
      <c r="K3204" s="487"/>
      <c r="L3204" s="573"/>
      <c r="M3204" s="573"/>
      <c r="N3204" s="456">
        <f t="shared" si="401"/>
        <v>0</v>
      </c>
      <c r="O3204" s="487"/>
      <c r="P3204" s="487"/>
      <c r="Q3204" s="274">
        <f t="shared" si="396"/>
        <v>0</v>
      </c>
      <c r="R3204" s="574">
        <f t="shared" si="397"/>
        <v>0</v>
      </c>
      <c r="S3204" s="275">
        <f t="shared" si="398"/>
        <v>0</v>
      </c>
      <c r="T3204" s="575">
        <v>59505933</v>
      </c>
      <c r="U3204" s="487">
        <v>60025933</v>
      </c>
      <c r="V3204" s="576"/>
      <c r="W3204" s="573"/>
      <c r="X3204" s="574">
        <f t="shared" si="402"/>
        <v>0</v>
      </c>
      <c r="Y3204" s="487"/>
      <c r="Z3204" s="487"/>
      <c r="AA3204" s="276">
        <f t="shared" si="403"/>
        <v>0</v>
      </c>
      <c r="AB3204" s="573"/>
      <c r="AC3204" s="487"/>
      <c r="AD3204" s="573"/>
      <c r="AE3204" s="487"/>
      <c r="AF3204" s="577">
        <f t="shared" si="399"/>
        <v>59505933</v>
      </c>
      <c r="AG3204" s="275">
        <f t="shared" si="400"/>
        <v>60025933</v>
      </c>
    </row>
    <row r="3205" spans="1:33" ht="12" customHeight="1">
      <c r="A3205" s="769" t="s">
        <v>1284</v>
      </c>
      <c r="B3205" s="631" t="s">
        <v>1807</v>
      </c>
      <c r="C3205" s="291" t="s">
        <v>809</v>
      </c>
      <c r="D3205" s="730"/>
      <c r="E3205" s="733"/>
      <c r="F3205" s="573"/>
      <c r="G3205" s="487"/>
      <c r="H3205" s="573"/>
      <c r="I3205" s="487"/>
      <c r="J3205" s="573"/>
      <c r="K3205" s="487"/>
      <c r="L3205" s="573"/>
      <c r="M3205" s="573"/>
      <c r="N3205" s="456">
        <f t="shared" si="401"/>
        <v>0</v>
      </c>
      <c r="O3205" s="487"/>
      <c r="P3205" s="487"/>
      <c r="Q3205" s="274">
        <f t="shared" si="396"/>
        <v>0</v>
      </c>
      <c r="R3205" s="574">
        <f t="shared" si="397"/>
        <v>0</v>
      </c>
      <c r="S3205" s="275">
        <f t="shared" si="398"/>
        <v>0</v>
      </c>
      <c r="T3205" s="575"/>
      <c r="U3205" s="487"/>
      <c r="V3205" s="576"/>
      <c r="W3205" s="573"/>
      <c r="X3205" s="574">
        <f t="shared" si="402"/>
        <v>0</v>
      </c>
      <c r="Y3205" s="487"/>
      <c r="Z3205" s="487"/>
      <c r="AA3205" s="276">
        <f t="shared" si="403"/>
        <v>0</v>
      </c>
      <c r="AB3205" s="573"/>
      <c r="AC3205" s="487"/>
      <c r="AD3205" s="573"/>
      <c r="AE3205" s="487"/>
      <c r="AF3205" s="577">
        <f t="shared" si="399"/>
        <v>0</v>
      </c>
      <c r="AG3205" s="275">
        <f t="shared" si="400"/>
        <v>0</v>
      </c>
    </row>
    <row r="3206" spans="1:33" ht="12" customHeight="1">
      <c r="A3206" s="769" t="s">
        <v>1284</v>
      </c>
      <c r="B3206" s="773" t="s">
        <v>1766</v>
      </c>
      <c r="C3206" s="774" t="s">
        <v>1883</v>
      </c>
      <c r="D3206" s="775"/>
      <c r="E3206" s="634"/>
      <c r="F3206" s="573"/>
      <c r="G3206" s="487"/>
      <c r="H3206" s="573"/>
      <c r="I3206" s="487"/>
      <c r="J3206" s="573"/>
      <c r="K3206" s="487"/>
      <c r="L3206" s="573"/>
      <c r="M3206" s="573"/>
      <c r="N3206" s="456">
        <f t="shared" si="401"/>
        <v>0</v>
      </c>
      <c r="O3206" s="487"/>
      <c r="P3206" s="487"/>
      <c r="Q3206" s="274">
        <f t="shared" si="396"/>
        <v>0</v>
      </c>
      <c r="R3206" s="574">
        <f t="shared" si="397"/>
        <v>0</v>
      </c>
      <c r="S3206" s="275">
        <f t="shared" si="398"/>
        <v>0</v>
      </c>
      <c r="T3206" s="575"/>
      <c r="U3206" s="487"/>
      <c r="V3206" s="576"/>
      <c r="W3206" s="573"/>
      <c r="X3206" s="574">
        <f t="shared" si="402"/>
        <v>0</v>
      </c>
      <c r="Y3206" s="487"/>
      <c r="Z3206" s="487"/>
      <c r="AA3206" s="276">
        <f t="shared" si="403"/>
        <v>0</v>
      </c>
      <c r="AB3206" s="573"/>
      <c r="AC3206" s="487"/>
      <c r="AD3206" s="573"/>
      <c r="AE3206" s="487"/>
      <c r="AF3206" s="577">
        <f t="shared" si="399"/>
        <v>0</v>
      </c>
      <c r="AG3206" s="275">
        <f t="shared" si="400"/>
        <v>0</v>
      </c>
    </row>
    <row r="3207" spans="1:33" ht="12" customHeight="1">
      <c r="A3207" s="769" t="s">
        <v>1284</v>
      </c>
      <c r="B3207" s="773" t="s">
        <v>1767</v>
      </c>
      <c r="C3207" s="774" t="s">
        <v>1761</v>
      </c>
      <c r="D3207" s="775"/>
      <c r="E3207" s="634"/>
      <c r="F3207" s="573"/>
      <c r="G3207" s="487"/>
      <c r="H3207" s="573"/>
      <c r="I3207" s="487"/>
      <c r="J3207" s="573"/>
      <c r="K3207" s="487"/>
      <c r="L3207" s="573"/>
      <c r="M3207" s="573"/>
      <c r="N3207" s="456">
        <f t="shared" si="401"/>
        <v>0</v>
      </c>
      <c r="O3207" s="487"/>
      <c r="P3207" s="487"/>
      <c r="Q3207" s="274">
        <f t="shared" si="396"/>
        <v>0</v>
      </c>
      <c r="R3207" s="574">
        <f t="shared" si="397"/>
        <v>0</v>
      </c>
      <c r="S3207" s="275">
        <f t="shared" si="398"/>
        <v>0</v>
      </c>
      <c r="T3207" s="575">
        <v>4524885</v>
      </c>
      <c r="U3207" s="487">
        <v>4528681</v>
      </c>
      <c r="V3207" s="576"/>
      <c r="W3207" s="573"/>
      <c r="X3207" s="574">
        <f t="shared" si="402"/>
        <v>0</v>
      </c>
      <c r="Y3207" s="487"/>
      <c r="Z3207" s="487"/>
      <c r="AA3207" s="276">
        <f t="shared" si="403"/>
        <v>0</v>
      </c>
      <c r="AB3207" s="573"/>
      <c r="AC3207" s="487"/>
      <c r="AD3207" s="573"/>
      <c r="AE3207" s="487"/>
      <c r="AF3207" s="577">
        <f t="shared" si="399"/>
        <v>4524885</v>
      </c>
      <c r="AG3207" s="275">
        <f t="shared" si="400"/>
        <v>4528681</v>
      </c>
    </row>
    <row r="3208" spans="1:33" ht="12" customHeight="1">
      <c r="A3208" s="641" t="s">
        <v>1285</v>
      </c>
      <c r="B3208" s="642" t="s">
        <v>1776</v>
      </c>
      <c r="C3208" s="641" t="s">
        <v>194</v>
      </c>
      <c r="D3208" s="776" t="s">
        <v>195</v>
      </c>
      <c r="E3208" s="777">
        <v>1</v>
      </c>
      <c r="F3208" s="573">
        <v>78511727</v>
      </c>
      <c r="G3208" s="1143">
        <f>81586524-636060+150000</f>
        <v>81100464</v>
      </c>
      <c r="H3208" s="573"/>
      <c r="I3208" s="487"/>
      <c r="J3208" s="573"/>
      <c r="K3208" s="487"/>
      <c r="L3208" s="573">
        <v>224238927</v>
      </c>
      <c r="M3208" s="573">
        <v>9855350</v>
      </c>
      <c r="N3208" s="456">
        <f t="shared" si="401"/>
        <v>234094277</v>
      </c>
      <c r="O3208" s="487">
        <v>240153072</v>
      </c>
      <c r="P3208" s="487">
        <v>9849355</v>
      </c>
      <c r="Q3208" s="274">
        <f t="shared" si="396"/>
        <v>250002427</v>
      </c>
      <c r="R3208" s="574">
        <f t="shared" si="397"/>
        <v>302750654</v>
      </c>
      <c r="S3208" s="275">
        <f t="shared" si="398"/>
        <v>321253536</v>
      </c>
      <c r="T3208" s="575"/>
      <c r="U3208" s="487"/>
      <c r="V3208" s="576" t="s">
        <v>648</v>
      </c>
      <c r="W3208" s="573" t="s">
        <v>648</v>
      </c>
      <c r="X3208" s="574">
        <f t="shared" si="402"/>
        <v>0</v>
      </c>
      <c r="Y3208" s="487"/>
      <c r="Z3208" s="487"/>
      <c r="AA3208" s="276">
        <f t="shared" si="403"/>
        <v>0</v>
      </c>
      <c r="AB3208" s="573"/>
      <c r="AC3208" s="487"/>
      <c r="AD3208" s="573"/>
      <c r="AE3208" s="487"/>
      <c r="AF3208" s="577">
        <f t="shared" si="399"/>
        <v>302750654</v>
      </c>
      <c r="AG3208" s="275">
        <f t="shared" si="400"/>
        <v>321253536</v>
      </c>
    </row>
    <row r="3209" spans="1:33" ht="12" customHeight="1">
      <c r="A3209" s="641" t="s">
        <v>1285</v>
      </c>
      <c r="B3209" s="642" t="s">
        <v>1793</v>
      </c>
      <c r="C3209" s="282" t="s">
        <v>1429</v>
      </c>
      <c r="D3209" s="776" t="s">
        <v>195</v>
      </c>
      <c r="E3209" s="777">
        <v>1</v>
      </c>
      <c r="F3209" s="573"/>
      <c r="G3209" s="487"/>
      <c r="H3209" s="573"/>
      <c r="I3209" s="487"/>
      <c r="J3209" s="573"/>
      <c r="K3209" s="487"/>
      <c r="L3209" s="573"/>
      <c r="M3209" s="573"/>
      <c r="N3209" s="456">
        <f t="shared" si="401"/>
        <v>0</v>
      </c>
      <c r="O3209" s="487"/>
      <c r="P3209" s="487"/>
      <c r="Q3209" s="274">
        <f t="shared" si="396"/>
        <v>0</v>
      </c>
      <c r="R3209" s="574">
        <f t="shared" si="397"/>
        <v>0</v>
      </c>
      <c r="S3209" s="275">
        <f t="shared" si="398"/>
        <v>0</v>
      </c>
      <c r="T3209" s="575"/>
      <c r="U3209" s="487"/>
      <c r="V3209" s="576"/>
      <c r="W3209" s="573"/>
      <c r="X3209" s="574">
        <f t="shared" si="402"/>
        <v>0</v>
      </c>
      <c r="Y3209" s="487"/>
      <c r="Z3209" s="487"/>
      <c r="AA3209" s="276">
        <f t="shared" si="403"/>
        <v>0</v>
      </c>
      <c r="AB3209" s="573"/>
      <c r="AC3209" s="487"/>
      <c r="AD3209" s="573" t="s">
        <v>648</v>
      </c>
      <c r="AE3209" s="487"/>
      <c r="AF3209" s="577">
        <f t="shared" si="399"/>
        <v>0</v>
      </c>
      <c r="AG3209" s="275">
        <f t="shared" si="400"/>
        <v>0</v>
      </c>
    </row>
    <row r="3210" spans="1:33" ht="12" customHeight="1">
      <c r="A3210" s="641" t="s">
        <v>1285</v>
      </c>
      <c r="B3210" s="642" t="s">
        <v>1793</v>
      </c>
      <c r="C3210" s="738" t="s">
        <v>355</v>
      </c>
      <c r="D3210" s="776" t="s">
        <v>195</v>
      </c>
      <c r="E3210" s="777">
        <v>1</v>
      </c>
      <c r="F3210" s="573"/>
      <c r="G3210" s="487"/>
      <c r="H3210" s="573"/>
      <c r="I3210" s="487"/>
      <c r="J3210" s="573"/>
      <c r="K3210" s="487"/>
      <c r="L3210" s="573"/>
      <c r="M3210" s="573"/>
      <c r="N3210" s="456">
        <f t="shared" si="401"/>
        <v>0</v>
      </c>
      <c r="O3210" s="487"/>
      <c r="P3210" s="487"/>
      <c r="Q3210" s="274">
        <f t="shared" ref="Q3210:Q3318" si="404">SUM(O3210:P3210)</f>
        <v>0</v>
      </c>
      <c r="R3210" s="574">
        <f t="shared" ref="R3210:R3318" si="405">SUM(F3210,H3210,J3210,L3210)</f>
        <v>0</v>
      </c>
      <c r="S3210" s="275">
        <f t="shared" ref="S3210:S3318" si="406">SUM(G3210,I3210,K3210,O3210)</f>
        <v>0</v>
      </c>
      <c r="T3210" s="575"/>
      <c r="U3210" s="487"/>
      <c r="V3210" s="576"/>
      <c r="W3210" s="573"/>
      <c r="X3210" s="574">
        <f t="shared" si="402"/>
        <v>0</v>
      </c>
      <c r="Y3210" s="487"/>
      <c r="Z3210" s="487"/>
      <c r="AA3210" s="276">
        <f t="shared" si="403"/>
        <v>0</v>
      </c>
      <c r="AB3210" s="573">
        <v>65680396</v>
      </c>
      <c r="AC3210" s="487">
        <v>68675787</v>
      </c>
      <c r="AD3210" s="573">
        <v>29323723</v>
      </c>
      <c r="AE3210" s="487">
        <v>34515355</v>
      </c>
      <c r="AF3210" s="577">
        <f t="shared" ref="AF3210:AF3318" si="407">SUM(R3210,T3210,V3210,AB3210,AD3210)</f>
        <v>95004119</v>
      </c>
      <c r="AG3210" s="275">
        <f t="shared" ref="AG3210:AG3318" si="408">SUM(S3210,U3210,Y3210,AC3210,AE3210)</f>
        <v>103191142</v>
      </c>
    </row>
    <row r="3211" spans="1:33" ht="12" customHeight="1">
      <c r="A3211" s="641" t="s">
        <v>1285</v>
      </c>
      <c r="B3211" s="642" t="s">
        <v>1821</v>
      </c>
      <c r="C3211" s="738" t="s">
        <v>356</v>
      </c>
      <c r="D3211" s="776" t="s">
        <v>195</v>
      </c>
      <c r="E3211" s="777">
        <v>1</v>
      </c>
      <c r="F3211" s="573"/>
      <c r="G3211" s="487"/>
      <c r="H3211" s="573">
        <v>1500000</v>
      </c>
      <c r="I3211" s="487">
        <v>1521166</v>
      </c>
      <c r="J3211" s="573"/>
      <c r="K3211" s="487"/>
      <c r="L3211" s="573"/>
      <c r="M3211" s="573"/>
      <c r="N3211" s="456">
        <f t="shared" si="401"/>
        <v>0</v>
      </c>
      <c r="O3211" s="487"/>
      <c r="P3211" s="487"/>
      <c r="Q3211" s="274">
        <f t="shared" si="404"/>
        <v>0</v>
      </c>
      <c r="R3211" s="574">
        <f t="shared" si="405"/>
        <v>1500000</v>
      </c>
      <c r="S3211" s="275">
        <f t="shared" si="406"/>
        <v>1521166</v>
      </c>
      <c r="T3211" s="575"/>
      <c r="U3211" s="487"/>
      <c r="V3211" s="576"/>
      <c r="W3211" s="573"/>
      <c r="X3211" s="574">
        <f t="shared" si="402"/>
        <v>0</v>
      </c>
      <c r="Y3211" s="487"/>
      <c r="Z3211" s="487"/>
      <c r="AA3211" s="276">
        <f t="shared" si="403"/>
        <v>0</v>
      </c>
      <c r="AB3211" s="573"/>
      <c r="AC3211" s="487"/>
      <c r="AD3211" s="573"/>
      <c r="AE3211" s="487"/>
      <c r="AF3211" s="577">
        <f t="shared" si="407"/>
        <v>1500000</v>
      </c>
      <c r="AG3211" s="275">
        <f t="shared" si="408"/>
        <v>1521166</v>
      </c>
    </row>
    <row r="3212" spans="1:33" ht="12" customHeight="1">
      <c r="A3212" s="641" t="s">
        <v>1285</v>
      </c>
      <c r="B3212" s="642" t="s">
        <v>1821</v>
      </c>
      <c r="C3212" s="738" t="s">
        <v>357</v>
      </c>
      <c r="D3212" s="776" t="s">
        <v>195</v>
      </c>
      <c r="E3212" s="777">
        <v>1</v>
      </c>
      <c r="F3212" s="573"/>
      <c r="G3212" s="487"/>
      <c r="H3212" s="573">
        <v>369207</v>
      </c>
      <c r="I3212" s="487">
        <v>372059</v>
      </c>
      <c r="J3212" s="573"/>
      <c r="K3212" s="487"/>
      <c r="L3212" s="573"/>
      <c r="M3212" s="573"/>
      <c r="N3212" s="456">
        <f t="shared" si="401"/>
        <v>0</v>
      </c>
      <c r="O3212" s="487"/>
      <c r="P3212" s="487"/>
      <c r="Q3212" s="274">
        <f t="shared" si="404"/>
        <v>0</v>
      </c>
      <c r="R3212" s="574">
        <f t="shared" si="405"/>
        <v>369207</v>
      </c>
      <c r="S3212" s="275">
        <f t="shared" si="406"/>
        <v>372059</v>
      </c>
      <c r="T3212" s="575"/>
      <c r="U3212" s="487"/>
      <c r="V3212" s="576"/>
      <c r="W3212" s="573"/>
      <c r="X3212" s="574">
        <f t="shared" si="402"/>
        <v>0</v>
      </c>
      <c r="Y3212" s="487"/>
      <c r="Z3212" s="487"/>
      <c r="AA3212" s="276">
        <f t="shared" si="403"/>
        <v>0</v>
      </c>
      <c r="AB3212" s="573"/>
      <c r="AC3212" s="487"/>
      <c r="AD3212" s="573"/>
      <c r="AE3212" s="487"/>
      <c r="AF3212" s="577">
        <f t="shared" si="407"/>
        <v>369207</v>
      </c>
      <c r="AG3212" s="275">
        <f t="shared" si="408"/>
        <v>372059</v>
      </c>
    </row>
    <row r="3213" spans="1:33" ht="12" customHeight="1">
      <c r="A3213" s="641" t="s">
        <v>1285</v>
      </c>
      <c r="B3213" s="642" t="s">
        <v>1793</v>
      </c>
      <c r="C3213" s="283" t="s">
        <v>1891</v>
      </c>
      <c r="D3213" s="776">
        <v>238032</v>
      </c>
      <c r="E3213" s="777">
        <v>1</v>
      </c>
      <c r="F3213" s="573"/>
      <c r="G3213" s="487"/>
      <c r="H3213" s="573">
        <v>1961707</v>
      </c>
      <c r="I3213" s="487">
        <v>2306620</v>
      </c>
      <c r="J3213" s="573"/>
      <c r="K3213" s="487"/>
      <c r="L3213" s="573"/>
      <c r="M3213" s="573"/>
      <c r="N3213" s="456">
        <f t="shared" si="401"/>
        <v>0</v>
      </c>
      <c r="O3213" s="487"/>
      <c r="P3213" s="487"/>
      <c r="Q3213" s="274">
        <f t="shared" si="404"/>
        <v>0</v>
      </c>
      <c r="R3213" s="574">
        <f t="shared" si="405"/>
        <v>1961707</v>
      </c>
      <c r="S3213" s="275">
        <f t="shared" si="406"/>
        <v>2306620</v>
      </c>
      <c r="T3213" s="575"/>
      <c r="U3213" s="487"/>
      <c r="V3213" s="576"/>
      <c r="W3213" s="573"/>
      <c r="X3213" s="574">
        <f t="shared" si="402"/>
        <v>0</v>
      </c>
      <c r="Y3213" s="487"/>
      <c r="Z3213" s="487"/>
      <c r="AA3213" s="276">
        <f t="shared" si="403"/>
        <v>0</v>
      </c>
      <c r="AB3213" s="573"/>
      <c r="AC3213" s="487"/>
      <c r="AD3213" s="573"/>
      <c r="AE3213" s="487"/>
      <c r="AF3213" s="577">
        <f t="shared" si="407"/>
        <v>1961707</v>
      </c>
      <c r="AG3213" s="275">
        <f t="shared" si="408"/>
        <v>2306620</v>
      </c>
    </row>
    <row r="3214" spans="1:33" ht="12" customHeight="1">
      <c r="A3214" s="641" t="s">
        <v>1285</v>
      </c>
      <c r="B3214" s="642" t="s">
        <v>1793</v>
      </c>
      <c r="C3214" s="738" t="s">
        <v>1297</v>
      </c>
      <c r="D3214" s="776">
        <v>238032</v>
      </c>
      <c r="E3214" s="777">
        <v>1</v>
      </c>
      <c r="F3214" s="573"/>
      <c r="G3214" s="487"/>
      <c r="H3214" s="573"/>
      <c r="I3214" s="487"/>
      <c r="J3214" s="573"/>
      <c r="K3214" s="487"/>
      <c r="L3214" s="573"/>
      <c r="M3214" s="573"/>
      <c r="N3214" s="456">
        <f t="shared" si="401"/>
        <v>0</v>
      </c>
      <c r="O3214" s="487"/>
      <c r="P3214" s="487"/>
      <c r="Q3214" s="274">
        <f t="shared" si="404"/>
        <v>0</v>
      </c>
      <c r="R3214" s="574">
        <f t="shared" si="405"/>
        <v>0</v>
      </c>
      <c r="S3214" s="275">
        <f t="shared" si="406"/>
        <v>0</v>
      </c>
      <c r="T3214" s="575"/>
      <c r="U3214" s="487"/>
      <c r="V3214" s="576"/>
      <c r="W3214" s="573"/>
      <c r="X3214" s="574">
        <f t="shared" si="402"/>
        <v>0</v>
      </c>
      <c r="Y3214" s="487"/>
      <c r="Z3214" s="487"/>
      <c r="AA3214" s="276">
        <f t="shared" si="403"/>
        <v>0</v>
      </c>
      <c r="AB3214" s="573">
        <v>800000</v>
      </c>
      <c r="AC3214" s="487">
        <v>800000</v>
      </c>
      <c r="AD3214" s="573"/>
      <c r="AE3214" s="487"/>
      <c r="AF3214" s="577">
        <f t="shared" si="407"/>
        <v>800000</v>
      </c>
      <c r="AG3214" s="275">
        <f t="shared" si="408"/>
        <v>800000</v>
      </c>
    </row>
    <row r="3215" spans="1:33" ht="12" customHeight="1">
      <c r="A3215" s="641" t="s">
        <v>1285</v>
      </c>
      <c r="B3215" s="642" t="s">
        <v>1821</v>
      </c>
      <c r="C3215" s="738" t="s">
        <v>1298</v>
      </c>
      <c r="D3215" s="776" t="s">
        <v>195</v>
      </c>
      <c r="E3215" s="777">
        <v>1</v>
      </c>
      <c r="F3215" s="573"/>
      <c r="G3215" s="487"/>
      <c r="H3215" s="573">
        <v>60010</v>
      </c>
      <c r="I3215" s="487">
        <v>61786</v>
      </c>
      <c r="J3215" s="573"/>
      <c r="K3215" s="487"/>
      <c r="L3215" s="573"/>
      <c r="M3215" s="573"/>
      <c r="N3215" s="456">
        <f t="shared" si="401"/>
        <v>0</v>
      </c>
      <c r="O3215" s="487"/>
      <c r="P3215" s="487"/>
      <c r="Q3215" s="274">
        <f t="shared" si="404"/>
        <v>0</v>
      </c>
      <c r="R3215" s="574">
        <f t="shared" si="405"/>
        <v>60010</v>
      </c>
      <c r="S3215" s="275">
        <f t="shared" si="406"/>
        <v>61786</v>
      </c>
      <c r="T3215" s="575"/>
      <c r="U3215" s="487"/>
      <c r="V3215" s="576"/>
      <c r="W3215" s="573"/>
      <c r="X3215" s="574">
        <f t="shared" si="402"/>
        <v>0</v>
      </c>
      <c r="Y3215" s="487"/>
      <c r="Z3215" s="487"/>
      <c r="AA3215" s="276">
        <f t="shared" si="403"/>
        <v>0</v>
      </c>
      <c r="AB3215" s="573"/>
      <c r="AC3215" s="487"/>
      <c r="AD3215" s="573"/>
      <c r="AE3215" s="487"/>
      <c r="AF3215" s="577">
        <f t="shared" si="407"/>
        <v>60010</v>
      </c>
      <c r="AG3215" s="275">
        <f t="shared" si="408"/>
        <v>61786</v>
      </c>
    </row>
    <row r="3216" spans="1:33" ht="12" customHeight="1">
      <c r="A3216" s="641" t="s">
        <v>1285</v>
      </c>
      <c r="B3216" s="642" t="s">
        <v>1793</v>
      </c>
      <c r="C3216" s="738" t="s">
        <v>1299</v>
      </c>
      <c r="D3216" s="776">
        <v>238032</v>
      </c>
      <c r="E3216" s="777">
        <v>1</v>
      </c>
      <c r="F3216" s="573"/>
      <c r="G3216" s="487"/>
      <c r="H3216" s="573"/>
      <c r="I3216" s="487"/>
      <c r="J3216" s="573"/>
      <c r="K3216" s="487"/>
      <c r="L3216" s="573"/>
      <c r="M3216" s="573"/>
      <c r="N3216" s="456">
        <f t="shared" si="401"/>
        <v>0</v>
      </c>
      <c r="O3216" s="487"/>
      <c r="P3216" s="487"/>
      <c r="Q3216" s="274">
        <f t="shared" si="404"/>
        <v>0</v>
      </c>
      <c r="R3216" s="574">
        <f t="shared" si="405"/>
        <v>0</v>
      </c>
      <c r="S3216" s="275">
        <f t="shared" si="406"/>
        <v>0</v>
      </c>
      <c r="T3216" s="575"/>
      <c r="U3216" s="487"/>
      <c r="V3216" s="576"/>
      <c r="W3216" s="573"/>
      <c r="X3216" s="574">
        <f t="shared" si="402"/>
        <v>0</v>
      </c>
      <c r="Y3216" s="487"/>
      <c r="Z3216" s="487"/>
      <c r="AA3216" s="276">
        <f t="shared" si="403"/>
        <v>0</v>
      </c>
      <c r="AB3216" s="573">
        <v>943080</v>
      </c>
      <c r="AC3216" s="487">
        <v>943080</v>
      </c>
      <c r="AD3216" s="573"/>
      <c r="AE3216" s="487"/>
      <c r="AF3216" s="577">
        <f t="shared" si="407"/>
        <v>943080</v>
      </c>
      <c r="AG3216" s="275">
        <f t="shared" si="408"/>
        <v>943080</v>
      </c>
    </row>
    <row r="3217" spans="1:33" ht="12" customHeight="1">
      <c r="A3217" s="641" t="s">
        <v>1285</v>
      </c>
      <c r="B3217" s="642" t="s">
        <v>1780</v>
      </c>
      <c r="C3217" s="283" t="s">
        <v>1769</v>
      </c>
      <c r="D3217" s="776">
        <v>238032</v>
      </c>
      <c r="E3217" s="777">
        <v>1</v>
      </c>
      <c r="F3217" s="573"/>
      <c r="G3217" s="487"/>
      <c r="H3217" s="573">
        <v>13126602</v>
      </c>
      <c r="I3217" s="201">
        <v>15281319</v>
      </c>
      <c r="J3217" s="573"/>
      <c r="K3217" s="487"/>
      <c r="L3217" s="573"/>
      <c r="M3217" s="573"/>
      <c r="N3217" s="456">
        <f t="shared" si="401"/>
        <v>0</v>
      </c>
      <c r="O3217" s="487"/>
      <c r="P3217" s="487"/>
      <c r="Q3217" s="274">
        <f t="shared" si="404"/>
        <v>0</v>
      </c>
      <c r="R3217" s="574">
        <f t="shared" si="405"/>
        <v>13126602</v>
      </c>
      <c r="S3217" s="275">
        <f t="shared" si="406"/>
        <v>15281319</v>
      </c>
      <c r="T3217" s="575"/>
      <c r="U3217" s="487"/>
      <c r="V3217" s="576"/>
      <c r="W3217" s="573"/>
      <c r="X3217" s="574">
        <f t="shared" si="402"/>
        <v>0</v>
      </c>
      <c r="Y3217" s="487"/>
      <c r="Z3217" s="487"/>
      <c r="AA3217" s="276">
        <f t="shared" si="403"/>
        <v>0</v>
      </c>
      <c r="AB3217" s="573"/>
      <c r="AC3217" s="487"/>
      <c r="AD3217" s="573"/>
      <c r="AE3217" s="487"/>
      <c r="AF3217" s="577">
        <f t="shared" si="407"/>
        <v>13126602</v>
      </c>
      <c r="AG3217" s="275">
        <f t="shared" si="408"/>
        <v>15281319</v>
      </c>
    </row>
    <row r="3218" spans="1:33" ht="12" customHeight="1">
      <c r="A3218" s="641" t="s">
        <v>1285</v>
      </c>
      <c r="B3218" s="642" t="s">
        <v>1781</v>
      </c>
      <c r="C3218" s="283" t="s">
        <v>1768</v>
      </c>
      <c r="D3218" s="776">
        <v>238032</v>
      </c>
      <c r="E3218" s="777">
        <v>1</v>
      </c>
      <c r="F3218" s="573"/>
      <c r="G3218" s="487"/>
      <c r="H3218" s="573">
        <v>7126096</v>
      </c>
      <c r="I3218" s="201">
        <v>6407977</v>
      </c>
      <c r="J3218" s="573"/>
      <c r="K3218" s="487"/>
      <c r="L3218" s="573"/>
      <c r="M3218" s="573"/>
      <c r="N3218" s="456">
        <f t="shared" si="401"/>
        <v>0</v>
      </c>
      <c r="O3218" s="487"/>
      <c r="P3218" s="487"/>
      <c r="Q3218" s="274">
        <f t="shared" si="404"/>
        <v>0</v>
      </c>
      <c r="R3218" s="574">
        <f t="shared" si="405"/>
        <v>7126096</v>
      </c>
      <c r="S3218" s="275">
        <f t="shared" si="406"/>
        <v>6407977</v>
      </c>
      <c r="T3218" s="575"/>
      <c r="U3218" s="487"/>
      <c r="V3218" s="576"/>
      <c r="W3218" s="573"/>
      <c r="X3218" s="574">
        <f t="shared" si="402"/>
        <v>0</v>
      </c>
      <c r="Y3218" s="487"/>
      <c r="Z3218" s="487"/>
      <c r="AA3218" s="276">
        <f t="shared" si="403"/>
        <v>0</v>
      </c>
      <c r="AB3218" s="573"/>
      <c r="AC3218" s="487"/>
      <c r="AD3218" s="573"/>
      <c r="AE3218" s="487"/>
      <c r="AF3218" s="577">
        <f t="shared" si="407"/>
        <v>7126096</v>
      </c>
      <c r="AG3218" s="275">
        <f t="shared" si="408"/>
        <v>6407977</v>
      </c>
    </row>
    <row r="3219" spans="1:33" ht="12" customHeight="1">
      <c r="A3219" s="641" t="s">
        <v>1285</v>
      </c>
      <c r="B3219" s="642" t="s">
        <v>1782</v>
      </c>
      <c r="C3219" s="283" t="s">
        <v>1880</v>
      </c>
      <c r="D3219" s="776">
        <v>238032</v>
      </c>
      <c r="E3219" s="777">
        <v>1</v>
      </c>
      <c r="F3219" s="573"/>
      <c r="G3219" s="487"/>
      <c r="H3219" s="573">
        <v>2095900</v>
      </c>
      <c r="I3219" s="201">
        <v>2207220</v>
      </c>
      <c r="J3219" s="573"/>
      <c r="K3219" s="487"/>
      <c r="L3219" s="573"/>
      <c r="M3219" s="573"/>
      <c r="N3219" s="456">
        <f t="shared" ref="N3219:N3327" si="409">SUM(L3219:M3219)</f>
        <v>0</v>
      </c>
      <c r="O3219" s="487"/>
      <c r="P3219" s="487"/>
      <c r="Q3219" s="274">
        <f t="shared" si="404"/>
        <v>0</v>
      </c>
      <c r="R3219" s="574">
        <f t="shared" si="405"/>
        <v>2095900</v>
      </c>
      <c r="S3219" s="275">
        <f t="shared" si="406"/>
        <v>2207220</v>
      </c>
      <c r="T3219" s="575"/>
      <c r="U3219" s="487"/>
      <c r="V3219" s="576"/>
      <c r="W3219" s="573"/>
      <c r="X3219" s="574">
        <f t="shared" ref="X3219:X3327" si="410">SUM(V3219:W3219)</f>
        <v>0</v>
      </c>
      <c r="Y3219" s="487"/>
      <c r="Z3219" s="487"/>
      <c r="AA3219" s="276">
        <f t="shared" ref="AA3219:AA3327" si="411">SUM(Y3219:Z3219)</f>
        <v>0</v>
      </c>
      <c r="AB3219" s="573"/>
      <c r="AC3219" s="487"/>
      <c r="AD3219" s="573"/>
      <c r="AE3219" s="487"/>
      <c r="AF3219" s="577">
        <f t="shared" si="407"/>
        <v>2095900</v>
      </c>
      <c r="AG3219" s="275">
        <f t="shared" si="408"/>
        <v>2207220</v>
      </c>
    </row>
    <row r="3220" spans="1:33" ht="12" customHeight="1">
      <c r="A3220" s="641" t="s">
        <v>1285</v>
      </c>
      <c r="B3220" s="642" t="s">
        <v>1783</v>
      </c>
      <c r="C3220" s="283" t="s">
        <v>1881</v>
      </c>
      <c r="D3220" s="776">
        <v>238032</v>
      </c>
      <c r="E3220" s="777">
        <v>1</v>
      </c>
      <c r="F3220" s="573"/>
      <c r="G3220" s="487"/>
      <c r="H3220" s="573">
        <v>2349878</v>
      </c>
      <c r="I3220" s="201">
        <f>1928491+573889</f>
        <v>2502380</v>
      </c>
      <c r="J3220" s="573"/>
      <c r="K3220" s="487"/>
      <c r="L3220" s="573"/>
      <c r="M3220" s="573"/>
      <c r="N3220" s="456">
        <f t="shared" si="409"/>
        <v>0</v>
      </c>
      <c r="O3220" s="487"/>
      <c r="P3220" s="487"/>
      <c r="Q3220" s="274">
        <f t="shared" si="404"/>
        <v>0</v>
      </c>
      <c r="R3220" s="574">
        <f t="shared" si="405"/>
        <v>2349878</v>
      </c>
      <c r="S3220" s="275">
        <f t="shared" si="406"/>
        <v>2502380</v>
      </c>
      <c r="T3220" s="575"/>
      <c r="U3220" s="487"/>
      <c r="V3220" s="576"/>
      <c r="W3220" s="573"/>
      <c r="X3220" s="574">
        <f t="shared" si="410"/>
        <v>0</v>
      </c>
      <c r="Y3220" s="487"/>
      <c r="Z3220" s="487"/>
      <c r="AA3220" s="276">
        <f t="shared" si="411"/>
        <v>0</v>
      </c>
      <c r="AB3220" s="573"/>
      <c r="AC3220" s="487"/>
      <c r="AD3220" s="573"/>
      <c r="AE3220" s="487"/>
      <c r="AF3220" s="577">
        <f t="shared" si="407"/>
        <v>2349878</v>
      </c>
      <c r="AG3220" s="275">
        <f t="shared" si="408"/>
        <v>2502380</v>
      </c>
    </row>
    <row r="3221" spans="1:33" ht="12" customHeight="1">
      <c r="A3221" s="641" t="s">
        <v>1285</v>
      </c>
      <c r="B3221" s="642" t="s">
        <v>1783</v>
      </c>
      <c r="C3221" s="738" t="s">
        <v>1300</v>
      </c>
      <c r="D3221" s="776">
        <v>238032</v>
      </c>
      <c r="E3221" s="777">
        <v>1</v>
      </c>
      <c r="F3221" s="573"/>
      <c r="G3221" s="487"/>
      <c r="H3221" s="573">
        <v>1917896</v>
      </c>
      <c r="I3221" s="487">
        <v>1837868</v>
      </c>
      <c r="J3221" s="573"/>
      <c r="K3221" s="487"/>
      <c r="L3221" s="573"/>
      <c r="M3221" s="573"/>
      <c r="N3221" s="456">
        <f t="shared" si="409"/>
        <v>0</v>
      </c>
      <c r="O3221" s="487"/>
      <c r="P3221" s="487"/>
      <c r="Q3221" s="274">
        <f t="shared" si="404"/>
        <v>0</v>
      </c>
      <c r="R3221" s="574">
        <f t="shared" si="405"/>
        <v>1917896</v>
      </c>
      <c r="S3221" s="275">
        <f t="shared" si="406"/>
        <v>1837868</v>
      </c>
      <c r="T3221" s="575"/>
      <c r="U3221" s="487"/>
      <c r="V3221" s="576"/>
      <c r="W3221" s="573"/>
      <c r="X3221" s="574">
        <f t="shared" si="410"/>
        <v>0</v>
      </c>
      <c r="Y3221" s="487"/>
      <c r="Z3221" s="487"/>
      <c r="AA3221" s="276">
        <f t="shared" si="411"/>
        <v>0</v>
      </c>
      <c r="AB3221" s="573"/>
      <c r="AC3221" s="487"/>
      <c r="AD3221" s="573"/>
      <c r="AE3221" s="487"/>
      <c r="AF3221" s="577">
        <f t="shared" si="407"/>
        <v>1917896</v>
      </c>
      <c r="AG3221" s="275">
        <f t="shared" si="408"/>
        <v>1837868</v>
      </c>
    </row>
    <row r="3222" spans="1:33" ht="12" customHeight="1">
      <c r="A3222" s="641" t="s">
        <v>1285</v>
      </c>
      <c r="B3222" s="642" t="s">
        <v>1784</v>
      </c>
      <c r="C3222" s="283" t="s">
        <v>2037</v>
      </c>
      <c r="D3222" s="776">
        <v>238032</v>
      </c>
      <c r="E3222" s="777">
        <v>1</v>
      </c>
      <c r="F3222" s="573"/>
      <c r="G3222" s="487"/>
      <c r="H3222" s="573">
        <v>3414940</v>
      </c>
      <c r="I3222" s="487">
        <f>3414940+636060</f>
        <v>4051000</v>
      </c>
      <c r="J3222" s="573"/>
      <c r="K3222" s="487"/>
      <c r="L3222" s="573"/>
      <c r="M3222" s="573"/>
      <c r="N3222" s="456">
        <f t="shared" si="409"/>
        <v>0</v>
      </c>
      <c r="O3222" s="487"/>
      <c r="P3222" s="487"/>
      <c r="Q3222" s="274">
        <f t="shared" si="404"/>
        <v>0</v>
      </c>
      <c r="R3222" s="574">
        <f t="shared" si="405"/>
        <v>3414940</v>
      </c>
      <c r="S3222" s="275">
        <f t="shared" si="406"/>
        <v>4051000</v>
      </c>
      <c r="T3222" s="575"/>
      <c r="U3222" s="487"/>
      <c r="V3222" s="576"/>
      <c r="W3222" s="573"/>
      <c r="X3222" s="574">
        <f t="shared" si="410"/>
        <v>0</v>
      </c>
      <c r="Y3222" s="487"/>
      <c r="Z3222" s="487"/>
      <c r="AA3222" s="276">
        <f t="shared" si="411"/>
        <v>0</v>
      </c>
      <c r="AB3222" s="573"/>
      <c r="AC3222" s="487"/>
      <c r="AD3222" s="573"/>
      <c r="AE3222" s="487"/>
      <c r="AF3222" s="577">
        <f t="shared" si="407"/>
        <v>3414940</v>
      </c>
      <c r="AG3222" s="275">
        <f t="shared" si="408"/>
        <v>4051000</v>
      </c>
    </row>
    <row r="3223" spans="1:33" ht="12" customHeight="1">
      <c r="A3223" s="641" t="s">
        <v>1285</v>
      </c>
      <c r="B3223" s="642" t="s">
        <v>1784</v>
      </c>
      <c r="C3223" s="738" t="s">
        <v>1301</v>
      </c>
      <c r="D3223" s="776">
        <v>238032</v>
      </c>
      <c r="E3223" s="777">
        <v>1</v>
      </c>
      <c r="F3223" s="573"/>
      <c r="G3223" s="487"/>
      <c r="H3223" s="573">
        <v>150000</v>
      </c>
      <c r="I3223" s="487">
        <v>250000</v>
      </c>
      <c r="J3223" s="573"/>
      <c r="K3223" s="487"/>
      <c r="L3223" s="573"/>
      <c r="M3223" s="573"/>
      <c r="N3223" s="456">
        <f t="shared" si="409"/>
        <v>0</v>
      </c>
      <c r="O3223" s="487"/>
      <c r="P3223" s="487"/>
      <c r="Q3223" s="274">
        <f t="shared" si="404"/>
        <v>0</v>
      </c>
      <c r="R3223" s="574">
        <f t="shared" si="405"/>
        <v>150000</v>
      </c>
      <c r="S3223" s="275">
        <f t="shared" si="406"/>
        <v>250000</v>
      </c>
      <c r="T3223" s="575"/>
      <c r="U3223" s="487"/>
      <c r="V3223" s="576"/>
      <c r="W3223" s="573"/>
      <c r="X3223" s="574">
        <f t="shared" si="410"/>
        <v>0</v>
      </c>
      <c r="Y3223" s="487"/>
      <c r="Z3223" s="487"/>
      <c r="AA3223" s="276">
        <f t="shared" si="411"/>
        <v>0</v>
      </c>
      <c r="AB3223" s="573"/>
      <c r="AC3223" s="487"/>
      <c r="AD3223" s="573"/>
      <c r="AE3223" s="487"/>
      <c r="AF3223" s="577">
        <f t="shared" si="407"/>
        <v>150000</v>
      </c>
      <c r="AG3223" s="275">
        <f t="shared" si="408"/>
        <v>250000</v>
      </c>
    </row>
    <row r="3224" spans="1:33" ht="12" customHeight="1">
      <c r="A3224" s="641" t="s">
        <v>1285</v>
      </c>
      <c r="B3224" s="642" t="s">
        <v>1776</v>
      </c>
      <c r="C3224" s="641" t="s">
        <v>1302</v>
      </c>
      <c r="D3224" s="776">
        <v>237525</v>
      </c>
      <c r="E3224" s="777">
        <v>3</v>
      </c>
      <c r="F3224" s="573">
        <v>43354786</v>
      </c>
      <c r="G3224" s="1135">
        <f>48824849-3269862+300000+1250000</f>
        <v>47104987</v>
      </c>
      <c r="H3224" s="573"/>
      <c r="I3224" s="487"/>
      <c r="J3224" s="573"/>
      <c r="K3224" s="487"/>
      <c r="L3224" s="573">
        <v>62349657</v>
      </c>
      <c r="M3224" s="573">
        <v>4694021</v>
      </c>
      <c r="N3224" s="456">
        <f t="shared" si="409"/>
        <v>67043678</v>
      </c>
      <c r="O3224" s="487">
        <v>65485355</v>
      </c>
      <c r="P3224" s="487">
        <v>4692966</v>
      </c>
      <c r="Q3224" s="274">
        <f t="shared" si="404"/>
        <v>70178321</v>
      </c>
      <c r="R3224" s="574">
        <f t="shared" si="405"/>
        <v>105704443</v>
      </c>
      <c r="S3224" s="275">
        <f t="shared" si="406"/>
        <v>112590342</v>
      </c>
      <c r="T3224" s="575"/>
      <c r="U3224" s="487"/>
      <c r="V3224" s="576"/>
      <c r="W3224" s="573"/>
      <c r="X3224" s="574">
        <f t="shared" si="410"/>
        <v>0</v>
      </c>
      <c r="Y3224" s="487"/>
      <c r="Z3224" s="487"/>
      <c r="AA3224" s="276">
        <f t="shared" si="411"/>
        <v>0</v>
      </c>
      <c r="AB3224" s="573"/>
      <c r="AC3224" s="487"/>
      <c r="AD3224" s="573"/>
      <c r="AE3224" s="487"/>
      <c r="AF3224" s="577">
        <f t="shared" si="407"/>
        <v>105704443</v>
      </c>
      <c r="AG3224" s="275">
        <f t="shared" si="408"/>
        <v>112590342</v>
      </c>
    </row>
    <row r="3225" spans="1:33" ht="12" customHeight="1">
      <c r="A3225" s="641" t="s">
        <v>1285</v>
      </c>
      <c r="B3225" s="642" t="s">
        <v>1783</v>
      </c>
      <c r="C3225" s="283" t="s">
        <v>1881</v>
      </c>
      <c r="D3225" s="776">
        <v>237525</v>
      </c>
      <c r="E3225" s="777">
        <v>3</v>
      </c>
      <c r="F3225" s="573"/>
      <c r="G3225" s="487"/>
      <c r="H3225" s="573"/>
      <c r="I3225" s="487"/>
      <c r="J3225" s="573"/>
      <c r="K3225" s="487"/>
      <c r="L3225" s="573"/>
      <c r="M3225" s="573"/>
      <c r="N3225" s="456">
        <f t="shared" si="409"/>
        <v>0</v>
      </c>
      <c r="O3225" s="487"/>
      <c r="P3225" s="487"/>
      <c r="Q3225" s="274">
        <f t="shared" si="404"/>
        <v>0</v>
      </c>
      <c r="R3225" s="574">
        <f t="shared" si="405"/>
        <v>0</v>
      </c>
      <c r="S3225" s="275">
        <f t="shared" si="406"/>
        <v>0</v>
      </c>
      <c r="T3225" s="575"/>
      <c r="U3225" s="487"/>
      <c r="V3225" s="576"/>
      <c r="W3225" s="573"/>
      <c r="X3225" s="574">
        <f t="shared" si="410"/>
        <v>0</v>
      </c>
      <c r="Y3225" s="487"/>
      <c r="Z3225" s="487"/>
      <c r="AA3225" s="276">
        <f t="shared" si="411"/>
        <v>0</v>
      </c>
      <c r="AB3225" s="573"/>
      <c r="AC3225" s="487"/>
      <c r="AD3225" s="573"/>
      <c r="AE3225" s="487"/>
      <c r="AF3225" s="577">
        <f t="shared" si="407"/>
        <v>0</v>
      </c>
      <c r="AG3225" s="275">
        <f t="shared" si="408"/>
        <v>0</v>
      </c>
    </row>
    <row r="3226" spans="1:33" ht="12" customHeight="1">
      <c r="A3226" s="641" t="s">
        <v>1285</v>
      </c>
      <c r="B3226" s="642" t="s">
        <v>1784</v>
      </c>
      <c r="C3226" s="738" t="s">
        <v>1305</v>
      </c>
      <c r="D3226" s="776">
        <v>237525</v>
      </c>
      <c r="E3226" s="777">
        <v>3</v>
      </c>
      <c r="F3226" s="573"/>
      <c r="G3226" s="487"/>
      <c r="H3226" s="573">
        <v>181280</v>
      </c>
      <c r="I3226" s="487">
        <v>181280</v>
      </c>
      <c r="J3226" s="573"/>
      <c r="K3226" s="487"/>
      <c r="L3226" s="573"/>
      <c r="M3226" s="573"/>
      <c r="N3226" s="456">
        <f t="shared" si="409"/>
        <v>0</v>
      </c>
      <c r="O3226" s="487"/>
      <c r="P3226" s="487"/>
      <c r="Q3226" s="274">
        <f t="shared" si="404"/>
        <v>0</v>
      </c>
      <c r="R3226" s="574">
        <f t="shared" si="405"/>
        <v>181280</v>
      </c>
      <c r="S3226" s="275">
        <f t="shared" si="406"/>
        <v>181280</v>
      </c>
      <c r="T3226" s="575"/>
      <c r="U3226" s="487"/>
      <c r="V3226" s="576"/>
      <c r="W3226" s="573"/>
      <c r="X3226" s="574">
        <f t="shared" si="410"/>
        <v>0</v>
      </c>
      <c r="Y3226" s="487"/>
      <c r="Z3226" s="487"/>
      <c r="AA3226" s="276">
        <f t="shared" si="411"/>
        <v>0</v>
      </c>
      <c r="AB3226" s="573"/>
      <c r="AC3226" s="487"/>
      <c r="AD3226" s="573"/>
      <c r="AE3226" s="487"/>
      <c r="AF3226" s="577">
        <f t="shared" si="407"/>
        <v>181280</v>
      </c>
      <c r="AG3226" s="275">
        <f t="shared" si="408"/>
        <v>181280</v>
      </c>
    </row>
    <row r="3227" spans="1:33" ht="12" customHeight="1">
      <c r="A3227" s="641" t="s">
        <v>1285</v>
      </c>
      <c r="B3227" s="642" t="s">
        <v>1783</v>
      </c>
      <c r="C3227" s="738" t="s">
        <v>1306</v>
      </c>
      <c r="D3227" s="776">
        <v>237525</v>
      </c>
      <c r="E3227" s="777">
        <v>3</v>
      </c>
      <c r="F3227" s="573"/>
      <c r="G3227" s="487"/>
      <c r="H3227" s="573">
        <v>1050000</v>
      </c>
      <c r="I3227" s="487">
        <v>2075739</v>
      </c>
      <c r="J3227" s="573"/>
      <c r="K3227" s="487"/>
      <c r="L3227" s="573"/>
      <c r="M3227" s="573"/>
      <c r="N3227" s="456">
        <f t="shared" si="409"/>
        <v>0</v>
      </c>
      <c r="O3227" s="487"/>
      <c r="P3227" s="487"/>
      <c r="Q3227" s="274">
        <f t="shared" si="404"/>
        <v>0</v>
      </c>
      <c r="R3227" s="574">
        <f t="shared" si="405"/>
        <v>1050000</v>
      </c>
      <c r="S3227" s="275">
        <f t="shared" si="406"/>
        <v>2075739</v>
      </c>
      <c r="T3227" s="575"/>
      <c r="U3227" s="487"/>
      <c r="V3227" s="576"/>
      <c r="W3227" s="573"/>
      <c r="X3227" s="574">
        <f t="shared" si="410"/>
        <v>0</v>
      </c>
      <c r="Y3227" s="487"/>
      <c r="Z3227" s="487"/>
      <c r="AA3227" s="276">
        <f t="shared" si="411"/>
        <v>0</v>
      </c>
      <c r="AB3227" s="573"/>
      <c r="AC3227" s="487"/>
      <c r="AD3227" s="573"/>
      <c r="AE3227" s="487"/>
      <c r="AF3227" s="577">
        <f t="shared" si="407"/>
        <v>1050000</v>
      </c>
      <c r="AG3227" s="275">
        <f t="shared" si="408"/>
        <v>2075739</v>
      </c>
    </row>
    <row r="3228" spans="1:33" ht="12" customHeight="1">
      <c r="A3228" s="641" t="s">
        <v>1285</v>
      </c>
      <c r="B3228" s="642" t="s">
        <v>1784</v>
      </c>
      <c r="C3228" s="283" t="s">
        <v>2037</v>
      </c>
      <c r="D3228" s="776">
        <v>237525</v>
      </c>
      <c r="E3228" s="777">
        <v>3</v>
      </c>
      <c r="F3228" s="573"/>
      <c r="G3228" s="487"/>
      <c r="H3228" s="573">
        <v>725000</v>
      </c>
      <c r="I3228" s="487">
        <f>400000+300000+25000</f>
        <v>725000</v>
      </c>
      <c r="J3228" s="573"/>
      <c r="K3228" s="487"/>
      <c r="L3228" s="573"/>
      <c r="M3228" s="573"/>
      <c r="N3228" s="456">
        <f t="shared" si="409"/>
        <v>0</v>
      </c>
      <c r="O3228" s="487"/>
      <c r="P3228" s="487"/>
      <c r="Q3228" s="274">
        <f t="shared" si="404"/>
        <v>0</v>
      </c>
      <c r="R3228" s="574">
        <f t="shared" si="405"/>
        <v>725000</v>
      </c>
      <c r="S3228" s="275">
        <f t="shared" si="406"/>
        <v>725000</v>
      </c>
      <c r="T3228" s="575"/>
      <c r="U3228" s="487"/>
      <c r="V3228" s="576"/>
      <c r="W3228" s="573"/>
      <c r="X3228" s="574">
        <f t="shared" si="410"/>
        <v>0</v>
      </c>
      <c r="Y3228" s="487"/>
      <c r="Z3228" s="487"/>
      <c r="AA3228" s="276">
        <f t="shared" si="411"/>
        <v>0</v>
      </c>
      <c r="AB3228" s="573"/>
      <c r="AC3228" s="487"/>
      <c r="AD3228" s="573"/>
      <c r="AE3228" s="487"/>
      <c r="AF3228" s="577">
        <f t="shared" si="407"/>
        <v>725000</v>
      </c>
      <c r="AG3228" s="275">
        <f t="shared" si="408"/>
        <v>725000</v>
      </c>
    </row>
    <row r="3229" spans="1:33" ht="12" customHeight="1">
      <c r="A3229" s="641" t="s">
        <v>1285</v>
      </c>
      <c r="B3229" s="642" t="s">
        <v>2057</v>
      </c>
      <c r="C3229" s="738" t="s">
        <v>2051</v>
      </c>
      <c r="D3229" s="776">
        <v>237525</v>
      </c>
      <c r="E3229" s="777">
        <v>3</v>
      </c>
      <c r="F3229" s="573"/>
      <c r="G3229" s="487"/>
      <c r="H3229" s="622">
        <v>59500</v>
      </c>
      <c r="I3229" s="487"/>
      <c r="J3229" s="573"/>
      <c r="K3229" s="487"/>
      <c r="L3229" s="573"/>
      <c r="M3229" s="573"/>
      <c r="N3229" s="1134"/>
      <c r="O3229" s="487"/>
      <c r="P3229" s="487"/>
      <c r="Q3229" s="274"/>
      <c r="R3229" s="574">
        <f>SUM(F3229,H3229,J3229,L3229)</f>
        <v>59500</v>
      </c>
      <c r="S3229" s="275"/>
      <c r="T3229" s="575"/>
      <c r="U3229" s="487"/>
      <c r="V3229" s="576"/>
      <c r="W3229" s="573"/>
      <c r="X3229" s="574"/>
      <c r="Y3229" s="487"/>
      <c r="Z3229" s="487"/>
      <c r="AA3229" s="276"/>
      <c r="AB3229" s="573"/>
      <c r="AC3229" s="487"/>
      <c r="AD3229" s="573"/>
      <c r="AE3229" s="487"/>
      <c r="AF3229" s="577">
        <f>SUM(R3229,T3229,V3229,AB3229,AD3229)</f>
        <v>59500</v>
      </c>
      <c r="AG3229" s="275">
        <f>SUM(S3229,U3229,Y3229,AC3229,AE3229)</f>
        <v>0</v>
      </c>
    </row>
    <row r="3230" spans="1:33" ht="12" customHeight="1">
      <c r="A3230" s="641" t="s">
        <v>1285</v>
      </c>
      <c r="B3230" s="642" t="s">
        <v>1793</v>
      </c>
      <c r="C3230" s="283" t="s">
        <v>1614</v>
      </c>
      <c r="D3230" s="776">
        <v>237525</v>
      </c>
      <c r="E3230" s="777">
        <v>3</v>
      </c>
      <c r="F3230" s="573"/>
      <c r="G3230" s="487"/>
      <c r="H3230" s="573"/>
      <c r="I3230" s="487"/>
      <c r="J3230" s="573"/>
      <c r="K3230" s="487"/>
      <c r="L3230" s="573"/>
      <c r="M3230" s="573"/>
      <c r="N3230" s="456">
        <f t="shared" si="409"/>
        <v>0</v>
      </c>
      <c r="O3230" s="487"/>
      <c r="P3230" s="487"/>
      <c r="Q3230" s="274">
        <f t="shared" si="404"/>
        <v>0</v>
      </c>
      <c r="R3230" s="574">
        <f t="shared" si="405"/>
        <v>0</v>
      </c>
      <c r="S3230" s="275">
        <f t="shared" si="406"/>
        <v>0</v>
      </c>
      <c r="T3230" s="575"/>
      <c r="U3230" s="487"/>
      <c r="V3230" s="576"/>
      <c r="W3230" s="573"/>
      <c r="X3230" s="574">
        <f t="shared" si="410"/>
        <v>0</v>
      </c>
      <c r="Y3230" s="487"/>
      <c r="Z3230" s="487"/>
      <c r="AA3230" s="276">
        <f t="shared" si="411"/>
        <v>0</v>
      </c>
      <c r="AB3230" s="573">
        <v>18711945</v>
      </c>
      <c r="AC3230" s="1135">
        <v>19083939</v>
      </c>
      <c r="AD3230" s="573">
        <v>5376994</v>
      </c>
      <c r="AE3230" s="487">
        <v>6196520</v>
      </c>
      <c r="AF3230" s="577">
        <f t="shared" si="407"/>
        <v>24088939</v>
      </c>
      <c r="AG3230" s="275">
        <f t="shared" si="408"/>
        <v>25280459</v>
      </c>
    </row>
    <row r="3231" spans="1:33" ht="12" customHeight="1">
      <c r="A3231" s="641" t="s">
        <v>1285</v>
      </c>
      <c r="B3231" s="642" t="s">
        <v>1793</v>
      </c>
      <c r="C3231" s="738" t="s">
        <v>1303</v>
      </c>
      <c r="D3231" s="776">
        <v>237525</v>
      </c>
      <c r="E3231" s="777">
        <v>3</v>
      </c>
      <c r="F3231" s="573"/>
      <c r="G3231" s="487"/>
      <c r="H3231" s="573"/>
      <c r="I3231" s="487"/>
      <c r="J3231" s="573"/>
      <c r="K3231" s="487"/>
      <c r="L3231" s="573"/>
      <c r="M3231" s="573"/>
      <c r="N3231" s="456">
        <f t="shared" si="409"/>
        <v>0</v>
      </c>
      <c r="O3231" s="487"/>
      <c r="P3231" s="487"/>
      <c r="Q3231" s="274">
        <f t="shared" si="404"/>
        <v>0</v>
      </c>
      <c r="R3231" s="574">
        <f t="shared" si="405"/>
        <v>0</v>
      </c>
      <c r="S3231" s="275">
        <f t="shared" si="406"/>
        <v>0</v>
      </c>
      <c r="T3231" s="575"/>
      <c r="U3231" s="487"/>
      <c r="V3231" s="576"/>
      <c r="W3231" s="573"/>
      <c r="X3231" s="574">
        <f t="shared" si="410"/>
        <v>0</v>
      </c>
      <c r="Y3231" s="487"/>
      <c r="Z3231" s="487"/>
      <c r="AA3231" s="276">
        <f t="shared" si="411"/>
        <v>0</v>
      </c>
      <c r="AB3231" s="573">
        <v>295477</v>
      </c>
      <c r="AC3231" s="487">
        <v>295477</v>
      </c>
      <c r="AD3231" s="573"/>
      <c r="AE3231" s="487"/>
      <c r="AF3231" s="577">
        <f t="shared" si="407"/>
        <v>295477</v>
      </c>
      <c r="AG3231" s="275">
        <f t="shared" si="408"/>
        <v>295477</v>
      </c>
    </row>
    <row r="3232" spans="1:33" ht="12" customHeight="1">
      <c r="A3232" s="641" t="s">
        <v>1285</v>
      </c>
      <c r="B3232" s="642" t="s">
        <v>1793</v>
      </c>
      <c r="C3232" s="738" t="s">
        <v>1304</v>
      </c>
      <c r="D3232" s="776">
        <v>237525</v>
      </c>
      <c r="E3232" s="777">
        <v>3</v>
      </c>
      <c r="F3232" s="573"/>
      <c r="G3232" s="487"/>
      <c r="H3232" s="573"/>
      <c r="I3232" s="487"/>
      <c r="J3232" s="573"/>
      <c r="K3232" s="487"/>
      <c r="L3232" s="573"/>
      <c r="M3232" s="573"/>
      <c r="N3232" s="456">
        <f t="shared" si="409"/>
        <v>0</v>
      </c>
      <c r="O3232" s="487"/>
      <c r="P3232" s="487"/>
      <c r="Q3232" s="274">
        <f t="shared" si="404"/>
        <v>0</v>
      </c>
      <c r="R3232" s="574">
        <f t="shared" si="405"/>
        <v>0</v>
      </c>
      <c r="S3232" s="275">
        <f t="shared" si="406"/>
        <v>0</v>
      </c>
      <c r="T3232" s="575"/>
      <c r="U3232" s="487"/>
      <c r="V3232" s="576"/>
      <c r="W3232" s="573"/>
      <c r="X3232" s="574">
        <f t="shared" si="410"/>
        <v>0</v>
      </c>
      <c r="Y3232" s="487"/>
      <c r="Z3232" s="487"/>
      <c r="AA3232" s="276">
        <f t="shared" si="411"/>
        <v>0</v>
      </c>
      <c r="AB3232" s="573">
        <v>175061</v>
      </c>
      <c r="AC3232" s="487">
        <v>175061</v>
      </c>
      <c r="AD3232" s="573"/>
      <c r="AE3232" s="487"/>
      <c r="AF3232" s="577">
        <f t="shared" si="407"/>
        <v>175061</v>
      </c>
      <c r="AG3232" s="275">
        <f t="shared" si="408"/>
        <v>175061</v>
      </c>
    </row>
    <row r="3233" spans="1:33" ht="12" customHeight="1">
      <c r="A3233" s="641" t="s">
        <v>1285</v>
      </c>
      <c r="B3233" s="642" t="s">
        <v>1783</v>
      </c>
      <c r="C3233" s="738" t="s">
        <v>1307</v>
      </c>
      <c r="D3233" s="776">
        <v>237525</v>
      </c>
      <c r="E3233" s="777">
        <v>3</v>
      </c>
      <c r="F3233" s="573"/>
      <c r="G3233" s="487"/>
      <c r="H3233" s="521"/>
      <c r="I3233" s="487"/>
      <c r="J3233" s="573"/>
      <c r="K3233" s="487"/>
      <c r="L3233" s="573"/>
      <c r="M3233" s="573"/>
      <c r="N3233" s="456">
        <f t="shared" si="409"/>
        <v>0</v>
      </c>
      <c r="O3233" s="487"/>
      <c r="P3233" s="487"/>
      <c r="Q3233" s="274">
        <f t="shared" si="404"/>
        <v>0</v>
      </c>
      <c r="R3233" s="574">
        <f t="shared" si="405"/>
        <v>0</v>
      </c>
      <c r="S3233" s="275">
        <f t="shared" si="406"/>
        <v>0</v>
      </c>
      <c r="T3233" s="575"/>
      <c r="U3233" s="487"/>
      <c r="V3233" s="576"/>
      <c r="W3233" s="573"/>
      <c r="X3233" s="574">
        <f t="shared" si="410"/>
        <v>0</v>
      </c>
      <c r="Y3233" s="487"/>
      <c r="Z3233" s="487"/>
      <c r="AA3233" s="276">
        <f t="shared" si="411"/>
        <v>0</v>
      </c>
      <c r="AB3233" s="573">
        <v>417351</v>
      </c>
      <c r="AC3233" s="487">
        <v>417351</v>
      </c>
      <c r="AD3233" s="573"/>
      <c r="AE3233" s="487"/>
      <c r="AF3233" s="577">
        <f t="shared" si="407"/>
        <v>417351</v>
      </c>
      <c r="AG3233" s="275">
        <f t="shared" si="408"/>
        <v>417351</v>
      </c>
    </row>
    <row r="3234" spans="1:33" ht="12" customHeight="1">
      <c r="A3234" s="641" t="s">
        <v>1285</v>
      </c>
      <c r="B3234" s="642" t="s">
        <v>1776</v>
      </c>
      <c r="C3234" s="642" t="s">
        <v>2049</v>
      </c>
      <c r="D3234" s="776">
        <v>237215</v>
      </c>
      <c r="E3234" s="777">
        <v>6</v>
      </c>
      <c r="F3234" s="573">
        <v>6275451</v>
      </c>
      <c r="G3234" s="487">
        <v>6442321</v>
      </c>
      <c r="H3234" s="521"/>
      <c r="I3234" s="487"/>
      <c r="J3234" s="573"/>
      <c r="K3234" s="487"/>
      <c r="L3234" s="573">
        <v>7248197</v>
      </c>
      <c r="M3234" s="573">
        <v>25039</v>
      </c>
      <c r="N3234" s="456">
        <f t="shared" ref="N3234" si="412">SUM(L3234:M3234)</f>
        <v>7273236</v>
      </c>
      <c r="O3234" s="487">
        <v>7774314</v>
      </c>
      <c r="P3234" s="487">
        <v>24777</v>
      </c>
      <c r="Q3234" s="274">
        <f>SUM(O3234:P3234)</f>
        <v>7799091</v>
      </c>
      <c r="R3234" s="574">
        <f t="shared" si="405"/>
        <v>13523648</v>
      </c>
      <c r="S3234" s="275">
        <f t="shared" si="406"/>
        <v>14216635</v>
      </c>
      <c r="T3234" s="575"/>
      <c r="U3234" s="487"/>
      <c r="V3234" s="576"/>
      <c r="W3234" s="573"/>
      <c r="X3234" s="574">
        <f>SUM(V3234:W3234)</f>
        <v>0</v>
      </c>
      <c r="Y3234" s="487"/>
      <c r="Z3234" s="487"/>
      <c r="AA3234" s="276">
        <f>SUM(Y3234:Z3234)</f>
        <v>0</v>
      </c>
      <c r="AB3234" s="573"/>
      <c r="AC3234" s="487"/>
      <c r="AD3234" s="573"/>
      <c r="AE3234" s="487"/>
      <c r="AF3234" s="577">
        <f t="shared" si="407"/>
        <v>13523648</v>
      </c>
      <c r="AG3234" s="275">
        <f t="shared" si="408"/>
        <v>14216635</v>
      </c>
    </row>
    <row r="3235" spans="1:33" ht="12" customHeight="1">
      <c r="A3235" s="641" t="s">
        <v>1285</v>
      </c>
      <c r="B3235" s="642" t="s">
        <v>1776</v>
      </c>
      <c r="C3235" s="641" t="s">
        <v>1308</v>
      </c>
      <c r="D3235" s="776">
        <v>237330</v>
      </c>
      <c r="E3235" s="777">
        <v>6</v>
      </c>
      <c r="F3235" s="573">
        <f>9620063+100000</f>
        <v>9720063</v>
      </c>
      <c r="G3235" s="487">
        <f>9877767+100000</f>
        <v>9977767</v>
      </c>
      <c r="H3235" s="573"/>
      <c r="I3235" s="487"/>
      <c r="J3235" s="573"/>
      <c r="K3235" s="487"/>
      <c r="L3235" s="573">
        <v>11279290</v>
      </c>
      <c r="M3235" s="573">
        <v>318646</v>
      </c>
      <c r="N3235" s="456">
        <f t="shared" si="409"/>
        <v>11597936</v>
      </c>
      <c r="O3235" s="487">
        <v>11714064</v>
      </c>
      <c r="P3235" s="487">
        <v>315315</v>
      </c>
      <c r="Q3235" s="274">
        <f t="shared" si="404"/>
        <v>12029379</v>
      </c>
      <c r="R3235" s="574">
        <f t="shared" si="405"/>
        <v>20999353</v>
      </c>
      <c r="S3235" s="275">
        <f t="shared" si="406"/>
        <v>21691831</v>
      </c>
      <c r="T3235" s="575"/>
      <c r="U3235" s="487"/>
      <c r="V3235" s="576"/>
      <c r="W3235" s="573"/>
      <c r="X3235" s="574">
        <f t="shared" si="410"/>
        <v>0</v>
      </c>
      <c r="Y3235" s="487"/>
      <c r="Z3235" s="487"/>
      <c r="AA3235" s="276">
        <f t="shared" si="411"/>
        <v>0</v>
      </c>
      <c r="AB3235" s="573"/>
      <c r="AC3235" s="487"/>
      <c r="AD3235" s="573"/>
      <c r="AE3235" s="487"/>
      <c r="AF3235" s="577">
        <f t="shared" si="407"/>
        <v>20999353</v>
      </c>
      <c r="AG3235" s="275">
        <f t="shared" si="408"/>
        <v>21691831</v>
      </c>
    </row>
    <row r="3236" spans="1:33" ht="12" customHeight="1">
      <c r="A3236" s="641" t="s">
        <v>1285</v>
      </c>
      <c r="B3236" s="642" t="s">
        <v>1776</v>
      </c>
      <c r="C3236" s="641" t="s">
        <v>1309</v>
      </c>
      <c r="D3236" s="776">
        <v>237367</v>
      </c>
      <c r="E3236" s="777">
        <v>6</v>
      </c>
      <c r="F3236" s="573">
        <v>12166895</v>
      </c>
      <c r="G3236" s="1135">
        <v>15019754</v>
      </c>
      <c r="H3236" s="573"/>
      <c r="I3236" s="487"/>
      <c r="J3236" s="573"/>
      <c r="K3236" s="487"/>
      <c r="L3236" s="573">
        <v>17701938</v>
      </c>
      <c r="M3236" s="573">
        <v>986115</v>
      </c>
      <c r="N3236" s="456">
        <f t="shared" si="409"/>
        <v>18688053</v>
      </c>
      <c r="O3236" s="487">
        <v>18478146</v>
      </c>
      <c r="P3236" s="487">
        <v>979855</v>
      </c>
      <c r="Q3236" s="274">
        <f t="shared" si="404"/>
        <v>19458001</v>
      </c>
      <c r="R3236" s="574">
        <f t="shared" si="405"/>
        <v>29868833</v>
      </c>
      <c r="S3236" s="275">
        <f t="shared" si="406"/>
        <v>33497900</v>
      </c>
      <c r="T3236" s="575"/>
      <c r="U3236" s="487"/>
      <c r="V3236" s="576"/>
      <c r="W3236" s="573"/>
      <c r="X3236" s="574">
        <f t="shared" si="410"/>
        <v>0</v>
      </c>
      <c r="Y3236" s="487"/>
      <c r="Z3236" s="487"/>
      <c r="AA3236" s="276">
        <f t="shared" si="411"/>
        <v>0</v>
      </c>
      <c r="AB3236" s="573"/>
      <c r="AC3236" s="487"/>
      <c r="AD3236" s="573"/>
      <c r="AE3236" s="487"/>
      <c r="AF3236" s="577">
        <f t="shared" si="407"/>
        <v>29868833</v>
      </c>
      <c r="AG3236" s="275">
        <f t="shared" si="408"/>
        <v>33497900</v>
      </c>
    </row>
    <row r="3237" spans="1:33" ht="12" customHeight="1">
      <c r="A3237" s="641" t="s">
        <v>1285</v>
      </c>
      <c r="B3237" s="642" t="s">
        <v>1776</v>
      </c>
      <c r="C3237" s="641" t="s">
        <v>1310</v>
      </c>
      <c r="D3237" s="776">
        <v>237385</v>
      </c>
      <c r="E3237" s="777">
        <v>6</v>
      </c>
      <c r="F3237" s="573">
        <v>6095707</v>
      </c>
      <c r="G3237" s="1135">
        <v>6539617</v>
      </c>
      <c r="H3237" s="573"/>
      <c r="I3237" s="487"/>
      <c r="J3237" s="573"/>
      <c r="K3237" s="487"/>
      <c r="L3237" s="573">
        <v>5004861</v>
      </c>
      <c r="M3237" s="573">
        <v>252882</v>
      </c>
      <c r="N3237" s="456">
        <f t="shared" si="409"/>
        <v>5257743</v>
      </c>
      <c r="O3237" s="487">
        <v>5398965</v>
      </c>
      <c r="P3237" s="487">
        <v>251531</v>
      </c>
      <c r="Q3237" s="274">
        <f t="shared" si="404"/>
        <v>5650496</v>
      </c>
      <c r="R3237" s="574">
        <f t="shared" si="405"/>
        <v>11100568</v>
      </c>
      <c r="S3237" s="275">
        <f t="shared" si="406"/>
        <v>11938582</v>
      </c>
      <c r="T3237" s="575"/>
      <c r="U3237" s="487"/>
      <c r="V3237" s="576"/>
      <c r="W3237" s="573"/>
      <c r="X3237" s="574">
        <f t="shared" si="410"/>
        <v>0</v>
      </c>
      <c r="Y3237" s="487"/>
      <c r="Z3237" s="487"/>
      <c r="AA3237" s="276">
        <f t="shared" si="411"/>
        <v>0</v>
      </c>
      <c r="AB3237" s="573"/>
      <c r="AC3237" s="487"/>
      <c r="AD3237" s="573"/>
      <c r="AE3237" s="487"/>
      <c r="AF3237" s="577">
        <f t="shared" si="407"/>
        <v>11100568</v>
      </c>
      <c r="AG3237" s="275">
        <f t="shared" si="408"/>
        <v>11938582</v>
      </c>
    </row>
    <row r="3238" spans="1:33" ht="12" customHeight="1">
      <c r="A3238" s="641" t="s">
        <v>1285</v>
      </c>
      <c r="B3238" s="642" t="s">
        <v>1776</v>
      </c>
      <c r="C3238" s="641" t="s">
        <v>1311</v>
      </c>
      <c r="D3238" s="776">
        <v>237792</v>
      </c>
      <c r="E3238" s="777">
        <v>6</v>
      </c>
      <c r="F3238" s="573">
        <f>10608896+100000</f>
        <v>10708896</v>
      </c>
      <c r="G3238" s="487">
        <f>10918482+100000</f>
        <v>11018482</v>
      </c>
      <c r="H3238" s="573"/>
      <c r="I3238" s="487"/>
      <c r="J3238" s="573"/>
      <c r="K3238" s="487"/>
      <c r="L3238" s="573">
        <v>21561042</v>
      </c>
      <c r="M3238" s="573">
        <v>528293</v>
      </c>
      <c r="N3238" s="456">
        <f t="shared" si="409"/>
        <v>22089335</v>
      </c>
      <c r="O3238" s="487">
        <v>23183504</v>
      </c>
      <c r="P3238" s="487">
        <v>522770</v>
      </c>
      <c r="Q3238" s="274">
        <f t="shared" si="404"/>
        <v>23706274</v>
      </c>
      <c r="R3238" s="574">
        <f t="shared" si="405"/>
        <v>32269938</v>
      </c>
      <c r="S3238" s="275">
        <f t="shared" si="406"/>
        <v>34201986</v>
      </c>
      <c r="T3238" s="575"/>
      <c r="U3238" s="487"/>
      <c r="V3238" s="576"/>
      <c r="W3238" s="573"/>
      <c r="X3238" s="574">
        <f t="shared" si="410"/>
        <v>0</v>
      </c>
      <c r="Y3238" s="487"/>
      <c r="Z3238" s="487"/>
      <c r="AA3238" s="276">
        <f t="shared" si="411"/>
        <v>0</v>
      </c>
      <c r="AB3238" s="573"/>
      <c r="AC3238" s="487"/>
      <c r="AD3238" s="573"/>
      <c r="AE3238" s="487"/>
      <c r="AF3238" s="577">
        <f t="shared" si="407"/>
        <v>32269938</v>
      </c>
      <c r="AG3238" s="275">
        <f t="shared" si="408"/>
        <v>34201986</v>
      </c>
    </row>
    <row r="3239" spans="1:33" ht="12" customHeight="1">
      <c r="A3239" s="641" t="s">
        <v>1285</v>
      </c>
      <c r="B3239" s="642" t="s">
        <v>1784</v>
      </c>
      <c r="C3239" s="283" t="s">
        <v>2037</v>
      </c>
      <c r="D3239" s="776">
        <v>237792</v>
      </c>
      <c r="E3239" s="777">
        <v>6</v>
      </c>
      <c r="F3239" s="573"/>
      <c r="G3239" s="487"/>
      <c r="H3239" s="573"/>
      <c r="I3239" s="487"/>
      <c r="J3239" s="573"/>
      <c r="K3239" s="487"/>
      <c r="L3239" s="573"/>
      <c r="M3239" s="573"/>
      <c r="N3239" s="456"/>
      <c r="O3239" s="487"/>
      <c r="P3239" s="487"/>
      <c r="Q3239" s="274"/>
      <c r="R3239" s="574"/>
      <c r="S3239" s="275"/>
      <c r="T3239" s="575"/>
      <c r="U3239" s="487"/>
      <c r="V3239" s="576"/>
      <c r="W3239" s="573"/>
      <c r="X3239" s="574"/>
      <c r="Y3239" s="487"/>
      <c r="Z3239" s="487"/>
      <c r="AA3239" s="276"/>
      <c r="AB3239" s="573"/>
      <c r="AC3239" s="487"/>
      <c r="AD3239" s="573"/>
      <c r="AE3239" s="487"/>
      <c r="AF3239" s="577"/>
      <c r="AG3239" s="275"/>
    </row>
    <row r="3240" spans="1:33" ht="12" customHeight="1">
      <c r="A3240" s="641" t="s">
        <v>1285</v>
      </c>
      <c r="B3240" s="642" t="s">
        <v>1784</v>
      </c>
      <c r="C3240" s="738" t="s">
        <v>1163</v>
      </c>
      <c r="D3240" s="776">
        <v>237792</v>
      </c>
      <c r="E3240" s="777">
        <v>6</v>
      </c>
      <c r="F3240" s="573"/>
      <c r="G3240" s="487"/>
      <c r="H3240" s="622">
        <v>465000</v>
      </c>
      <c r="I3240" s="487"/>
      <c r="J3240" s="573"/>
      <c r="K3240" s="487"/>
      <c r="L3240" s="573"/>
      <c r="M3240" s="573"/>
      <c r="N3240" s="1134"/>
      <c r="O3240" s="487"/>
      <c r="P3240" s="487"/>
      <c r="Q3240" s="274"/>
      <c r="R3240" s="574">
        <f t="shared" si="405"/>
        <v>465000</v>
      </c>
      <c r="S3240" s="275"/>
      <c r="T3240" s="575"/>
      <c r="U3240" s="487"/>
      <c r="V3240" s="576"/>
      <c r="W3240" s="573"/>
      <c r="X3240" s="574"/>
      <c r="Y3240" s="487"/>
      <c r="Z3240" s="487"/>
      <c r="AA3240" s="276"/>
      <c r="AB3240" s="573"/>
      <c r="AC3240" s="487"/>
      <c r="AD3240" s="573"/>
      <c r="AE3240" s="487"/>
      <c r="AF3240" s="577">
        <f t="shared" si="407"/>
        <v>465000</v>
      </c>
      <c r="AG3240" s="275">
        <f t="shared" si="408"/>
        <v>0</v>
      </c>
    </row>
    <row r="3241" spans="1:33" ht="12" customHeight="1">
      <c r="A3241" s="641" t="s">
        <v>1285</v>
      </c>
      <c r="B3241" s="642" t="s">
        <v>1776</v>
      </c>
      <c r="C3241" s="641" t="s">
        <v>1312</v>
      </c>
      <c r="D3241" s="776">
        <v>237932</v>
      </c>
      <c r="E3241" s="777">
        <v>6</v>
      </c>
      <c r="F3241" s="573">
        <v>8886241</v>
      </c>
      <c r="G3241" s="487">
        <v>9125137</v>
      </c>
      <c r="H3241" s="573"/>
      <c r="I3241" s="487"/>
      <c r="J3241" s="573"/>
      <c r="K3241" s="487"/>
      <c r="L3241" s="573">
        <v>10857258</v>
      </c>
      <c r="M3241" s="573">
        <v>661749</v>
      </c>
      <c r="N3241" s="456">
        <f t="shared" si="409"/>
        <v>11519007</v>
      </c>
      <c r="O3241" s="487">
        <v>11667357</v>
      </c>
      <c r="P3241" s="487">
        <v>657980</v>
      </c>
      <c r="Q3241" s="274">
        <f t="shared" si="404"/>
        <v>12325337</v>
      </c>
      <c r="R3241" s="574">
        <f t="shared" si="405"/>
        <v>19743499</v>
      </c>
      <c r="S3241" s="275">
        <f t="shared" si="406"/>
        <v>20792494</v>
      </c>
      <c r="T3241" s="575"/>
      <c r="U3241" s="487"/>
      <c r="V3241" s="576"/>
      <c r="W3241" s="573"/>
      <c r="X3241" s="574">
        <f t="shared" si="410"/>
        <v>0</v>
      </c>
      <c r="Y3241" s="487"/>
      <c r="Z3241" s="487"/>
      <c r="AA3241" s="276">
        <f t="shared" si="411"/>
        <v>0</v>
      </c>
      <c r="AB3241" s="573"/>
      <c r="AC3241" s="487"/>
      <c r="AD3241" s="573"/>
      <c r="AE3241" s="487"/>
      <c r="AF3241" s="577">
        <f t="shared" si="407"/>
        <v>19743499</v>
      </c>
      <c r="AG3241" s="275">
        <f t="shared" si="408"/>
        <v>20792494</v>
      </c>
    </row>
    <row r="3242" spans="1:33" ht="12" customHeight="1">
      <c r="A3242" s="641" t="s">
        <v>1285</v>
      </c>
      <c r="B3242" s="642" t="s">
        <v>1776</v>
      </c>
      <c r="C3242" s="641" t="s">
        <v>1313</v>
      </c>
      <c r="D3242" s="776">
        <v>237899</v>
      </c>
      <c r="E3242" s="777">
        <v>6</v>
      </c>
      <c r="F3242" s="573">
        <v>12332043</v>
      </c>
      <c r="G3242" s="487">
        <v>12642590</v>
      </c>
      <c r="H3242" s="573"/>
      <c r="I3242" s="487"/>
      <c r="J3242" s="573"/>
      <c r="K3242" s="487"/>
      <c r="L3242" s="573">
        <v>12124170</v>
      </c>
      <c r="M3242" s="573">
        <v>382986</v>
      </c>
      <c r="N3242" s="456">
        <f t="shared" si="409"/>
        <v>12507156</v>
      </c>
      <c r="O3242" s="487">
        <v>13061208</v>
      </c>
      <c r="P3242" s="487">
        <v>378982</v>
      </c>
      <c r="Q3242" s="274">
        <f t="shared" si="404"/>
        <v>13440190</v>
      </c>
      <c r="R3242" s="574">
        <f t="shared" si="405"/>
        <v>24456213</v>
      </c>
      <c r="S3242" s="275">
        <f t="shared" si="406"/>
        <v>25703798</v>
      </c>
      <c r="T3242" s="575"/>
      <c r="U3242" s="487"/>
      <c r="V3242" s="576"/>
      <c r="W3242" s="573"/>
      <c r="X3242" s="574">
        <f t="shared" si="410"/>
        <v>0</v>
      </c>
      <c r="Y3242" s="487"/>
      <c r="Z3242" s="487"/>
      <c r="AA3242" s="276">
        <f t="shared" si="411"/>
        <v>0</v>
      </c>
      <c r="AB3242" s="573"/>
      <c r="AC3242" s="487"/>
      <c r="AD3242" s="573"/>
      <c r="AE3242" s="487"/>
      <c r="AF3242" s="577">
        <f t="shared" si="407"/>
        <v>24456213</v>
      </c>
      <c r="AG3242" s="275">
        <f t="shared" si="408"/>
        <v>25703798</v>
      </c>
    </row>
    <row r="3243" spans="1:33" ht="12" customHeight="1">
      <c r="A3243" s="641" t="s">
        <v>1285</v>
      </c>
      <c r="B3243" s="642" t="s">
        <v>1776</v>
      </c>
      <c r="C3243" s="778" t="s">
        <v>1314</v>
      </c>
      <c r="D3243" s="776">
        <v>237950</v>
      </c>
      <c r="E3243" s="777">
        <v>6</v>
      </c>
      <c r="F3243" s="573">
        <v>8272205</v>
      </c>
      <c r="G3243" s="1135">
        <v>8947469</v>
      </c>
      <c r="H3243" s="573"/>
      <c r="I3243" s="487"/>
      <c r="J3243" s="573"/>
      <c r="K3243" s="487"/>
      <c r="L3243" s="573">
        <v>6490111</v>
      </c>
      <c r="M3243" s="573">
        <v>247889</v>
      </c>
      <c r="N3243" s="456">
        <f t="shared" si="409"/>
        <v>6738000</v>
      </c>
      <c r="O3243" s="487">
        <v>7029049</v>
      </c>
      <c r="P3243" s="487">
        <v>245296</v>
      </c>
      <c r="Q3243" s="274">
        <f t="shared" si="404"/>
        <v>7274345</v>
      </c>
      <c r="R3243" s="574">
        <f t="shared" si="405"/>
        <v>14762316</v>
      </c>
      <c r="S3243" s="275">
        <f t="shared" si="406"/>
        <v>15976518</v>
      </c>
      <c r="T3243" s="575"/>
      <c r="U3243" s="487"/>
      <c r="V3243" s="576"/>
      <c r="W3243" s="573"/>
      <c r="X3243" s="574">
        <f t="shared" si="410"/>
        <v>0</v>
      </c>
      <c r="Y3243" s="487"/>
      <c r="Z3243" s="487"/>
      <c r="AA3243" s="276">
        <f t="shared" si="411"/>
        <v>0</v>
      </c>
      <c r="AB3243" s="573"/>
      <c r="AC3243" s="487"/>
      <c r="AD3243" s="573"/>
      <c r="AE3243" s="487"/>
      <c r="AF3243" s="577">
        <f t="shared" si="407"/>
        <v>14762316</v>
      </c>
      <c r="AG3243" s="275">
        <f t="shared" si="408"/>
        <v>15976518</v>
      </c>
    </row>
    <row r="3244" spans="1:33" ht="12" customHeight="1">
      <c r="A3244" s="641" t="s">
        <v>1285</v>
      </c>
      <c r="B3244" s="642" t="s">
        <v>1784</v>
      </c>
      <c r="C3244" s="283" t="s">
        <v>2037</v>
      </c>
      <c r="D3244" s="776">
        <v>237950</v>
      </c>
      <c r="E3244" s="777">
        <v>6</v>
      </c>
      <c r="F3244" s="573"/>
      <c r="G3244" s="1135"/>
      <c r="H3244" s="573"/>
      <c r="I3244" s="487"/>
      <c r="J3244" s="573"/>
      <c r="K3244" s="487"/>
      <c r="L3244" s="573"/>
      <c r="M3244" s="573"/>
      <c r="N3244" s="456"/>
      <c r="O3244" s="487"/>
      <c r="P3244" s="487"/>
      <c r="Q3244" s="274"/>
      <c r="R3244" s="574"/>
      <c r="S3244" s="275"/>
      <c r="T3244" s="575"/>
      <c r="U3244" s="487"/>
      <c r="V3244" s="576"/>
      <c r="W3244" s="573"/>
      <c r="X3244" s="574"/>
      <c r="Y3244" s="487"/>
      <c r="Z3244" s="487"/>
      <c r="AA3244" s="276"/>
      <c r="AB3244" s="573"/>
      <c r="AC3244" s="487"/>
      <c r="AD3244" s="573"/>
      <c r="AE3244" s="487"/>
      <c r="AF3244" s="577"/>
      <c r="AG3244" s="275"/>
    </row>
    <row r="3245" spans="1:33" ht="12" customHeight="1">
      <c r="A3245" s="641" t="s">
        <v>1285</v>
      </c>
      <c r="B3245" s="642" t="s">
        <v>1784</v>
      </c>
      <c r="C3245" s="779" t="s">
        <v>1315</v>
      </c>
      <c r="D3245" s="776">
        <v>237950</v>
      </c>
      <c r="E3245" s="777">
        <v>6</v>
      </c>
      <c r="F3245" s="573"/>
      <c r="G3245" s="487"/>
      <c r="H3245" s="573">
        <v>1800000</v>
      </c>
      <c r="I3245" s="487">
        <v>0</v>
      </c>
      <c r="J3245" s="573"/>
      <c r="K3245" s="487"/>
      <c r="L3245" s="573"/>
      <c r="M3245" s="573"/>
      <c r="N3245" s="456">
        <f t="shared" si="409"/>
        <v>0</v>
      </c>
      <c r="O3245" s="487"/>
      <c r="P3245" s="487"/>
      <c r="Q3245" s="274">
        <f t="shared" si="404"/>
        <v>0</v>
      </c>
      <c r="R3245" s="574">
        <f t="shared" si="405"/>
        <v>1800000</v>
      </c>
      <c r="S3245" s="275">
        <f t="shared" si="406"/>
        <v>0</v>
      </c>
      <c r="T3245" s="575"/>
      <c r="U3245" s="487"/>
      <c r="V3245" s="576"/>
      <c r="W3245" s="573"/>
      <c r="X3245" s="574">
        <f t="shared" si="410"/>
        <v>0</v>
      </c>
      <c r="Y3245" s="487"/>
      <c r="Z3245" s="487"/>
      <c r="AA3245" s="276">
        <f t="shared" si="411"/>
        <v>0</v>
      </c>
      <c r="AB3245" s="573"/>
      <c r="AC3245" s="487"/>
      <c r="AD3245" s="573"/>
      <c r="AE3245" s="487"/>
      <c r="AF3245" s="577">
        <f t="shared" si="407"/>
        <v>1800000</v>
      </c>
      <c r="AG3245" s="275">
        <f t="shared" si="408"/>
        <v>0</v>
      </c>
    </row>
    <row r="3246" spans="1:33" ht="12" customHeight="1">
      <c r="A3246" s="641" t="s">
        <v>1285</v>
      </c>
      <c r="B3246" s="642" t="s">
        <v>1776</v>
      </c>
      <c r="C3246" s="778" t="s">
        <v>1316</v>
      </c>
      <c r="D3246" s="776">
        <v>237686</v>
      </c>
      <c r="E3246" s="777">
        <v>7</v>
      </c>
      <c r="F3246" s="573">
        <v>8953448</v>
      </c>
      <c r="G3246" s="950">
        <f>9735011+500000</f>
        <v>10235011</v>
      </c>
      <c r="H3246" s="573"/>
      <c r="I3246" s="487"/>
      <c r="J3246" s="573"/>
      <c r="K3246" s="487"/>
      <c r="L3246" s="573">
        <v>6127964</v>
      </c>
      <c r="M3246" s="573">
        <v>124036</v>
      </c>
      <c r="N3246" s="456">
        <f t="shared" si="409"/>
        <v>6252000</v>
      </c>
      <c r="O3246" s="487">
        <v>6426230</v>
      </c>
      <c r="P3246" s="487">
        <v>123990</v>
      </c>
      <c r="Q3246" s="274">
        <f t="shared" si="404"/>
        <v>6550220</v>
      </c>
      <c r="R3246" s="574">
        <f t="shared" si="405"/>
        <v>15081412</v>
      </c>
      <c r="S3246" s="275">
        <f t="shared" si="406"/>
        <v>16661241</v>
      </c>
      <c r="T3246" s="575"/>
      <c r="U3246" s="487"/>
      <c r="V3246" s="576"/>
      <c r="W3246" s="573"/>
      <c r="X3246" s="574">
        <f t="shared" si="410"/>
        <v>0</v>
      </c>
      <c r="Y3246" s="487"/>
      <c r="Z3246" s="487"/>
      <c r="AA3246" s="276">
        <f t="shared" si="411"/>
        <v>0</v>
      </c>
      <c r="AB3246" s="573"/>
      <c r="AC3246" s="487"/>
      <c r="AD3246" s="573"/>
      <c r="AE3246" s="487"/>
      <c r="AF3246" s="577">
        <f t="shared" si="407"/>
        <v>15081412</v>
      </c>
      <c r="AG3246" s="275">
        <f t="shared" si="408"/>
        <v>16661241</v>
      </c>
    </row>
    <row r="3247" spans="1:33" ht="12" customHeight="1">
      <c r="A3247" s="641" t="s">
        <v>1285</v>
      </c>
      <c r="B3247" s="642" t="s">
        <v>1784</v>
      </c>
      <c r="C3247" s="283" t="s">
        <v>2037</v>
      </c>
      <c r="D3247" s="776">
        <v>237686</v>
      </c>
      <c r="E3247" s="777">
        <v>7</v>
      </c>
      <c r="F3247" s="573"/>
      <c r="G3247" s="950"/>
      <c r="H3247" s="573"/>
      <c r="I3247" s="487"/>
      <c r="J3247" s="573"/>
      <c r="K3247" s="487"/>
      <c r="L3247" s="573"/>
      <c r="M3247" s="573"/>
      <c r="N3247" s="456"/>
      <c r="O3247" s="487"/>
      <c r="P3247" s="487"/>
      <c r="Q3247" s="274"/>
      <c r="R3247" s="574"/>
      <c r="S3247" s="275"/>
      <c r="T3247" s="575"/>
      <c r="U3247" s="487"/>
      <c r="V3247" s="576"/>
      <c r="W3247" s="573"/>
      <c r="X3247" s="574"/>
      <c r="Y3247" s="487"/>
      <c r="Z3247" s="487"/>
      <c r="AA3247" s="276"/>
      <c r="AB3247" s="573"/>
      <c r="AC3247" s="487"/>
      <c r="AD3247" s="573"/>
      <c r="AE3247" s="487"/>
      <c r="AF3247" s="577"/>
      <c r="AG3247" s="275"/>
    </row>
    <row r="3248" spans="1:33" ht="12" customHeight="1">
      <c r="A3248" s="641" t="s">
        <v>1285</v>
      </c>
      <c r="B3248" s="642" t="s">
        <v>1784</v>
      </c>
      <c r="C3248" s="779" t="s">
        <v>2052</v>
      </c>
      <c r="D3248" s="776">
        <v>237686</v>
      </c>
      <c r="E3248" s="777">
        <v>7</v>
      </c>
      <c r="F3248" s="573"/>
      <c r="G3248" s="487"/>
      <c r="H3248" s="622">
        <v>33350</v>
      </c>
      <c r="I3248" s="487"/>
      <c r="J3248" s="573"/>
      <c r="K3248" s="487"/>
      <c r="L3248" s="573"/>
      <c r="M3248" s="573"/>
      <c r="N3248" s="1134"/>
      <c r="O3248" s="487"/>
      <c r="P3248" s="487"/>
      <c r="Q3248" s="274"/>
      <c r="R3248" s="574">
        <f t="shared" si="405"/>
        <v>33350</v>
      </c>
      <c r="S3248" s="275"/>
      <c r="T3248" s="575"/>
      <c r="U3248" s="487"/>
      <c r="V3248" s="576"/>
      <c r="W3248" s="573"/>
      <c r="X3248" s="574"/>
      <c r="Y3248" s="487"/>
      <c r="Z3248" s="487"/>
      <c r="AA3248" s="276"/>
      <c r="AB3248" s="573"/>
      <c r="AC3248" s="487"/>
      <c r="AD3248" s="573"/>
      <c r="AE3248" s="487"/>
      <c r="AF3248" s="577">
        <f t="shared" si="407"/>
        <v>33350</v>
      </c>
      <c r="AG3248" s="275">
        <f t="shared" si="408"/>
        <v>0</v>
      </c>
    </row>
    <row r="3249" spans="1:33" ht="12" customHeight="1">
      <c r="A3249" s="641" t="s">
        <v>1285</v>
      </c>
      <c r="B3249" s="642" t="s">
        <v>1784</v>
      </c>
      <c r="C3249" s="779" t="s">
        <v>695</v>
      </c>
      <c r="D3249" s="776">
        <v>237686</v>
      </c>
      <c r="E3249" s="777">
        <v>7</v>
      </c>
      <c r="F3249" s="573"/>
      <c r="G3249" s="487"/>
      <c r="H3249" s="622">
        <v>567140</v>
      </c>
      <c r="I3249" s="487"/>
      <c r="J3249" s="573"/>
      <c r="K3249" s="487"/>
      <c r="L3249" s="573"/>
      <c r="M3249" s="573"/>
      <c r="N3249" s="1134"/>
      <c r="O3249" s="487"/>
      <c r="P3249" s="487"/>
      <c r="Q3249" s="274"/>
      <c r="R3249" s="574">
        <f t="shared" si="405"/>
        <v>567140</v>
      </c>
      <c r="S3249" s="275"/>
      <c r="T3249" s="575"/>
      <c r="U3249" s="487"/>
      <c r="V3249" s="576"/>
      <c r="W3249" s="573"/>
      <c r="X3249" s="574"/>
      <c r="Y3249" s="487"/>
      <c r="Z3249" s="487"/>
      <c r="AA3249" s="276"/>
      <c r="AB3249" s="573"/>
      <c r="AC3249" s="487"/>
      <c r="AD3249" s="573"/>
      <c r="AE3249" s="487"/>
      <c r="AF3249" s="577">
        <f t="shared" si="407"/>
        <v>567140</v>
      </c>
      <c r="AG3249" s="275">
        <f t="shared" si="408"/>
        <v>0</v>
      </c>
    </row>
    <row r="3250" spans="1:33" ht="12" customHeight="1">
      <c r="A3250" s="641" t="s">
        <v>1285</v>
      </c>
      <c r="B3250" s="642" t="s">
        <v>1784</v>
      </c>
      <c r="C3250" s="779" t="s">
        <v>697</v>
      </c>
      <c r="D3250" s="776">
        <v>237686</v>
      </c>
      <c r="E3250" s="777">
        <v>7</v>
      </c>
      <c r="F3250" s="573"/>
      <c r="G3250" s="487"/>
      <c r="H3250" s="622">
        <v>1094775</v>
      </c>
      <c r="I3250" s="487"/>
      <c r="J3250" s="573"/>
      <c r="K3250" s="487"/>
      <c r="L3250" s="573"/>
      <c r="M3250" s="573"/>
      <c r="N3250" s="1134"/>
      <c r="O3250" s="487"/>
      <c r="P3250" s="487"/>
      <c r="Q3250" s="274"/>
      <c r="R3250" s="574">
        <f t="shared" si="405"/>
        <v>1094775</v>
      </c>
      <c r="S3250" s="275"/>
      <c r="T3250" s="575"/>
      <c r="U3250" s="487"/>
      <c r="V3250" s="576"/>
      <c r="W3250" s="573"/>
      <c r="X3250" s="574"/>
      <c r="Y3250" s="487"/>
      <c r="Z3250" s="487"/>
      <c r="AA3250" s="276"/>
      <c r="AB3250" s="573"/>
      <c r="AC3250" s="487"/>
      <c r="AD3250" s="573"/>
      <c r="AE3250" s="487"/>
      <c r="AF3250" s="577">
        <f t="shared" si="407"/>
        <v>1094775</v>
      </c>
      <c r="AG3250" s="275">
        <f t="shared" si="408"/>
        <v>0</v>
      </c>
    </row>
    <row r="3251" spans="1:33" ht="12" customHeight="1">
      <c r="A3251" s="641" t="s">
        <v>1285</v>
      </c>
      <c r="B3251" s="642" t="s">
        <v>1776</v>
      </c>
      <c r="C3251" s="641" t="s">
        <v>2053</v>
      </c>
      <c r="D3251" s="776">
        <v>443492</v>
      </c>
      <c r="E3251" s="777">
        <v>9</v>
      </c>
      <c r="F3251" s="573">
        <v>8230927</v>
      </c>
      <c r="G3251" s="487">
        <v>8328385</v>
      </c>
      <c r="H3251" s="573"/>
      <c r="I3251" s="487"/>
      <c r="J3251" s="573"/>
      <c r="K3251" s="487"/>
      <c r="L3251" s="573">
        <v>6658643</v>
      </c>
      <c r="M3251" s="573"/>
      <c r="N3251" s="1134">
        <f t="shared" ref="N3251" si="413">SUM(L3251:M3251)</f>
        <v>6658643</v>
      </c>
      <c r="O3251" s="487">
        <v>6865727</v>
      </c>
      <c r="P3251" s="487"/>
      <c r="Q3251" s="274">
        <f t="shared" ref="Q3251" si="414">SUM(O3251:P3251)</f>
        <v>6865727</v>
      </c>
      <c r="R3251" s="574">
        <f t="shared" si="405"/>
        <v>14889570</v>
      </c>
      <c r="S3251" s="275">
        <f t="shared" si="406"/>
        <v>15194112</v>
      </c>
      <c r="T3251" s="575"/>
      <c r="U3251" s="487"/>
      <c r="V3251" s="576"/>
      <c r="W3251" s="573"/>
      <c r="X3251" s="574">
        <f t="shared" si="410"/>
        <v>0</v>
      </c>
      <c r="Y3251" s="487"/>
      <c r="Z3251" s="487"/>
      <c r="AA3251" s="276">
        <f t="shared" si="411"/>
        <v>0</v>
      </c>
      <c r="AB3251" s="573"/>
      <c r="AC3251" s="487"/>
      <c r="AD3251" s="573"/>
      <c r="AE3251" s="487"/>
      <c r="AF3251" s="577">
        <f t="shared" si="407"/>
        <v>14889570</v>
      </c>
      <c r="AG3251" s="275">
        <f t="shared" si="408"/>
        <v>15194112</v>
      </c>
    </row>
    <row r="3252" spans="1:33" ht="12" customHeight="1">
      <c r="A3252" s="641" t="s">
        <v>1285</v>
      </c>
      <c r="B3252" s="642" t="s">
        <v>1784</v>
      </c>
      <c r="C3252" s="283" t="s">
        <v>2037</v>
      </c>
      <c r="D3252" s="776">
        <v>443492</v>
      </c>
      <c r="E3252" s="777">
        <v>9</v>
      </c>
      <c r="F3252" s="573"/>
      <c r="G3252" s="487"/>
      <c r="H3252" s="573"/>
      <c r="I3252" s="487"/>
      <c r="J3252" s="573"/>
      <c r="K3252" s="487"/>
      <c r="L3252" s="573"/>
      <c r="M3252" s="573"/>
      <c r="N3252" s="1134"/>
      <c r="O3252" s="487"/>
      <c r="P3252" s="487"/>
      <c r="Q3252" s="274"/>
      <c r="R3252" s="574"/>
      <c r="S3252" s="275"/>
      <c r="T3252" s="575"/>
      <c r="U3252" s="487"/>
      <c r="V3252" s="576"/>
      <c r="W3252" s="573"/>
      <c r="X3252" s="574"/>
      <c r="Y3252" s="487"/>
      <c r="Z3252" s="487"/>
      <c r="AA3252" s="276"/>
      <c r="AB3252" s="573"/>
      <c r="AC3252" s="487"/>
      <c r="AD3252" s="573"/>
      <c r="AE3252" s="487"/>
      <c r="AF3252" s="577"/>
      <c r="AG3252" s="275"/>
    </row>
    <row r="3253" spans="1:33" ht="12" customHeight="1">
      <c r="A3253" s="641" t="s">
        <v>1285</v>
      </c>
      <c r="B3253" s="642" t="s">
        <v>1784</v>
      </c>
      <c r="C3253" s="779" t="s">
        <v>2052</v>
      </c>
      <c r="D3253" s="776">
        <v>443492</v>
      </c>
      <c r="E3253" s="777">
        <v>9</v>
      </c>
      <c r="F3253" s="573"/>
      <c r="G3253" s="487"/>
      <c r="H3253" s="622">
        <v>33350</v>
      </c>
      <c r="I3253" s="487"/>
      <c r="J3253" s="573"/>
      <c r="K3253" s="487"/>
      <c r="L3253" s="573"/>
      <c r="M3253" s="573"/>
      <c r="N3253" s="1134"/>
      <c r="O3253" s="487"/>
      <c r="P3253" s="487"/>
      <c r="Q3253" s="274"/>
      <c r="R3253" s="574">
        <f t="shared" si="405"/>
        <v>33350</v>
      </c>
      <c r="S3253" s="275"/>
      <c r="T3253" s="575"/>
      <c r="U3253" s="487"/>
      <c r="V3253" s="576"/>
      <c r="W3253" s="573"/>
      <c r="X3253" s="574"/>
      <c r="Y3253" s="487"/>
      <c r="Z3253" s="487"/>
      <c r="AA3253" s="276"/>
      <c r="AB3253" s="573"/>
      <c r="AC3253" s="487"/>
      <c r="AD3253" s="573"/>
      <c r="AE3253" s="487"/>
      <c r="AF3253" s="577">
        <f t="shared" si="407"/>
        <v>33350</v>
      </c>
      <c r="AG3253" s="275">
        <f t="shared" si="408"/>
        <v>0</v>
      </c>
    </row>
    <row r="3254" spans="1:33" ht="12" customHeight="1">
      <c r="A3254" s="641" t="s">
        <v>1285</v>
      </c>
      <c r="B3254" s="642" t="s">
        <v>1784</v>
      </c>
      <c r="C3254" s="779" t="s">
        <v>695</v>
      </c>
      <c r="D3254" s="776">
        <v>443492</v>
      </c>
      <c r="E3254" s="777">
        <v>9</v>
      </c>
      <c r="F3254" s="573"/>
      <c r="G3254" s="487"/>
      <c r="H3254" s="622">
        <v>545816</v>
      </c>
      <c r="I3254" s="487"/>
      <c r="J3254" s="573"/>
      <c r="K3254" s="487"/>
      <c r="L3254" s="573"/>
      <c r="M3254" s="573"/>
      <c r="N3254" s="1134"/>
      <c r="O3254" s="487"/>
      <c r="P3254" s="487"/>
      <c r="Q3254" s="274"/>
      <c r="R3254" s="574">
        <f t="shared" si="405"/>
        <v>545816</v>
      </c>
      <c r="S3254" s="275"/>
      <c r="T3254" s="575"/>
      <c r="U3254" s="487"/>
      <c r="V3254" s="576"/>
      <c r="W3254" s="573"/>
      <c r="X3254" s="574"/>
      <c r="Y3254" s="487"/>
      <c r="Z3254" s="487"/>
      <c r="AA3254" s="276"/>
      <c r="AB3254" s="573"/>
      <c r="AC3254" s="487"/>
      <c r="AD3254" s="573"/>
      <c r="AE3254" s="487"/>
      <c r="AF3254" s="577">
        <f t="shared" si="407"/>
        <v>545816</v>
      </c>
      <c r="AG3254" s="275">
        <f t="shared" si="408"/>
        <v>0</v>
      </c>
    </row>
    <row r="3255" spans="1:33" ht="12" customHeight="1">
      <c r="A3255" s="641" t="s">
        <v>1285</v>
      </c>
      <c r="B3255" s="642" t="s">
        <v>1784</v>
      </c>
      <c r="C3255" s="779" t="s">
        <v>697</v>
      </c>
      <c r="D3255" s="776">
        <v>443492</v>
      </c>
      <c r="E3255" s="777">
        <v>9</v>
      </c>
      <c r="F3255" s="573"/>
      <c r="G3255" s="487"/>
      <c r="H3255" s="622">
        <v>950164</v>
      </c>
      <c r="I3255" s="487"/>
      <c r="J3255" s="573"/>
      <c r="K3255" s="487"/>
      <c r="L3255" s="573"/>
      <c r="M3255" s="573"/>
      <c r="N3255" s="1134"/>
      <c r="O3255" s="487"/>
      <c r="P3255" s="487"/>
      <c r="Q3255" s="274"/>
      <c r="R3255" s="574">
        <f t="shared" si="405"/>
        <v>950164</v>
      </c>
      <c r="S3255" s="275"/>
      <c r="T3255" s="575"/>
      <c r="U3255" s="487"/>
      <c r="V3255" s="576"/>
      <c r="W3255" s="573"/>
      <c r="X3255" s="574"/>
      <c r="Y3255" s="487"/>
      <c r="Z3255" s="487"/>
      <c r="AA3255" s="276"/>
      <c r="AB3255" s="573"/>
      <c r="AC3255" s="487"/>
      <c r="AD3255" s="573"/>
      <c r="AE3255" s="487"/>
      <c r="AF3255" s="577">
        <f t="shared" si="407"/>
        <v>950164</v>
      </c>
      <c r="AG3255" s="275">
        <f t="shared" si="408"/>
        <v>0</v>
      </c>
    </row>
    <row r="3256" spans="1:33" ht="12" customHeight="1">
      <c r="A3256" s="641" t="s">
        <v>1285</v>
      </c>
      <c r="B3256" s="642" t="s">
        <v>1776</v>
      </c>
      <c r="C3256" s="778" t="s">
        <v>527</v>
      </c>
      <c r="D3256" s="776">
        <v>445674</v>
      </c>
      <c r="E3256" s="777">
        <v>10</v>
      </c>
      <c r="F3256" s="573">
        <v>3430922</v>
      </c>
      <c r="G3256" s="487">
        <v>3896885</v>
      </c>
      <c r="H3256" s="573"/>
      <c r="I3256" s="487"/>
      <c r="J3256" s="573"/>
      <c r="K3256" s="487"/>
      <c r="L3256" s="573">
        <v>2253000</v>
      </c>
      <c r="M3256" s="573"/>
      <c r="N3256" s="456">
        <f t="shared" si="409"/>
        <v>2253000</v>
      </c>
      <c r="O3256" s="487">
        <v>2352357</v>
      </c>
      <c r="P3256" s="487"/>
      <c r="Q3256" s="274">
        <f t="shared" si="404"/>
        <v>2352357</v>
      </c>
      <c r="R3256" s="574">
        <f t="shared" si="405"/>
        <v>5683922</v>
      </c>
      <c r="S3256" s="275">
        <f t="shared" si="406"/>
        <v>6249242</v>
      </c>
      <c r="T3256" s="575"/>
      <c r="U3256" s="487"/>
      <c r="V3256" s="576"/>
      <c r="W3256" s="573"/>
      <c r="X3256" s="574">
        <f t="shared" si="410"/>
        <v>0</v>
      </c>
      <c r="Y3256" s="487"/>
      <c r="Z3256" s="487"/>
      <c r="AA3256" s="276">
        <f t="shared" si="411"/>
        <v>0</v>
      </c>
      <c r="AB3256" s="573"/>
      <c r="AC3256" s="487"/>
      <c r="AD3256" s="573"/>
      <c r="AE3256" s="487"/>
      <c r="AF3256" s="577">
        <f t="shared" si="407"/>
        <v>5683922</v>
      </c>
      <c r="AG3256" s="275">
        <f t="shared" si="408"/>
        <v>6249242</v>
      </c>
    </row>
    <row r="3257" spans="1:33" ht="12" customHeight="1">
      <c r="A3257" s="641" t="s">
        <v>1285</v>
      </c>
      <c r="B3257" s="642" t="s">
        <v>1784</v>
      </c>
      <c r="C3257" s="283" t="s">
        <v>2037</v>
      </c>
      <c r="D3257" s="776">
        <v>445674</v>
      </c>
      <c r="E3257" s="777">
        <v>10</v>
      </c>
      <c r="F3257" s="573"/>
      <c r="G3257" s="487"/>
      <c r="H3257" s="622">
        <v>33350</v>
      </c>
      <c r="I3257" s="487"/>
      <c r="J3257" s="573"/>
      <c r="K3257" s="487"/>
      <c r="L3257" s="573"/>
      <c r="M3257" s="573"/>
      <c r="N3257" s="1134"/>
      <c r="O3257" s="487"/>
      <c r="P3257" s="487"/>
      <c r="Q3257" s="274"/>
      <c r="R3257" s="574">
        <f t="shared" si="405"/>
        <v>33350</v>
      </c>
      <c r="S3257" s="275"/>
      <c r="T3257" s="575"/>
      <c r="U3257" s="487"/>
      <c r="V3257" s="576"/>
      <c r="W3257" s="573"/>
      <c r="X3257" s="574"/>
      <c r="Y3257" s="487"/>
      <c r="Z3257" s="487"/>
      <c r="AA3257" s="276"/>
      <c r="AB3257" s="573"/>
      <c r="AC3257" s="487"/>
      <c r="AD3257" s="573"/>
      <c r="AE3257" s="487"/>
      <c r="AF3257" s="577">
        <f t="shared" si="407"/>
        <v>33350</v>
      </c>
      <c r="AG3257" s="275">
        <f t="shared" si="408"/>
        <v>0</v>
      </c>
    </row>
    <row r="3258" spans="1:33" ht="12" customHeight="1">
      <c r="A3258" s="641" t="s">
        <v>1285</v>
      </c>
      <c r="B3258" s="642" t="s">
        <v>1784</v>
      </c>
      <c r="C3258" s="779" t="s">
        <v>1628</v>
      </c>
      <c r="D3258" s="776">
        <v>445674</v>
      </c>
      <c r="E3258" s="777">
        <v>10</v>
      </c>
      <c r="F3258" s="573"/>
      <c r="G3258" s="487"/>
      <c r="H3258" s="622">
        <v>567880</v>
      </c>
      <c r="I3258" s="487"/>
      <c r="J3258" s="573"/>
      <c r="K3258" s="487"/>
      <c r="L3258" s="573"/>
      <c r="M3258" s="573"/>
      <c r="N3258" s="1134"/>
      <c r="O3258" s="487"/>
      <c r="P3258" s="487"/>
      <c r="Q3258" s="274"/>
      <c r="R3258" s="574">
        <f t="shared" si="405"/>
        <v>567880</v>
      </c>
      <c r="S3258" s="275"/>
      <c r="T3258" s="575"/>
      <c r="U3258" s="487"/>
      <c r="V3258" s="576"/>
      <c r="W3258" s="573"/>
      <c r="X3258" s="574"/>
      <c r="Y3258" s="487"/>
      <c r="Z3258" s="487"/>
      <c r="AA3258" s="276"/>
      <c r="AB3258" s="573"/>
      <c r="AC3258" s="487"/>
      <c r="AD3258" s="573"/>
      <c r="AE3258" s="487"/>
      <c r="AF3258" s="577">
        <f t="shared" si="407"/>
        <v>567880</v>
      </c>
      <c r="AG3258" s="275">
        <f t="shared" si="408"/>
        <v>0</v>
      </c>
    </row>
    <row r="3259" spans="1:33" ht="12" customHeight="1">
      <c r="A3259" s="641" t="s">
        <v>1285</v>
      </c>
      <c r="B3259" s="642" t="s">
        <v>1784</v>
      </c>
      <c r="C3259" s="779" t="s">
        <v>695</v>
      </c>
      <c r="D3259" s="776">
        <v>445674</v>
      </c>
      <c r="E3259" s="777">
        <v>10</v>
      </c>
      <c r="F3259" s="573"/>
      <c r="G3259" s="487"/>
      <c r="H3259" s="622">
        <v>541750</v>
      </c>
      <c r="I3259" s="487"/>
      <c r="J3259" s="573"/>
      <c r="K3259" s="487"/>
      <c r="L3259" s="573"/>
      <c r="M3259" s="573"/>
      <c r="N3259" s="1134"/>
      <c r="O3259" s="487"/>
      <c r="P3259" s="487"/>
      <c r="Q3259" s="274"/>
      <c r="R3259" s="574">
        <f t="shared" si="405"/>
        <v>541750</v>
      </c>
      <c r="S3259" s="275"/>
      <c r="T3259" s="575"/>
      <c r="U3259" s="487"/>
      <c r="V3259" s="576"/>
      <c r="W3259" s="573"/>
      <c r="X3259" s="574"/>
      <c r="Y3259" s="487"/>
      <c r="Z3259" s="487"/>
      <c r="AA3259" s="276"/>
      <c r="AB3259" s="573"/>
      <c r="AC3259" s="487"/>
      <c r="AD3259" s="573"/>
      <c r="AE3259" s="487"/>
      <c r="AF3259" s="577">
        <f t="shared" si="407"/>
        <v>541750</v>
      </c>
      <c r="AG3259" s="275">
        <f t="shared" si="408"/>
        <v>0</v>
      </c>
    </row>
    <row r="3260" spans="1:33" ht="12" customHeight="1">
      <c r="A3260" s="641" t="s">
        <v>1285</v>
      </c>
      <c r="B3260" s="642" t="s">
        <v>1776</v>
      </c>
      <c r="C3260" s="641" t="s">
        <v>528</v>
      </c>
      <c r="D3260" s="776">
        <v>446774</v>
      </c>
      <c r="E3260" s="777">
        <v>10</v>
      </c>
      <c r="F3260" s="573">
        <v>2871929</v>
      </c>
      <c r="G3260" s="487">
        <v>2955463</v>
      </c>
      <c r="H3260" s="573"/>
      <c r="I3260" s="487"/>
      <c r="J3260" s="573"/>
      <c r="K3260" s="487"/>
      <c r="L3260" s="573">
        <v>2824300</v>
      </c>
      <c r="M3260" s="573">
        <v>116832</v>
      </c>
      <c r="N3260" s="456">
        <f t="shared" si="409"/>
        <v>2941132</v>
      </c>
      <c r="O3260" s="487">
        <v>2941402</v>
      </c>
      <c r="P3260" s="487">
        <v>115611</v>
      </c>
      <c r="Q3260" s="274">
        <f t="shared" si="404"/>
        <v>3057013</v>
      </c>
      <c r="R3260" s="574">
        <f t="shared" si="405"/>
        <v>5696229</v>
      </c>
      <c r="S3260" s="275">
        <f t="shared" si="406"/>
        <v>5896865</v>
      </c>
      <c r="T3260" s="575"/>
      <c r="U3260" s="487"/>
      <c r="V3260" s="576"/>
      <c r="W3260" s="573"/>
      <c r="X3260" s="574">
        <f t="shared" si="410"/>
        <v>0</v>
      </c>
      <c r="Y3260" s="487"/>
      <c r="Z3260" s="487"/>
      <c r="AA3260" s="276">
        <f t="shared" si="411"/>
        <v>0</v>
      </c>
      <c r="AB3260" s="573"/>
      <c r="AC3260" s="487"/>
      <c r="AD3260" s="573"/>
      <c r="AE3260" s="487"/>
      <c r="AF3260" s="577">
        <f t="shared" si="407"/>
        <v>5696229</v>
      </c>
      <c r="AG3260" s="275">
        <f t="shared" si="408"/>
        <v>5896865</v>
      </c>
    </row>
    <row r="3261" spans="1:33" ht="12" customHeight="1">
      <c r="A3261" s="641" t="s">
        <v>1285</v>
      </c>
      <c r="B3261" s="642" t="s">
        <v>1784</v>
      </c>
      <c r="C3261" s="283" t="s">
        <v>2037</v>
      </c>
      <c r="D3261" s="776">
        <v>446774</v>
      </c>
      <c r="E3261" s="777">
        <v>10</v>
      </c>
      <c r="F3261" s="573"/>
      <c r="G3261" s="487"/>
      <c r="H3261" s="622">
        <v>3000000</v>
      </c>
      <c r="I3261" s="487"/>
      <c r="J3261" s="573"/>
      <c r="K3261" s="487"/>
      <c r="L3261" s="573"/>
      <c r="M3261" s="573"/>
      <c r="N3261" s="1134"/>
      <c r="O3261" s="487"/>
      <c r="P3261" s="487"/>
      <c r="Q3261" s="274"/>
      <c r="R3261" s="574">
        <f t="shared" si="405"/>
        <v>3000000</v>
      </c>
      <c r="S3261" s="275"/>
      <c r="T3261" s="575"/>
      <c r="U3261" s="487"/>
      <c r="V3261" s="576"/>
      <c r="W3261" s="573"/>
      <c r="X3261" s="574"/>
      <c r="Y3261" s="487"/>
      <c r="Z3261" s="487"/>
      <c r="AA3261" s="276"/>
      <c r="AB3261" s="573"/>
      <c r="AC3261" s="487"/>
      <c r="AD3261" s="573"/>
      <c r="AE3261" s="487"/>
      <c r="AF3261" s="577">
        <f t="shared" si="407"/>
        <v>3000000</v>
      </c>
      <c r="AG3261" s="275">
        <f t="shared" si="408"/>
        <v>0</v>
      </c>
    </row>
    <row r="3262" spans="1:33" ht="12" customHeight="1">
      <c r="A3262" s="641" t="s">
        <v>1285</v>
      </c>
      <c r="B3262" s="642" t="s">
        <v>1784</v>
      </c>
      <c r="C3262" s="779" t="s">
        <v>1628</v>
      </c>
      <c r="D3262" s="776">
        <v>446774</v>
      </c>
      <c r="E3262" s="777">
        <v>10</v>
      </c>
      <c r="F3262" s="573"/>
      <c r="G3262" s="487"/>
      <c r="H3262" s="622">
        <v>33350</v>
      </c>
      <c r="I3262" s="487"/>
      <c r="J3262" s="573"/>
      <c r="K3262" s="487"/>
      <c r="L3262" s="573"/>
      <c r="M3262" s="573"/>
      <c r="N3262" s="1134"/>
      <c r="O3262" s="487"/>
      <c r="P3262" s="487"/>
      <c r="Q3262" s="274"/>
      <c r="R3262" s="574">
        <f t="shared" si="405"/>
        <v>33350</v>
      </c>
      <c r="S3262" s="275"/>
      <c r="T3262" s="575"/>
      <c r="U3262" s="487"/>
      <c r="V3262" s="576"/>
      <c r="W3262" s="573"/>
      <c r="X3262" s="574"/>
      <c r="Y3262" s="487"/>
      <c r="Z3262" s="487"/>
      <c r="AA3262" s="276"/>
      <c r="AB3262" s="573"/>
      <c r="AC3262" s="487"/>
      <c r="AD3262" s="573"/>
      <c r="AE3262" s="487"/>
      <c r="AF3262" s="577">
        <f t="shared" si="407"/>
        <v>33350</v>
      </c>
      <c r="AG3262" s="275">
        <f t="shared" si="408"/>
        <v>0</v>
      </c>
    </row>
    <row r="3263" spans="1:33" ht="12" customHeight="1">
      <c r="A3263" s="641" t="s">
        <v>1285</v>
      </c>
      <c r="B3263" s="642" t="s">
        <v>1784</v>
      </c>
      <c r="C3263" s="779" t="s">
        <v>695</v>
      </c>
      <c r="D3263" s="776">
        <v>446774</v>
      </c>
      <c r="E3263" s="777">
        <v>10</v>
      </c>
      <c r="F3263" s="573"/>
      <c r="G3263" s="487"/>
      <c r="H3263" s="622">
        <v>1172487</v>
      </c>
      <c r="I3263" s="487"/>
      <c r="J3263" s="573"/>
      <c r="K3263" s="487"/>
      <c r="L3263" s="573"/>
      <c r="M3263" s="573"/>
      <c r="N3263" s="1134"/>
      <c r="O3263" s="487"/>
      <c r="P3263" s="487"/>
      <c r="Q3263" s="274"/>
      <c r="R3263" s="574">
        <f t="shared" si="405"/>
        <v>1172487</v>
      </c>
      <c r="S3263" s="275"/>
      <c r="T3263" s="575"/>
      <c r="U3263" s="487"/>
      <c r="V3263" s="576"/>
      <c r="W3263" s="573"/>
      <c r="X3263" s="574"/>
      <c r="Y3263" s="487"/>
      <c r="Z3263" s="487"/>
      <c r="AA3263" s="276"/>
      <c r="AB3263" s="573"/>
      <c r="AC3263" s="487"/>
      <c r="AD3263" s="573"/>
      <c r="AE3263" s="487"/>
      <c r="AF3263" s="577">
        <f t="shared" si="407"/>
        <v>1172487</v>
      </c>
      <c r="AG3263" s="275">
        <f t="shared" si="408"/>
        <v>0</v>
      </c>
    </row>
    <row r="3264" spans="1:33" ht="12" customHeight="1">
      <c r="A3264" s="641" t="s">
        <v>1285</v>
      </c>
      <c r="B3264" s="642" t="s">
        <v>1776</v>
      </c>
      <c r="C3264" s="778" t="s">
        <v>529</v>
      </c>
      <c r="D3264" s="776">
        <v>438708</v>
      </c>
      <c r="E3264" s="777">
        <v>10</v>
      </c>
      <c r="F3264" s="573">
        <v>2021567</v>
      </c>
      <c r="G3264" s="487">
        <v>2062115</v>
      </c>
      <c r="H3264" s="573"/>
      <c r="I3264" s="487"/>
      <c r="J3264" s="573"/>
      <c r="K3264" s="487"/>
      <c r="L3264" s="573">
        <v>460477</v>
      </c>
      <c r="M3264" s="573"/>
      <c r="N3264" s="456">
        <f t="shared" si="409"/>
        <v>460477</v>
      </c>
      <c r="O3264" s="487">
        <v>497822</v>
      </c>
      <c r="P3264" s="487"/>
      <c r="Q3264" s="274">
        <f t="shared" si="404"/>
        <v>497822</v>
      </c>
      <c r="R3264" s="574">
        <f t="shared" si="405"/>
        <v>2482044</v>
      </c>
      <c r="S3264" s="275">
        <f t="shared" si="406"/>
        <v>2559937</v>
      </c>
      <c r="T3264" s="575"/>
      <c r="U3264" s="487"/>
      <c r="V3264" s="576"/>
      <c r="W3264" s="573"/>
      <c r="X3264" s="574">
        <f t="shared" si="410"/>
        <v>0</v>
      </c>
      <c r="Y3264" s="487"/>
      <c r="Z3264" s="487"/>
      <c r="AA3264" s="276">
        <f t="shared" si="411"/>
        <v>0</v>
      </c>
      <c r="AB3264" s="573"/>
      <c r="AC3264" s="487"/>
      <c r="AD3264" s="573"/>
      <c r="AE3264" s="487"/>
      <c r="AF3264" s="577">
        <f t="shared" si="407"/>
        <v>2482044</v>
      </c>
      <c r="AG3264" s="275">
        <f t="shared" si="408"/>
        <v>2559937</v>
      </c>
    </row>
    <row r="3265" spans="1:33" ht="12" customHeight="1">
      <c r="A3265" s="641" t="s">
        <v>1285</v>
      </c>
      <c r="B3265" s="642" t="s">
        <v>1784</v>
      </c>
      <c r="C3265" s="283" t="s">
        <v>2037</v>
      </c>
      <c r="D3265" s="776">
        <v>438708</v>
      </c>
      <c r="E3265" s="777">
        <v>10</v>
      </c>
      <c r="F3265" s="573"/>
      <c r="G3265" s="487"/>
      <c r="H3265" s="573"/>
      <c r="I3265" s="487"/>
      <c r="J3265" s="573"/>
      <c r="K3265" s="487"/>
      <c r="L3265" s="573"/>
      <c r="M3265" s="573"/>
      <c r="N3265" s="456"/>
      <c r="O3265" s="487"/>
      <c r="P3265" s="487"/>
      <c r="Q3265" s="274"/>
      <c r="R3265" s="574"/>
      <c r="S3265" s="275"/>
      <c r="T3265" s="575"/>
      <c r="U3265" s="487"/>
      <c r="V3265" s="576"/>
      <c r="W3265" s="573"/>
      <c r="X3265" s="574"/>
      <c r="Y3265" s="487"/>
      <c r="Z3265" s="487"/>
      <c r="AA3265" s="276"/>
      <c r="AB3265" s="573"/>
      <c r="AC3265" s="487"/>
      <c r="AD3265" s="573"/>
      <c r="AE3265" s="487"/>
      <c r="AF3265" s="577"/>
      <c r="AG3265" s="275"/>
    </row>
    <row r="3266" spans="1:33" ht="12" customHeight="1">
      <c r="A3266" s="641" t="s">
        <v>1285</v>
      </c>
      <c r="B3266" s="642" t="s">
        <v>1784</v>
      </c>
      <c r="C3266" s="779" t="s">
        <v>1628</v>
      </c>
      <c r="D3266" s="776">
        <v>438708</v>
      </c>
      <c r="E3266" s="777">
        <v>10</v>
      </c>
      <c r="F3266" s="573"/>
      <c r="G3266" s="487"/>
      <c r="H3266" s="622">
        <v>33350</v>
      </c>
      <c r="I3266" s="487"/>
      <c r="J3266" s="573"/>
      <c r="K3266" s="487"/>
      <c r="L3266" s="573"/>
      <c r="M3266" s="573"/>
      <c r="N3266" s="1134"/>
      <c r="O3266" s="487"/>
      <c r="P3266" s="487"/>
      <c r="Q3266" s="274"/>
      <c r="R3266" s="574">
        <f t="shared" si="405"/>
        <v>33350</v>
      </c>
      <c r="S3266" s="275"/>
      <c r="T3266" s="575"/>
      <c r="U3266" s="487"/>
      <c r="V3266" s="576"/>
      <c r="W3266" s="573"/>
      <c r="X3266" s="574"/>
      <c r="Y3266" s="487"/>
      <c r="Z3266" s="487"/>
      <c r="AA3266" s="276"/>
      <c r="AB3266" s="573"/>
      <c r="AC3266" s="487"/>
      <c r="AD3266" s="573"/>
      <c r="AE3266" s="487"/>
      <c r="AF3266" s="577">
        <f t="shared" si="407"/>
        <v>33350</v>
      </c>
      <c r="AG3266" s="275">
        <f t="shared" si="408"/>
        <v>0</v>
      </c>
    </row>
    <row r="3267" spans="1:33" ht="12" customHeight="1">
      <c r="A3267" s="641" t="s">
        <v>1285</v>
      </c>
      <c r="B3267" s="642" t="s">
        <v>1784</v>
      </c>
      <c r="C3267" s="779" t="s">
        <v>695</v>
      </c>
      <c r="D3267" s="776">
        <v>438708</v>
      </c>
      <c r="E3267" s="777">
        <v>10</v>
      </c>
      <c r="F3267" s="573"/>
      <c r="G3267" s="487"/>
      <c r="H3267" s="622">
        <v>225015</v>
      </c>
      <c r="I3267" s="487"/>
      <c r="J3267" s="573"/>
      <c r="K3267" s="487"/>
      <c r="L3267" s="573"/>
      <c r="M3267" s="573"/>
      <c r="N3267" s="1134"/>
      <c r="O3267" s="487"/>
      <c r="P3267" s="487"/>
      <c r="Q3267" s="274"/>
      <c r="R3267" s="574">
        <f t="shared" si="405"/>
        <v>225015</v>
      </c>
      <c r="S3267" s="275"/>
      <c r="T3267" s="575"/>
      <c r="U3267" s="487"/>
      <c r="V3267" s="576"/>
      <c r="W3267" s="573"/>
      <c r="X3267" s="574"/>
      <c r="Y3267" s="487"/>
      <c r="Z3267" s="487"/>
      <c r="AA3267" s="276"/>
      <c r="AB3267" s="573"/>
      <c r="AC3267" s="487"/>
      <c r="AD3267" s="573"/>
      <c r="AE3267" s="487"/>
      <c r="AF3267" s="577">
        <f t="shared" si="407"/>
        <v>225015</v>
      </c>
      <c r="AG3267" s="275">
        <f t="shared" si="408"/>
        <v>0</v>
      </c>
    </row>
    <row r="3268" spans="1:33" ht="12" customHeight="1">
      <c r="A3268" s="641" t="s">
        <v>1285</v>
      </c>
      <c r="B3268" s="642" t="s">
        <v>1776</v>
      </c>
      <c r="C3268" s="641" t="s">
        <v>530</v>
      </c>
      <c r="D3268" s="776">
        <v>444954</v>
      </c>
      <c r="E3268" s="777">
        <v>10</v>
      </c>
      <c r="F3268" s="573">
        <v>5800275</v>
      </c>
      <c r="G3268" s="487">
        <v>5911742</v>
      </c>
      <c r="H3268" s="573"/>
      <c r="I3268" s="487"/>
      <c r="J3268" s="573"/>
      <c r="K3268" s="487"/>
      <c r="L3268" s="573">
        <v>5171817</v>
      </c>
      <c r="M3268" s="573"/>
      <c r="N3268" s="456">
        <f t="shared" si="409"/>
        <v>5171817</v>
      </c>
      <c r="O3268" s="487">
        <v>5096826</v>
      </c>
      <c r="P3268" s="487"/>
      <c r="Q3268" s="274">
        <f t="shared" si="404"/>
        <v>5096826</v>
      </c>
      <c r="R3268" s="574">
        <f t="shared" si="405"/>
        <v>10972092</v>
      </c>
      <c r="S3268" s="275">
        <f t="shared" si="406"/>
        <v>11008568</v>
      </c>
      <c r="T3268" s="575"/>
      <c r="U3268" s="487"/>
      <c r="V3268" s="576"/>
      <c r="W3268" s="573"/>
      <c r="X3268" s="574">
        <f t="shared" si="410"/>
        <v>0</v>
      </c>
      <c r="Y3268" s="487"/>
      <c r="Z3268" s="487"/>
      <c r="AA3268" s="276">
        <f t="shared" si="411"/>
        <v>0</v>
      </c>
      <c r="AB3268" s="573"/>
      <c r="AC3268" s="487"/>
      <c r="AD3268" s="573"/>
      <c r="AE3268" s="487"/>
      <c r="AF3268" s="577">
        <f t="shared" si="407"/>
        <v>10972092</v>
      </c>
      <c r="AG3268" s="275">
        <f t="shared" si="408"/>
        <v>11008568</v>
      </c>
    </row>
    <row r="3269" spans="1:33" ht="12" customHeight="1">
      <c r="A3269" s="641" t="s">
        <v>1285</v>
      </c>
      <c r="B3269" s="642" t="s">
        <v>1784</v>
      </c>
      <c r="C3269" s="283" t="s">
        <v>2037</v>
      </c>
      <c r="D3269" s="776">
        <v>444954</v>
      </c>
      <c r="E3269" s="777">
        <v>10</v>
      </c>
      <c r="F3269" s="573"/>
      <c r="G3269" s="487"/>
      <c r="H3269" s="573"/>
      <c r="I3269" s="487"/>
      <c r="J3269" s="573"/>
      <c r="K3269" s="487"/>
      <c r="L3269" s="573"/>
      <c r="M3269" s="573"/>
      <c r="N3269" s="456"/>
      <c r="O3269" s="487"/>
      <c r="P3269" s="487"/>
      <c r="Q3269" s="274"/>
      <c r="R3269" s="574"/>
      <c r="S3269" s="275"/>
      <c r="T3269" s="575"/>
      <c r="U3269" s="487"/>
      <c r="V3269" s="576"/>
      <c r="W3269" s="573"/>
      <c r="X3269" s="574"/>
      <c r="Y3269" s="487"/>
      <c r="Z3269" s="487"/>
      <c r="AA3269" s="276"/>
      <c r="AB3269" s="573"/>
      <c r="AC3269" s="487"/>
      <c r="AD3269" s="573"/>
      <c r="AE3269" s="487"/>
      <c r="AF3269" s="577"/>
      <c r="AG3269" s="275"/>
    </row>
    <row r="3270" spans="1:33" ht="12" customHeight="1">
      <c r="A3270" s="641" t="s">
        <v>1285</v>
      </c>
      <c r="B3270" s="642" t="s">
        <v>1784</v>
      </c>
      <c r="C3270" s="779" t="s">
        <v>1628</v>
      </c>
      <c r="D3270" s="776">
        <v>444954</v>
      </c>
      <c r="E3270" s="777">
        <v>10</v>
      </c>
      <c r="F3270" s="573"/>
      <c r="G3270" s="487"/>
      <c r="H3270" s="622">
        <v>33350</v>
      </c>
      <c r="I3270" s="487"/>
      <c r="J3270" s="573"/>
      <c r="K3270" s="487"/>
      <c r="L3270" s="573"/>
      <c r="M3270" s="573"/>
      <c r="N3270" s="1134"/>
      <c r="O3270" s="487"/>
      <c r="P3270" s="487"/>
      <c r="Q3270" s="274"/>
      <c r="R3270" s="574">
        <f t="shared" si="405"/>
        <v>33350</v>
      </c>
      <c r="S3270" s="275"/>
      <c r="T3270" s="575"/>
      <c r="U3270" s="487"/>
      <c r="V3270" s="576"/>
      <c r="W3270" s="573"/>
      <c r="X3270" s="574"/>
      <c r="Y3270" s="487"/>
      <c r="Z3270" s="487"/>
      <c r="AA3270" s="276"/>
      <c r="AB3270" s="573"/>
      <c r="AC3270" s="487"/>
      <c r="AD3270" s="573"/>
      <c r="AE3270" s="487"/>
      <c r="AF3270" s="577">
        <f t="shared" si="407"/>
        <v>33350</v>
      </c>
      <c r="AG3270" s="275">
        <f t="shared" si="408"/>
        <v>0</v>
      </c>
    </row>
    <row r="3271" spans="1:33" ht="12" customHeight="1">
      <c r="A3271" s="641" t="s">
        <v>1285</v>
      </c>
      <c r="B3271" s="642" t="s">
        <v>1784</v>
      </c>
      <c r="C3271" s="779" t="s">
        <v>2051</v>
      </c>
      <c r="D3271" s="776">
        <v>444954</v>
      </c>
      <c r="E3271" s="777">
        <v>10</v>
      </c>
      <c r="F3271" s="573"/>
      <c r="G3271" s="487"/>
      <c r="H3271" s="622">
        <v>59500</v>
      </c>
      <c r="I3271" s="487"/>
      <c r="J3271" s="573"/>
      <c r="K3271" s="487"/>
      <c r="L3271" s="573"/>
      <c r="M3271" s="573"/>
      <c r="N3271" s="1134"/>
      <c r="O3271" s="487"/>
      <c r="P3271" s="487"/>
      <c r="Q3271" s="274"/>
      <c r="R3271" s="574">
        <f t="shared" si="405"/>
        <v>59500</v>
      </c>
      <c r="S3271" s="275"/>
      <c r="T3271" s="575"/>
      <c r="U3271" s="487"/>
      <c r="V3271" s="576"/>
      <c r="W3271" s="573"/>
      <c r="X3271" s="574"/>
      <c r="Y3271" s="487"/>
      <c r="Z3271" s="487"/>
      <c r="AA3271" s="276"/>
      <c r="AB3271" s="573"/>
      <c r="AC3271" s="487"/>
      <c r="AD3271" s="573"/>
      <c r="AE3271" s="487"/>
      <c r="AF3271" s="577">
        <f t="shared" si="407"/>
        <v>59500</v>
      </c>
      <c r="AG3271" s="275">
        <f t="shared" si="408"/>
        <v>0</v>
      </c>
    </row>
    <row r="3272" spans="1:33" ht="12" customHeight="1">
      <c r="A3272" s="641" t="s">
        <v>1285</v>
      </c>
      <c r="B3272" s="642" t="s">
        <v>1784</v>
      </c>
      <c r="C3272" s="779" t="s">
        <v>695</v>
      </c>
      <c r="D3272" s="776">
        <v>444954</v>
      </c>
      <c r="E3272" s="777">
        <v>10</v>
      </c>
      <c r="F3272" s="573"/>
      <c r="G3272" s="487"/>
      <c r="H3272" s="622">
        <v>632119</v>
      </c>
      <c r="I3272" s="487"/>
      <c r="J3272" s="573"/>
      <c r="K3272" s="487"/>
      <c r="L3272" s="573"/>
      <c r="M3272" s="573"/>
      <c r="N3272" s="1134"/>
      <c r="O3272" s="487"/>
      <c r="P3272" s="487"/>
      <c r="Q3272" s="274"/>
      <c r="R3272" s="574">
        <f t="shared" si="405"/>
        <v>632119</v>
      </c>
      <c r="S3272" s="275"/>
      <c r="T3272" s="575"/>
      <c r="U3272" s="487"/>
      <c r="V3272" s="576"/>
      <c r="W3272" s="573"/>
      <c r="X3272" s="574"/>
      <c r="Y3272" s="487"/>
      <c r="Z3272" s="487"/>
      <c r="AA3272" s="276"/>
      <c r="AB3272" s="573"/>
      <c r="AC3272" s="487"/>
      <c r="AD3272" s="573"/>
      <c r="AE3272" s="487"/>
      <c r="AF3272" s="577">
        <f t="shared" si="407"/>
        <v>632119</v>
      </c>
      <c r="AG3272" s="275">
        <f t="shared" si="408"/>
        <v>0</v>
      </c>
    </row>
    <row r="3273" spans="1:33" ht="12" customHeight="1">
      <c r="A3273" s="641" t="s">
        <v>1285</v>
      </c>
      <c r="B3273" s="642" t="s">
        <v>1784</v>
      </c>
      <c r="C3273" s="779" t="s">
        <v>697</v>
      </c>
      <c r="D3273" s="776">
        <v>444954</v>
      </c>
      <c r="E3273" s="777">
        <v>10</v>
      </c>
      <c r="F3273" s="573"/>
      <c r="G3273" s="487"/>
      <c r="H3273" s="622">
        <v>199050</v>
      </c>
      <c r="I3273" s="487"/>
      <c r="J3273" s="573"/>
      <c r="K3273" s="487"/>
      <c r="L3273" s="573"/>
      <c r="M3273" s="573"/>
      <c r="N3273" s="1134"/>
      <c r="O3273" s="487"/>
      <c r="P3273" s="487"/>
      <c r="Q3273" s="274"/>
      <c r="R3273" s="574">
        <f t="shared" si="405"/>
        <v>199050</v>
      </c>
      <c r="S3273" s="275"/>
      <c r="T3273" s="575"/>
      <c r="U3273" s="487"/>
      <c r="V3273" s="576"/>
      <c r="W3273" s="573"/>
      <c r="X3273" s="574"/>
      <c r="Y3273" s="487"/>
      <c r="Z3273" s="487"/>
      <c r="AA3273" s="276"/>
      <c r="AB3273" s="573"/>
      <c r="AC3273" s="487"/>
      <c r="AD3273" s="573"/>
      <c r="AE3273" s="487"/>
      <c r="AF3273" s="577">
        <f t="shared" si="407"/>
        <v>199050</v>
      </c>
      <c r="AG3273" s="275">
        <f t="shared" si="408"/>
        <v>0</v>
      </c>
    </row>
    <row r="3274" spans="1:33" ht="12" customHeight="1">
      <c r="A3274" s="641" t="s">
        <v>1285</v>
      </c>
      <c r="B3274" s="642" t="s">
        <v>1776</v>
      </c>
      <c r="C3274" s="641" t="s">
        <v>531</v>
      </c>
      <c r="D3274" s="776">
        <v>447582</v>
      </c>
      <c r="E3274" s="777">
        <v>10</v>
      </c>
      <c r="F3274" s="573">
        <v>4863295</v>
      </c>
      <c r="G3274" s="487">
        <v>5673054</v>
      </c>
      <c r="H3274" s="573"/>
      <c r="I3274" s="487"/>
      <c r="J3274" s="573"/>
      <c r="K3274" s="487"/>
      <c r="L3274" s="573">
        <v>4631140</v>
      </c>
      <c r="M3274" s="573">
        <v>21659</v>
      </c>
      <c r="N3274" s="456">
        <f t="shared" si="409"/>
        <v>4652799</v>
      </c>
      <c r="O3274" s="487">
        <v>4631367</v>
      </c>
      <c r="P3274" s="487">
        <v>21432</v>
      </c>
      <c r="Q3274" s="274">
        <f t="shared" si="404"/>
        <v>4652799</v>
      </c>
      <c r="R3274" s="574">
        <f t="shared" si="405"/>
        <v>9494435</v>
      </c>
      <c r="S3274" s="275">
        <f t="shared" si="406"/>
        <v>10304421</v>
      </c>
      <c r="T3274" s="575"/>
      <c r="U3274" s="487"/>
      <c r="V3274" s="576"/>
      <c r="W3274" s="573"/>
      <c r="X3274" s="574">
        <f t="shared" si="410"/>
        <v>0</v>
      </c>
      <c r="Y3274" s="487"/>
      <c r="Z3274" s="487"/>
      <c r="AA3274" s="276">
        <f t="shared" si="411"/>
        <v>0</v>
      </c>
      <c r="AB3274" s="573"/>
      <c r="AC3274" s="487"/>
      <c r="AD3274" s="573"/>
      <c r="AE3274" s="487"/>
      <c r="AF3274" s="577">
        <f t="shared" si="407"/>
        <v>9494435</v>
      </c>
      <c r="AG3274" s="275">
        <f t="shared" si="408"/>
        <v>10304421</v>
      </c>
    </row>
    <row r="3275" spans="1:33" ht="12" customHeight="1">
      <c r="A3275" s="641" t="s">
        <v>1285</v>
      </c>
      <c r="B3275" s="642" t="s">
        <v>1784</v>
      </c>
      <c r="C3275" s="283" t="s">
        <v>2037</v>
      </c>
      <c r="D3275" s="776">
        <v>447582</v>
      </c>
      <c r="E3275" s="777">
        <v>10</v>
      </c>
      <c r="F3275" s="573"/>
      <c r="G3275" s="487"/>
      <c r="H3275" s="573"/>
      <c r="I3275" s="487"/>
      <c r="J3275" s="573"/>
      <c r="K3275" s="487"/>
      <c r="L3275" s="573"/>
      <c r="M3275" s="573"/>
      <c r="N3275" s="456"/>
      <c r="O3275" s="487"/>
      <c r="P3275" s="487"/>
      <c r="Q3275" s="274"/>
      <c r="R3275" s="574"/>
      <c r="S3275" s="275"/>
      <c r="T3275" s="575"/>
      <c r="U3275" s="487"/>
      <c r="V3275" s="576"/>
      <c r="W3275" s="573"/>
      <c r="X3275" s="574"/>
      <c r="Y3275" s="487"/>
      <c r="Z3275" s="487"/>
      <c r="AA3275" s="276"/>
      <c r="AB3275" s="573"/>
      <c r="AC3275" s="487"/>
      <c r="AD3275" s="573"/>
      <c r="AE3275" s="487"/>
      <c r="AF3275" s="577"/>
      <c r="AG3275" s="275"/>
    </row>
    <row r="3276" spans="1:33" ht="12" customHeight="1">
      <c r="A3276" s="641" t="s">
        <v>1285</v>
      </c>
      <c r="B3276" s="642" t="s">
        <v>1784</v>
      </c>
      <c r="C3276" s="779" t="s">
        <v>1628</v>
      </c>
      <c r="D3276" s="776">
        <v>447582</v>
      </c>
      <c r="E3276" s="777">
        <v>10</v>
      </c>
      <c r="F3276" s="573"/>
      <c r="G3276" s="487"/>
      <c r="H3276" s="622">
        <v>33350</v>
      </c>
      <c r="I3276" s="487"/>
      <c r="J3276" s="573"/>
      <c r="K3276" s="487"/>
      <c r="L3276" s="573"/>
      <c r="M3276" s="573"/>
      <c r="N3276" s="1134"/>
      <c r="O3276" s="487"/>
      <c r="P3276" s="487"/>
      <c r="Q3276" s="274"/>
      <c r="R3276" s="574">
        <f t="shared" si="405"/>
        <v>33350</v>
      </c>
      <c r="S3276" s="275"/>
      <c r="T3276" s="575"/>
      <c r="U3276" s="487"/>
      <c r="V3276" s="576"/>
      <c r="W3276" s="573"/>
      <c r="X3276" s="574"/>
      <c r="Y3276" s="487"/>
      <c r="Z3276" s="487"/>
      <c r="AA3276" s="276"/>
      <c r="AB3276" s="573"/>
      <c r="AC3276" s="487"/>
      <c r="AD3276" s="573"/>
      <c r="AE3276" s="487"/>
      <c r="AF3276" s="577">
        <f t="shared" si="407"/>
        <v>33350</v>
      </c>
      <c r="AG3276" s="275">
        <f t="shared" si="408"/>
        <v>0</v>
      </c>
    </row>
    <row r="3277" spans="1:33" ht="12" customHeight="1">
      <c r="A3277" s="641" t="s">
        <v>1285</v>
      </c>
      <c r="B3277" s="642" t="s">
        <v>1784</v>
      </c>
      <c r="C3277" s="779" t="s">
        <v>695</v>
      </c>
      <c r="D3277" s="776">
        <v>447582</v>
      </c>
      <c r="E3277" s="777">
        <v>10</v>
      </c>
      <c r="F3277" s="573"/>
      <c r="G3277" s="487"/>
      <c r="H3277" s="622">
        <v>282800</v>
      </c>
      <c r="I3277" s="487"/>
      <c r="J3277" s="573"/>
      <c r="K3277" s="487"/>
      <c r="L3277" s="573"/>
      <c r="M3277" s="573"/>
      <c r="N3277" s="1134"/>
      <c r="O3277" s="487"/>
      <c r="P3277" s="487"/>
      <c r="Q3277" s="274"/>
      <c r="R3277" s="574">
        <f t="shared" si="405"/>
        <v>282800</v>
      </c>
      <c r="S3277" s="275"/>
      <c r="T3277" s="575"/>
      <c r="U3277" s="487"/>
      <c r="V3277" s="576"/>
      <c r="W3277" s="573"/>
      <c r="X3277" s="574"/>
      <c r="Y3277" s="487"/>
      <c r="Z3277" s="487"/>
      <c r="AA3277" s="276"/>
      <c r="AB3277" s="573"/>
      <c r="AC3277" s="487"/>
      <c r="AD3277" s="573"/>
      <c r="AE3277" s="487"/>
      <c r="AF3277" s="577">
        <f t="shared" si="407"/>
        <v>282800</v>
      </c>
      <c r="AG3277" s="275">
        <f t="shared" si="408"/>
        <v>0</v>
      </c>
    </row>
    <row r="3278" spans="1:33" ht="12" customHeight="1">
      <c r="A3278" s="641" t="s">
        <v>1285</v>
      </c>
      <c r="B3278" s="642" t="s">
        <v>1784</v>
      </c>
      <c r="C3278" s="779" t="s">
        <v>697</v>
      </c>
      <c r="D3278" s="776">
        <v>447582</v>
      </c>
      <c r="E3278" s="777">
        <v>10</v>
      </c>
      <c r="F3278" s="573"/>
      <c r="G3278" s="487"/>
      <c r="H3278" s="622">
        <v>1592400</v>
      </c>
      <c r="I3278" s="487"/>
      <c r="J3278" s="573"/>
      <c r="K3278" s="487"/>
      <c r="L3278" s="573"/>
      <c r="M3278" s="573"/>
      <c r="N3278" s="1134"/>
      <c r="O3278" s="487"/>
      <c r="P3278" s="487"/>
      <c r="Q3278" s="274"/>
      <c r="R3278" s="574">
        <f t="shared" si="405"/>
        <v>1592400</v>
      </c>
      <c r="S3278" s="275"/>
      <c r="T3278" s="575"/>
      <c r="U3278" s="487"/>
      <c r="V3278" s="576"/>
      <c r="W3278" s="573"/>
      <c r="X3278" s="574"/>
      <c r="Y3278" s="487"/>
      <c r="Z3278" s="487"/>
      <c r="AA3278" s="276"/>
      <c r="AB3278" s="573"/>
      <c r="AC3278" s="487"/>
      <c r="AD3278" s="573"/>
      <c r="AE3278" s="487"/>
      <c r="AF3278" s="577">
        <f t="shared" si="407"/>
        <v>1592400</v>
      </c>
      <c r="AG3278" s="275">
        <f t="shared" si="408"/>
        <v>0</v>
      </c>
    </row>
    <row r="3279" spans="1:33" ht="12" customHeight="1">
      <c r="A3279" s="641" t="s">
        <v>1285</v>
      </c>
      <c r="B3279" s="642" t="s">
        <v>1776</v>
      </c>
      <c r="C3279" s="641" t="s">
        <v>532</v>
      </c>
      <c r="D3279" s="776">
        <v>237701</v>
      </c>
      <c r="E3279" s="777">
        <v>10</v>
      </c>
      <c r="F3279" s="573">
        <v>4346826</v>
      </c>
      <c r="G3279" s="487">
        <f>4604493</f>
        <v>4604493</v>
      </c>
      <c r="H3279" s="573"/>
      <c r="I3279" s="487"/>
      <c r="J3279" s="573"/>
      <c r="K3279" s="487"/>
      <c r="L3279" s="573">
        <v>4387309</v>
      </c>
      <c r="M3279" s="573">
        <v>82691</v>
      </c>
      <c r="N3279" s="456">
        <f t="shared" si="409"/>
        <v>4470000</v>
      </c>
      <c r="O3279" s="487">
        <v>4611287</v>
      </c>
      <c r="P3279" s="487">
        <v>82660</v>
      </c>
      <c r="Q3279" s="274">
        <f t="shared" si="404"/>
        <v>4693947</v>
      </c>
      <c r="R3279" s="574">
        <f t="shared" si="405"/>
        <v>8734135</v>
      </c>
      <c r="S3279" s="275">
        <f t="shared" si="406"/>
        <v>9215780</v>
      </c>
      <c r="T3279" s="575"/>
      <c r="U3279" s="487"/>
      <c r="V3279" s="576"/>
      <c r="W3279" s="573"/>
      <c r="X3279" s="574">
        <f t="shared" si="410"/>
        <v>0</v>
      </c>
      <c r="Y3279" s="487"/>
      <c r="Z3279" s="487"/>
      <c r="AA3279" s="276">
        <f t="shared" si="411"/>
        <v>0</v>
      </c>
      <c r="AB3279" s="573"/>
      <c r="AC3279" s="487"/>
      <c r="AD3279" s="573"/>
      <c r="AE3279" s="487"/>
      <c r="AF3279" s="577">
        <f t="shared" si="407"/>
        <v>8734135</v>
      </c>
      <c r="AG3279" s="275">
        <f t="shared" si="408"/>
        <v>9215780</v>
      </c>
    </row>
    <row r="3280" spans="1:33" ht="12" customHeight="1">
      <c r="A3280" s="641" t="s">
        <v>1285</v>
      </c>
      <c r="B3280" s="642" t="s">
        <v>1776</v>
      </c>
      <c r="C3280" s="778" t="s">
        <v>1622</v>
      </c>
      <c r="D3280" s="776">
        <v>237817</v>
      </c>
      <c r="E3280" s="777">
        <v>10</v>
      </c>
      <c r="F3280" s="1136">
        <v>9386234</v>
      </c>
      <c r="G3280" s="1135">
        <f>8633197+300000</f>
        <v>8933197</v>
      </c>
      <c r="H3280" s="573"/>
      <c r="I3280" s="487"/>
      <c r="J3280" s="573"/>
      <c r="K3280" s="487"/>
      <c r="L3280" s="573">
        <v>3368577</v>
      </c>
      <c r="M3280" s="573"/>
      <c r="N3280" s="456">
        <f t="shared" si="409"/>
        <v>3368577</v>
      </c>
      <c r="O3280" s="487">
        <v>3641769</v>
      </c>
      <c r="P3280" s="487" t="s">
        <v>648</v>
      </c>
      <c r="Q3280" s="274">
        <f t="shared" si="404"/>
        <v>3641769</v>
      </c>
      <c r="R3280" s="574">
        <f t="shared" si="405"/>
        <v>12754811</v>
      </c>
      <c r="S3280" s="275">
        <f t="shared" si="406"/>
        <v>12574966</v>
      </c>
      <c r="T3280" s="575"/>
      <c r="U3280" s="487"/>
      <c r="V3280" s="576"/>
      <c r="W3280" s="573"/>
      <c r="X3280" s="574">
        <f t="shared" si="410"/>
        <v>0</v>
      </c>
      <c r="Y3280" s="487"/>
      <c r="Z3280" s="487"/>
      <c r="AA3280" s="276">
        <f t="shared" si="411"/>
        <v>0</v>
      </c>
      <c r="AB3280" s="573"/>
      <c r="AC3280" s="487"/>
      <c r="AD3280" s="573"/>
      <c r="AE3280" s="487"/>
      <c r="AF3280" s="577">
        <f t="shared" si="407"/>
        <v>12754811</v>
      </c>
      <c r="AG3280" s="275">
        <f t="shared" si="408"/>
        <v>12574966</v>
      </c>
    </row>
    <row r="3281" spans="1:33" ht="12" customHeight="1">
      <c r="A3281" s="641" t="s">
        <v>1285</v>
      </c>
      <c r="B3281" s="642" t="s">
        <v>1784</v>
      </c>
      <c r="C3281" s="283" t="s">
        <v>2037</v>
      </c>
      <c r="D3281" s="776">
        <v>237817</v>
      </c>
      <c r="E3281" s="777">
        <v>10</v>
      </c>
      <c r="F3281" s="1136"/>
      <c r="G3281" s="1135"/>
      <c r="H3281" s="573"/>
      <c r="I3281" s="487"/>
      <c r="J3281" s="573"/>
      <c r="K3281" s="487"/>
      <c r="L3281" s="573"/>
      <c r="M3281" s="573"/>
      <c r="N3281" s="456"/>
      <c r="O3281" s="487"/>
      <c r="P3281" s="487"/>
      <c r="Q3281" s="274"/>
      <c r="R3281" s="574"/>
      <c r="S3281" s="275"/>
      <c r="T3281" s="575"/>
      <c r="U3281" s="487"/>
      <c r="V3281" s="576"/>
      <c r="W3281" s="573"/>
      <c r="X3281" s="574"/>
      <c r="Y3281" s="487"/>
      <c r="Z3281" s="487"/>
      <c r="AA3281" s="276"/>
      <c r="AB3281" s="573"/>
      <c r="AC3281" s="487"/>
      <c r="AD3281" s="573"/>
      <c r="AE3281" s="487"/>
      <c r="AF3281" s="577"/>
      <c r="AG3281" s="275"/>
    </row>
    <row r="3282" spans="1:33" ht="12" customHeight="1">
      <c r="A3282" s="641" t="s">
        <v>1285</v>
      </c>
      <c r="B3282" s="642" t="s">
        <v>1784</v>
      </c>
      <c r="C3282" s="779" t="s">
        <v>1628</v>
      </c>
      <c r="D3282" s="776">
        <v>237817</v>
      </c>
      <c r="E3282" s="777">
        <v>10</v>
      </c>
      <c r="F3282" s="622"/>
      <c r="G3282" s="1135"/>
      <c r="H3282" s="622">
        <v>33350</v>
      </c>
      <c r="I3282" s="487"/>
      <c r="J3282" s="573"/>
      <c r="K3282" s="487"/>
      <c r="L3282" s="573"/>
      <c r="M3282" s="573"/>
      <c r="N3282" s="1134"/>
      <c r="O3282" s="487"/>
      <c r="P3282" s="487"/>
      <c r="Q3282" s="274"/>
      <c r="R3282" s="574">
        <f t="shared" si="405"/>
        <v>33350</v>
      </c>
      <c r="S3282" s="275"/>
      <c r="T3282" s="575"/>
      <c r="U3282" s="487"/>
      <c r="V3282" s="576"/>
      <c r="W3282" s="573"/>
      <c r="X3282" s="574"/>
      <c r="Y3282" s="487"/>
      <c r="Z3282" s="487"/>
      <c r="AA3282" s="276"/>
      <c r="AB3282" s="573"/>
      <c r="AC3282" s="487"/>
      <c r="AD3282" s="573"/>
      <c r="AE3282" s="487"/>
      <c r="AF3282" s="577">
        <f t="shared" si="407"/>
        <v>33350</v>
      </c>
      <c r="AG3282" s="275">
        <f t="shared" si="408"/>
        <v>0</v>
      </c>
    </row>
    <row r="3283" spans="1:33" ht="12" customHeight="1">
      <c r="A3283" s="641" t="s">
        <v>1285</v>
      </c>
      <c r="B3283" s="642" t="s">
        <v>1784</v>
      </c>
      <c r="C3283" s="779" t="s">
        <v>695</v>
      </c>
      <c r="D3283" s="776">
        <v>237817</v>
      </c>
      <c r="E3283" s="777">
        <v>10</v>
      </c>
      <c r="F3283" s="622"/>
      <c r="G3283" s="1135"/>
      <c r="H3283" s="622">
        <v>220000</v>
      </c>
      <c r="I3283" s="487"/>
      <c r="J3283" s="573"/>
      <c r="K3283" s="487"/>
      <c r="L3283" s="573"/>
      <c r="M3283" s="573"/>
      <c r="N3283" s="1134"/>
      <c r="O3283" s="487"/>
      <c r="P3283" s="487"/>
      <c r="Q3283" s="274"/>
      <c r="R3283" s="574">
        <f t="shared" si="405"/>
        <v>220000</v>
      </c>
      <c r="S3283" s="275"/>
      <c r="T3283" s="575"/>
      <c r="U3283" s="487"/>
      <c r="V3283" s="576"/>
      <c r="W3283" s="573"/>
      <c r="X3283" s="574"/>
      <c r="Y3283" s="487"/>
      <c r="Z3283" s="487"/>
      <c r="AA3283" s="276"/>
      <c r="AB3283" s="573"/>
      <c r="AC3283" s="487"/>
      <c r="AD3283" s="573"/>
      <c r="AE3283" s="487"/>
      <c r="AF3283" s="577">
        <f t="shared" si="407"/>
        <v>220000</v>
      </c>
      <c r="AG3283" s="275">
        <f t="shared" si="408"/>
        <v>0</v>
      </c>
    </row>
    <row r="3284" spans="1:33" ht="12" customHeight="1">
      <c r="A3284" s="641" t="s">
        <v>1285</v>
      </c>
      <c r="B3284" s="642" t="s">
        <v>1784</v>
      </c>
      <c r="C3284" s="779" t="s">
        <v>697</v>
      </c>
      <c r="D3284" s="776">
        <v>237817</v>
      </c>
      <c r="E3284" s="777">
        <v>10</v>
      </c>
      <c r="F3284" s="622"/>
      <c r="G3284" s="1135"/>
      <c r="H3284" s="622">
        <v>666829</v>
      </c>
      <c r="I3284" s="487"/>
      <c r="J3284" s="573"/>
      <c r="K3284" s="487"/>
      <c r="L3284" s="573"/>
      <c r="M3284" s="573"/>
      <c r="N3284" s="1134"/>
      <c r="O3284" s="487"/>
      <c r="P3284" s="487"/>
      <c r="Q3284" s="274"/>
      <c r="R3284" s="574">
        <f t="shared" si="405"/>
        <v>666829</v>
      </c>
      <c r="S3284" s="275"/>
      <c r="T3284" s="575"/>
      <c r="U3284" s="487"/>
      <c r="V3284" s="576"/>
      <c r="W3284" s="573"/>
      <c r="X3284" s="574"/>
      <c r="Y3284" s="487"/>
      <c r="Z3284" s="487"/>
      <c r="AA3284" s="276"/>
      <c r="AB3284" s="573"/>
      <c r="AC3284" s="487"/>
      <c r="AD3284" s="573"/>
      <c r="AE3284" s="487"/>
      <c r="AF3284" s="577">
        <f t="shared" si="407"/>
        <v>666829</v>
      </c>
      <c r="AG3284" s="275">
        <f t="shared" si="408"/>
        <v>0</v>
      </c>
    </row>
    <row r="3285" spans="1:33" ht="12" customHeight="1">
      <c r="A3285" s="641" t="s">
        <v>1285</v>
      </c>
      <c r="B3285" s="642" t="s">
        <v>1776</v>
      </c>
      <c r="C3285" s="778" t="s">
        <v>1623</v>
      </c>
      <c r="D3285" s="776">
        <v>238014</v>
      </c>
      <c r="E3285" s="777">
        <v>10</v>
      </c>
      <c r="F3285" s="573">
        <v>7009680</v>
      </c>
      <c r="G3285" s="487">
        <v>7710716</v>
      </c>
      <c r="H3285" s="573"/>
      <c r="I3285" s="487"/>
      <c r="J3285" s="573"/>
      <c r="K3285" s="487"/>
      <c r="L3285" s="573">
        <v>4347568</v>
      </c>
      <c r="M3285" s="573">
        <v>31532</v>
      </c>
      <c r="N3285" s="456">
        <f t="shared" si="409"/>
        <v>4379100</v>
      </c>
      <c r="O3285" s="487">
        <v>4535323</v>
      </c>
      <c r="P3285" s="487">
        <v>31202</v>
      </c>
      <c r="Q3285" s="274">
        <f t="shared" si="404"/>
        <v>4566525</v>
      </c>
      <c r="R3285" s="574">
        <f t="shared" si="405"/>
        <v>11357248</v>
      </c>
      <c r="S3285" s="275">
        <f t="shared" si="406"/>
        <v>12246039</v>
      </c>
      <c r="T3285" s="575"/>
      <c r="U3285" s="487"/>
      <c r="V3285" s="576"/>
      <c r="W3285" s="573"/>
      <c r="X3285" s="574">
        <f t="shared" si="410"/>
        <v>0</v>
      </c>
      <c r="Y3285" s="487"/>
      <c r="Z3285" s="487"/>
      <c r="AA3285" s="276">
        <f t="shared" si="411"/>
        <v>0</v>
      </c>
      <c r="AB3285" s="573"/>
      <c r="AC3285" s="487"/>
      <c r="AD3285" s="573"/>
      <c r="AE3285" s="487"/>
      <c r="AF3285" s="577">
        <f t="shared" si="407"/>
        <v>11357248</v>
      </c>
      <c r="AG3285" s="275">
        <f t="shared" si="408"/>
        <v>12246039</v>
      </c>
    </row>
    <row r="3286" spans="1:33" ht="12" customHeight="1">
      <c r="A3286" s="641" t="s">
        <v>1285</v>
      </c>
      <c r="B3286" s="642" t="s">
        <v>1784</v>
      </c>
      <c r="C3286" s="283" t="s">
        <v>2037</v>
      </c>
      <c r="D3286" s="776">
        <v>238014</v>
      </c>
      <c r="E3286" s="777">
        <v>10</v>
      </c>
      <c r="F3286" s="573"/>
      <c r="G3286" s="487"/>
      <c r="H3286" s="573"/>
      <c r="I3286" s="487"/>
      <c r="J3286" s="573"/>
      <c r="K3286" s="487"/>
      <c r="L3286" s="573"/>
      <c r="M3286" s="573"/>
      <c r="N3286" s="456"/>
      <c r="O3286" s="487"/>
      <c r="P3286" s="487"/>
      <c r="Q3286" s="274"/>
      <c r="R3286" s="574"/>
      <c r="S3286" s="275"/>
      <c r="T3286" s="575"/>
      <c r="U3286" s="487"/>
      <c r="V3286" s="576"/>
      <c r="W3286" s="573"/>
      <c r="X3286" s="574"/>
      <c r="Y3286" s="487"/>
      <c r="Z3286" s="487"/>
      <c r="AA3286" s="276"/>
      <c r="AB3286" s="573"/>
      <c r="AC3286" s="487"/>
      <c r="AD3286" s="573"/>
      <c r="AE3286" s="487"/>
      <c r="AF3286" s="577"/>
      <c r="AG3286" s="275"/>
    </row>
    <row r="3287" spans="1:33" ht="12" customHeight="1">
      <c r="A3287" s="641" t="s">
        <v>1285</v>
      </c>
      <c r="B3287" s="642" t="s">
        <v>1784</v>
      </c>
      <c r="C3287" s="779" t="s">
        <v>1628</v>
      </c>
      <c r="D3287" s="776">
        <v>238014</v>
      </c>
      <c r="E3287" s="777">
        <v>10</v>
      </c>
      <c r="F3287" s="573"/>
      <c r="G3287" s="487"/>
      <c r="H3287" s="622">
        <v>33350</v>
      </c>
      <c r="I3287" s="487"/>
      <c r="J3287" s="573"/>
      <c r="K3287" s="487"/>
      <c r="L3287" s="573"/>
      <c r="M3287" s="573"/>
      <c r="N3287" s="1134"/>
      <c r="O3287" s="487"/>
      <c r="P3287" s="487"/>
      <c r="Q3287" s="274"/>
      <c r="R3287" s="574">
        <f t="shared" si="405"/>
        <v>33350</v>
      </c>
      <c r="S3287" s="275"/>
      <c r="T3287" s="575"/>
      <c r="U3287" s="487"/>
      <c r="V3287" s="576"/>
      <c r="W3287" s="573"/>
      <c r="X3287" s="574"/>
      <c r="Y3287" s="487"/>
      <c r="Z3287" s="487"/>
      <c r="AA3287" s="276"/>
      <c r="AB3287" s="573"/>
      <c r="AC3287" s="487"/>
      <c r="AD3287" s="573"/>
      <c r="AE3287" s="487"/>
      <c r="AF3287" s="577">
        <f t="shared" si="407"/>
        <v>33350</v>
      </c>
      <c r="AG3287" s="275">
        <f t="shared" si="408"/>
        <v>0</v>
      </c>
    </row>
    <row r="3288" spans="1:33" ht="12" customHeight="1">
      <c r="A3288" s="641" t="s">
        <v>1285</v>
      </c>
      <c r="B3288" s="642" t="s">
        <v>1784</v>
      </c>
      <c r="C3288" s="779" t="s">
        <v>695</v>
      </c>
      <c r="D3288" s="776">
        <v>238014</v>
      </c>
      <c r="E3288" s="777">
        <v>10</v>
      </c>
      <c r="F3288" s="573"/>
      <c r="G3288" s="487"/>
      <c r="H3288" s="622">
        <v>52185</v>
      </c>
      <c r="I3288" s="487"/>
      <c r="J3288" s="573"/>
      <c r="K3288" s="487"/>
      <c r="L3288" s="573"/>
      <c r="M3288" s="573"/>
      <c r="N3288" s="1134"/>
      <c r="O3288" s="487"/>
      <c r="P3288" s="487"/>
      <c r="Q3288" s="274"/>
      <c r="R3288" s="574">
        <f t="shared" si="405"/>
        <v>52185</v>
      </c>
      <c r="S3288" s="275"/>
      <c r="T3288" s="575"/>
      <c r="U3288" s="487"/>
      <c r="V3288" s="576"/>
      <c r="W3288" s="573"/>
      <c r="X3288" s="574"/>
      <c r="Y3288" s="487"/>
      <c r="Z3288" s="487"/>
      <c r="AA3288" s="276"/>
      <c r="AB3288" s="573"/>
      <c r="AC3288" s="487"/>
      <c r="AD3288" s="573"/>
      <c r="AE3288" s="487"/>
      <c r="AF3288" s="577">
        <f t="shared" si="407"/>
        <v>52185</v>
      </c>
      <c r="AG3288" s="275">
        <f t="shared" si="408"/>
        <v>0</v>
      </c>
    </row>
    <row r="3289" spans="1:33" ht="12" customHeight="1">
      <c r="A3289" s="641" t="s">
        <v>1285</v>
      </c>
      <c r="B3289" s="642" t="s">
        <v>1784</v>
      </c>
      <c r="C3289" s="779" t="s">
        <v>697</v>
      </c>
      <c r="D3289" s="776">
        <v>238014</v>
      </c>
      <c r="E3289" s="777">
        <v>10</v>
      </c>
      <c r="F3289" s="573"/>
      <c r="G3289" s="487"/>
      <c r="H3289" s="622">
        <v>1174395</v>
      </c>
      <c r="I3289" s="487"/>
      <c r="J3289" s="573"/>
      <c r="K3289" s="487"/>
      <c r="L3289" s="573"/>
      <c r="M3289" s="573"/>
      <c r="N3289" s="1134"/>
      <c r="O3289" s="487"/>
      <c r="P3289" s="487"/>
      <c r="Q3289" s="274"/>
      <c r="R3289" s="574">
        <f t="shared" si="405"/>
        <v>1174395</v>
      </c>
      <c r="S3289" s="275"/>
      <c r="T3289" s="575"/>
      <c r="U3289" s="487"/>
      <c r="V3289" s="576"/>
      <c r="W3289" s="573"/>
      <c r="X3289" s="574"/>
      <c r="Y3289" s="487"/>
      <c r="Z3289" s="487"/>
      <c r="AA3289" s="276"/>
      <c r="AB3289" s="573"/>
      <c r="AC3289" s="487"/>
      <c r="AD3289" s="573"/>
      <c r="AE3289" s="487"/>
      <c r="AF3289" s="577">
        <f t="shared" si="407"/>
        <v>1174395</v>
      </c>
      <c r="AG3289" s="275">
        <f t="shared" si="408"/>
        <v>0</v>
      </c>
    </row>
    <row r="3290" spans="1:33" ht="12" customHeight="1">
      <c r="A3290" s="641" t="s">
        <v>1285</v>
      </c>
      <c r="B3290" s="642" t="s">
        <v>1776</v>
      </c>
      <c r="C3290" s="641" t="s">
        <v>1624</v>
      </c>
      <c r="D3290" s="776">
        <v>237899</v>
      </c>
      <c r="E3290" s="777">
        <v>10</v>
      </c>
      <c r="F3290" s="573">
        <v>3456441</v>
      </c>
      <c r="G3290" s="487">
        <v>4038673</v>
      </c>
      <c r="H3290" s="573"/>
      <c r="I3290" s="487"/>
      <c r="J3290" s="573"/>
      <c r="K3290" s="487"/>
      <c r="L3290" s="573">
        <v>3871299</v>
      </c>
      <c r="M3290" s="573"/>
      <c r="N3290" s="456">
        <f t="shared" si="409"/>
        <v>3871299</v>
      </c>
      <c r="O3290" s="487">
        <v>4055960</v>
      </c>
      <c r="P3290" s="487"/>
      <c r="Q3290" s="274">
        <f t="shared" si="404"/>
        <v>4055960</v>
      </c>
      <c r="R3290" s="574">
        <f t="shared" si="405"/>
        <v>7327740</v>
      </c>
      <c r="S3290" s="275">
        <f t="shared" si="406"/>
        <v>8094633</v>
      </c>
      <c r="T3290" s="575"/>
      <c r="U3290" s="487"/>
      <c r="V3290" s="576"/>
      <c r="W3290" s="573"/>
      <c r="X3290" s="574">
        <f t="shared" si="410"/>
        <v>0</v>
      </c>
      <c r="Y3290" s="487"/>
      <c r="Z3290" s="487"/>
      <c r="AA3290" s="276">
        <f t="shared" si="411"/>
        <v>0</v>
      </c>
      <c r="AB3290" s="573"/>
      <c r="AC3290" s="487"/>
      <c r="AD3290" s="573"/>
      <c r="AE3290" s="487"/>
      <c r="AF3290" s="577">
        <f t="shared" si="407"/>
        <v>7327740</v>
      </c>
      <c r="AG3290" s="275">
        <f t="shared" si="408"/>
        <v>8094633</v>
      </c>
    </row>
    <row r="3291" spans="1:33" ht="12" customHeight="1">
      <c r="A3291" s="641" t="s">
        <v>1285</v>
      </c>
      <c r="B3291" s="642" t="s">
        <v>1784</v>
      </c>
      <c r="C3291" s="283" t="s">
        <v>2037</v>
      </c>
      <c r="D3291" s="776">
        <v>237899</v>
      </c>
      <c r="E3291" s="777">
        <v>10</v>
      </c>
      <c r="F3291" s="573"/>
      <c r="G3291" s="487"/>
      <c r="H3291" s="573"/>
      <c r="I3291" s="487"/>
      <c r="J3291" s="573"/>
      <c r="K3291" s="487"/>
      <c r="L3291" s="573"/>
      <c r="M3291" s="573"/>
      <c r="N3291" s="456"/>
      <c r="O3291" s="487"/>
      <c r="P3291" s="487"/>
      <c r="Q3291" s="274"/>
      <c r="R3291" s="574"/>
      <c r="S3291" s="275"/>
      <c r="T3291" s="575"/>
      <c r="U3291" s="487"/>
      <c r="V3291" s="576"/>
      <c r="W3291" s="573"/>
      <c r="X3291" s="574"/>
      <c r="Y3291" s="487"/>
      <c r="Z3291" s="487"/>
      <c r="AA3291" s="276"/>
      <c r="AB3291" s="573"/>
      <c r="AC3291" s="487"/>
      <c r="AD3291" s="573"/>
      <c r="AE3291" s="487"/>
      <c r="AF3291" s="577"/>
      <c r="AG3291" s="275"/>
    </row>
    <row r="3292" spans="1:33" ht="12" customHeight="1">
      <c r="A3292" s="641" t="s">
        <v>1285</v>
      </c>
      <c r="B3292" s="642" t="s">
        <v>1784</v>
      </c>
      <c r="C3292" s="779" t="s">
        <v>1628</v>
      </c>
      <c r="D3292" s="776">
        <v>237899</v>
      </c>
      <c r="E3292" s="777">
        <v>10</v>
      </c>
      <c r="F3292" s="573"/>
      <c r="G3292" s="487"/>
      <c r="H3292" s="622">
        <v>33350</v>
      </c>
      <c r="I3292" s="487"/>
      <c r="J3292" s="573"/>
      <c r="K3292" s="487"/>
      <c r="L3292" s="573"/>
      <c r="M3292" s="573"/>
      <c r="N3292" s="1134"/>
      <c r="O3292" s="487"/>
      <c r="P3292" s="487"/>
      <c r="Q3292" s="274"/>
      <c r="R3292" s="574">
        <f t="shared" si="405"/>
        <v>33350</v>
      </c>
      <c r="S3292" s="275"/>
      <c r="T3292" s="575"/>
      <c r="U3292" s="487"/>
      <c r="V3292" s="576"/>
      <c r="W3292" s="573"/>
      <c r="X3292" s="574"/>
      <c r="Y3292" s="487"/>
      <c r="Z3292" s="487"/>
      <c r="AA3292" s="276"/>
      <c r="AB3292" s="573"/>
      <c r="AC3292" s="487"/>
      <c r="AD3292" s="573"/>
      <c r="AE3292" s="487"/>
      <c r="AF3292" s="577">
        <f t="shared" si="407"/>
        <v>33350</v>
      </c>
      <c r="AG3292" s="275">
        <f t="shared" si="408"/>
        <v>0</v>
      </c>
    </row>
    <row r="3293" spans="1:33" ht="12" customHeight="1">
      <c r="A3293" s="641" t="s">
        <v>1285</v>
      </c>
      <c r="B3293" s="642" t="s">
        <v>1784</v>
      </c>
      <c r="C3293" s="779" t="s">
        <v>695</v>
      </c>
      <c r="D3293" s="776">
        <v>237899</v>
      </c>
      <c r="E3293" s="777">
        <v>10</v>
      </c>
      <c r="F3293" s="573"/>
      <c r="G3293" s="487"/>
      <c r="H3293" s="622">
        <v>137870</v>
      </c>
      <c r="I3293" s="487"/>
      <c r="J3293" s="573"/>
      <c r="K3293" s="487"/>
      <c r="L3293" s="573"/>
      <c r="M3293" s="573"/>
      <c r="N3293" s="1134"/>
      <c r="O3293" s="487"/>
      <c r="P3293" s="487"/>
      <c r="Q3293" s="274"/>
      <c r="R3293" s="574">
        <f t="shared" si="405"/>
        <v>137870</v>
      </c>
      <c r="S3293" s="275"/>
      <c r="T3293" s="575"/>
      <c r="U3293" s="487"/>
      <c r="V3293" s="576"/>
      <c r="W3293" s="573"/>
      <c r="X3293" s="574"/>
      <c r="Y3293" s="487"/>
      <c r="Z3293" s="487"/>
      <c r="AA3293" s="276"/>
      <c r="AB3293" s="573"/>
      <c r="AC3293" s="487"/>
      <c r="AD3293" s="573"/>
      <c r="AE3293" s="487"/>
      <c r="AF3293" s="577">
        <f t="shared" si="407"/>
        <v>137870</v>
      </c>
      <c r="AG3293" s="275">
        <f t="shared" si="408"/>
        <v>0</v>
      </c>
    </row>
    <row r="3294" spans="1:33" ht="12" customHeight="1">
      <c r="A3294" s="641" t="s">
        <v>1285</v>
      </c>
      <c r="B3294" s="642" t="s">
        <v>1784</v>
      </c>
      <c r="C3294" s="779" t="s">
        <v>697</v>
      </c>
      <c r="D3294" s="776">
        <v>237899</v>
      </c>
      <c r="E3294" s="777">
        <v>10</v>
      </c>
      <c r="F3294" s="573"/>
      <c r="G3294" s="487"/>
      <c r="H3294" s="622">
        <v>935535</v>
      </c>
      <c r="I3294" s="487"/>
      <c r="J3294" s="573"/>
      <c r="K3294" s="487"/>
      <c r="L3294" s="573"/>
      <c r="M3294" s="573"/>
      <c r="N3294" s="1134"/>
      <c r="O3294" s="487"/>
      <c r="P3294" s="487"/>
      <c r="Q3294" s="274"/>
      <c r="R3294" s="574">
        <f t="shared" si="405"/>
        <v>935535</v>
      </c>
      <c r="S3294" s="275"/>
      <c r="T3294" s="575"/>
      <c r="U3294" s="487"/>
      <c r="V3294" s="576"/>
      <c r="W3294" s="573"/>
      <c r="X3294" s="574"/>
      <c r="Y3294" s="487"/>
      <c r="Z3294" s="487"/>
      <c r="AA3294" s="276"/>
      <c r="AB3294" s="573"/>
      <c r="AC3294" s="487"/>
      <c r="AD3294" s="573"/>
      <c r="AE3294" s="487"/>
      <c r="AF3294" s="577">
        <f t="shared" si="407"/>
        <v>935535</v>
      </c>
      <c r="AG3294" s="275">
        <f t="shared" si="408"/>
        <v>0</v>
      </c>
    </row>
    <row r="3295" spans="1:33" ht="12" customHeight="1">
      <c r="A3295" s="641" t="s">
        <v>1285</v>
      </c>
      <c r="B3295" s="642" t="s">
        <v>1819</v>
      </c>
      <c r="C3295" s="778" t="s">
        <v>724</v>
      </c>
      <c r="D3295" s="776">
        <v>237880</v>
      </c>
      <c r="E3295" s="777">
        <v>15</v>
      </c>
      <c r="F3295" s="573"/>
      <c r="G3295" s="487"/>
      <c r="H3295" s="573"/>
      <c r="I3295" s="487"/>
      <c r="J3295" s="573"/>
      <c r="K3295" s="487"/>
      <c r="L3295" s="573"/>
      <c r="M3295" s="573"/>
      <c r="N3295" s="456">
        <f t="shared" si="409"/>
        <v>0</v>
      </c>
      <c r="O3295" s="487"/>
      <c r="P3295" s="487"/>
      <c r="Q3295" s="274">
        <f t="shared" si="404"/>
        <v>0</v>
      </c>
      <c r="R3295" s="574">
        <f t="shared" si="405"/>
        <v>0</v>
      </c>
      <c r="S3295" s="275">
        <f t="shared" si="406"/>
        <v>0</v>
      </c>
      <c r="T3295" s="575"/>
      <c r="U3295" s="487"/>
      <c r="V3295" s="576"/>
      <c r="W3295" s="573"/>
      <c r="X3295" s="574">
        <f t="shared" si="410"/>
        <v>0</v>
      </c>
      <c r="Y3295" s="487"/>
      <c r="Z3295" s="487"/>
      <c r="AA3295" s="276">
        <f t="shared" si="411"/>
        <v>0</v>
      </c>
      <c r="AB3295" s="573">
        <v>7234347</v>
      </c>
      <c r="AC3295" s="487">
        <v>7448615</v>
      </c>
      <c r="AD3295" s="573">
        <v>22632861</v>
      </c>
      <c r="AE3295" s="487">
        <v>23314110</v>
      </c>
      <c r="AF3295" s="577">
        <f t="shared" si="407"/>
        <v>29867208</v>
      </c>
      <c r="AG3295" s="275">
        <f t="shared" si="408"/>
        <v>30762725</v>
      </c>
    </row>
    <row r="3296" spans="1:33" ht="12" customHeight="1">
      <c r="A3296" s="641" t="s">
        <v>1285</v>
      </c>
      <c r="B3296" s="642" t="s">
        <v>1784</v>
      </c>
      <c r="C3296" s="283" t="s">
        <v>2037</v>
      </c>
      <c r="D3296" s="776">
        <v>237880</v>
      </c>
      <c r="E3296" s="777">
        <v>15</v>
      </c>
      <c r="F3296" s="573"/>
      <c r="G3296" s="487"/>
      <c r="H3296" s="573"/>
      <c r="I3296" s="487"/>
      <c r="J3296" s="573"/>
      <c r="K3296" s="487"/>
      <c r="L3296" s="573"/>
      <c r="M3296" s="573"/>
      <c r="N3296" s="456"/>
      <c r="O3296" s="487"/>
      <c r="P3296" s="487"/>
      <c r="Q3296" s="274"/>
      <c r="R3296" s="574"/>
      <c r="S3296" s="275"/>
      <c r="T3296" s="575"/>
      <c r="U3296" s="487"/>
      <c r="V3296" s="576"/>
      <c r="W3296" s="573"/>
      <c r="X3296" s="574"/>
      <c r="Y3296" s="487"/>
      <c r="Z3296" s="487"/>
      <c r="AA3296" s="276"/>
      <c r="AB3296" s="573"/>
      <c r="AC3296" s="487"/>
      <c r="AD3296" s="573"/>
      <c r="AE3296" s="487"/>
      <c r="AF3296" s="577"/>
      <c r="AG3296" s="275"/>
    </row>
    <row r="3297" spans="1:33" ht="12" customHeight="1">
      <c r="A3297" s="641" t="s">
        <v>1285</v>
      </c>
      <c r="B3297" s="642" t="s">
        <v>1784</v>
      </c>
      <c r="C3297" s="738" t="s">
        <v>1162</v>
      </c>
      <c r="D3297" s="776">
        <v>237880</v>
      </c>
      <c r="E3297" s="777">
        <v>15</v>
      </c>
      <c r="F3297" s="573"/>
      <c r="G3297" s="487"/>
      <c r="H3297" s="573"/>
      <c r="I3297" s="487"/>
      <c r="J3297" s="573"/>
      <c r="K3297" s="487"/>
      <c r="L3297" s="573"/>
      <c r="M3297" s="573"/>
      <c r="N3297" s="456">
        <f t="shared" si="409"/>
        <v>0</v>
      </c>
      <c r="O3297" s="487"/>
      <c r="P3297" s="487"/>
      <c r="Q3297" s="274">
        <f t="shared" si="404"/>
        <v>0</v>
      </c>
      <c r="R3297" s="574">
        <f t="shared" si="405"/>
        <v>0</v>
      </c>
      <c r="S3297" s="275">
        <f t="shared" si="406"/>
        <v>0</v>
      </c>
      <c r="T3297" s="575"/>
      <c r="U3297" s="487"/>
      <c r="V3297" s="576"/>
      <c r="W3297" s="573"/>
      <c r="X3297" s="574">
        <f t="shared" si="410"/>
        <v>0</v>
      </c>
      <c r="Y3297" s="487"/>
      <c r="Z3297" s="487"/>
      <c r="AA3297" s="276">
        <f t="shared" si="411"/>
        <v>0</v>
      </c>
      <c r="AB3297" s="573">
        <v>174475</v>
      </c>
      <c r="AC3297" s="487">
        <v>174475</v>
      </c>
      <c r="AD3297" s="573"/>
      <c r="AE3297" s="487"/>
      <c r="AF3297" s="577">
        <f t="shared" si="407"/>
        <v>174475</v>
      </c>
      <c r="AG3297" s="275">
        <f t="shared" si="408"/>
        <v>174475</v>
      </c>
    </row>
    <row r="3298" spans="1:33" ht="12" customHeight="1" thickBot="1">
      <c r="A3298" s="641" t="s">
        <v>1285</v>
      </c>
      <c r="B3298" s="642" t="s">
        <v>1785</v>
      </c>
      <c r="C3298" s="284" t="s">
        <v>1753</v>
      </c>
      <c r="D3298" s="780"/>
      <c r="E3298" s="777"/>
      <c r="F3298" s="573"/>
      <c r="G3298" s="487"/>
      <c r="H3298" s="573"/>
      <c r="I3298" s="487"/>
      <c r="J3298" s="573"/>
      <c r="K3298" s="487"/>
      <c r="L3298" s="573"/>
      <c r="M3298" s="573"/>
      <c r="N3298" s="456">
        <f t="shared" si="409"/>
        <v>0</v>
      </c>
      <c r="O3298" s="487"/>
      <c r="P3298" s="487"/>
      <c r="Q3298" s="274">
        <f t="shared" si="404"/>
        <v>0</v>
      </c>
      <c r="R3298" s="574">
        <f t="shared" si="405"/>
        <v>0</v>
      </c>
      <c r="S3298" s="275">
        <f t="shared" si="406"/>
        <v>0</v>
      </c>
      <c r="T3298" s="575"/>
      <c r="U3298" s="487"/>
      <c r="V3298" s="576"/>
      <c r="W3298" s="573"/>
      <c r="X3298" s="574">
        <f t="shared" si="410"/>
        <v>0</v>
      </c>
      <c r="Y3298" s="487"/>
      <c r="Z3298" s="487"/>
      <c r="AA3298" s="276">
        <f t="shared" si="411"/>
        <v>0</v>
      </c>
      <c r="AB3298" s="573"/>
      <c r="AC3298" s="487"/>
      <c r="AD3298" s="573"/>
      <c r="AE3298" s="487"/>
      <c r="AF3298" s="577">
        <f t="shared" si="407"/>
        <v>0</v>
      </c>
      <c r="AG3298" s="275">
        <f t="shared" si="408"/>
        <v>0</v>
      </c>
    </row>
    <row r="3299" spans="1:33" ht="12" customHeight="1">
      <c r="A3299" s="641" t="s">
        <v>1285</v>
      </c>
      <c r="B3299" s="642" t="s">
        <v>1786</v>
      </c>
      <c r="C3299" s="522" t="s">
        <v>1891</v>
      </c>
      <c r="D3299" s="781"/>
      <c r="E3299" s="782"/>
      <c r="F3299" s="588"/>
      <c r="G3299" s="499"/>
      <c r="H3299" s="588"/>
      <c r="I3299" s="499"/>
      <c r="J3299" s="588"/>
      <c r="K3299" s="499"/>
      <c r="L3299" s="588"/>
      <c r="M3299" s="588"/>
      <c r="N3299" s="456">
        <f t="shared" si="409"/>
        <v>0</v>
      </c>
      <c r="O3299" s="499"/>
      <c r="P3299" s="499"/>
      <c r="Q3299" s="274">
        <f t="shared" si="404"/>
        <v>0</v>
      </c>
      <c r="R3299" s="574">
        <f t="shared" si="405"/>
        <v>0</v>
      </c>
      <c r="S3299" s="275">
        <f t="shared" si="406"/>
        <v>0</v>
      </c>
      <c r="T3299" s="783"/>
      <c r="U3299" s="523"/>
      <c r="V3299" s="576"/>
      <c r="W3299" s="573"/>
      <c r="X3299" s="574">
        <f t="shared" si="410"/>
        <v>0</v>
      </c>
      <c r="Y3299" s="487"/>
      <c r="Z3299" s="487"/>
      <c r="AA3299" s="276">
        <f t="shared" si="411"/>
        <v>0</v>
      </c>
      <c r="AB3299" s="573"/>
      <c r="AC3299" s="487"/>
      <c r="AD3299" s="573"/>
      <c r="AE3299" s="487"/>
      <c r="AF3299" s="577">
        <f t="shared" si="407"/>
        <v>0</v>
      </c>
      <c r="AG3299" s="275">
        <f t="shared" si="408"/>
        <v>0</v>
      </c>
    </row>
    <row r="3300" spans="1:33" ht="12" customHeight="1">
      <c r="A3300" s="641" t="s">
        <v>1285</v>
      </c>
      <c r="B3300" s="642" t="s">
        <v>1786</v>
      </c>
      <c r="C3300" s="784" t="s">
        <v>725</v>
      </c>
      <c r="D3300" s="780"/>
      <c r="E3300" s="777"/>
      <c r="F3300" s="573"/>
      <c r="G3300" s="487"/>
      <c r="H3300" s="573"/>
      <c r="I3300" s="487"/>
      <c r="J3300" s="573"/>
      <c r="K3300" s="487"/>
      <c r="L3300" s="573"/>
      <c r="M3300" s="573"/>
      <c r="N3300" s="456">
        <f t="shared" si="409"/>
        <v>0</v>
      </c>
      <c r="O3300" s="487"/>
      <c r="P3300" s="487"/>
      <c r="Q3300" s="274">
        <f t="shared" si="404"/>
        <v>0</v>
      </c>
      <c r="R3300" s="574">
        <f t="shared" si="405"/>
        <v>0</v>
      </c>
      <c r="S3300" s="275">
        <f t="shared" si="406"/>
        <v>0</v>
      </c>
      <c r="T3300" s="575">
        <v>4301979</v>
      </c>
      <c r="U3300" s="464">
        <f>2998761+464080+197579+200000</f>
        <v>3860420</v>
      </c>
      <c r="V3300" s="576"/>
      <c r="W3300" s="573"/>
      <c r="X3300" s="574">
        <f t="shared" si="410"/>
        <v>0</v>
      </c>
      <c r="Y3300" s="487"/>
      <c r="Z3300" s="487"/>
      <c r="AA3300" s="276">
        <f t="shared" si="411"/>
        <v>0</v>
      </c>
      <c r="AB3300" s="573"/>
      <c r="AC3300" s="487"/>
      <c r="AD3300" s="573"/>
      <c r="AE3300" s="487"/>
      <c r="AF3300" s="577">
        <f t="shared" si="407"/>
        <v>4301979</v>
      </c>
      <c r="AG3300" s="275">
        <f t="shared" si="408"/>
        <v>3860420</v>
      </c>
    </row>
    <row r="3301" spans="1:33" ht="12" customHeight="1">
      <c r="A3301" s="641" t="s">
        <v>1285</v>
      </c>
      <c r="B3301" s="642" t="s">
        <v>1786</v>
      </c>
      <c r="C3301" s="784" t="s">
        <v>1625</v>
      </c>
      <c r="D3301" s="780"/>
      <c r="E3301" s="777"/>
      <c r="F3301" s="573"/>
      <c r="G3301" s="487"/>
      <c r="H3301" s="573"/>
      <c r="I3301" s="487"/>
      <c r="J3301" s="573"/>
      <c r="K3301" s="487"/>
      <c r="L3301" s="573"/>
      <c r="M3301" s="573"/>
      <c r="N3301" s="456">
        <f t="shared" si="409"/>
        <v>0</v>
      </c>
      <c r="O3301" s="487"/>
      <c r="P3301" s="487"/>
      <c r="Q3301" s="274">
        <f t="shared" si="404"/>
        <v>0</v>
      </c>
      <c r="R3301" s="574">
        <f t="shared" si="405"/>
        <v>0</v>
      </c>
      <c r="S3301" s="275">
        <f t="shared" si="406"/>
        <v>0</v>
      </c>
      <c r="T3301" s="575">
        <v>102087</v>
      </c>
      <c r="U3301" s="464">
        <v>104915</v>
      </c>
      <c r="V3301" s="576"/>
      <c r="W3301" s="573"/>
      <c r="X3301" s="574">
        <f t="shared" si="410"/>
        <v>0</v>
      </c>
      <c r="Y3301" s="487"/>
      <c r="Z3301" s="487"/>
      <c r="AA3301" s="276">
        <f t="shared" si="411"/>
        <v>0</v>
      </c>
      <c r="AB3301" s="573"/>
      <c r="AC3301" s="487"/>
      <c r="AD3301" s="573"/>
      <c r="AE3301" s="487"/>
      <c r="AF3301" s="577">
        <f t="shared" si="407"/>
        <v>102087</v>
      </c>
      <c r="AG3301" s="275">
        <f t="shared" si="408"/>
        <v>104915</v>
      </c>
    </row>
    <row r="3302" spans="1:33" ht="12" customHeight="1">
      <c r="A3302" s="641" t="s">
        <v>1285</v>
      </c>
      <c r="B3302" s="642" t="s">
        <v>1786</v>
      </c>
      <c r="C3302" s="784" t="s">
        <v>1626</v>
      </c>
      <c r="D3302" s="780"/>
      <c r="E3302" s="777"/>
      <c r="F3302" s="573"/>
      <c r="G3302" s="487"/>
      <c r="H3302" s="573"/>
      <c r="I3302" s="487"/>
      <c r="J3302" s="573"/>
      <c r="K3302" s="487"/>
      <c r="L3302" s="573"/>
      <c r="M3302" s="573"/>
      <c r="N3302" s="456">
        <f t="shared" si="409"/>
        <v>0</v>
      </c>
      <c r="O3302" s="487"/>
      <c r="P3302" s="487"/>
      <c r="Q3302" s="274">
        <f t="shared" si="404"/>
        <v>0</v>
      </c>
      <c r="R3302" s="574">
        <f t="shared" si="405"/>
        <v>0</v>
      </c>
      <c r="S3302" s="275">
        <f t="shared" si="406"/>
        <v>0</v>
      </c>
      <c r="T3302" s="575">
        <v>2410172</v>
      </c>
      <c r="U3302" s="464">
        <v>2410172</v>
      </c>
      <c r="V3302" s="576"/>
      <c r="W3302" s="573"/>
      <c r="X3302" s="574">
        <f t="shared" si="410"/>
        <v>0</v>
      </c>
      <c r="Y3302" s="487"/>
      <c r="Z3302" s="487"/>
      <c r="AA3302" s="276">
        <f t="shared" si="411"/>
        <v>0</v>
      </c>
      <c r="AB3302" s="573"/>
      <c r="AC3302" s="487"/>
      <c r="AD3302" s="573"/>
      <c r="AE3302" s="487"/>
      <c r="AF3302" s="577">
        <f t="shared" si="407"/>
        <v>2410172</v>
      </c>
      <c r="AG3302" s="275">
        <f t="shared" si="408"/>
        <v>2410172</v>
      </c>
    </row>
    <row r="3303" spans="1:33" ht="12" customHeight="1" thickBot="1">
      <c r="A3303" s="641" t="s">
        <v>1285</v>
      </c>
      <c r="B3303" s="642" t="s">
        <v>1787</v>
      </c>
      <c r="C3303" s="785" t="s">
        <v>1627</v>
      </c>
      <c r="D3303" s="786"/>
      <c r="E3303" s="787"/>
      <c r="F3303" s="592"/>
      <c r="G3303" s="471"/>
      <c r="H3303" s="592"/>
      <c r="I3303" s="471"/>
      <c r="J3303" s="592"/>
      <c r="K3303" s="471"/>
      <c r="L3303" s="592"/>
      <c r="M3303" s="592"/>
      <c r="N3303" s="456">
        <f t="shared" si="409"/>
        <v>0</v>
      </c>
      <c r="O3303" s="471"/>
      <c r="P3303" s="471"/>
      <c r="Q3303" s="274">
        <f t="shared" si="404"/>
        <v>0</v>
      </c>
      <c r="R3303" s="574">
        <f t="shared" si="405"/>
        <v>0</v>
      </c>
      <c r="S3303" s="275">
        <f t="shared" si="406"/>
        <v>0</v>
      </c>
      <c r="T3303" s="640">
        <v>266842</v>
      </c>
      <c r="U3303" s="524">
        <v>271346</v>
      </c>
      <c r="V3303" s="576"/>
      <c r="W3303" s="573"/>
      <c r="X3303" s="574">
        <f t="shared" si="410"/>
        <v>0</v>
      </c>
      <c r="Y3303" s="487"/>
      <c r="Z3303" s="487"/>
      <c r="AA3303" s="276">
        <f t="shared" si="411"/>
        <v>0</v>
      </c>
      <c r="AB3303" s="573"/>
      <c r="AC3303" s="487"/>
      <c r="AD3303" s="573"/>
      <c r="AE3303" s="487"/>
      <c r="AF3303" s="577">
        <f t="shared" si="407"/>
        <v>266842</v>
      </c>
      <c r="AG3303" s="275">
        <f t="shared" si="408"/>
        <v>271346</v>
      </c>
    </row>
    <row r="3304" spans="1:33" ht="12" customHeight="1" thickBot="1">
      <c r="A3304" s="641" t="s">
        <v>1285</v>
      </c>
      <c r="B3304" s="642" t="s">
        <v>1821</v>
      </c>
      <c r="C3304" s="284" t="s">
        <v>1435</v>
      </c>
      <c r="D3304" s="780"/>
      <c r="E3304" s="777"/>
      <c r="F3304" s="573"/>
      <c r="G3304" s="487"/>
      <c r="H3304" s="573"/>
      <c r="I3304" s="487"/>
      <c r="J3304" s="573"/>
      <c r="K3304" s="487"/>
      <c r="L3304" s="573"/>
      <c r="M3304" s="573"/>
      <c r="N3304" s="456">
        <f t="shared" si="409"/>
        <v>0</v>
      </c>
      <c r="O3304" s="487"/>
      <c r="P3304" s="487"/>
      <c r="Q3304" s="274">
        <f t="shared" si="404"/>
        <v>0</v>
      </c>
      <c r="R3304" s="574">
        <f t="shared" si="405"/>
        <v>0</v>
      </c>
      <c r="S3304" s="275">
        <f t="shared" si="406"/>
        <v>0</v>
      </c>
      <c r="T3304" s="575"/>
      <c r="U3304" s="487"/>
      <c r="V3304" s="576"/>
      <c r="W3304" s="573"/>
      <c r="X3304" s="574">
        <f t="shared" si="410"/>
        <v>0</v>
      </c>
      <c r="Y3304" s="487"/>
      <c r="Z3304" s="487"/>
      <c r="AA3304" s="276">
        <f t="shared" si="411"/>
        <v>0</v>
      </c>
      <c r="AB3304" s="573"/>
      <c r="AC3304" s="487"/>
      <c r="AD3304" s="573"/>
      <c r="AE3304" s="487"/>
      <c r="AF3304" s="577">
        <f t="shared" si="407"/>
        <v>0</v>
      </c>
      <c r="AG3304" s="275">
        <f t="shared" si="408"/>
        <v>0</v>
      </c>
    </row>
    <row r="3305" spans="1:33" ht="12" customHeight="1">
      <c r="A3305" s="641" t="s">
        <v>1285</v>
      </c>
      <c r="B3305" s="642" t="s">
        <v>1821</v>
      </c>
      <c r="C3305" s="738" t="s">
        <v>1628</v>
      </c>
      <c r="D3305" s="780"/>
      <c r="E3305" s="777"/>
      <c r="F3305" s="573"/>
      <c r="G3305" s="487"/>
      <c r="H3305" s="1140" t="s">
        <v>648</v>
      </c>
      <c r="I3305" s="499">
        <v>333500</v>
      </c>
      <c r="J3305" s="573"/>
      <c r="K3305" s="487"/>
      <c r="L3305" s="573"/>
      <c r="M3305" s="573"/>
      <c r="N3305" s="456">
        <f t="shared" si="409"/>
        <v>0</v>
      </c>
      <c r="O3305" s="487"/>
      <c r="P3305" s="487"/>
      <c r="Q3305" s="274">
        <f t="shared" si="404"/>
        <v>0</v>
      </c>
      <c r="R3305" s="574">
        <f t="shared" si="405"/>
        <v>0</v>
      </c>
      <c r="S3305" s="275">
        <f t="shared" si="406"/>
        <v>333500</v>
      </c>
      <c r="T3305" s="575"/>
      <c r="U3305" s="487"/>
      <c r="V3305" s="576"/>
      <c r="W3305" s="573"/>
      <c r="X3305" s="574">
        <f t="shared" si="410"/>
        <v>0</v>
      </c>
      <c r="Y3305" s="487"/>
      <c r="Z3305" s="487"/>
      <c r="AA3305" s="276">
        <f t="shared" si="411"/>
        <v>0</v>
      </c>
      <c r="AB3305" s="573"/>
      <c r="AC3305" s="487"/>
      <c r="AD3305" s="573"/>
      <c r="AE3305" s="487"/>
      <c r="AF3305" s="577">
        <f t="shared" si="407"/>
        <v>0</v>
      </c>
      <c r="AG3305" s="275">
        <f t="shared" si="408"/>
        <v>333500</v>
      </c>
    </row>
    <row r="3306" spans="1:33" ht="12" customHeight="1">
      <c r="A3306" s="641" t="s">
        <v>1285</v>
      </c>
      <c r="B3306" s="642" t="s">
        <v>1821</v>
      </c>
      <c r="C3306" s="738" t="s">
        <v>2054</v>
      </c>
      <c r="D3306" s="780"/>
      <c r="E3306" s="777"/>
      <c r="F3306" s="573"/>
      <c r="G3306" s="487"/>
      <c r="H3306" s="1138"/>
      <c r="I3306" s="1135">
        <v>3200000</v>
      </c>
      <c r="J3306" s="573"/>
      <c r="K3306" s="487"/>
      <c r="L3306" s="573"/>
      <c r="M3306" s="573"/>
      <c r="N3306" s="1134"/>
      <c r="O3306" s="487"/>
      <c r="P3306" s="487"/>
      <c r="Q3306" s="274"/>
      <c r="R3306" s="574">
        <f t="shared" si="405"/>
        <v>0</v>
      </c>
      <c r="S3306" s="275">
        <f t="shared" si="406"/>
        <v>3200000</v>
      </c>
      <c r="T3306" s="575"/>
      <c r="U3306" s="487"/>
      <c r="V3306" s="576"/>
      <c r="W3306" s="573"/>
      <c r="X3306" s="574">
        <f t="shared" si="410"/>
        <v>0</v>
      </c>
      <c r="Y3306" s="487"/>
      <c r="Z3306" s="487"/>
      <c r="AA3306" s="276"/>
      <c r="AB3306" s="573"/>
      <c r="AC3306" s="487"/>
      <c r="AD3306" s="573"/>
      <c r="AE3306" s="487"/>
      <c r="AF3306" s="577">
        <f t="shared" si="407"/>
        <v>0</v>
      </c>
      <c r="AG3306" s="275">
        <f t="shared" si="408"/>
        <v>3200000</v>
      </c>
    </row>
    <row r="3307" spans="1:33" ht="12" customHeight="1">
      <c r="A3307" s="641" t="s">
        <v>1285</v>
      </c>
      <c r="B3307" s="642" t="s">
        <v>1821</v>
      </c>
      <c r="C3307" s="738" t="s">
        <v>2055</v>
      </c>
      <c r="D3307" s="780"/>
      <c r="E3307" s="777"/>
      <c r="F3307" s="573"/>
      <c r="G3307" s="487"/>
      <c r="H3307" s="1138"/>
      <c r="I3307" s="1135">
        <v>680000</v>
      </c>
      <c r="J3307" s="573"/>
      <c r="K3307" s="487"/>
      <c r="L3307" s="573"/>
      <c r="M3307" s="573"/>
      <c r="N3307" s="1134"/>
      <c r="O3307" s="487"/>
      <c r="P3307" s="487"/>
      <c r="Q3307" s="274"/>
      <c r="R3307" s="574">
        <f t="shared" si="405"/>
        <v>0</v>
      </c>
      <c r="S3307" s="275">
        <f t="shared" si="406"/>
        <v>680000</v>
      </c>
      <c r="T3307" s="575"/>
      <c r="U3307" s="487"/>
      <c r="V3307" s="576"/>
      <c r="W3307" s="573"/>
      <c r="X3307" s="574"/>
      <c r="Y3307" s="487"/>
      <c r="Z3307" s="487"/>
      <c r="AA3307" s="276"/>
      <c r="AB3307" s="573"/>
      <c r="AC3307" s="487"/>
      <c r="AD3307" s="573"/>
      <c r="AE3307" s="487"/>
      <c r="AF3307" s="577">
        <f t="shared" si="407"/>
        <v>0</v>
      </c>
      <c r="AG3307" s="275">
        <f t="shared" si="408"/>
        <v>680000</v>
      </c>
    </row>
    <row r="3308" spans="1:33" ht="12" customHeight="1">
      <c r="A3308" s="641" t="s">
        <v>1285</v>
      </c>
      <c r="B3308" s="642" t="s">
        <v>1821</v>
      </c>
      <c r="C3308" s="738" t="s">
        <v>2056</v>
      </c>
      <c r="D3308" s="780"/>
      <c r="E3308" s="777"/>
      <c r="F3308" s="573"/>
      <c r="G3308" s="487"/>
      <c r="H3308" s="1138"/>
      <c r="I3308" s="1135">
        <v>2000000</v>
      </c>
      <c r="J3308" s="573"/>
      <c r="K3308" s="487"/>
      <c r="L3308" s="573"/>
      <c r="M3308" s="573"/>
      <c r="N3308" s="1134"/>
      <c r="O3308" s="487"/>
      <c r="P3308" s="487"/>
      <c r="Q3308" s="274"/>
      <c r="R3308" s="574">
        <f t="shared" si="405"/>
        <v>0</v>
      </c>
      <c r="S3308" s="275">
        <f t="shared" si="406"/>
        <v>2000000</v>
      </c>
      <c r="T3308" s="575"/>
      <c r="U3308" s="487"/>
      <c r="V3308" s="576"/>
      <c r="W3308" s="573"/>
      <c r="X3308" s="574"/>
      <c r="Y3308" s="487"/>
      <c r="Z3308" s="487"/>
      <c r="AA3308" s="276"/>
      <c r="AB3308" s="573"/>
      <c r="AC3308" s="487"/>
      <c r="AD3308" s="573"/>
      <c r="AE3308" s="487"/>
      <c r="AF3308" s="577">
        <f t="shared" si="407"/>
        <v>0</v>
      </c>
      <c r="AG3308" s="275">
        <f t="shared" si="408"/>
        <v>2000000</v>
      </c>
    </row>
    <row r="3309" spans="1:33" ht="12" customHeight="1">
      <c r="A3309" s="641" t="s">
        <v>1285</v>
      </c>
      <c r="B3309" s="642" t="s">
        <v>1821</v>
      </c>
      <c r="C3309" s="738" t="s">
        <v>1629</v>
      </c>
      <c r="D3309" s="780"/>
      <c r="E3309" s="777"/>
      <c r="F3309" s="573"/>
      <c r="G3309" s="487"/>
      <c r="H3309" s="1141">
        <v>10000000</v>
      </c>
      <c r="I3309" s="487"/>
      <c r="J3309" s="573"/>
      <c r="K3309" s="487"/>
      <c r="L3309" s="573"/>
      <c r="M3309" s="573"/>
      <c r="N3309" s="456">
        <f t="shared" si="409"/>
        <v>0</v>
      </c>
      <c r="O3309" s="487"/>
      <c r="P3309" s="487"/>
      <c r="Q3309" s="274">
        <f t="shared" si="404"/>
        <v>0</v>
      </c>
      <c r="R3309" s="574">
        <f t="shared" si="405"/>
        <v>10000000</v>
      </c>
      <c r="S3309" s="275">
        <f t="shared" si="406"/>
        <v>0</v>
      </c>
      <c r="T3309" s="575"/>
      <c r="U3309" s="487"/>
      <c r="V3309" s="576"/>
      <c r="W3309" s="573"/>
      <c r="X3309" s="574">
        <f t="shared" si="410"/>
        <v>0</v>
      </c>
      <c r="Y3309" s="487"/>
      <c r="Z3309" s="487"/>
      <c r="AA3309" s="276">
        <f t="shared" si="411"/>
        <v>0</v>
      </c>
      <c r="AB3309" s="573"/>
      <c r="AC3309" s="487"/>
      <c r="AD3309" s="573"/>
      <c r="AE3309" s="487"/>
      <c r="AF3309" s="577">
        <f t="shared" si="407"/>
        <v>10000000</v>
      </c>
      <c r="AG3309" s="275">
        <f t="shared" si="408"/>
        <v>0</v>
      </c>
    </row>
    <row r="3310" spans="1:33" ht="12" customHeight="1">
      <c r="A3310" s="641" t="s">
        <v>1285</v>
      </c>
      <c r="B3310" s="642" t="s">
        <v>1821</v>
      </c>
      <c r="C3310" s="738" t="s">
        <v>695</v>
      </c>
      <c r="D3310" s="486"/>
      <c r="E3310" s="312"/>
      <c r="F3310" s="573"/>
      <c r="G3310" s="487"/>
      <c r="H3310" s="1139">
        <v>1596688</v>
      </c>
      <c r="I3310" s="1135">
        <v>0</v>
      </c>
      <c r="J3310" s="573"/>
      <c r="K3310" s="487"/>
      <c r="L3310" s="573"/>
      <c r="M3310" s="573"/>
      <c r="N3310" s="456">
        <f t="shared" si="409"/>
        <v>0</v>
      </c>
      <c r="O3310" s="487"/>
      <c r="P3310" s="487"/>
      <c r="Q3310" s="274">
        <f t="shared" si="404"/>
        <v>0</v>
      </c>
      <c r="R3310" s="574">
        <f t="shared" si="405"/>
        <v>1596688</v>
      </c>
      <c r="S3310" s="275">
        <f t="shared" si="406"/>
        <v>0</v>
      </c>
      <c r="T3310" s="575"/>
      <c r="U3310" s="487">
        <v>7500000</v>
      </c>
      <c r="V3310" s="576"/>
      <c r="W3310" s="573"/>
      <c r="X3310" s="574">
        <f t="shared" si="410"/>
        <v>0</v>
      </c>
      <c r="Y3310" s="487"/>
      <c r="Z3310" s="487"/>
      <c r="AA3310" s="276">
        <f t="shared" si="411"/>
        <v>0</v>
      </c>
      <c r="AB3310" s="573"/>
      <c r="AC3310" s="487"/>
      <c r="AD3310" s="573"/>
      <c r="AE3310" s="487"/>
      <c r="AF3310" s="577">
        <f t="shared" si="407"/>
        <v>1596688</v>
      </c>
      <c r="AG3310" s="275">
        <f t="shared" si="408"/>
        <v>7500000</v>
      </c>
    </row>
    <row r="3311" spans="1:33" ht="12" customHeight="1">
      <c r="A3311" s="641" t="s">
        <v>1285</v>
      </c>
      <c r="B3311" s="642" t="s">
        <v>1821</v>
      </c>
      <c r="C3311" s="738" t="s">
        <v>1163</v>
      </c>
      <c r="D3311" s="780"/>
      <c r="E3311" s="777"/>
      <c r="F3311" s="573"/>
      <c r="G3311" s="487"/>
      <c r="H3311" s="1138">
        <v>49535000</v>
      </c>
      <c r="I3311" s="487">
        <v>0</v>
      </c>
      <c r="J3311" s="573"/>
      <c r="K3311" s="487"/>
      <c r="L3311" s="573"/>
      <c r="M3311" s="573"/>
      <c r="N3311" s="456">
        <f t="shared" si="409"/>
        <v>0</v>
      </c>
      <c r="O3311" s="487"/>
      <c r="P3311" s="487"/>
      <c r="Q3311" s="274">
        <f t="shared" si="404"/>
        <v>0</v>
      </c>
      <c r="R3311" s="574">
        <f t="shared" si="405"/>
        <v>49535000</v>
      </c>
      <c r="S3311" s="275">
        <f t="shared" si="406"/>
        <v>0</v>
      </c>
      <c r="T3311" s="575"/>
      <c r="U3311" s="487"/>
      <c r="V3311" s="576"/>
      <c r="W3311" s="573"/>
      <c r="X3311" s="574">
        <f t="shared" si="410"/>
        <v>0</v>
      </c>
      <c r="Y3311" s="487"/>
      <c r="Z3311" s="487"/>
      <c r="AA3311" s="276">
        <f t="shared" si="411"/>
        <v>0</v>
      </c>
      <c r="AB3311" s="573"/>
      <c r="AC3311" s="487"/>
      <c r="AD3311" s="573"/>
      <c r="AE3311" s="487"/>
      <c r="AF3311" s="577">
        <f t="shared" si="407"/>
        <v>49535000</v>
      </c>
      <c r="AG3311" s="275">
        <f t="shared" si="408"/>
        <v>0</v>
      </c>
    </row>
    <row r="3312" spans="1:33" ht="12" customHeight="1">
      <c r="A3312" s="641" t="s">
        <v>1285</v>
      </c>
      <c r="B3312" s="642" t="s">
        <v>1821</v>
      </c>
      <c r="C3312" s="738" t="s">
        <v>696</v>
      </c>
      <c r="D3312" s="780"/>
      <c r="E3312" s="777"/>
      <c r="F3312" s="573"/>
      <c r="G3312" s="487"/>
      <c r="H3312" s="576">
        <v>7000000</v>
      </c>
      <c r="I3312" s="487">
        <v>0</v>
      </c>
      <c r="J3312" s="573"/>
      <c r="K3312" s="487"/>
      <c r="L3312" s="573"/>
      <c r="M3312" s="573"/>
      <c r="N3312" s="456">
        <f t="shared" si="409"/>
        <v>0</v>
      </c>
      <c r="O3312" s="487"/>
      <c r="P3312" s="487"/>
      <c r="Q3312" s="274">
        <f t="shared" si="404"/>
        <v>0</v>
      </c>
      <c r="R3312" s="574">
        <f t="shared" si="405"/>
        <v>7000000</v>
      </c>
      <c r="S3312" s="275">
        <f t="shared" si="406"/>
        <v>0</v>
      </c>
      <c r="T3312" s="575"/>
      <c r="U3312" s="487"/>
      <c r="V3312" s="576"/>
      <c r="W3312" s="573"/>
      <c r="X3312" s="574">
        <f t="shared" si="410"/>
        <v>0</v>
      </c>
      <c r="Y3312" s="487"/>
      <c r="Z3312" s="487"/>
      <c r="AA3312" s="276">
        <f t="shared" si="411"/>
        <v>0</v>
      </c>
      <c r="AB3312" s="573"/>
      <c r="AC3312" s="487"/>
      <c r="AD3312" s="573"/>
      <c r="AE3312" s="487"/>
      <c r="AF3312" s="577">
        <f t="shared" si="407"/>
        <v>7000000</v>
      </c>
      <c r="AG3312" s="275">
        <f t="shared" si="408"/>
        <v>0</v>
      </c>
    </row>
    <row r="3313" spans="1:33" ht="12" customHeight="1">
      <c r="A3313" s="641" t="s">
        <v>1285</v>
      </c>
      <c r="B3313" s="642" t="s">
        <v>1821</v>
      </c>
      <c r="C3313" s="738" t="s">
        <v>697</v>
      </c>
      <c r="D3313" s="780"/>
      <c r="E3313" s="777"/>
      <c r="F3313" s="573"/>
      <c r="G3313" s="487"/>
      <c r="H3313" s="1138">
        <v>0</v>
      </c>
      <c r="I3313" s="487">
        <v>0</v>
      </c>
      <c r="J3313" s="573"/>
      <c r="K3313" s="487"/>
      <c r="L3313" s="573"/>
      <c r="M3313" s="573"/>
      <c r="N3313" s="456">
        <f t="shared" si="409"/>
        <v>0</v>
      </c>
      <c r="O3313" s="487"/>
      <c r="P3313" s="487"/>
      <c r="Q3313" s="274">
        <f t="shared" si="404"/>
        <v>0</v>
      </c>
      <c r="R3313" s="574">
        <f t="shared" si="405"/>
        <v>0</v>
      </c>
      <c r="S3313" s="275">
        <f t="shared" si="406"/>
        <v>0</v>
      </c>
      <c r="T3313" s="575"/>
      <c r="U3313" s="487"/>
      <c r="V3313" s="576"/>
      <c r="W3313" s="573"/>
      <c r="X3313" s="574">
        <f t="shared" si="410"/>
        <v>0</v>
      </c>
      <c r="Y3313" s="487"/>
      <c r="Z3313" s="487"/>
      <c r="AA3313" s="276">
        <f t="shared" si="411"/>
        <v>0</v>
      </c>
      <c r="AB3313" s="573"/>
      <c r="AC3313" s="487"/>
      <c r="AD3313" s="573"/>
      <c r="AE3313" s="487"/>
      <c r="AF3313" s="577">
        <f t="shared" si="407"/>
        <v>0</v>
      </c>
      <c r="AG3313" s="275">
        <f t="shared" si="408"/>
        <v>0</v>
      </c>
    </row>
    <row r="3314" spans="1:33" ht="12" customHeight="1" thickBot="1">
      <c r="A3314" s="641" t="s">
        <v>1285</v>
      </c>
      <c r="B3314" s="642" t="s">
        <v>1821</v>
      </c>
      <c r="C3314" s="738" t="s">
        <v>698</v>
      </c>
      <c r="D3314" s="780"/>
      <c r="E3314" s="777"/>
      <c r="F3314" s="573"/>
      <c r="G3314" s="487"/>
      <c r="H3314" s="1142">
        <v>0</v>
      </c>
      <c r="I3314" s="471">
        <v>0</v>
      </c>
      <c r="J3314" s="573"/>
      <c r="K3314" s="487"/>
      <c r="L3314" s="573"/>
      <c r="M3314" s="573"/>
      <c r="N3314" s="456">
        <f t="shared" si="409"/>
        <v>0</v>
      </c>
      <c r="O3314" s="487"/>
      <c r="P3314" s="487"/>
      <c r="Q3314" s="274">
        <f t="shared" si="404"/>
        <v>0</v>
      </c>
      <c r="R3314" s="574">
        <f t="shared" si="405"/>
        <v>0</v>
      </c>
      <c r="S3314" s="275">
        <f t="shared" si="406"/>
        <v>0</v>
      </c>
      <c r="T3314" s="575"/>
      <c r="U3314" s="487"/>
      <c r="V3314" s="576"/>
      <c r="W3314" s="573"/>
      <c r="X3314" s="574">
        <f t="shared" si="410"/>
        <v>0</v>
      </c>
      <c r="Y3314" s="487"/>
      <c r="Z3314" s="487"/>
      <c r="AA3314" s="276">
        <f t="shared" si="411"/>
        <v>0</v>
      </c>
      <c r="AB3314" s="573"/>
      <c r="AC3314" s="487"/>
      <c r="AD3314" s="573"/>
      <c r="AE3314" s="487"/>
      <c r="AF3314" s="577">
        <f t="shared" si="407"/>
        <v>0</v>
      </c>
      <c r="AG3314" s="275">
        <f t="shared" si="408"/>
        <v>0</v>
      </c>
    </row>
    <row r="3315" spans="1:33" ht="12" customHeight="1">
      <c r="A3315" s="641" t="s">
        <v>1285</v>
      </c>
      <c r="B3315" s="642" t="s">
        <v>1794</v>
      </c>
      <c r="C3315" s="284" t="s">
        <v>849</v>
      </c>
      <c r="D3315" s="780"/>
      <c r="E3315" s="777"/>
      <c r="F3315" s="573"/>
      <c r="G3315" s="487"/>
      <c r="H3315" s="573"/>
      <c r="I3315" s="487"/>
      <c r="J3315" s="573"/>
      <c r="K3315" s="487"/>
      <c r="L3315" s="573"/>
      <c r="M3315" s="573"/>
      <c r="N3315" s="456">
        <f t="shared" si="409"/>
        <v>0</v>
      </c>
      <c r="O3315" s="487"/>
      <c r="P3315" s="487"/>
      <c r="Q3315" s="274">
        <f t="shared" si="404"/>
        <v>0</v>
      </c>
      <c r="R3315" s="574">
        <f t="shared" si="405"/>
        <v>0</v>
      </c>
      <c r="S3315" s="275">
        <f t="shared" si="406"/>
        <v>0</v>
      </c>
      <c r="T3315" s="575"/>
      <c r="U3315" s="487"/>
      <c r="V3315" s="576"/>
      <c r="W3315" s="573"/>
      <c r="X3315" s="574">
        <f t="shared" si="410"/>
        <v>0</v>
      </c>
      <c r="Y3315" s="487"/>
      <c r="Z3315" s="487"/>
      <c r="AA3315" s="276">
        <f t="shared" si="411"/>
        <v>0</v>
      </c>
      <c r="AB3315" s="573"/>
      <c r="AC3315" s="487"/>
      <c r="AD3315" s="573"/>
      <c r="AE3315" s="487"/>
      <c r="AF3315" s="577">
        <f t="shared" si="407"/>
        <v>0</v>
      </c>
      <c r="AG3315" s="275">
        <f t="shared" si="408"/>
        <v>0</v>
      </c>
    </row>
    <row r="3316" spans="1:33" ht="12" customHeight="1">
      <c r="A3316" s="641" t="s">
        <v>1285</v>
      </c>
      <c r="B3316" s="642" t="s">
        <v>1795</v>
      </c>
      <c r="C3316" s="283" t="s">
        <v>957</v>
      </c>
      <c r="D3316" s="780"/>
      <c r="E3316" s="777"/>
      <c r="F3316" s="573"/>
      <c r="G3316" s="487"/>
      <c r="H3316" s="573"/>
      <c r="I3316" s="487"/>
      <c r="J3316" s="573"/>
      <c r="K3316" s="487"/>
      <c r="L3316" s="573"/>
      <c r="M3316" s="573"/>
      <c r="N3316" s="456">
        <f t="shared" si="409"/>
        <v>0</v>
      </c>
      <c r="O3316" s="487"/>
      <c r="P3316" s="487"/>
      <c r="Q3316" s="274">
        <f t="shared" si="404"/>
        <v>0</v>
      </c>
      <c r="R3316" s="574">
        <f t="shared" si="405"/>
        <v>0</v>
      </c>
      <c r="S3316" s="275">
        <f t="shared" si="406"/>
        <v>0</v>
      </c>
      <c r="T3316" s="575"/>
      <c r="U3316" s="487"/>
      <c r="V3316" s="576"/>
      <c r="W3316" s="573"/>
      <c r="X3316" s="574">
        <f t="shared" si="410"/>
        <v>0</v>
      </c>
      <c r="Y3316" s="487"/>
      <c r="Z3316" s="487"/>
      <c r="AA3316" s="276">
        <f t="shared" si="411"/>
        <v>0</v>
      </c>
      <c r="AB3316" s="573"/>
      <c r="AC3316" s="487"/>
      <c r="AD3316" s="573"/>
      <c r="AE3316" s="487"/>
      <c r="AF3316" s="577">
        <f t="shared" si="407"/>
        <v>0</v>
      </c>
      <c r="AG3316" s="275">
        <f t="shared" si="408"/>
        <v>0</v>
      </c>
    </row>
    <row r="3317" spans="1:33" ht="12" customHeight="1">
      <c r="A3317" s="641" t="s">
        <v>1285</v>
      </c>
      <c r="B3317" s="642" t="s">
        <v>1795</v>
      </c>
      <c r="C3317" s="283" t="s">
        <v>699</v>
      </c>
      <c r="D3317" s="780"/>
      <c r="E3317" s="777"/>
      <c r="F3317" s="573"/>
      <c r="G3317" s="487"/>
      <c r="H3317" s="573"/>
      <c r="I3317" s="487"/>
      <c r="J3317" s="573"/>
      <c r="K3317" s="487"/>
      <c r="L3317" s="573"/>
      <c r="M3317" s="573"/>
      <c r="N3317" s="456">
        <f t="shared" si="409"/>
        <v>0</v>
      </c>
      <c r="O3317" s="487"/>
      <c r="P3317" s="487"/>
      <c r="Q3317" s="274">
        <f t="shared" si="404"/>
        <v>0</v>
      </c>
      <c r="R3317" s="574">
        <f t="shared" si="405"/>
        <v>0</v>
      </c>
      <c r="S3317" s="275">
        <f t="shared" si="406"/>
        <v>0</v>
      </c>
      <c r="T3317" s="575">
        <f>2043565+57419</f>
        <v>2100984</v>
      </c>
      <c r="U3317" s="487">
        <v>2238019</v>
      </c>
      <c r="V3317" s="576"/>
      <c r="W3317" s="573"/>
      <c r="X3317" s="574">
        <f t="shared" si="410"/>
        <v>0</v>
      </c>
      <c r="Y3317" s="487"/>
      <c r="Z3317" s="487"/>
      <c r="AA3317" s="276">
        <f t="shared" si="411"/>
        <v>0</v>
      </c>
      <c r="AB3317" s="573"/>
      <c r="AC3317" s="487"/>
      <c r="AD3317" s="573"/>
      <c r="AE3317" s="487"/>
      <c r="AF3317" s="577">
        <f t="shared" si="407"/>
        <v>2100984</v>
      </c>
      <c r="AG3317" s="275">
        <f t="shared" si="408"/>
        <v>2238019</v>
      </c>
    </row>
    <row r="3318" spans="1:33" ht="12" customHeight="1">
      <c r="A3318" s="641" t="s">
        <v>1285</v>
      </c>
      <c r="B3318" s="642" t="s">
        <v>1795</v>
      </c>
      <c r="C3318" s="283" t="s">
        <v>700</v>
      </c>
      <c r="D3318" s="780"/>
      <c r="E3318" s="777"/>
      <c r="F3318" s="573"/>
      <c r="G3318" s="487"/>
      <c r="H3318" s="573"/>
      <c r="I3318" s="487"/>
      <c r="J3318" s="573"/>
      <c r="K3318" s="487"/>
      <c r="L3318" s="573"/>
      <c r="M3318" s="573"/>
      <c r="N3318" s="456">
        <f t="shared" si="409"/>
        <v>0</v>
      </c>
      <c r="O3318" s="487"/>
      <c r="P3318" s="487"/>
      <c r="Q3318" s="274">
        <f t="shared" si="404"/>
        <v>0</v>
      </c>
      <c r="R3318" s="574">
        <f t="shared" si="405"/>
        <v>0</v>
      </c>
      <c r="S3318" s="275">
        <f t="shared" si="406"/>
        <v>0</v>
      </c>
      <c r="T3318" s="575">
        <v>1915008</v>
      </c>
      <c r="U3318" s="487">
        <v>2072112</v>
      </c>
      <c r="V3318" s="576"/>
      <c r="W3318" s="573"/>
      <c r="X3318" s="574">
        <f t="shared" si="410"/>
        <v>0</v>
      </c>
      <c r="Y3318" s="487"/>
      <c r="Z3318" s="487"/>
      <c r="AA3318" s="276">
        <f t="shared" si="411"/>
        <v>0</v>
      </c>
      <c r="AB3318" s="573"/>
      <c r="AC3318" s="487"/>
      <c r="AD3318" s="573"/>
      <c r="AE3318" s="487"/>
      <c r="AF3318" s="577">
        <f t="shared" si="407"/>
        <v>1915008</v>
      </c>
      <c r="AG3318" s="275">
        <f t="shared" si="408"/>
        <v>2072112</v>
      </c>
    </row>
    <row r="3319" spans="1:33" ht="12" customHeight="1">
      <c r="A3319" s="641" t="s">
        <v>1285</v>
      </c>
      <c r="B3319" s="642" t="s">
        <v>1796</v>
      </c>
      <c r="C3319" s="283" t="s">
        <v>956</v>
      </c>
      <c r="D3319" s="780"/>
      <c r="E3319" s="777"/>
      <c r="F3319" s="573"/>
      <c r="G3319" s="487"/>
      <c r="H3319" s="573"/>
      <c r="I3319" s="487"/>
      <c r="J3319" s="573"/>
      <c r="K3319" s="487"/>
      <c r="L3319" s="573"/>
      <c r="M3319" s="573"/>
      <c r="N3319" s="456">
        <f t="shared" si="409"/>
        <v>0</v>
      </c>
      <c r="O3319" s="487"/>
      <c r="P3319" s="487"/>
      <c r="Q3319" s="274">
        <f t="shared" ref="Q3319:Q3382" si="415">SUM(O3319:P3319)</f>
        <v>0</v>
      </c>
      <c r="R3319" s="574">
        <f t="shared" ref="R3319:R3382" si="416">SUM(F3319,H3319,J3319,L3319)</f>
        <v>0</v>
      </c>
      <c r="S3319" s="275">
        <f t="shared" ref="S3319:S3382" si="417">SUM(G3319,I3319,K3319,O3319)</f>
        <v>0</v>
      </c>
      <c r="T3319" s="575"/>
      <c r="U3319" s="487"/>
      <c r="V3319" s="576"/>
      <c r="W3319" s="573"/>
      <c r="X3319" s="574">
        <f t="shared" si="410"/>
        <v>0</v>
      </c>
      <c r="Y3319" s="487"/>
      <c r="Z3319" s="487"/>
      <c r="AA3319" s="276">
        <f t="shared" si="411"/>
        <v>0</v>
      </c>
      <c r="AB3319" s="573"/>
      <c r="AC3319" s="487"/>
      <c r="AD3319" s="573"/>
      <c r="AE3319" s="487"/>
      <c r="AF3319" s="577">
        <f t="shared" ref="AF3319:AF3382" si="418">SUM(R3319,T3319,V3319,AB3319,AD3319)</f>
        <v>0</v>
      </c>
      <c r="AG3319" s="275">
        <f t="shared" ref="AG3319:AG3382" si="419">SUM(S3319,U3319,Y3319,AC3319,AE3319)</f>
        <v>0</v>
      </c>
    </row>
    <row r="3320" spans="1:33" ht="12" customHeight="1">
      <c r="A3320" s="641" t="s">
        <v>1285</v>
      </c>
      <c r="B3320" s="642" t="s">
        <v>1796</v>
      </c>
      <c r="C3320" s="738" t="s">
        <v>701</v>
      </c>
      <c r="D3320" s="780"/>
      <c r="E3320" s="777"/>
      <c r="F3320" s="573"/>
      <c r="G3320" s="487"/>
      <c r="H3320" s="573"/>
      <c r="I3320" s="487"/>
      <c r="J3320" s="573"/>
      <c r="K3320" s="487"/>
      <c r="L3320" s="573"/>
      <c r="M3320" s="573"/>
      <c r="N3320" s="456">
        <f t="shared" si="409"/>
        <v>0</v>
      </c>
      <c r="O3320" s="487"/>
      <c r="P3320" s="487"/>
      <c r="Q3320" s="274">
        <f t="shared" si="415"/>
        <v>0</v>
      </c>
      <c r="R3320" s="574">
        <f t="shared" si="416"/>
        <v>0</v>
      </c>
      <c r="S3320" s="275">
        <f t="shared" si="417"/>
        <v>0</v>
      </c>
      <c r="T3320" s="575">
        <v>1413360</v>
      </c>
      <c r="U3320" s="487">
        <v>886664</v>
      </c>
      <c r="V3320" s="576"/>
      <c r="W3320" s="573"/>
      <c r="X3320" s="574">
        <f t="shared" si="410"/>
        <v>0</v>
      </c>
      <c r="Y3320" s="487"/>
      <c r="Z3320" s="487"/>
      <c r="AA3320" s="276">
        <f t="shared" si="411"/>
        <v>0</v>
      </c>
      <c r="AB3320" s="573"/>
      <c r="AC3320" s="487"/>
      <c r="AD3320" s="573"/>
      <c r="AE3320" s="487"/>
      <c r="AF3320" s="577">
        <f t="shared" si="418"/>
        <v>1413360</v>
      </c>
      <c r="AG3320" s="275">
        <f t="shared" si="419"/>
        <v>886664</v>
      </c>
    </row>
    <row r="3321" spans="1:33" ht="12" customHeight="1">
      <c r="A3321" s="641" t="s">
        <v>1285</v>
      </c>
      <c r="B3321" s="642" t="s">
        <v>1797</v>
      </c>
      <c r="C3321" s="283" t="s">
        <v>955</v>
      </c>
      <c r="D3321" s="780"/>
      <c r="E3321" s="777"/>
      <c r="F3321" s="573"/>
      <c r="G3321" s="487"/>
      <c r="H3321" s="573"/>
      <c r="I3321" s="487"/>
      <c r="J3321" s="573"/>
      <c r="K3321" s="487"/>
      <c r="L3321" s="573"/>
      <c r="M3321" s="573"/>
      <c r="N3321" s="456">
        <f t="shared" si="409"/>
        <v>0</v>
      </c>
      <c r="O3321" s="487"/>
      <c r="P3321" s="487"/>
      <c r="Q3321" s="274">
        <f t="shared" si="415"/>
        <v>0</v>
      </c>
      <c r="R3321" s="574">
        <f t="shared" si="416"/>
        <v>0</v>
      </c>
      <c r="S3321" s="275">
        <f t="shared" si="417"/>
        <v>0</v>
      </c>
      <c r="T3321" s="575"/>
      <c r="U3321" s="487"/>
      <c r="V3321" s="576"/>
      <c r="W3321" s="573"/>
      <c r="X3321" s="574">
        <f t="shared" si="410"/>
        <v>0</v>
      </c>
      <c r="Y3321" s="487"/>
      <c r="Z3321" s="487"/>
      <c r="AA3321" s="276">
        <f t="shared" si="411"/>
        <v>0</v>
      </c>
      <c r="AB3321" s="573"/>
      <c r="AC3321" s="487"/>
      <c r="AD3321" s="573"/>
      <c r="AE3321" s="487"/>
      <c r="AF3321" s="577">
        <f t="shared" si="418"/>
        <v>0</v>
      </c>
      <c r="AG3321" s="275">
        <f t="shared" si="419"/>
        <v>0</v>
      </c>
    </row>
    <row r="3322" spans="1:33" ht="12" customHeight="1">
      <c r="A3322" s="641" t="s">
        <v>1285</v>
      </c>
      <c r="B3322" s="642" t="s">
        <v>1798</v>
      </c>
      <c r="C3322" s="283" t="s">
        <v>1606</v>
      </c>
      <c r="D3322" s="780"/>
      <c r="E3322" s="777"/>
      <c r="F3322" s="573"/>
      <c r="G3322" s="487"/>
      <c r="H3322" s="573"/>
      <c r="I3322" s="487"/>
      <c r="J3322" s="573"/>
      <c r="K3322" s="487"/>
      <c r="L3322" s="573"/>
      <c r="M3322" s="573"/>
      <c r="N3322" s="456">
        <f t="shared" si="409"/>
        <v>0</v>
      </c>
      <c r="O3322" s="487"/>
      <c r="P3322" s="487"/>
      <c r="Q3322" s="274">
        <f t="shared" si="415"/>
        <v>0</v>
      </c>
      <c r="R3322" s="574">
        <f t="shared" si="416"/>
        <v>0</v>
      </c>
      <c r="S3322" s="275">
        <f t="shared" si="417"/>
        <v>0</v>
      </c>
      <c r="T3322" s="575">
        <v>1534000</v>
      </c>
      <c r="U3322" s="487">
        <f>1534000-367571</f>
        <v>1166429</v>
      </c>
      <c r="V3322" s="576"/>
      <c r="W3322" s="573"/>
      <c r="X3322" s="574">
        <f t="shared" si="410"/>
        <v>0</v>
      </c>
      <c r="Y3322" s="487"/>
      <c r="Z3322" s="487"/>
      <c r="AA3322" s="276">
        <f t="shared" si="411"/>
        <v>0</v>
      </c>
      <c r="AB3322" s="573"/>
      <c r="AC3322" s="487"/>
      <c r="AD3322" s="573"/>
      <c r="AE3322" s="487"/>
      <c r="AF3322" s="577">
        <f t="shared" si="418"/>
        <v>1534000</v>
      </c>
      <c r="AG3322" s="275">
        <f t="shared" si="419"/>
        <v>1166429</v>
      </c>
    </row>
    <row r="3323" spans="1:33" ht="12" customHeight="1">
      <c r="A3323" s="641" t="s">
        <v>1285</v>
      </c>
      <c r="B3323" s="642" t="s">
        <v>1799</v>
      </c>
      <c r="C3323" s="284" t="s">
        <v>853</v>
      </c>
      <c r="D3323" s="780"/>
      <c r="E3323" s="777"/>
      <c r="F3323" s="573"/>
      <c r="G3323" s="487"/>
      <c r="H3323" s="573"/>
      <c r="I3323" s="487"/>
      <c r="J3323" s="573"/>
      <c r="K3323" s="487"/>
      <c r="L3323" s="573"/>
      <c r="M3323" s="573"/>
      <c r="N3323" s="456">
        <f t="shared" si="409"/>
        <v>0</v>
      </c>
      <c r="O3323" s="487"/>
      <c r="P3323" s="487"/>
      <c r="Q3323" s="274">
        <f t="shared" si="415"/>
        <v>0</v>
      </c>
      <c r="R3323" s="574">
        <f t="shared" si="416"/>
        <v>0</v>
      </c>
      <c r="S3323" s="275">
        <f t="shared" si="417"/>
        <v>0</v>
      </c>
      <c r="T3323" s="575"/>
      <c r="U3323" s="487"/>
      <c r="V3323" s="576"/>
      <c r="W3323" s="573"/>
      <c r="X3323" s="574">
        <f t="shared" si="410"/>
        <v>0</v>
      </c>
      <c r="Y3323" s="487"/>
      <c r="Z3323" s="487"/>
      <c r="AA3323" s="276">
        <f t="shared" si="411"/>
        <v>0</v>
      </c>
      <c r="AB3323" s="573"/>
      <c r="AC3323" s="487"/>
      <c r="AD3323" s="573"/>
      <c r="AE3323" s="487"/>
      <c r="AF3323" s="577">
        <f t="shared" si="418"/>
        <v>0</v>
      </c>
      <c r="AG3323" s="275">
        <f t="shared" si="419"/>
        <v>0</v>
      </c>
    </row>
    <row r="3324" spans="1:33" ht="12" customHeight="1">
      <c r="A3324" s="641" t="s">
        <v>1285</v>
      </c>
      <c r="B3324" s="642" t="s">
        <v>1800</v>
      </c>
      <c r="C3324" s="284" t="s">
        <v>858</v>
      </c>
      <c r="D3324" s="780"/>
      <c r="E3324" s="777"/>
      <c r="F3324" s="573"/>
      <c r="G3324" s="487"/>
      <c r="H3324" s="573"/>
      <c r="I3324" s="487"/>
      <c r="J3324" s="573"/>
      <c r="K3324" s="487"/>
      <c r="L3324" s="573"/>
      <c r="M3324" s="573"/>
      <c r="N3324" s="456">
        <f t="shared" si="409"/>
        <v>0</v>
      </c>
      <c r="O3324" s="487"/>
      <c r="P3324" s="487"/>
      <c r="Q3324" s="274">
        <f t="shared" si="415"/>
        <v>0</v>
      </c>
      <c r="R3324" s="574">
        <f t="shared" si="416"/>
        <v>0</v>
      </c>
      <c r="S3324" s="275">
        <f t="shared" si="417"/>
        <v>0</v>
      </c>
      <c r="T3324" s="575"/>
      <c r="U3324" s="487"/>
      <c r="V3324" s="576"/>
      <c r="W3324" s="573"/>
      <c r="X3324" s="574">
        <f t="shared" si="410"/>
        <v>0</v>
      </c>
      <c r="Y3324" s="487"/>
      <c r="Z3324" s="487"/>
      <c r="AA3324" s="276">
        <f t="shared" si="411"/>
        <v>0</v>
      </c>
      <c r="AB3324" s="573"/>
      <c r="AC3324" s="487"/>
      <c r="AD3324" s="573"/>
      <c r="AE3324" s="487"/>
      <c r="AF3324" s="577">
        <f t="shared" si="418"/>
        <v>0</v>
      </c>
      <c r="AG3324" s="275">
        <f t="shared" si="419"/>
        <v>0</v>
      </c>
    </row>
    <row r="3325" spans="1:33" ht="12" customHeight="1">
      <c r="A3325" s="641" t="s">
        <v>1285</v>
      </c>
      <c r="B3325" s="642" t="s">
        <v>1801</v>
      </c>
      <c r="C3325" s="283" t="s">
        <v>859</v>
      </c>
      <c r="D3325" s="780"/>
      <c r="E3325" s="777"/>
      <c r="F3325" s="573"/>
      <c r="G3325" s="487"/>
      <c r="H3325" s="573"/>
      <c r="I3325" s="487"/>
      <c r="J3325" s="573"/>
      <c r="K3325" s="487"/>
      <c r="L3325" s="573"/>
      <c r="M3325" s="573"/>
      <c r="N3325" s="456">
        <f t="shared" si="409"/>
        <v>0</v>
      </c>
      <c r="O3325" s="487"/>
      <c r="P3325" s="487"/>
      <c r="Q3325" s="274">
        <f t="shared" si="415"/>
        <v>0</v>
      </c>
      <c r="R3325" s="574">
        <f t="shared" si="416"/>
        <v>0</v>
      </c>
      <c r="S3325" s="275">
        <f t="shared" si="417"/>
        <v>0</v>
      </c>
      <c r="T3325" s="575"/>
      <c r="U3325" s="487"/>
      <c r="V3325" s="576"/>
      <c r="W3325" s="573"/>
      <c r="X3325" s="574">
        <f t="shared" si="410"/>
        <v>0</v>
      </c>
      <c r="Y3325" s="487"/>
      <c r="Z3325" s="487"/>
      <c r="AA3325" s="276">
        <f t="shared" si="411"/>
        <v>0</v>
      </c>
      <c r="AB3325" s="573"/>
      <c r="AC3325" s="487"/>
      <c r="AD3325" s="573"/>
      <c r="AE3325" s="487"/>
      <c r="AF3325" s="577">
        <f t="shared" si="418"/>
        <v>0</v>
      </c>
      <c r="AG3325" s="275">
        <f t="shared" si="419"/>
        <v>0</v>
      </c>
    </row>
    <row r="3326" spans="1:33" ht="12" customHeight="1">
      <c r="A3326" s="641" t="s">
        <v>1285</v>
      </c>
      <c r="B3326" s="642" t="s">
        <v>1801</v>
      </c>
      <c r="C3326" s="738" t="s">
        <v>702</v>
      </c>
      <c r="D3326" s="780"/>
      <c r="E3326" s="777"/>
      <c r="F3326" s="573"/>
      <c r="G3326" s="487"/>
      <c r="H3326" s="573"/>
      <c r="I3326" s="487"/>
      <c r="J3326" s="573"/>
      <c r="K3326" s="487"/>
      <c r="L3326" s="573"/>
      <c r="M3326" s="573"/>
      <c r="N3326" s="456">
        <f t="shared" si="409"/>
        <v>0</v>
      </c>
      <c r="O3326" s="487"/>
      <c r="P3326" s="487"/>
      <c r="Q3326" s="274">
        <f t="shared" si="415"/>
        <v>0</v>
      </c>
      <c r="R3326" s="574">
        <f t="shared" si="416"/>
        <v>0</v>
      </c>
      <c r="S3326" s="275">
        <f t="shared" si="417"/>
        <v>0</v>
      </c>
      <c r="T3326" s="575">
        <v>17349</v>
      </c>
      <c r="U3326" s="487">
        <v>19509</v>
      </c>
      <c r="V3326" s="576"/>
      <c r="W3326" s="573"/>
      <c r="X3326" s="574">
        <f t="shared" si="410"/>
        <v>0</v>
      </c>
      <c r="Y3326" s="487"/>
      <c r="Z3326" s="487"/>
      <c r="AA3326" s="276">
        <f t="shared" si="411"/>
        <v>0</v>
      </c>
      <c r="AB3326" s="573"/>
      <c r="AC3326" s="487"/>
      <c r="AD3326" s="573"/>
      <c r="AE3326" s="487"/>
      <c r="AF3326" s="577">
        <f t="shared" si="418"/>
        <v>17349</v>
      </c>
      <c r="AG3326" s="275">
        <f t="shared" si="419"/>
        <v>19509</v>
      </c>
    </row>
    <row r="3327" spans="1:33" ht="12" customHeight="1">
      <c r="A3327" s="641" t="s">
        <v>1285</v>
      </c>
      <c r="B3327" s="642" t="s">
        <v>1801</v>
      </c>
      <c r="C3327" s="738" t="s">
        <v>703</v>
      </c>
      <c r="D3327" s="780"/>
      <c r="E3327" s="777"/>
      <c r="F3327" s="573"/>
      <c r="G3327" s="487"/>
      <c r="H3327" s="573"/>
      <c r="I3327" s="487"/>
      <c r="J3327" s="573"/>
      <c r="K3327" s="487"/>
      <c r="L3327" s="573"/>
      <c r="M3327" s="573"/>
      <c r="N3327" s="456">
        <f t="shared" si="409"/>
        <v>0</v>
      </c>
      <c r="O3327" s="487"/>
      <c r="P3327" s="487"/>
      <c r="Q3327" s="274">
        <f t="shared" si="415"/>
        <v>0</v>
      </c>
      <c r="R3327" s="574">
        <f t="shared" si="416"/>
        <v>0</v>
      </c>
      <c r="S3327" s="275">
        <f t="shared" si="417"/>
        <v>0</v>
      </c>
      <c r="T3327" s="575">
        <v>163083</v>
      </c>
      <c r="U3327" s="487">
        <v>147307</v>
      </c>
      <c r="V3327" s="576"/>
      <c r="W3327" s="573"/>
      <c r="X3327" s="574">
        <f t="shared" si="410"/>
        <v>0</v>
      </c>
      <c r="Y3327" s="487"/>
      <c r="Z3327" s="487"/>
      <c r="AA3327" s="276">
        <f t="shared" si="411"/>
        <v>0</v>
      </c>
      <c r="AB3327" s="573"/>
      <c r="AC3327" s="487"/>
      <c r="AD3327" s="573"/>
      <c r="AE3327" s="487"/>
      <c r="AF3327" s="577">
        <f t="shared" si="418"/>
        <v>163083</v>
      </c>
      <c r="AG3327" s="275">
        <f t="shared" si="419"/>
        <v>147307</v>
      </c>
    </row>
    <row r="3328" spans="1:33" ht="12" customHeight="1">
      <c r="A3328" s="641" t="s">
        <v>1285</v>
      </c>
      <c r="B3328" s="642" t="s">
        <v>1801</v>
      </c>
      <c r="C3328" s="738" t="s">
        <v>704</v>
      </c>
      <c r="D3328" s="780"/>
      <c r="E3328" s="777"/>
      <c r="F3328" s="573"/>
      <c r="G3328" s="487"/>
      <c r="H3328" s="573"/>
      <c r="I3328" s="487"/>
      <c r="J3328" s="573"/>
      <c r="K3328" s="487"/>
      <c r="L3328" s="573"/>
      <c r="M3328" s="573"/>
      <c r="N3328" s="456">
        <f t="shared" ref="N3328:N3388" si="420">SUM(L3328:M3328)</f>
        <v>0</v>
      </c>
      <c r="O3328" s="487"/>
      <c r="P3328" s="487"/>
      <c r="Q3328" s="274">
        <f t="shared" si="415"/>
        <v>0</v>
      </c>
      <c r="R3328" s="574">
        <f t="shared" si="416"/>
        <v>0</v>
      </c>
      <c r="S3328" s="275">
        <f t="shared" si="417"/>
        <v>0</v>
      </c>
      <c r="T3328" s="575">
        <v>166554</v>
      </c>
      <c r="U3328" s="487">
        <v>129218</v>
      </c>
      <c r="V3328" s="576"/>
      <c r="W3328" s="573"/>
      <c r="X3328" s="574">
        <f t="shared" ref="X3328:X3388" si="421">SUM(V3328:W3328)</f>
        <v>0</v>
      </c>
      <c r="Y3328" s="487"/>
      <c r="Z3328" s="487"/>
      <c r="AA3328" s="276">
        <f t="shared" ref="AA3328:AA3388" si="422">SUM(Y3328:Z3328)</f>
        <v>0</v>
      </c>
      <c r="AB3328" s="573"/>
      <c r="AC3328" s="487"/>
      <c r="AD3328" s="573"/>
      <c r="AE3328" s="487"/>
      <c r="AF3328" s="577">
        <f t="shared" si="418"/>
        <v>166554</v>
      </c>
      <c r="AG3328" s="275">
        <f t="shared" si="419"/>
        <v>129218</v>
      </c>
    </row>
    <row r="3329" spans="1:33" ht="12" customHeight="1">
      <c r="A3329" s="641" t="s">
        <v>1285</v>
      </c>
      <c r="B3329" s="642" t="s">
        <v>1802</v>
      </c>
      <c r="C3329" s="283" t="s">
        <v>861</v>
      </c>
      <c r="D3329" s="780"/>
      <c r="E3329" s="777"/>
      <c r="F3329" s="573"/>
      <c r="G3329" s="487"/>
      <c r="H3329" s="573"/>
      <c r="I3329" s="487"/>
      <c r="J3329" s="573"/>
      <c r="K3329" s="487"/>
      <c r="L3329" s="573"/>
      <c r="M3329" s="573"/>
      <c r="N3329" s="456">
        <f t="shared" si="420"/>
        <v>0</v>
      </c>
      <c r="O3329" s="487"/>
      <c r="P3329" s="487"/>
      <c r="Q3329" s="274">
        <f t="shared" si="415"/>
        <v>0</v>
      </c>
      <c r="R3329" s="574">
        <f t="shared" si="416"/>
        <v>0</v>
      </c>
      <c r="S3329" s="275">
        <f t="shared" si="417"/>
        <v>0</v>
      </c>
      <c r="T3329" s="575"/>
      <c r="U3329" s="487"/>
      <c r="V3329" s="576"/>
      <c r="W3329" s="573"/>
      <c r="X3329" s="574">
        <f t="shared" si="421"/>
        <v>0</v>
      </c>
      <c r="Y3329" s="487"/>
      <c r="Z3329" s="487"/>
      <c r="AA3329" s="276">
        <f t="shared" si="422"/>
        <v>0</v>
      </c>
      <c r="AB3329" s="573"/>
      <c r="AC3329" s="487"/>
      <c r="AD3329" s="573"/>
      <c r="AE3329" s="487"/>
      <c r="AF3329" s="577">
        <f t="shared" si="418"/>
        <v>0</v>
      </c>
      <c r="AG3329" s="275">
        <f t="shared" si="419"/>
        <v>0</v>
      </c>
    </row>
    <row r="3330" spans="1:33" ht="12" customHeight="1">
      <c r="A3330" s="641" t="s">
        <v>1285</v>
      </c>
      <c r="B3330" s="642" t="s">
        <v>1802</v>
      </c>
      <c r="C3330" s="738" t="s">
        <v>705</v>
      </c>
      <c r="D3330" s="780"/>
      <c r="E3330" s="777"/>
      <c r="F3330" s="573"/>
      <c r="G3330" s="487"/>
      <c r="H3330" s="573"/>
      <c r="I3330" s="487"/>
      <c r="J3330" s="573"/>
      <c r="K3330" s="487"/>
      <c r="L3330" s="573"/>
      <c r="M3330" s="573"/>
      <c r="N3330" s="456">
        <f t="shared" si="420"/>
        <v>0</v>
      </c>
      <c r="O3330" s="487"/>
      <c r="P3330" s="487"/>
      <c r="Q3330" s="274">
        <f t="shared" si="415"/>
        <v>0</v>
      </c>
      <c r="R3330" s="574">
        <f t="shared" si="416"/>
        <v>0</v>
      </c>
      <c r="S3330" s="275">
        <f t="shared" si="417"/>
        <v>0</v>
      </c>
      <c r="T3330" s="575">
        <v>469452</v>
      </c>
      <c r="U3330" s="487">
        <v>510405</v>
      </c>
      <c r="V3330" s="576"/>
      <c r="W3330" s="573"/>
      <c r="X3330" s="574">
        <f t="shared" si="421"/>
        <v>0</v>
      </c>
      <c r="Y3330" s="487"/>
      <c r="Z3330" s="487"/>
      <c r="AA3330" s="276">
        <f t="shared" si="422"/>
        <v>0</v>
      </c>
      <c r="AB3330" s="573"/>
      <c r="AC3330" s="487"/>
      <c r="AD3330" s="573"/>
      <c r="AE3330" s="487"/>
      <c r="AF3330" s="577">
        <f t="shared" si="418"/>
        <v>469452</v>
      </c>
      <c r="AG3330" s="275">
        <f t="shared" si="419"/>
        <v>510405</v>
      </c>
    </row>
    <row r="3331" spans="1:33" ht="12" customHeight="1">
      <c r="A3331" s="641" t="s">
        <v>1285</v>
      </c>
      <c r="B3331" s="642" t="s">
        <v>1803</v>
      </c>
      <c r="C3331" s="283" t="s">
        <v>954</v>
      </c>
      <c r="D3331" s="780"/>
      <c r="E3331" s="777"/>
      <c r="F3331" s="573"/>
      <c r="G3331" s="487"/>
      <c r="H3331" s="573"/>
      <c r="I3331" s="487"/>
      <c r="J3331" s="573"/>
      <c r="K3331" s="487"/>
      <c r="L3331" s="573"/>
      <c r="M3331" s="573"/>
      <c r="N3331" s="456">
        <f t="shared" si="420"/>
        <v>0</v>
      </c>
      <c r="O3331" s="487"/>
      <c r="P3331" s="487"/>
      <c r="Q3331" s="274">
        <f t="shared" si="415"/>
        <v>0</v>
      </c>
      <c r="R3331" s="574">
        <f t="shared" si="416"/>
        <v>0</v>
      </c>
      <c r="S3331" s="275">
        <f t="shared" si="417"/>
        <v>0</v>
      </c>
      <c r="T3331" s="575">
        <v>204110</v>
      </c>
      <c r="U3331" s="487">
        <v>214370</v>
      </c>
      <c r="V3331" s="576"/>
      <c r="W3331" s="573"/>
      <c r="X3331" s="574">
        <f t="shared" si="421"/>
        <v>0</v>
      </c>
      <c r="Y3331" s="487"/>
      <c r="Z3331" s="487"/>
      <c r="AA3331" s="276">
        <f t="shared" si="422"/>
        <v>0</v>
      </c>
      <c r="AB3331" s="573"/>
      <c r="AC3331" s="487"/>
      <c r="AD3331" s="573"/>
      <c r="AE3331" s="487"/>
      <c r="AF3331" s="577">
        <f t="shared" si="418"/>
        <v>204110</v>
      </c>
      <c r="AG3331" s="275">
        <f t="shared" si="419"/>
        <v>214370</v>
      </c>
    </row>
    <row r="3332" spans="1:33" ht="12" customHeight="1">
      <c r="A3332" s="641" t="s">
        <v>1285</v>
      </c>
      <c r="B3332" s="642" t="s">
        <v>1804</v>
      </c>
      <c r="C3332" s="284" t="s">
        <v>418</v>
      </c>
      <c r="D3332" s="780"/>
      <c r="E3332" s="777"/>
      <c r="F3332" s="573"/>
      <c r="G3332" s="487"/>
      <c r="H3332" s="573"/>
      <c r="I3332" s="487"/>
      <c r="J3332" s="573"/>
      <c r="K3332" s="487"/>
      <c r="L3332" s="573"/>
      <c r="M3332" s="573"/>
      <c r="N3332" s="456">
        <f t="shared" si="420"/>
        <v>0</v>
      </c>
      <c r="O3332" s="487"/>
      <c r="P3332" s="487"/>
      <c r="Q3332" s="274">
        <f t="shared" si="415"/>
        <v>0</v>
      </c>
      <c r="R3332" s="574">
        <f t="shared" si="416"/>
        <v>0</v>
      </c>
      <c r="S3332" s="275">
        <f t="shared" si="417"/>
        <v>0</v>
      </c>
      <c r="T3332" s="575"/>
      <c r="U3332" s="487"/>
      <c r="V3332" s="576"/>
      <c r="W3332" s="573"/>
      <c r="X3332" s="574">
        <f t="shared" si="421"/>
        <v>0</v>
      </c>
      <c r="Y3332" s="487"/>
      <c r="Z3332" s="487"/>
      <c r="AA3332" s="276">
        <f t="shared" si="422"/>
        <v>0</v>
      </c>
      <c r="AB3332" s="573"/>
      <c r="AC3332" s="487"/>
      <c r="AD3332" s="573"/>
      <c r="AE3332" s="487"/>
      <c r="AF3332" s="577">
        <f t="shared" si="418"/>
        <v>0</v>
      </c>
      <c r="AG3332" s="275">
        <f t="shared" si="419"/>
        <v>0</v>
      </c>
    </row>
    <row r="3333" spans="1:33" ht="12" customHeight="1">
      <c r="A3333" s="641" t="s">
        <v>1285</v>
      </c>
      <c r="B3333" s="642" t="s">
        <v>1805</v>
      </c>
      <c r="C3333" s="476" t="s">
        <v>419</v>
      </c>
      <c r="D3333" s="780"/>
      <c r="E3333" s="777"/>
      <c r="F3333" s="573"/>
      <c r="G3333" s="487"/>
      <c r="H3333" s="573"/>
      <c r="I3333" s="487"/>
      <c r="J3333" s="573"/>
      <c r="K3333" s="487"/>
      <c r="L3333" s="573"/>
      <c r="M3333" s="573"/>
      <c r="N3333" s="456">
        <f t="shared" si="420"/>
        <v>0</v>
      </c>
      <c r="O3333" s="487"/>
      <c r="P3333" s="487"/>
      <c r="Q3333" s="274">
        <f t="shared" si="415"/>
        <v>0</v>
      </c>
      <c r="R3333" s="574">
        <f t="shared" si="416"/>
        <v>0</v>
      </c>
      <c r="S3333" s="275">
        <f t="shared" si="417"/>
        <v>0</v>
      </c>
      <c r="T3333" s="575"/>
      <c r="U3333" s="487"/>
      <c r="V3333" s="576"/>
      <c r="W3333" s="573"/>
      <c r="X3333" s="574">
        <f t="shared" si="421"/>
        <v>0</v>
      </c>
      <c r="Y3333" s="487"/>
      <c r="Z3333" s="487"/>
      <c r="AA3333" s="276">
        <f t="shared" si="422"/>
        <v>0</v>
      </c>
      <c r="AB3333" s="573"/>
      <c r="AC3333" s="487"/>
      <c r="AD3333" s="573"/>
      <c r="AE3333" s="487"/>
      <c r="AF3333" s="577">
        <f t="shared" si="418"/>
        <v>0</v>
      </c>
      <c r="AG3333" s="275">
        <f t="shared" si="419"/>
        <v>0</v>
      </c>
    </row>
    <row r="3334" spans="1:33" ht="12" customHeight="1">
      <c r="A3334" s="641" t="s">
        <v>1285</v>
      </c>
      <c r="B3334" s="642" t="s">
        <v>1805</v>
      </c>
      <c r="C3334" s="285" t="s">
        <v>706</v>
      </c>
      <c r="D3334" s="780"/>
      <c r="E3334" s="777"/>
      <c r="F3334" s="573"/>
      <c r="G3334" s="487"/>
      <c r="H3334" s="573"/>
      <c r="I3334" s="487"/>
      <c r="J3334" s="573"/>
      <c r="K3334" s="487"/>
      <c r="L3334" s="573"/>
      <c r="M3334" s="573"/>
      <c r="N3334" s="456">
        <f t="shared" si="420"/>
        <v>0</v>
      </c>
      <c r="O3334" s="487"/>
      <c r="P3334" s="487"/>
      <c r="Q3334" s="274">
        <f t="shared" si="415"/>
        <v>0</v>
      </c>
      <c r="R3334" s="574">
        <f t="shared" si="416"/>
        <v>0</v>
      </c>
      <c r="S3334" s="275">
        <f t="shared" si="417"/>
        <v>0</v>
      </c>
      <c r="T3334" s="575"/>
      <c r="U3334" s="487"/>
      <c r="V3334" s="576"/>
      <c r="W3334" s="573"/>
      <c r="X3334" s="574">
        <f t="shared" si="421"/>
        <v>0</v>
      </c>
      <c r="Y3334" s="487"/>
      <c r="Z3334" s="487"/>
      <c r="AA3334" s="276">
        <f t="shared" si="422"/>
        <v>0</v>
      </c>
      <c r="AB3334" s="573"/>
      <c r="AC3334" s="487"/>
      <c r="AD3334" s="573"/>
      <c r="AE3334" s="487"/>
      <c r="AF3334" s="577">
        <f t="shared" si="418"/>
        <v>0</v>
      </c>
      <c r="AG3334" s="275">
        <f t="shared" si="419"/>
        <v>0</v>
      </c>
    </row>
    <row r="3335" spans="1:33" ht="12" customHeight="1">
      <c r="A3335" s="641" t="s">
        <v>1285</v>
      </c>
      <c r="B3335" s="742" t="s">
        <v>1510</v>
      </c>
      <c r="C3335" s="741" t="s">
        <v>1914</v>
      </c>
      <c r="D3335" s="740"/>
      <c r="E3335" s="645"/>
      <c r="F3335" s="573"/>
      <c r="G3335" s="487"/>
      <c r="H3335" s="573"/>
      <c r="I3335" s="487"/>
      <c r="J3335" s="573"/>
      <c r="K3335" s="487"/>
      <c r="L3335" s="573"/>
      <c r="M3335" s="573"/>
      <c r="N3335" s="456">
        <f t="shared" si="420"/>
        <v>0</v>
      </c>
      <c r="O3335" s="487"/>
      <c r="P3335" s="487"/>
      <c r="Q3335" s="274">
        <f t="shared" si="415"/>
        <v>0</v>
      </c>
      <c r="R3335" s="574">
        <f t="shared" si="416"/>
        <v>0</v>
      </c>
      <c r="S3335" s="275">
        <f t="shared" si="417"/>
        <v>0</v>
      </c>
      <c r="T3335" s="575"/>
      <c r="U3335" s="487"/>
      <c r="V3335" s="576"/>
      <c r="W3335" s="573"/>
      <c r="X3335" s="574">
        <f t="shared" si="421"/>
        <v>0</v>
      </c>
      <c r="Y3335" s="487"/>
      <c r="Z3335" s="487"/>
      <c r="AA3335" s="276">
        <f t="shared" si="422"/>
        <v>0</v>
      </c>
      <c r="AB3335" s="573"/>
      <c r="AC3335" s="487"/>
      <c r="AD3335" s="573"/>
      <c r="AE3335" s="487"/>
      <c r="AF3335" s="577">
        <f t="shared" si="418"/>
        <v>0</v>
      </c>
      <c r="AG3335" s="275">
        <f t="shared" si="419"/>
        <v>0</v>
      </c>
    </row>
    <row r="3336" spans="1:33" ht="12" customHeight="1">
      <c r="A3336" s="641" t="s">
        <v>1285</v>
      </c>
      <c r="B3336" s="742" t="s">
        <v>1511</v>
      </c>
      <c r="C3336" s="741" t="s">
        <v>1883</v>
      </c>
      <c r="D3336" s="740"/>
      <c r="E3336" s="645"/>
      <c r="F3336" s="573"/>
      <c r="G3336" s="487"/>
      <c r="H3336" s="573"/>
      <c r="I3336" s="487"/>
      <c r="J3336" s="573"/>
      <c r="K3336" s="487"/>
      <c r="L3336" s="573"/>
      <c r="M3336" s="573"/>
      <c r="N3336" s="456">
        <f t="shared" si="420"/>
        <v>0</v>
      </c>
      <c r="O3336" s="487"/>
      <c r="P3336" s="487"/>
      <c r="Q3336" s="274">
        <f t="shared" si="415"/>
        <v>0</v>
      </c>
      <c r="R3336" s="574">
        <f t="shared" si="416"/>
        <v>0</v>
      </c>
      <c r="S3336" s="275">
        <f t="shared" si="417"/>
        <v>0</v>
      </c>
      <c r="T3336" s="575">
        <v>27398300</v>
      </c>
      <c r="U3336" s="487">
        <v>28291709</v>
      </c>
      <c r="V3336" s="576"/>
      <c r="W3336" s="573"/>
      <c r="X3336" s="574">
        <f t="shared" si="421"/>
        <v>0</v>
      </c>
      <c r="Y3336" s="487"/>
      <c r="Z3336" s="487"/>
      <c r="AA3336" s="276">
        <f t="shared" si="422"/>
        <v>0</v>
      </c>
      <c r="AB3336" s="573"/>
      <c r="AC3336" s="487"/>
      <c r="AD3336" s="573"/>
      <c r="AE3336" s="487"/>
      <c r="AF3336" s="577">
        <f t="shared" si="418"/>
        <v>27398300</v>
      </c>
      <c r="AG3336" s="275">
        <f t="shared" si="419"/>
        <v>28291709</v>
      </c>
    </row>
    <row r="3337" spans="1:33" ht="12" customHeight="1">
      <c r="A3337" s="641" t="s">
        <v>1285</v>
      </c>
      <c r="B3337" s="742" t="s">
        <v>1412</v>
      </c>
      <c r="C3337" s="741" t="s">
        <v>1761</v>
      </c>
      <c r="D3337" s="740"/>
      <c r="E3337" s="645"/>
      <c r="F3337" s="573"/>
      <c r="G3337" s="487"/>
      <c r="H3337" s="573"/>
      <c r="I3337" s="487"/>
      <c r="J3337" s="573"/>
      <c r="K3337" s="487"/>
      <c r="L3337" s="573"/>
      <c r="M3337" s="573"/>
      <c r="N3337" s="456">
        <f t="shared" si="420"/>
        <v>0</v>
      </c>
      <c r="O3337" s="487"/>
      <c r="P3337" s="487"/>
      <c r="Q3337" s="274">
        <f t="shared" si="415"/>
        <v>0</v>
      </c>
      <c r="R3337" s="574">
        <f t="shared" si="416"/>
        <v>0</v>
      </c>
      <c r="S3337" s="275">
        <f t="shared" si="417"/>
        <v>0</v>
      </c>
      <c r="T3337" s="575"/>
      <c r="U3337" s="487"/>
      <c r="V3337" s="576"/>
      <c r="W3337" s="573"/>
      <c r="X3337" s="574">
        <f t="shared" si="421"/>
        <v>0</v>
      </c>
      <c r="Y3337" s="487"/>
      <c r="Z3337" s="487"/>
      <c r="AA3337" s="276">
        <f t="shared" si="422"/>
        <v>0</v>
      </c>
      <c r="AB3337" s="573"/>
      <c r="AC3337" s="487"/>
      <c r="AD3337" s="573"/>
      <c r="AE3337" s="487"/>
      <c r="AF3337" s="577">
        <f t="shared" si="418"/>
        <v>0</v>
      </c>
      <c r="AG3337" s="275">
        <f t="shared" si="419"/>
        <v>0</v>
      </c>
    </row>
    <row r="3338" spans="1:33" ht="12" customHeight="1">
      <c r="A3338" s="641" t="s">
        <v>1285</v>
      </c>
      <c r="B3338" s="642" t="s">
        <v>1413</v>
      </c>
      <c r="C3338" s="741" t="s">
        <v>1915</v>
      </c>
      <c r="D3338" s="740"/>
      <c r="E3338" s="645"/>
      <c r="F3338" s="573"/>
      <c r="G3338" s="487"/>
      <c r="H3338" s="573"/>
      <c r="I3338" s="487"/>
      <c r="J3338" s="573"/>
      <c r="K3338" s="487"/>
      <c r="L3338" s="573"/>
      <c r="M3338" s="573"/>
      <c r="N3338" s="456">
        <f t="shared" si="420"/>
        <v>0</v>
      </c>
      <c r="O3338" s="487"/>
      <c r="P3338" s="487"/>
      <c r="Q3338" s="274">
        <f t="shared" si="415"/>
        <v>0</v>
      </c>
      <c r="R3338" s="574">
        <f t="shared" si="416"/>
        <v>0</v>
      </c>
      <c r="S3338" s="275">
        <f t="shared" si="417"/>
        <v>0</v>
      </c>
      <c r="T3338" s="575"/>
      <c r="U3338" s="487"/>
      <c r="V3338" s="576"/>
      <c r="W3338" s="573"/>
      <c r="X3338" s="574">
        <f t="shared" si="421"/>
        <v>0</v>
      </c>
      <c r="Y3338" s="487"/>
      <c r="Z3338" s="487"/>
      <c r="AA3338" s="276">
        <f t="shared" si="422"/>
        <v>0</v>
      </c>
      <c r="AB3338" s="573"/>
      <c r="AC3338" s="487"/>
      <c r="AD3338" s="573"/>
      <c r="AE3338" s="487"/>
      <c r="AF3338" s="577">
        <f t="shared" si="418"/>
        <v>0</v>
      </c>
      <c r="AG3338" s="275">
        <f t="shared" si="419"/>
        <v>0</v>
      </c>
    </row>
    <row r="3339" spans="1:33" ht="12" customHeight="1">
      <c r="A3339" s="641" t="s">
        <v>1285</v>
      </c>
      <c r="B3339" s="742" t="s">
        <v>1582</v>
      </c>
      <c r="C3339" s="741" t="s">
        <v>1883</v>
      </c>
      <c r="D3339" s="740"/>
      <c r="E3339" s="645"/>
      <c r="F3339" s="573"/>
      <c r="G3339" s="487"/>
      <c r="H3339" s="573"/>
      <c r="I3339" s="487"/>
      <c r="J3339" s="573"/>
      <c r="K3339" s="487"/>
      <c r="L3339" s="573"/>
      <c r="M3339" s="573"/>
      <c r="N3339" s="456">
        <f t="shared" si="420"/>
        <v>0</v>
      </c>
      <c r="O3339" s="487"/>
      <c r="P3339" s="487"/>
      <c r="Q3339" s="274">
        <f t="shared" si="415"/>
        <v>0</v>
      </c>
      <c r="R3339" s="574">
        <f t="shared" si="416"/>
        <v>0</v>
      </c>
      <c r="S3339" s="275">
        <f t="shared" si="417"/>
        <v>0</v>
      </c>
      <c r="T3339" s="575">
        <v>5611700</v>
      </c>
      <c r="U3339" s="487">
        <v>4763084</v>
      </c>
      <c r="V3339" s="576"/>
      <c r="W3339" s="573"/>
      <c r="X3339" s="574">
        <f t="shared" si="421"/>
        <v>0</v>
      </c>
      <c r="Y3339" s="487"/>
      <c r="Z3339" s="487"/>
      <c r="AA3339" s="276">
        <f t="shared" si="422"/>
        <v>0</v>
      </c>
      <c r="AB3339" s="573"/>
      <c r="AC3339" s="487"/>
      <c r="AD3339" s="573"/>
      <c r="AE3339" s="487"/>
      <c r="AF3339" s="577">
        <f t="shared" si="418"/>
        <v>5611700</v>
      </c>
      <c r="AG3339" s="275">
        <f t="shared" si="419"/>
        <v>4763084</v>
      </c>
    </row>
    <row r="3340" spans="1:33" ht="12" customHeight="1">
      <c r="A3340" s="641" t="s">
        <v>1285</v>
      </c>
      <c r="B3340" s="742" t="s">
        <v>1583</v>
      </c>
      <c r="C3340" s="741" t="s">
        <v>1761</v>
      </c>
      <c r="D3340" s="740"/>
      <c r="E3340" s="645"/>
      <c r="F3340" s="573"/>
      <c r="G3340" s="487"/>
      <c r="H3340" s="573"/>
      <c r="I3340" s="487"/>
      <c r="J3340" s="573"/>
      <c r="K3340" s="487"/>
      <c r="L3340" s="573"/>
      <c r="M3340" s="573"/>
      <c r="N3340" s="456">
        <f t="shared" si="420"/>
        <v>0</v>
      </c>
      <c r="O3340" s="487"/>
      <c r="P3340" s="487"/>
      <c r="Q3340" s="274">
        <f t="shared" si="415"/>
        <v>0</v>
      </c>
      <c r="R3340" s="574">
        <f t="shared" si="416"/>
        <v>0</v>
      </c>
      <c r="S3340" s="275">
        <f t="shared" si="417"/>
        <v>0</v>
      </c>
      <c r="T3340" s="575"/>
      <c r="U3340" s="487"/>
      <c r="V3340" s="576"/>
      <c r="W3340" s="573"/>
      <c r="X3340" s="574">
        <f t="shared" si="421"/>
        <v>0</v>
      </c>
      <c r="Y3340" s="487"/>
      <c r="Z3340" s="487"/>
      <c r="AA3340" s="276">
        <f t="shared" si="422"/>
        <v>0</v>
      </c>
      <c r="AB3340" s="573"/>
      <c r="AC3340" s="487"/>
      <c r="AD3340" s="573"/>
      <c r="AE3340" s="487"/>
      <c r="AF3340" s="577">
        <f t="shared" si="418"/>
        <v>0</v>
      </c>
      <c r="AG3340" s="275">
        <f t="shared" si="419"/>
        <v>0</v>
      </c>
    </row>
    <row r="3341" spans="1:33" ht="12" customHeight="1">
      <c r="A3341" s="641" t="s">
        <v>1285</v>
      </c>
      <c r="B3341" s="642" t="s">
        <v>1805</v>
      </c>
      <c r="C3341" s="285" t="s">
        <v>707</v>
      </c>
      <c r="D3341" s="740"/>
      <c r="E3341" s="645"/>
      <c r="F3341" s="573"/>
      <c r="G3341" s="487"/>
      <c r="H3341" s="573"/>
      <c r="I3341" s="487"/>
      <c r="J3341" s="573"/>
      <c r="K3341" s="487"/>
      <c r="L3341" s="573"/>
      <c r="M3341" s="573"/>
      <c r="N3341" s="456">
        <f t="shared" si="420"/>
        <v>0</v>
      </c>
      <c r="O3341" s="487"/>
      <c r="P3341" s="487"/>
      <c r="Q3341" s="274">
        <f t="shared" si="415"/>
        <v>0</v>
      </c>
      <c r="R3341" s="574">
        <f t="shared" si="416"/>
        <v>0</v>
      </c>
      <c r="S3341" s="275">
        <f t="shared" si="417"/>
        <v>0</v>
      </c>
      <c r="T3341" s="575"/>
      <c r="U3341" s="487"/>
      <c r="V3341" s="576"/>
      <c r="W3341" s="573"/>
      <c r="X3341" s="574">
        <f t="shared" si="421"/>
        <v>0</v>
      </c>
      <c r="Y3341" s="487"/>
      <c r="Z3341" s="487"/>
      <c r="AA3341" s="276">
        <f t="shared" si="422"/>
        <v>0</v>
      </c>
      <c r="AB3341" s="573"/>
      <c r="AC3341" s="487"/>
      <c r="AD3341" s="573"/>
      <c r="AE3341" s="487"/>
      <c r="AF3341" s="577">
        <f t="shared" si="418"/>
        <v>0</v>
      </c>
      <c r="AG3341" s="275">
        <f t="shared" si="419"/>
        <v>0</v>
      </c>
    </row>
    <row r="3342" spans="1:33" ht="12" customHeight="1">
      <c r="A3342" s="641" t="s">
        <v>1285</v>
      </c>
      <c r="B3342" s="742" t="s">
        <v>1510</v>
      </c>
      <c r="C3342" s="741" t="s">
        <v>1914</v>
      </c>
      <c r="D3342" s="740"/>
      <c r="E3342" s="645"/>
      <c r="F3342" s="573"/>
      <c r="G3342" s="487"/>
      <c r="H3342" s="573"/>
      <c r="I3342" s="487"/>
      <c r="J3342" s="573"/>
      <c r="K3342" s="487"/>
      <c r="L3342" s="573"/>
      <c r="M3342" s="573"/>
      <c r="N3342" s="456">
        <f t="shared" si="420"/>
        <v>0</v>
      </c>
      <c r="O3342" s="487"/>
      <c r="P3342" s="487"/>
      <c r="Q3342" s="274">
        <f t="shared" si="415"/>
        <v>0</v>
      </c>
      <c r="R3342" s="574">
        <f t="shared" si="416"/>
        <v>0</v>
      </c>
      <c r="S3342" s="275">
        <f t="shared" si="417"/>
        <v>0</v>
      </c>
      <c r="T3342" s="575"/>
      <c r="U3342" s="487"/>
      <c r="V3342" s="576"/>
      <c r="W3342" s="573"/>
      <c r="X3342" s="574">
        <f t="shared" si="421"/>
        <v>0</v>
      </c>
      <c r="Y3342" s="487"/>
      <c r="Z3342" s="487"/>
      <c r="AA3342" s="276">
        <f t="shared" si="422"/>
        <v>0</v>
      </c>
      <c r="AB3342" s="573"/>
      <c r="AC3342" s="487"/>
      <c r="AD3342" s="573"/>
      <c r="AE3342" s="487"/>
      <c r="AF3342" s="577">
        <f t="shared" si="418"/>
        <v>0</v>
      </c>
      <c r="AG3342" s="275">
        <f t="shared" si="419"/>
        <v>0</v>
      </c>
    </row>
    <row r="3343" spans="1:33" ht="12" customHeight="1">
      <c r="A3343" s="641" t="s">
        <v>1285</v>
      </c>
      <c r="B3343" s="742" t="s">
        <v>1511</v>
      </c>
      <c r="C3343" s="741" t="s">
        <v>1883</v>
      </c>
      <c r="D3343" s="740"/>
      <c r="E3343" s="645"/>
      <c r="F3343" s="573"/>
      <c r="G3343" s="487"/>
      <c r="H3343" s="573"/>
      <c r="I3343" s="487"/>
      <c r="J3343" s="573"/>
      <c r="K3343" s="487"/>
      <c r="L3343" s="573"/>
      <c r="M3343" s="573"/>
      <c r="N3343" s="456">
        <f t="shared" si="420"/>
        <v>0</v>
      </c>
      <c r="O3343" s="487"/>
      <c r="P3343" s="487"/>
      <c r="Q3343" s="274">
        <f t="shared" si="415"/>
        <v>0</v>
      </c>
      <c r="R3343" s="574">
        <f t="shared" si="416"/>
        <v>0</v>
      </c>
      <c r="S3343" s="275">
        <f t="shared" si="417"/>
        <v>0</v>
      </c>
      <c r="T3343" s="575"/>
      <c r="U3343" s="487"/>
      <c r="V3343" s="576"/>
      <c r="W3343" s="573"/>
      <c r="X3343" s="574">
        <f t="shared" si="421"/>
        <v>0</v>
      </c>
      <c r="Y3343" s="487"/>
      <c r="Z3343" s="487"/>
      <c r="AA3343" s="276">
        <f t="shared" si="422"/>
        <v>0</v>
      </c>
      <c r="AB3343" s="573"/>
      <c r="AC3343" s="487"/>
      <c r="AD3343" s="573"/>
      <c r="AE3343" s="487"/>
      <c r="AF3343" s="577">
        <f t="shared" si="418"/>
        <v>0</v>
      </c>
      <c r="AG3343" s="275">
        <f t="shared" si="419"/>
        <v>0</v>
      </c>
    </row>
    <row r="3344" spans="1:33" ht="12" customHeight="1">
      <c r="A3344" s="641" t="s">
        <v>1285</v>
      </c>
      <c r="B3344" s="742" t="s">
        <v>1412</v>
      </c>
      <c r="C3344" s="741" t="s">
        <v>1761</v>
      </c>
      <c r="D3344" s="740"/>
      <c r="E3344" s="645"/>
      <c r="F3344" s="573"/>
      <c r="G3344" s="487"/>
      <c r="H3344" s="573"/>
      <c r="I3344" s="487"/>
      <c r="J3344" s="573"/>
      <c r="K3344" s="487"/>
      <c r="L3344" s="573"/>
      <c r="M3344" s="573"/>
      <c r="N3344" s="456">
        <f t="shared" si="420"/>
        <v>0</v>
      </c>
      <c r="O3344" s="487"/>
      <c r="P3344" s="487"/>
      <c r="Q3344" s="274">
        <f t="shared" si="415"/>
        <v>0</v>
      </c>
      <c r="R3344" s="574">
        <f t="shared" si="416"/>
        <v>0</v>
      </c>
      <c r="S3344" s="275">
        <f t="shared" si="417"/>
        <v>0</v>
      </c>
      <c r="T3344" s="1137">
        <v>37785200</v>
      </c>
      <c r="U3344" s="487">
        <v>37175664</v>
      </c>
      <c r="V3344" s="576"/>
      <c r="W3344" s="573"/>
      <c r="X3344" s="574">
        <f t="shared" si="421"/>
        <v>0</v>
      </c>
      <c r="Y3344" s="487"/>
      <c r="Z3344" s="487"/>
      <c r="AA3344" s="276">
        <f t="shared" si="422"/>
        <v>0</v>
      </c>
      <c r="AB3344" s="573"/>
      <c r="AC3344" s="487"/>
      <c r="AD3344" s="573"/>
      <c r="AE3344" s="487"/>
      <c r="AF3344" s="577">
        <f t="shared" si="418"/>
        <v>37785200</v>
      </c>
      <c r="AG3344" s="275">
        <f t="shared" si="419"/>
        <v>37175664</v>
      </c>
    </row>
    <row r="3345" spans="1:33" ht="12" customHeight="1">
      <c r="A3345" s="641" t="s">
        <v>1285</v>
      </c>
      <c r="B3345" s="642" t="s">
        <v>1413</v>
      </c>
      <c r="C3345" s="741" t="s">
        <v>1915</v>
      </c>
      <c r="D3345" s="740"/>
      <c r="E3345" s="645"/>
      <c r="F3345" s="573"/>
      <c r="G3345" s="487"/>
      <c r="H3345" s="573"/>
      <c r="I3345" s="487"/>
      <c r="J3345" s="573"/>
      <c r="K3345" s="487"/>
      <c r="L3345" s="573"/>
      <c r="M3345" s="573"/>
      <c r="N3345" s="456">
        <f t="shared" si="420"/>
        <v>0</v>
      </c>
      <c r="O3345" s="487"/>
      <c r="P3345" s="487"/>
      <c r="Q3345" s="274">
        <f t="shared" si="415"/>
        <v>0</v>
      </c>
      <c r="R3345" s="574">
        <f t="shared" si="416"/>
        <v>0</v>
      </c>
      <c r="S3345" s="275">
        <f t="shared" si="417"/>
        <v>0</v>
      </c>
      <c r="T3345" s="575"/>
      <c r="U3345" s="487"/>
      <c r="V3345" s="576"/>
      <c r="W3345" s="573"/>
      <c r="X3345" s="574">
        <f t="shared" si="421"/>
        <v>0</v>
      </c>
      <c r="Y3345" s="487"/>
      <c r="Z3345" s="487"/>
      <c r="AA3345" s="276">
        <f t="shared" si="422"/>
        <v>0</v>
      </c>
      <c r="AB3345" s="573"/>
      <c r="AC3345" s="487"/>
      <c r="AD3345" s="573"/>
      <c r="AE3345" s="487"/>
      <c r="AF3345" s="577">
        <f t="shared" si="418"/>
        <v>0</v>
      </c>
      <c r="AG3345" s="275">
        <f t="shared" si="419"/>
        <v>0</v>
      </c>
    </row>
    <row r="3346" spans="1:33" ht="12" customHeight="1">
      <c r="A3346" s="641" t="s">
        <v>1285</v>
      </c>
      <c r="B3346" s="742" t="s">
        <v>1582</v>
      </c>
      <c r="C3346" s="741" t="s">
        <v>1883</v>
      </c>
      <c r="D3346" s="740"/>
      <c r="E3346" s="645"/>
      <c r="F3346" s="573"/>
      <c r="G3346" s="487"/>
      <c r="H3346" s="573"/>
      <c r="I3346" s="487"/>
      <c r="J3346" s="573"/>
      <c r="K3346" s="487"/>
      <c r="L3346" s="573"/>
      <c r="M3346" s="573"/>
      <c r="N3346" s="456">
        <f t="shared" si="420"/>
        <v>0</v>
      </c>
      <c r="O3346" s="487"/>
      <c r="P3346" s="487"/>
      <c r="Q3346" s="274">
        <f t="shared" si="415"/>
        <v>0</v>
      </c>
      <c r="R3346" s="574">
        <f t="shared" si="416"/>
        <v>0</v>
      </c>
      <c r="S3346" s="275">
        <f t="shared" si="417"/>
        <v>0</v>
      </c>
      <c r="T3346" s="575"/>
      <c r="U3346" s="487"/>
      <c r="V3346" s="576"/>
      <c r="W3346" s="573"/>
      <c r="X3346" s="574">
        <f t="shared" si="421"/>
        <v>0</v>
      </c>
      <c r="Y3346" s="487"/>
      <c r="Z3346" s="487"/>
      <c r="AA3346" s="276">
        <f t="shared" si="422"/>
        <v>0</v>
      </c>
      <c r="AB3346" s="573"/>
      <c r="AC3346" s="487"/>
      <c r="AD3346" s="573"/>
      <c r="AE3346" s="487"/>
      <c r="AF3346" s="577">
        <f t="shared" si="418"/>
        <v>0</v>
      </c>
      <c r="AG3346" s="275">
        <f t="shared" si="419"/>
        <v>0</v>
      </c>
    </row>
    <row r="3347" spans="1:33" ht="12" customHeight="1">
      <c r="A3347" s="641" t="s">
        <v>1285</v>
      </c>
      <c r="B3347" s="742" t="s">
        <v>1583</v>
      </c>
      <c r="C3347" s="741" t="s">
        <v>1761</v>
      </c>
      <c r="D3347" s="740"/>
      <c r="E3347" s="645"/>
      <c r="F3347" s="573"/>
      <c r="G3347" s="487"/>
      <c r="H3347" s="573"/>
      <c r="I3347" s="487"/>
      <c r="J3347" s="573"/>
      <c r="K3347" s="487"/>
      <c r="L3347" s="573"/>
      <c r="M3347" s="573"/>
      <c r="N3347" s="456">
        <f t="shared" si="420"/>
        <v>0</v>
      </c>
      <c r="O3347" s="487"/>
      <c r="P3347" s="487"/>
      <c r="Q3347" s="274">
        <f t="shared" si="415"/>
        <v>0</v>
      </c>
      <c r="R3347" s="574">
        <f t="shared" si="416"/>
        <v>0</v>
      </c>
      <c r="S3347" s="275">
        <f t="shared" si="417"/>
        <v>0</v>
      </c>
      <c r="T3347" s="575">
        <v>4037800</v>
      </c>
      <c r="U3347" s="487">
        <v>3968094</v>
      </c>
      <c r="V3347" s="576"/>
      <c r="W3347" s="573"/>
      <c r="X3347" s="574">
        <f t="shared" si="421"/>
        <v>0</v>
      </c>
      <c r="Y3347" s="487"/>
      <c r="Z3347" s="487"/>
      <c r="AA3347" s="276">
        <f t="shared" si="422"/>
        <v>0</v>
      </c>
      <c r="AB3347" s="573"/>
      <c r="AC3347" s="487"/>
      <c r="AD3347" s="573"/>
      <c r="AE3347" s="487"/>
      <c r="AF3347" s="577">
        <f t="shared" si="418"/>
        <v>4037800</v>
      </c>
      <c r="AG3347" s="275">
        <f t="shared" si="419"/>
        <v>3968094</v>
      </c>
    </row>
    <row r="3348" spans="1:33" ht="12" customHeight="1">
      <c r="A3348" s="641" t="s">
        <v>1285</v>
      </c>
      <c r="B3348" s="642" t="s">
        <v>1805</v>
      </c>
      <c r="C3348" s="285" t="s">
        <v>708</v>
      </c>
      <c r="D3348" s="780"/>
      <c r="E3348" s="777"/>
      <c r="F3348" s="573"/>
      <c r="G3348" s="487"/>
      <c r="H3348" s="573"/>
      <c r="I3348" s="487"/>
      <c r="J3348" s="573"/>
      <c r="K3348" s="487"/>
      <c r="L3348" s="573"/>
      <c r="M3348" s="573"/>
      <c r="N3348" s="456">
        <f t="shared" si="420"/>
        <v>0</v>
      </c>
      <c r="O3348" s="487"/>
      <c r="P3348" s="487"/>
      <c r="Q3348" s="274">
        <f t="shared" si="415"/>
        <v>0</v>
      </c>
      <c r="R3348" s="574">
        <f t="shared" si="416"/>
        <v>0</v>
      </c>
      <c r="S3348" s="275">
        <f t="shared" si="417"/>
        <v>0</v>
      </c>
      <c r="T3348" s="575"/>
      <c r="U3348" s="487"/>
      <c r="V3348" s="576"/>
      <c r="W3348" s="573"/>
      <c r="X3348" s="574">
        <f t="shared" si="421"/>
        <v>0</v>
      </c>
      <c r="Y3348" s="487"/>
      <c r="Z3348" s="487"/>
      <c r="AA3348" s="276">
        <f t="shared" si="422"/>
        <v>0</v>
      </c>
      <c r="AB3348" s="573"/>
      <c r="AC3348" s="487"/>
      <c r="AD3348" s="573"/>
      <c r="AE3348" s="487"/>
      <c r="AF3348" s="577">
        <f t="shared" si="418"/>
        <v>0</v>
      </c>
      <c r="AG3348" s="275">
        <f t="shared" si="419"/>
        <v>0</v>
      </c>
    </row>
    <row r="3349" spans="1:33" ht="12" customHeight="1">
      <c r="A3349" s="641" t="s">
        <v>1285</v>
      </c>
      <c r="B3349" s="742" t="s">
        <v>1510</v>
      </c>
      <c r="C3349" s="741" t="s">
        <v>1914</v>
      </c>
      <c r="D3349" s="740"/>
      <c r="E3349" s="645"/>
      <c r="F3349" s="573"/>
      <c r="G3349" s="487"/>
      <c r="H3349" s="573"/>
      <c r="I3349" s="487"/>
      <c r="J3349" s="573"/>
      <c r="K3349" s="487"/>
      <c r="L3349" s="573"/>
      <c r="M3349" s="573"/>
      <c r="N3349" s="456">
        <f t="shared" si="420"/>
        <v>0</v>
      </c>
      <c r="O3349" s="487"/>
      <c r="P3349" s="487"/>
      <c r="Q3349" s="274">
        <f t="shared" si="415"/>
        <v>0</v>
      </c>
      <c r="R3349" s="574">
        <f t="shared" si="416"/>
        <v>0</v>
      </c>
      <c r="S3349" s="275">
        <f t="shared" si="417"/>
        <v>0</v>
      </c>
      <c r="T3349" s="575"/>
      <c r="U3349" s="487"/>
      <c r="V3349" s="576"/>
      <c r="W3349" s="573"/>
      <c r="X3349" s="574">
        <f t="shared" si="421"/>
        <v>0</v>
      </c>
      <c r="Y3349" s="487"/>
      <c r="Z3349" s="487"/>
      <c r="AA3349" s="276">
        <f t="shared" si="422"/>
        <v>0</v>
      </c>
      <c r="AB3349" s="573"/>
      <c r="AC3349" s="487"/>
      <c r="AD3349" s="573"/>
      <c r="AE3349" s="487"/>
      <c r="AF3349" s="577">
        <f t="shared" si="418"/>
        <v>0</v>
      </c>
      <c r="AG3349" s="275">
        <f t="shared" si="419"/>
        <v>0</v>
      </c>
    </row>
    <row r="3350" spans="1:33" ht="12" customHeight="1">
      <c r="A3350" s="641" t="s">
        <v>1285</v>
      </c>
      <c r="B3350" s="742" t="s">
        <v>1511</v>
      </c>
      <c r="C3350" s="741" t="s">
        <v>1883</v>
      </c>
      <c r="D3350" s="740"/>
      <c r="E3350" s="645"/>
      <c r="F3350" s="573"/>
      <c r="G3350" s="487"/>
      <c r="H3350" s="573"/>
      <c r="I3350" s="487"/>
      <c r="J3350" s="573"/>
      <c r="K3350" s="487"/>
      <c r="L3350" s="573"/>
      <c r="M3350" s="573"/>
      <c r="N3350" s="456">
        <f t="shared" si="420"/>
        <v>0</v>
      </c>
      <c r="O3350" s="487"/>
      <c r="P3350" s="487"/>
      <c r="Q3350" s="274">
        <f t="shared" si="415"/>
        <v>0</v>
      </c>
      <c r="R3350" s="574">
        <f t="shared" si="416"/>
        <v>0</v>
      </c>
      <c r="S3350" s="275">
        <f t="shared" si="417"/>
        <v>0</v>
      </c>
      <c r="T3350" s="575">
        <v>150000</v>
      </c>
      <c r="U3350" s="487">
        <v>150000</v>
      </c>
      <c r="V3350" s="576"/>
      <c r="W3350" s="573"/>
      <c r="X3350" s="574">
        <f t="shared" si="421"/>
        <v>0</v>
      </c>
      <c r="Y3350" s="487"/>
      <c r="Z3350" s="487"/>
      <c r="AA3350" s="276">
        <f t="shared" si="422"/>
        <v>0</v>
      </c>
      <c r="AB3350" s="573"/>
      <c r="AC3350" s="487"/>
      <c r="AD3350" s="573"/>
      <c r="AE3350" s="487"/>
      <c r="AF3350" s="577">
        <f t="shared" si="418"/>
        <v>150000</v>
      </c>
      <c r="AG3350" s="275">
        <f t="shared" si="419"/>
        <v>150000</v>
      </c>
    </row>
    <row r="3351" spans="1:33" ht="12" customHeight="1">
      <c r="A3351" s="641" t="s">
        <v>1285</v>
      </c>
      <c r="B3351" s="742" t="s">
        <v>1412</v>
      </c>
      <c r="C3351" s="741" t="s">
        <v>1761</v>
      </c>
      <c r="D3351" s="740"/>
      <c r="E3351" s="645"/>
      <c r="F3351" s="573"/>
      <c r="G3351" s="487"/>
      <c r="H3351" s="573"/>
      <c r="I3351" s="487"/>
      <c r="J3351" s="573"/>
      <c r="K3351" s="487"/>
      <c r="L3351" s="573"/>
      <c r="M3351" s="573"/>
      <c r="N3351" s="456">
        <f t="shared" si="420"/>
        <v>0</v>
      </c>
      <c r="O3351" s="487"/>
      <c r="P3351" s="487"/>
      <c r="Q3351" s="274">
        <f t="shared" si="415"/>
        <v>0</v>
      </c>
      <c r="R3351" s="574">
        <f t="shared" si="416"/>
        <v>0</v>
      </c>
      <c r="S3351" s="275">
        <f t="shared" si="417"/>
        <v>0</v>
      </c>
      <c r="T3351" s="575"/>
      <c r="U3351" s="487"/>
      <c r="V3351" s="576"/>
      <c r="W3351" s="573"/>
      <c r="X3351" s="574">
        <f t="shared" si="421"/>
        <v>0</v>
      </c>
      <c r="Y3351" s="487"/>
      <c r="Z3351" s="487"/>
      <c r="AA3351" s="276">
        <f t="shared" si="422"/>
        <v>0</v>
      </c>
      <c r="AB3351" s="573"/>
      <c r="AC3351" s="487"/>
      <c r="AD3351" s="573"/>
      <c r="AE3351" s="487"/>
      <c r="AF3351" s="577">
        <f t="shared" si="418"/>
        <v>0</v>
      </c>
      <c r="AG3351" s="275">
        <f t="shared" si="419"/>
        <v>0</v>
      </c>
    </row>
    <row r="3352" spans="1:33" ht="12" customHeight="1">
      <c r="A3352" s="641" t="s">
        <v>1285</v>
      </c>
      <c r="B3352" s="642" t="s">
        <v>1413</v>
      </c>
      <c r="C3352" s="741" t="s">
        <v>1915</v>
      </c>
      <c r="D3352" s="740"/>
      <c r="E3352" s="645"/>
      <c r="F3352" s="573"/>
      <c r="G3352" s="487"/>
      <c r="H3352" s="573"/>
      <c r="I3352" s="487"/>
      <c r="J3352" s="573"/>
      <c r="K3352" s="487"/>
      <c r="L3352" s="573"/>
      <c r="M3352" s="573"/>
      <c r="N3352" s="456">
        <f t="shared" si="420"/>
        <v>0</v>
      </c>
      <c r="O3352" s="487"/>
      <c r="P3352" s="487"/>
      <c r="Q3352" s="274">
        <f t="shared" si="415"/>
        <v>0</v>
      </c>
      <c r="R3352" s="574">
        <f t="shared" si="416"/>
        <v>0</v>
      </c>
      <c r="S3352" s="275">
        <f t="shared" si="417"/>
        <v>0</v>
      </c>
      <c r="T3352" s="575"/>
      <c r="U3352" s="487"/>
      <c r="V3352" s="576"/>
      <c r="W3352" s="573"/>
      <c r="X3352" s="574">
        <f t="shared" si="421"/>
        <v>0</v>
      </c>
      <c r="Y3352" s="487"/>
      <c r="Z3352" s="487"/>
      <c r="AA3352" s="276">
        <f t="shared" si="422"/>
        <v>0</v>
      </c>
      <c r="AB3352" s="573"/>
      <c r="AC3352" s="487"/>
      <c r="AD3352" s="573"/>
      <c r="AE3352" s="487"/>
      <c r="AF3352" s="577">
        <f t="shared" si="418"/>
        <v>0</v>
      </c>
      <c r="AG3352" s="275">
        <f t="shared" si="419"/>
        <v>0</v>
      </c>
    </row>
    <row r="3353" spans="1:33" ht="12" customHeight="1">
      <c r="A3353" s="641" t="s">
        <v>1285</v>
      </c>
      <c r="B3353" s="742" t="s">
        <v>1582</v>
      </c>
      <c r="C3353" s="741" t="s">
        <v>1883</v>
      </c>
      <c r="D3353" s="740"/>
      <c r="E3353" s="645"/>
      <c r="F3353" s="573"/>
      <c r="G3353" s="487"/>
      <c r="H3353" s="573"/>
      <c r="I3353" s="487"/>
      <c r="J3353" s="573"/>
      <c r="K3353" s="487"/>
      <c r="L3353" s="573"/>
      <c r="M3353" s="573"/>
      <c r="N3353" s="456">
        <f t="shared" si="420"/>
        <v>0</v>
      </c>
      <c r="O3353" s="487"/>
      <c r="P3353" s="487"/>
      <c r="Q3353" s="274">
        <f t="shared" si="415"/>
        <v>0</v>
      </c>
      <c r="R3353" s="574">
        <f t="shared" si="416"/>
        <v>0</v>
      </c>
      <c r="S3353" s="275">
        <f t="shared" si="417"/>
        <v>0</v>
      </c>
      <c r="T3353" s="575"/>
      <c r="U3353" s="487"/>
      <c r="V3353" s="576"/>
      <c r="W3353" s="573"/>
      <c r="X3353" s="574">
        <f t="shared" si="421"/>
        <v>0</v>
      </c>
      <c r="Y3353" s="487"/>
      <c r="Z3353" s="487"/>
      <c r="AA3353" s="276">
        <f t="shared" si="422"/>
        <v>0</v>
      </c>
      <c r="AB3353" s="573"/>
      <c r="AC3353" s="487"/>
      <c r="AD3353" s="573"/>
      <c r="AE3353" s="487"/>
      <c r="AF3353" s="577">
        <f t="shared" si="418"/>
        <v>0</v>
      </c>
      <c r="AG3353" s="275">
        <f t="shared" si="419"/>
        <v>0</v>
      </c>
    </row>
    <row r="3354" spans="1:33" ht="12" customHeight="1">
      <c r="A3354" s="641" t="s">
        <v>1285</v>
      </c>
      <c r="B3354" s="742" t="s">
        <v>1583</v>
      </c>
      <c r="C3354" s="741" t="s">
        <v>1761</v>
      </c>
      <c r="D3354" s="740"/>
      <c r="E3354" s="645"/>
      <c r="F3354" s="573"/>
      <c r="G3354" s="487"/>
      <c r="H3354" s="573"/>
      <c r="I3354" s="487"/>
      <c r="J3354" s="573"/>
      <c r="K3354" s="487"/>
      <c r="L3354" s="573"/>
      <c r="M3354" s="573"/>
      <c r="N3354" s="456">
        <f t="shared" si="420"/>
        <v>0</v>
      </c>
      <c r="O3354" s="487"/>
      <c r="P3354" s="487"/>
      <c r="Q3354" s="274">
        <f t="shared" si="415"/>
        <v>0</v>
      </c>
      <c r="R3354" s="574">
        <f t="shared" si="416"/>
        <v>0</v>
      </c>
      <c r="S3354" s="275">
        <f t="shared" si="417"/>
        <v>0</v>
      </c>
      <c r="T3354" s="575"/>
      <c r="U3354" s="487"/>
      <c r="V3354" s="576"/>
      <c r="W3354" s="573"/>
      <c r="X3354" s="574">
        <f t="shared" si="421"/>
        <v>0</v>
      </c>
      <c r="Y3354" s="487"/>
      <c r="Z3354" s="487"/>
      <c r="AA3354" s="276">
        <f t="shared" si="422"/>
        <v>0</v>
      </c>
      <c r="AB3354" s="573"/>
      <c r="AC3354" s="487"/>
      <c r="AD3354" s="573"/>
      <c r="AE3354" s="487"/>
      <c r="AF3354" s="577">
        <f t="shared" si="418"/>
        <v>0</v>
      </c>
      <c r="AG3354" s="275">
        <f t="shared" si="419"/>
        <v>0</v>
      </c>
    </row>
    <row r="3355" spans="1:33" ht="12" customHeight="1">
      <c r="A3355" s="641" t="s">
        <v>1285</v>
      </c>
      <c r="B3355" s="642" t="s">
        <v>1805</v>
      </c>
      <c r="C3355" s="285" t="s">
        <v>709</v>
      </c>
      <c r="D3355" s="780"/>
      <c r="E3355" s="777"/>
      <c r="F3355" s="573"/>
      <c r="G3355" s="487"/>
      <c r="H3355" s="573"/>
      <c r="I3355" s="487"/>
      <c r="J3355" s="573"/>
      <c r="K3355" s="487"/>
      <c r="L3355" s="573"/>
      <c r="M3355" s="573"/>
      <c r="N3355" s="456">
        <f t="shared" si="420"/>
        <v>0</v>
      </c>
      <c r="O3355" s="487"/>
      <c r="P3355" s="487"/>
      <c r="Q3355" s="274">
        <f t="shared" si="415"/>
        <v>0</v>
      </c>
      <c r="R3355" s="574">
        <f t="shared" si="416"/>
        <v>0</v>
      </c>
      <c r="S3355" s="275">
        <f t="shared" si="417"/>
        <v>0</v>
      </c>
      <c r="T3355" s="575"/>
      <c r="U3355" s="487"/>
      <c r="V3355" s="576"/>
      <c r="W3355" s="573"/>
      <c r="X3355" s="574">
        <f t="shared" si="421"/>
        <v>0</v>
      </c>
      <c r="Y3355" s="487"/>
      <c r="Z3355" s="487"/>
      <c r="AA3355" s="276">
        <f t="shared" si="422"/>
        <v>0</v>
      </c>
      <c r="AB3355" s="573"/>
      <c r="AC3355" s="487"/>
      <c r="AD3355" s="573"/>
      <c r="AE3355" s="487"/>
      <c r="AF3355" s="577">
        <f t="shared" si="418"/>
        <v>0</v>
      </c>
      <c r="AG3355" s="275">
        <f t="shared" si="419"/>
        <v>0</v>
      </c>
    </row>
    <row r="3356" spans="1:33" ht="12" customHeight="1">
      <c r="A3356" s="641" t="s">
        <v>1285</v>
      </c>
      <c r="B3356" s="742" t="s">
        <v>1510</v>
      </c>
      <c r="C3356" s="741" t="s">
        <v>1914</v>
      </c>
      <c r="D3356" s="740"/>
      <c r="E3356" s="645"/>
      <c r="F3356" s="573"/>
      <c r="G3356" s="487"/>
      <c r="H3356" s="573"/>
      <c r="I3356" s="487"/>
      <c r="J3356" s="573"/>
      <c r="K3356" s="487"/>
      <c r="L3356" s="573"/>
      <c r="M3356" s="573"/>
      <c r="N3356" s="456">
        <f t="shared" si="420"/>
        <v>0</v>
      </c>
      <c r="O3356" s="487"/>
      <c r="P3356" s="487"/>
      <c r="Q3356" s="274">
        <f t="shared" si="415"/>
        <v>0</v>
      </c>
      <c r="R3356" s="574">
        <f t="shared" si="416"/>
        <v>0</v>
      </c>
      <c r="S3356" s="275">
        <f t="shared" si="417"/>
        <v>0</v>
      </c>
      <c r="T3356" s="575"/>
      <c r="U3356" s="487"/>
      <c r="V3356" s="576"/>
      <c r="W3356" s="573"/>
      <c r="X3356" s="574">
        <f t="shared" si="421"/>
        <v>0</v>
      </c>
      <c r="Y3356" s="487"/>
      <c r="Z3356" s="487"/>
      <c r="AA3356" s="276">
        <f t="shared" si="422"/>
        <v>0</v>
      </c>
      <c r="AB3356" s="573"/>
      <c r="AC3356" s="487"/>
      <c r="AD3356" s="573"/>
      <c r="AE3356" s="487"/>
      <c r="AF3356" s="577">
        <f t="shared" si="418"/>
        <v>0</v>
      </c>
      <c r="AG3356" s="275">
        <f t="shared" si="419"/>
        <v>0</v>
      </c>
    </row>
    <row r="3357" spans="1:33" ht="12" customHeight="1">
      <c r="A3357" s="641" t="s">
        <v>1285</v>
      </c>
      <c r="B3357" s="742" t="s">
        <v>1511</v>
      </c>
      <c r="C3357" s="741" t="s">
        <v>1883</v>
      </c>
      <c r="D3357" s="740"/>
      <c r="E3357" s="645"/>
      <c r="F3357" s="573"/>
      <c r="G3357" s="487"/>
      <c r="H3357" s="573"/>
      <c r="I3357" s="487"/>
      <c r="J3357" s="573"/>
      <c r="K3357" s="487"/>
      <c r="L3357" s="573"/>
      <c r="M3357" s="573"/>
      <c r="N3357" s="456">
        <f t="shared" si="420"/>
        <v>0</v>
      </c>
      <c r="O3357" s="487"/>
      <c r="P3357" s="487"/>
      <c r="Q3357" s="274">
        <f t="shared" si="415"/>
        <v>0</v>
      </c>
      <c r="R3357" s="574">
        <f t="shared" si="416"/>
        <v>0</v>
      </c>
      <c r="S3357" s="275">
        <f t="shared" si="417"/>
        <v>0</v>
      </c>
      <c r="T3357" s="575"/>
      <c r="U3357" s="487"/>
      <c r="V3357" s="576"/>
      <c r="W3357" s="573"/>
      <c r="X3357" s="574">
        <f t="shared" si="421"/>
        <v>0</v>
      </c>
      <c r="Y3357" s="487"/>
      <c r="Z3357" s="487"/>
      <c r="AA3357" s="276">
        <f t="shared" si="422"/>
        <v>0</v>
      </c>
      <c r="AB3357" s="573"/>
      <c r="AC3357" s="487"/>
      <c r="AD3357" s="573"/>
      <c r="AE3357" s="487"/>
      <c r="AF3357" s="577">
        <f t="shared" si="418"/>
        <v>0</v>
      </c>
      <c r="AG3357" s="275">
        <f t="shared" si="419"/>
        <v>0</v>
      </c>
    </row>
    <row r="3358" spans="1:33" ht="12" customHeight="1">
      <c r="A3358" s="641" t="s">
        <v>1285</v>
      </c>
      <c r="B3358" s="742" t="s">
        <v>1412</v>
      </c>
      <c r="C3358" s="741" t="s">
        <v>1761</v>
      </c>
      <c r="D3358" s="740"/>
      <c r="E3358" s="645"/>
      <c r="F3358" s="573"/>
      <c r="G3358" s="487"/>
      <c r="H3358" s="573"/>
      <c r="I3358" s="487"/>
      <c r="J3358" s="573"/>
      <c r="K3358" s="487"/>
      <c r="L3358" s="573"/>
      <c r="M3358" s="573"/>
      <c r="N3358" s="456">
        <f t="shared" si="420"/>
        <v>0</v>
      </c>
      <c r="O3358" s="487"/>
      <c r="P3358" s="487"/>
      <c r="Q3358" s="274">
        <f t="shared" si="415"/>
        <v>0</v>
      </c>
      <c r="R3358" s="574">
        <f t="shared" si="416"/>
        <v>0</v>
      </c>
      <c r="S3358" s="275">
        <f t="shared" si="417"/>
        <v>0</v>
      </c>
      <c r="T3358" s="575">
        <v>119971</v>
      </c>
      <c r="U3358" s="487">
        <v>130034</v>
      </c>
      <c r="V3358" s="576"/>
      <c r="W3358" s="573"/>
      <c r="X3358" s="574">
        <f t="shared" si="421"/>
        <v>0</v>
      </c>
      <c r="Y3358" s="487"/>
      <c r="Z3358" s="487"/>
      <c r="AA3358" s="276">
        <f t="shared" si="422"/>
        <v>0</v>
      </c>
      <c r="AB3358" s="573"/>
      <c r="AC3358" s="487"/>
      <c r="AD3358" s="573"/>
      <c r="AE3358" s="487"/>
      <c r="AF3358" s="577">
        <f t="shared" si="418"/>
        <v>119971</v>
      </c>
      <c r="AG3358" s="275">
        <f t="shared" si="419"/>
        <v>130034</v>
      </c>
    </row>
    <row r="3359" spans="1:33" ht="12" customHeight="1">
      <c r="A3359" s="641" t="s">
        <v>1285</v>
      </c>
      <c r="B3359" s="642" t="s">
        <v>1413</v>
      </c>
      <c r="C3359" s="741" t="s">
        <v>1915</v>
      </c>
      <c r="D3359" s="740"/>
      <c r="E3359" s="645"/>
      <c r="F3359" s="573"/>
      <c r="G3359" s="487"/>
      <c r="H3359" s="573"/>
      <c r="I3359" s="487"/>
      <c r="J3359" s="573"/>
      <c r="K3359" s="487"/>
      <c r="L3359" s="573"/>
      <c r="M3359" s="573"/>
      <c r="N3359" s="456">
        <f t="shared" si="420"/>
        <v>0</v>
      </c>
      <c r="O3359" s="487"/>
      <c r="P3359" s="487"/>
      <c r="Q3359" s="274">
        <f t="shared" si="415"/>
        <v>0</v>
      </c>
      <c r="R3359" s="574">
        <f t="shared" si="416"/>
        <v>0</v>
      </c>
      <c r="S3359" s="275">
        <f t="shared" si="417"/>
        <v>0</v>
      </c>
      <c r="T3359" s="575"/>
      <c r="U3359" s="487"/>
      <c r="V3359" s="576"/>
      <c r="W3359" s="573"/>
      <c r="X3359" s="574">
        <f t="shared" si="421"/>
        <v>0</v>
      </c>
      <c r="Y3359" s="487"/>
      <c r="Z3359" s="487"/>
      <c r="AA3359" s="276">
        <f t="shared" si="422"/>
        <v>0</v>
      </c>
      <c r="AB3359" s="573"/>
      <c r="AC3359" s="487"/>
      <c r="AD3359" s="573"/>
      <c r="AE3359" s="487"/>
      <c r="AF3359" s="577">
        <f t="shared" si="418"/>
        <v>0</v>
      </c>
      <c r="AG3359" s="275">
        <f t="shared" si="419"/>
        <v>0</v>
      </c>
    </row>
    <row r="3360" spans="1:33" ht="12" customHeight="1">
      <c r="A3360" s="641" t="s">
        <v>1285</v>
      </c>
      <c r="B3360" s="742" t="s">
        <v>1582</v>
      </c>
      <c r="C3360" s="741" t="s">
        <v>1883</v>
      </c>
      <c r="D3360" s="740"/>
      <c r="E3360" s="645"/>
      <c r="F3360" s="573"/>
      <c r="G3360" s="487"/>
      <c r="H3360" s="573"/>
      <c r="I3360" s="487"/>
      <c r="J3360" s="573"/>
      <c r="K3360" s="487"/>
      <c r="L3360" s="573"/>
      <c r="M3360" s="573"/>
      <c r="N3360" s="456">
        <f t="shared" si="420"/>
        <v>0</v>
      </c>
      <c r="O3360" s="487"/>
      <c r="P3360" s="487"/>
      <c r="Q3360" s="274">
        <f t="shared" si="415"/>
        <v>0</v>
      </c>
      <c r="R3360" s="574">
        <f t="shared" si="416"/>
        <v>0</v>
      </c>
      <c r="S3360" s="275">
        <f t="shared" si="417"/>
        <v>0</v>
      </c>
      <c r="T3360" s="575"/>
      <c r="U3360" s="487"/>
      <c r="V3360" s="576"/>
      <c r="W3360" s="573"/>
      <c r="X3360" s="574">
        <f t="shared" si="421"/>
        <v>0</v>
      </c>
      <c r="Y3360" s="487"/>
      <c r="Z3360" s="487"/>
      <c r="AA3360" s="276">
        <f t="shared" si="422"/>
        <v>0</v>
      </c>
      <c r="AB3360" s="573"/>
      <c r="AC3360" s="487"/>
      <c r="AD3360" s="573"/>
      <c r="AE3360" s="487"/>
      <c r="AF3360" s="577">
        <f t="shared" si="418"/>
        <v>0</v>
      </c>
      <c r="AG3360" s="275">
        <f t="shared" si="419"/>
        <v>0</v>
      </c>
    </row>
    <row r="3361" spans="1:33" ht="12" customHeight="1">
      <c r="A3361" s="641" t="s">
        <v>1285</v>
      </c>
      <c r="B3361" s="742" t="s">
        <v>1583</v>
      </c>
      <c r="C3361" s="741" t="s">
        <v>1761</v>
      </c>
      <c r="D3361" s="740"/>
      <c r="E3361" s="645"/>
      <c r="F3361" s="573"/>
      <c r="G3361" s="487"/>
      <c r="H3361" s="573"/>
      <c r="I3361" s="487"/>
      <c r="J3361" s="573"/>
      <c r="K3361" s="487"/>
      <c r="L3361" s="573"/>
      <c r="M3361" s="573"/>
      <c r="N3361" s="456">
        <f t="shared" si="420"/>
        <v>0</v>
      </c>
      <c r="O3361" s="487"/>
      <c r="P3361" s="487"/>
      <c r="Q3361" s="274">
        <f t="shared" si="415"/>
        <v>0</v>
      </c>
      <c r="R3361" s="574">
        <f t="shared" si="416"/>
        <v>0</v>
      </c>
      <c r="S3361" s="275">
        <f t="shared" si="417"/>
        <v>0</v>
      </c>
      <c r="T3361" s="575">
        <v>21171</v>
      </c>
      <c r="U3361" s="487">
        <v>11108</v>
      </c>
      <c r="V3361" s="576"/>
      <c r="W3361" s="573"/>
      <c r="X3361" s="574">
        <f t="shared" si="421"/>
        <v>0</v>
      </c>
      <c r="Y3361" s="487"/>
      <c r="Z3361" s="487"/>
      <c r="AA3361" s="276">
        <f t="shared" si="422"/>
        <v>0</v>
      </c>
      <c r="AB3361" s="573"/>
      <c r="AC3361" s="487"/>
      <c r="AD3361" s="573"/>
      <c r="AE3361" s="487"/>
      <c r="AF3361" s="577">
        <f t="shared" si="418"/>
        <v>21171</v>
      </c>
      <c r="AG3361" s="275">
        <f t="shared" si="419"/>
        <v>11108</v>
      </c>
    </row>
    <row r="3362" spans="1:33" ht="12" customHeight="1">
      <c r="A3362" s="641" t="s">
        <v>1285</v>
      </c>
      <c r="B3362" s="642" t="s">
        <v>1805</v>
      </c>
      <c r="C3362" s="285" t="s">
        <v>710</v>
      </c>
      <c r="D3362" s="740"/>
      <c r="E3362" s="645"/>
      <c r="F3362" s="573"/>
      <c r="G3362" s="487"/>
      <c r="H3362" s="573"/>
      <c r="I3362" s="487"/>
      <c r="J3362" s="573"/>
      <c r="K3362" s="487"/>
      <c r="L3362" s="573"/>
      <c r="M3362" s="573"/>
      <c r="N3362" s="456">
        <f t="shared" si="420"/>
        <v>0</v>
      </c>
      <c r="O3362" s="487"/>
      <c r="P3362" s="487"/>
      <c r="Q3362" s="274">
        <f t="shared" si="415"/>
        <v>0</v>
      </c>
      <c r="R3362" s="574">
        <f t="shared" si="416"/>
        <v>0</v>
      </c>
      <c r="S3362" s="275">
        <f t="shared" si="417"/>
        <v>0</v>
      </c>
      <c r="T3362" s="575"/>
      <c r="U3362" s="487"/>
      <c r="V3362" s="576"/>
      <c r="W3362" s="573"/>
      <c r="X3362" s="574">
        <f t="shared" si="421"/>
        <v>0</v>
      </c>
      <c r="Y3362" s="487"/>
      <c r="Z3362" s="487"/>
      <c r="AA3362" s="276">
        <f t="shared" si="422"/>
        <v>0</v>
      </c>
      <c r="AB3362" s="573"/>
      <c r="AC3362" s="487"/>
      <c r="AD3362" s="573"/>
      <c r="AE3362" s="487"/>
      <c r="AF3362" s="577">
        <f t="shared" si="418"/>
        <v>0</v>
      </c>
      <c r="AG3362" s="275">
        <f t="shared" si="419"/>
        <v>0</v>
      </c>
    </row>
    <row r="3363" spans="1:33" ht="12" customHeight="1">
      <c r="A3363" s="641" t="s">
        <v>1285</v>
      </c>
      <c r="B3363" s="742" t="s">
        <v>1510</v>
      </c>
      <c r="C3363" s="741" t="s">
        <v>1914</v>
      </c>
      <c r="D3363" s="740"/>
      <c r="E3363" s="645"/>
      <c r="F3363" s="573"/>
      <c r="G3363" s="487"/>
      <c r="H3363" s="573"/>
      <c r="I3363" s="487"/>
      <c r="J3363" s="573"/>
      <c r="K3363" s="487"/>
      <c r="L3363" s="573"/>
      <c r="M3363" s="573"/>
      <c r="N3363" s="456">
        <f t="shared" si="420"/>
        <v>0</v>
      </c>
      <c r="O3363" s="487"/>
      <c r="P3363" s="487"/>
      <c r="Q3363" s="274">
        <f t="shared" si="415"/>
        <v>0</v>
      </c>
      <c r="R3363" s="574">
        <f t="shared" si="416"/>
        <v>0</v>
      </c>
      <c r="S3363" s="275">
        <f t="shared" si="417"/>
        <v>0</v>
      </c>
      <c r="T3363" s="575"/>
      <c r="U3363" s="487"/>
      <c r="V3363" s="576"/>
      <c r="W3363" s="573"/>
      <c r="X3363" s="574">
        <f t="shared" si="421"/>
        <v>0</v>
      </c>
      <c r="Y3363" s="487"/>
      <c r="Z3363" s="487"/>
      <c r="AA3363" s="276">
        <f t="shared" si="422"/>
        <v>0</v>
      </c>
      <c r="AB3363" s="573"/>
      <c r="AC3363" s="487"/>
      <c r="AD3363" s="573"/>
      <c r="AE3363" s="487"/>
      <c r="AF3363" s="577">
        <f t="shared" si="418"/>
        <v>0</v>
      </c>
      <c r="AG3363" s="275">
        <f t="shared" si="419"/>
        <v>0</v>
      </c>
    </row>
    <row r="3364" spans="1:33" ht="12" customHeight="1">
      <c r="A3364" s="641" t="s">
        <v>1285</v>
      </c>
      <c r="B3364" s="742" t="s">
        <v>1511</v>
      </c>
      <c r="C3364" s="741" t="s">
        <v>1883</v>
      </c>
      <c r="D3364" s="740"/>
      <c r="E3364" s="645"/>
      <c r="F3364" s="573"/>
      <c r="G3364" s="487"/>
      <c r="H3364" s="573"/>
      <c r="I3364" s="487"/>
      <c r="J3364" s="573"/>
      <c r="K3364" s="487"/>
      <c r="L3364" s="573"/>
      <c r="M3364" s="573"/>
      <c r="N3364" s="456">
        <f t="shared" si="420"/>
        <v>0</v>
      </c>
      <c r="O3364" s="487"/>
      <c r="P3364" s="487"/>
      <c r="Q3364" s="274">
        <f t="shared" si="415"/>
        <v>0</v>
      </c>
      <c r="R3364" s="574">
        <f t="shared" si="416"/>
        <v>0</v>
      </c>
      <c r="S3364" s="275">
        <f t="shared" si="417"/>
        <v>0</v>
      </c>
      <c r="T3364" s="575"/>
      <c r="U3364" s="487"/>
      <c r="V3364" s="576"/>
      <c r="W3364" s="573"/>
      <c r="X3364" s="574">
        <f t="shared" si="421"/>
        <v>0</v>
      </c>
      <c r="Y3364" s="487"/>
      <c r="Z3364" s="487"/>
      <c r="AA3364" s="276">
        <f t="shared" si="422"/>
        <v>0</v>
      </c>
      <c r="AB3364" s="573"/>
      <c r="AC3364" s="487"/>
      <c r="AD3364" s="573"/>
      <c r="AE3364" s="487"/>
      <c r="AF3364" s="577">
        <f t="shared" si="418"/>
        <v>0</v>
      </c>
      <c r="AG3364" s="275">
        <f t="shared" si="419"/>
        <v>0</v>
      </c>
    </row>
    <row r="3365" spans="1:33" ht="12" customHeight="1">
      <c r="A3365" s="641" t="s">
        <v>1285</v>
      </c>
      <c r="B3365" s="742" t="s">
        <v>1412</v>
      </c>
      <c r="C3365" s="741" t="s">
        <v>1761</v>
      </c>
      <c r="D3365" s="740"/>
      <c r="E3365" s="645"/>
      <c r="F3365" s="573"/>
      <c r="G3365" s="487"/>
      <c r="H3365" s="573"/>
      <c r="I3365" s="487"/>
      <c r="J3365" s="573"/>
      <c r="K3365" s="487"/>
      <c r="L3365" s="573"/>
      <c r="M3365" s="573"/>
      <c r="N3365" s="456">
        <f t="shared" si="420"/>
        <v>0</v>
      </c>
      <c r="O3365" s="487"/>
      <c r="P3365" s="487"/>
      <c r="Q3365" s="274">
        <f t="shared" si="415"/>
        <v>0</v>
      </c>
      <c r="R3365" s="574">
        <f t="shared" si="416"/>
        <v>0</v>
      </c>
      <c r="S3365" s="275">
        <f t="shared" si="417"/>
        <v>0</v>
      </c>
      <c r="T3365" s="575">
        <v>456359</v>
      </c>
      <c r="U3365" s="487">
        <v>457629</v>
      </c>
      <c r="V3365" s="576"/>
      <c r="W3365" s="573"/>
      <c r="X3365" s="574">
        <f t="shared" si="421"/>
        <v>0</v>
      </c>
      <c r="Y3365" s="487"/>
      <c r="Z3365" s="487"/>
      <c r="AA3365" s="276">
        <f t="shared" si="422"/>
        <v>0</v>
      </c>
      <c r="AB3365" s="573"/>
      <c r="AC3365" s="487"/>
      <c r="AD3365" s="573"/>
      <c r="AE3365" s="487"/>
      <c r="AF3365" s="577">
        <f t="shared" si="418"/>
        <v>456359</v>
      </c>
      <c r="AG3365" s="275">
        <f t="shared" si="419"/>
        <v>457629</v>
      </c>
    </row>
    <row r="3366" spans="1:33" ht="12" customHeight="1">
      <c r="A3366" s="641" t="s">
        <v>1285</v>
      </c>
      <c r="B3366" s="742" t="s">
        <v>1413</v>
      </c>
      <c r="C3366" s="741" t="s">
        <v>1915</v>
      </c>
      <c r="D3366" s="740"/>
      <c r="E3366" s="645"/>
      <c r="F3366" s="573"/>
      <c r="G3366" s="487"/>
      <c r="H3366" s="573"/>
      <c r="I3366" s="487"/>
      <c r="J3366" s="573"/>
      <c r="K3366" s="487"/>
      <c r="L3366" s="573"/>
      <c r="M3366" s="573"/>
      <c r="N3366" s="456">
        <f t="shared" si="420"/>
        <v>0</v>
      </c>
      <c r="O3366" s="487"/>
      <c r="P3366" s="487"/>
      <c r="Q3366" s="274">
        <f t="shared" si="415"/>
        <v>0</v>
      </c>
      <c r="R3366" s="574">
        <f t="shared" si="416"/>
        <v>0</v>
      </c>
      <c r="S3366" s="275">
        <f t="shared" si="417"/>
        <v>0</v>
      </c>
      <c r="T3366" s="575"/>
      <c r="U3366" s="487"/>
      <c r="V3366" s="576"/>
      <c r="W3366" s="573"/>
      <c r="X3366" s="574">
        <f t="shared" si="421"/>
        <v>0</v>
      </c>
      <c r="Y3366" s="487"/>
      <c r="Z3366" s="487"/>
      <c r="AA3366" s="276">
        <f t="shared" si="422"/>
        <v>0</v>
      </c>
      <c r="AB3366" s="573"/>
      <c r="AC3366" s="487"/>
      <c r="AD3366" s="573"/>
      <c r="AE3366" s="487"/>
      <c r="AF3366" s="577">
        <f t="shared" si="418"/>
        <v>0</v>
      </c>
      <c r="AG3366" s="275">
        <f t="shared" si="419"/>
        <v>0</v>
      </c>
    </row>
    <row r="3367" spans="1:33" ht="12" customHeight="1">
      <c r="A3367" s="641" t="s">
        <v>1285</v>
      </c>
      <c r="B3367" s="742" t="s">
        <v>1582</v>
      </c>
      <c r="C3367" s="741" t="s">
        <v>1883</v>
      </c>
      <c r="D3367" s="740"/>
      <c r="E3367" s="645"/>
      <c r="F3367" s="573"/>
      <c r="G3367" s="487"/>
      <c r="H3367" s="573"/>
      <c r="I3367" s="487"/>
      <c r="J3367" s="573"/>
      <c r="K3367" s="487"/>
      <c r="L3367" s="573"/>
      <c r="M3367" s="573"/>
      <c r="N3367" s="456">
        <f t="shared" si="420"/>
        <v>0</v>
      </c>
      <c r="O3367" s="487"/>
      <c r="P3367" s="487"/>
      <c r="Q3367" s="274">
        <f t="shared" si="415"/>
        <v>0</v>
      </c>
      <c r="R3367" s="574">
        <f t="shared" si="416"/>
        <v>0</v>
      </c>
      <c r="S3367" s="275">
        <f t="shared" si="417"/>
        <v>0</v>
      </c>
      <c r="T3367" s="575"/>
      <c r="U3367" s="487"/>
      <c r="V3367" s="576"/>
      <c r="W3367" s="573"/>
      <c r="X3367" s="574">
        <f t="shared" si="421"/>
        <v>0</v>
      </c>
      <c r="Y3367" s="487"/>
      <c r="Z3367" s="487"/>
      <c r="AA3367" s="276">
        <f t="shared" si="422"/>
        <v>0</v>
      </c>
      <c r="AB3367" s="573"/>
      <c r="AC3367" s="487"/>
      <c r="AD3367" s="573"/>
      <c r="AE3367" s="487"/>
      <c r="AF3367" s="577">
        <f t="shared" si="418"/>
        <v>0</v>
      </c>
      <c r="AG3367" s="275">
        <f t="shared" si="419"/>
        <v>0</v>
      </c>
    </row>
    <row r="3368" spans="1:33" ht="12" customHeight="1">
      <c r="A3368" s="641" t="s">
        <v>1285</v>
      </c>
      <c r="B3368" s="742" t="s">
        <v>1583</v>
      </c>
      <c r="C3368" s="741" t="s">
        <v>1761</v>
      </c>
      <c r="D3368" s="740"/>
      <c r="E3368" s="645"/>
      <c r="F3368" s="573"/>
      <c r="G3368" s="487"/>
      <c r="H3368" s="573"/>
      <c r="I3368" s="487"/>
      <c r="J3368" s="573"/>
      <c r="K3368" s="487"/>
      <c r="L3368" s="573"/>
      <c r="M3368" s="573"/>
      <c r="N3368" s="456">
        <f t="shared" si="420"/>
        <v>0</v>
      </c>
      <c r="O3368" s="487"/>
      <c r="P3368" s="487"/>
      <c r="Q3368" s="274">
        <f t="shared" si="415"/>
        <v>0</v>
      </c>
      <c r="R3368" s="574">
        <f t="shared" si="416"/>
        <v>0</v>
      </c>
      <c r="S3368" s="275">
        <f t="shared" si="417"/>
        <v>0</v>
      </c>
      <c r="T3368" s="575">
        <v>14114</v>
      </c>
      <c r="U3368" s="487">
        <v>12844</v>
      </c>
      <c r="V3368" s="576"/>
      <c r="W3368" s="573"/>
      <c r="X3368" s="574">
        <f t="shared" si="421"/>
        <v>0</v>
      </c>
      <c r="Y3368" s="487"/>
      <c r="Z3368" s="487"/>
      <c r="AA3368" s="276">
        <f t="shared" si="422"/>
        <v>0</v>
      </c>
      <c r="AB3368" s="573"/>
      <c r="AC3368" s="487"/>
      <c r="AD3368" s="573"/>
      <c r="AE3368" s="487"/>
      <c r="AF3368" s="577">
        <f t="shared" si="418"/>
        <v>14114</v>
      </c>
      <c r="AG3368" s="275">
        <f t="shared" si="419"/>
        <v>12844</v>
      </c>
    </row>
    <row r="3369" spans="1:33" ht="12" customHeight="1">
      <c r="A3369" s="641" t="s">
        <v>1285</v>
      </c>
      <c r="B3369" s="642" t="s">
        <v>1805</v>
      </c>
      <c r="C3369" s="285" t="s">
        <v>711</v>
      </c>
      <c r="D3369" s="780"/>
      <c r="E3369" s="777"/>
      <c r="F3369" s="573"/>
      <c r="G3369" s="487"/>
      <c r="H3369" s="573"/>
      <c r="I3369" s="487"/>
      <c r="J3369" s="573"/>
      <c r="K3369" s="487"/>
      <c r="L3369" s="573"/>
      <c r="M3369" s="573"/>
      <c r="N3369" s="456">
        <f t="shared" si="420"/>
        <v>0</v>
      </c>
      <c r="O3369" s="487"/>
      <c r="P3369" s="487"/>
      <c r="Q3369" s="274">
        <f t="shared" si="415"/>
        <v>0</v>
      </c>
      <c r="R3369" s="574">
        <f t="shared" si="416"/>
        <v>0</v>
      </c>
      <c r="S3369" s="275">
        <f t="shared" si="417"/>
        <v>0</v>
      </c>
      <c r="T3369" s="575"/>
      <c r="U3369" s="487"/>
      <c r="V3369" s="576"/>
      <c r="W3369" s="573"/>
      <c r="X3369" s="574">
        <f t="shared" si="421"/>
        <v>0</v>
      </c>
      <c r="Y3369" s="487"/>
      <c r="Z3369" s="487"/>
      <c r="AA3369" s="276">
        <f t="shared" si="422"/>
        <v>0</v>
      </c>
      <c r="AB3369" s="573"/>
      <c r="AC3369" s="487"/>
      <c r="AD3369" s="573"/>
      <c r="AE3369" s="487"/>
      <c r="AF3369" s="577">
        <f t="shared" si="418"/>
        <v>0</v>
      </c>
      <c r="AG3369" s="275">
        <f t="shared" si="419"/>
        <v>0</v>
      </c>
    </row>
    <row r="3370" spans="1:33" ht="12" customHeight="1">
      <c r="A3370" s="641" t="s">
        <v>1285</v>
      </c>
      <c r="B3370" s="742" t="s">
        <v>1510</v>
      </c>
      <c r="C3370" s="741" t="s">
        <v>1916</v>
      </c>
      <c r="D3370" s="740"/>
      <c r="E3370" s="645"/>
      <c r="F3370" s="573"/>
      <c r="G3370" s="487"/>
      <c r="H3370" s="573"/>
      <c r="I3370" s="487"/>
      <c r="J3370" s="573"/>
      <c r="K3370" s="487"/>
      <c r="L3370" s="573"/>
      <c r="M3370" s="573"/>
      <c r="N3370" s="456">
        <f t="shared" si="420"/>
        <v>0</v>
      </c>
      <c r="O3370" s="487"/>
      <c r="P3370" s="487"/>
      <c r="Q3370" s="274">
        <f t="shared" si="415"/>
        <v>0</v>
      </c>
      <c r="R3370" s="574">
        <f t="shared" si="416"/>
        <v>0</v>
      </c>
      <c r="S3370" s="275">
        <f t="shared" si="417"/>
        <v>0</v>
      </c>
      <c r="T3370" s="575"/>
      <c r="U3370" s="487"/>
      <c r="V3370" s="576"/>
      <c r="W3370" s="573"/>
      <c r="X3370" s="574">
        <f t="shared" si="421"/>
        <v>0</v>
      </c>
      <c r="Y3370" s="487"/>
      <c r="Z3370" s="487"/>
      <c r="AA3370" s="276">
        <f t="shared" si="422"/>
        <v>0</v>
      </c>
      <c r="AB3370" s="573"/>
      <c r="AC3370" s="487"/>
      <c r="AD3370" s="573"/>
      <c r="AE3370" s="487"/>
      <c r="AF3370" s="577">
        <f t="shared" si="418"/>
        <v>0</v>
      </c>
      <c r="AG3370" s="275">
        <f t="shared" si="419"/>
        <v>0</v>
      </c>
    </row>
    <row r="3371" spans="1:33" ht="12" customHeight="1">
      <c r="A3371" s="641" t="s">
        <v>1285</v>
      </c>
      <c r="B3371" s="742" t="s">
        <v>1511</v>
      </c>
      <c r="C3371" s="741" t="s">
        <v>1883</v>
      </c>
      <c r="D3371" s="740"/>
      <c r="E3371" s="645"/>
      <c r="F3371" s="573"/>
      <c r="G3371" s="487"/>
      <c r="H3371" s="573"/>
      <c r="I3371" s="487"/>
      <c r="J3371" s="573"/>
      <c r="K3371" s="487"/>
      <c r="L3371" s="573"/>
      <c r="M3371" s="573"/>
      <c r="N3371" s="456">
        <f t="shared" si="420"/>
        <v>0</v>
      </c>
      <c r="O3371" s="487"/>
      <c r="P3371" s="487"/>
      <c r="Q3371" s="274">
        <f t="shared" si="415"/>
        <v>0</v>
      </c>
      <c r="R3371" s="574">
        <f t="shared" si="416"/>
        <v>0</v>
      </c>
      <c r="S3371" s="275">
        <f t="shared" si="417"/>
        <v>0</v>
      </c>
      <c r="T3371" s="575"/>
      <c r="U3371" s="487"/>
      <c r="V3371" s="576"/>
      <c r="W3371" s="573"/>
      <c r="X3371" s="574">
        <f t="shared" si="421"/>
        <v>0</v>
      </c>
      <c r="Y3371" s="487"/>
      <c r="Z3371" s="487"/>
      <c r="AA3371" s="276">
        <f t="shared" si="422"/>
        <v>0</v>
      </c>
      <c r="AB3371" s="573"/>
      <c r="AC3371" s="487"/>
      <c r="AD3371" s="573"/>
      <c r="AE3371" s="487"/>
      <c r="AF3371" s="577">
        <f t="shared" si="418"/>
        <v>0</v>
      </c>
      <c r="AG3371" s="275">
        <f t="shared" si="419"/>
        <v>0</v>
      </c>
    </row>
    <row r="3372" spans="1:33" ht="12" customHeight="1">
      <c r="A3372" s="641" t="s">
        <v>1285</v>
      </c>
      <c r="B3372" s="742" t="s">
        <v>1412</v>
      </c>
      <c r="C3372" s="741" t="s">
        <v>1761</v>
      </c>
      <c r="D3372" s="740"/>
      <c r="E3372" s="645"/>
      <c r="F3372" s="573"/>
      <c r="G3372" s="487"/>
      <c r="H3372" s="573"/>
      <c r="I3372" s="487"/>
      <c r="J3372" s="573"/>
      <c r="K3372" s="487"/>
      <c r="L3372" s="573"/>
      <c r="M3372" s="573"/>
      <c r="N3372" s="456">
        <f t="shared" si="420"/>
        <v>0</v>
      </c>
      <c r="O3372" s="487"/>
      <c r="P3372" s="487"/>
      <c r="Q3372" s="274">
        <f t="shared" si="415"/>
        <v>0</v>
      </c>
      <c r="R3372" s="574">
        <f t="shared" si="416"/>
        <v>0</v>
      </c>
      <c r="S3372" s="275">
        <f t="shared" si="417"/>
        <v>0</v>
      </c>
      <c r="T3372" s="575">
        <v>133418</v>
      </c>
      <c r="U3372" s="487">
        <v>234200</v>
      </c>
      <c r="V3372" s="576"/>
      <c r="W3372" s="573"/>
      <c r="X3372" s="574">
        <f t="shared" si="421"/>
        <v>0</v>
      </c>
      <c r="Y3372" s="487"/>
      <c r="Z3372" s="487"/>
      <c r="AA3372" s="276">
        <f t="shared" si="422"/>
        <v>0</v>
      </c>
      <c r="AB3372" s="573"/>
      <c r="AC3372" s="487"/>
      <c r="AD3372" s="573"/>
      <c r="AE3372" s="487"/>
      <c r="AF3372" s="577">
        <f t="shared" si="418"/>
        <v>133418</v>
      </c>
      <c r="AG3372" s="275">
        <f t="shared" si="419"/>
        <v>234200</v>
      </c>
    </row>
    <row r="3373" spans="1:33" ht="12" customHeight="1">
      <c r="A3373" s="641" t="s">
        <v>1285</v>
      </c>
      <c r="B3373" s="642" t="s">
        <v>1413</v>
      </c>
      <c r="C3373" s="741" t="s">
        <v>1915</v>
      </c>
      <c r="D3373" s="740"/>
      <c r="E3373" s="645"/>
      <c r="F3373" s="573"/>
      <c r="G3373" s="487"/>
      <c r="H3373" s="573"/>
      <c r="I3373" s="487"/>
      <c r="J3373" s="573"/>
      <c r="K3373" s="487"/>
      <c r="L3373" s="573"/>
      <c r="M3373" s="573"/>
      <c r="N3373" s="456">
        <f t="shared" si="420"/>
        <v>0</v>
      </c>
      <c r="O3373" s="487"/>
      <c r="P3373" s="487"/>
      <c r="Q3373" s="274">
        <f t="shared" si="415"/>
        <v>0</v>
      </c>
      <c r="R3373" s="574">
        <f t="shared" si="416"/>
        <v>0</v>
      </c>
      <c r="S3373" s="275">
        <f t="shared" si="417"/>
        <v>0</v>
      </c>
      <c r="T3373" s="575"/>
      <c r="U3373" s="487"/>
      <c r="V3373" s="576"/>
      <c r="W3373" s="573"/>
      <c r="X3373" s="574">
        <f t="shared" si="421"/>
        <v>0</v>
      </c>
      <c r="Y3373" s="487"/>
      <c r="Z3373" s="487"/>
      <c r="AA3373" s="276">
        <f t="shared" si="422"/>
        <v>0</v>
      </c>
      <c r="AB3373" s="573"/>
      <c r="AC3373" s="487"/>
      <c r="AD3373" s="573"/>
      <c r="AE3373" s="487"/>
      <c r="AF3373" s="577">
        <f t="shared" si="418"/>
        <v>0</v>
      </c>
      <c r="AG3373" s="275">
        <f t="shared" si="419"/>
        <v>0</v>
      </c>
    </row>
    <row r="3374" spans="1:33" ht="12" customHeight="1">
      <c r="A3374" s="641" t="s">
        <v>1285</v>
      </c>
      <c r="B3374" s="742" t="s">
        <v>1582</v>
      </c>
      <c r="C3374" s="741" t="s">
        <v>1883</v>
      </c>
      <c r="D3374" s="740"/>
      <c r="E3374" s="645"/>
      <c r="F3374" s="573"/>
      <c r="G3374" s="487"/>
      <c r="H3374" s="573"/>
      <c r="I3374" s="487"/>
      <c r="J3374" s="573"/>
      <c r="K3374" s="487"/>
      <c r="L3374" s="573"/>
      <c r="M3374" s="573"/>
      <c r="N3374" s="456">
        <f t="shared" si="420"/>
        <v>0</v>
      </c>
      <c r="O3374" s="487"/>
      <c r="P3374" s="487"/>
      <c r="Q3374" s="274">
        <f t="shared" si="415"/>
        <v>0</v>
      </c>
      <c r="R3374" s="574">
        <f t="shared" si="416"/>
        <v>0</v>
      </c>
      <c r="S3374" s="275">
        <f t="shared" si="417"/>
        <v>0</v>
      </c>
      <c r="T3374" s="575"/>
      <c r="U3374" s="487"/>
      <c r="V3374" s="576"/>
      <c r="W3374" s="573"/>
      <c r="X3374" s="574">
        <f t="shared" si="421"/>
        <v>0</v>
      </c>
      <c r="Y3374" s="487"/>
      <c r="Z3374" s="487"/>
      <c r="AA3374" s="276">
        <f t="shared" si="422"/>
        <v>0</v>
      </c>
      <c r="AB3374" s="573"/>
      <c r="AC3374" s="487"/>
      <c r="AD3374" s="573"/>
      <c r="AE3374" s="487"/>
      <c r="AF3374" s="577">
        <f t="shared" si="418"/>
        <v>0</v>
      </c>
      <c r="AG3374" s="275">
        <f t="shared" si="419"/>
        <v>0</v>
      </c>
    </row>
    <row r="3375" spans="1:33" ht="12" customHeight="1">
      <c r="A3375" s="641" t="s">
        <v>1285</v>
      </c>
      <c r="B3375" s="742" t="s">
        <v>1583</v>
      </c>
      <c r="C3375" s="741" t="s">
        <v>1761</v>
      </c>
      <c r="D3375" s="740"/>
      <c r="E3375" s="645"/>
      <c r="F3375" s="573"/>
      <c r="G3375" s="487"/>
      <c r="H3375" s="573"/>
      <c r="I3375" s="487"/>
      <c r="J3375" s="573"/>
      <c r="K3375" s="487"/>
      <c r="L3375" s="573"/>
      <c r="M3375" s="573"/>
      <c r="N3375" s="456">
        <f t="shared" si="420"/>
        <v>0</v>
      </c>
      <c r="O3375" s="487"/>
      <c r="P3375" s="487"/>
      <c r="Q3375" s="274">
        <f t="shared" si="415"/>
        <v>0</v>
      </c>
      <c r="R3375" s="574">
        <f t="shared" si="416"/>
        <v>0</v>
      </c>
      <c r="S3375" s="275">
        <f t="shared" si="417"/>
        <v>0</v>
      </c>
      <c r="T3375" s="575">
        <v>16490</v>
      </c>
      <c r="U3375" s="487">
        <v>16587</v>
      </c>
      <c r="V3375" s="576"/>
      <c r="W3375" s="573"/>
      <c r="X3375" s="574">
        <f t="shared" si="421"/>
        <v>0</v>
      </c>
      <c r="Y3375" s="487"/>
      <c r="Z3375" s="487"/>
      <c r="AA3375" s="276">
        <f t="shared" si="422"/>
        <v>0</v>
      </c>
      <c r="AB3375" s="573"/>
      <c r="AC3375" s="487"/>
      <c r="AD3375" s="573"/>
      <c r="AE3375" s="487"/>
      <c r="AF3375" s="577">
        <f t="shared" si="418"/>
        <v>16490</v>
      </c>
      <c r="AG3375" s="275">
        <f t="shared" si="419"/>
        <v>16587</v>
      </c>
    </row>
    <row r="3376" spans="1:33" ht="12" customHeight="1">
      <c r="A3376" s="641" t="s">
        <v>1285</v>
      </c>
      <c r="B3376" s="642" t="s">
        <v>1805</v>
      </c>
      <c r="C3376" s="285" t="s">
        <v>712</v>
      </c>
      <c r="D3376" s="780"/>
      <c r="E3376" s="777"/>
      <c r="F3376" s="573"/>
      <c r="G3376" s="487"/>
      <c r="H3376" s="573"/>
      <c r="I3376" s="487"/>
      <c r="J3376" s="573"/>
      <c r="K3376" s="487"/>
      <c r="L3376" s="573"/>
      <c r="M3376" s="573"/>
      <c r="N3376" s="456">
        <f t="shared" si="420"/>
        <v>0</v>
      </c>
      <c r="O3376" s="487"/>
      <c r="P3376" s="487"/>
      <c r="Q3376" s="274">
        <f t="shared" si="415"/>
        <v>0</v>
      </c>
      <c r="R3376" s="574">
        <f t="shared" si="416"/>
        <v>0</v>
      </c>
      <c r="S3376" s="275">
        <f t="shared" si="417"/>
        <v>0</v>
      </c>
      <c r="T3376" s="575"/>
      <c r="U3376" s="487"/>
      <c r="V3376" s="576"/>
      <c r="W3376" s="573"/>
      <c r="X3376" s="574">
        <f t="shared" si="421"/>
        <v>0</v>
      </c>
      <c r="Y3376" s="487"/>
      <c r="Z3376" s="487"/>
      <c r="AA3376" s="276">
        <f t="shared" si="422"/>
        <v>0</v>
      </c>
      <c r="AB3376" s="573"/>
      <c r="AC3376" s="487"/>
      <c r="AD3376" s="573"/>
      <c r="AE3376" s="487"/>
      <c r="AF3376" s="577">
        <f t="shared" si="418"/>
        <v>0</v>
      </c>
      <c r="AG3376" s="275">
        <f t="shared" si="419"/>
        <v>0</v>
      </c>
    </row>
    <row r="3377" spans="1:33" ht="12" customHeight="1">
      <c r="A3377" s="641" t="s">
        <v>1285</v>
      </c>
      <c r="B3377" s="742" t="s">
        <v>1510</v>
      </c>
      <c r="C3377" s="741" t="s">
        <v>1914</v>
      </c>
      <c r="D3377" s="740"/>
      <c r="E3377" s="645"/>
      <c r="F3377" s="573"/>
      <c r="G3377" s="487"/>
      <c r="H3377" s="573"/>
      <c r="I3377" s="487"/>
      <c r="J3377" s="573"/>
      <c r="K3377" s="487"/>
      <c r="L3377" s="573"/>
      <c r="M3377" s="573"/>
      <c r="N3377" s="456">
        <f t="shared" si="420"/>
        <v>0</v>
      </c>
      <c r="O3377" s="487"/>
      <c r="P3377" s="487"/>
      <c r="Q3377" s="274">
        <f t="shared" si="415"/>
        <v>0</v>
      </c>
      <c r="R3377" s="574">
        <f t="shared" si="416"/>
        <v>0</v>
      </c>
      <c r="S3377" s="275">
        <f t="shared" si="417"/>
        <v>0</v>
      </c>
      <c r="T3377" s="575"/>
      <c r="U3377" s="487"/>
      <c r="V3377" s="576"/>
      <c r="W3377" s="573"/>
      <c r="X3377" s="574">
        <f t="shared" si="421"/>
        <v>0</v>
      </c>
      <c r="Y3377" s="487"/>
      <c r="Z3377" s="487"/>
      <c r="AA3377" s="276">
        <f t="shared" si="422"/>
        <v>0</v>
      </c>
      <c r="AB3377" s="573"/>
      <c r="AC3377" s="487"/>
      <c r="AD3377" s="573"/>
      <c r="AE3377" s="487"/>
      <c r="AF3377" s="577">
        <f t="shared" si="418"/>
        <v>0</v>
      </c>
      <c r="AG3377" s="275">
        <f t="shared" si="419"/>
        <v>0</v>
      </c>
    </row>
    <row r="3378" spans="1:33" ht="12" customHeight="1">
      <c r="A3378" s="641" t="s">
        <v>1285</v>
      </c>
      <c r="B3378" s="742" t="s">
        <v>1511</v>
      </c>
      <c r="C3378" s="741" t="s">
        <v>1883</v>
      </c>
      <c r="D3378" s="740"/>
      <c r="E3378" s="645"/>
      <c r="F3378" s="573"/>
      <c r="G3378" s="487"/>
      <c r="H3378" s="573"/>
      <c r="I3378" s="487"/>
      <c r="J3378" s="573"/>
      <c r="K3378" s="487"/>
      <c r="L3378" s="573"/>
      <c r="M3378" s="573"/>
      <c r="N3378" s="456">
        <f t="shared" si="420"/>
        <v>0</v>
      </c>
      <c r="O3378" s="487"/>
      <c r="P3378" s="487"/>
      <c r="Q3378" s="274">
        <f t="shared" si="415"/>
        <v>0</v>
      </c>
      <c r="R3378" s="574">
        <f t="shared" si="416"/>
        <v>0</v>
      </c>
      <c r="S3378" s="275">
        <f t="shared" si="417"/>
        <v>0</v>
      </c>
      <c r="T3378" s="575">
        <v>5351090</v>
      </c>
      <c r="U3378" s="487">
        <v>4665390</v>
      </c>
      <c r="V3378" s="576"/>
      <c r="W3378" s="573"/>
      <c r="X3378" s="574">
        <f t="shared" si="421"/>
        <v>0</v>
      </c>
      <c r="Y3378" s="487"/>
      <c r="Z3378" s="487"/>
      <c r="AA3378" s="276">
        <f t="shared" si="422"/>
        <v>0</v>
      </c>
      <c r="AB3378" s="573"/>
      <c r="AC3378" s="487"/>
      <c r="AD3378" s="573"/>
      <c r="AE3378" s="487"/>
      <c r="AF3378" s="577">
        <f t="shared" si="418"/>
        <v>5351090</v>
      </c>
      <c r="AG3378" s="275">
        <f t="shared" si="419"/>
        <v>4665390</v>
      </c>
    </row>
    <row r="3379" spans="1:33" ht="12" customHeight="1">
      <c r="A3379" s="641" t="s">
        <v>1285</v>
      </c>
      <c r="B3379" s="742" t="s">
        <v>1412</v>
      </c>
      <c r="C3379" s="741" t="s">
        <v>1761</v>
      </c>
      <c r="D3379" s="740"/>
      <c r="E3379" s="645"/>
      <c r="F3379" s="573"/>
      <c r="G3379" s="487"/>
      <c r="H3379" s="573"/>
      <c r="I3379" s="487"/>
      <c r="J3379" s="573"/>
      <c r="K3379" s="487"/>
      <c r="L3379" s="573"/>
      <c r="M3379" s="573"/>
      <c r="N3379" s="456">
        <f t="shared" si="420"/>
        <v>0</v>
      </c>
      <c r="O3379" s="487"/>
      <c r="P3379" s="487"/>
      <c r="Q3379" s="274">
        <f t="shared" si="415"/>
        <v>0</v>
      </c>
      <c r="R3379" s="574">
        <f t="shared" si="416"/>
        <v>0</v>
      </c>
      <c r="S3379" s="275">
        <f t="shared" si="417"/>
        <v>0</v>
      </c>
      <c r="T3379" s="575"/>
      <c r="U3379" s="487"/>
      <c r="V3379" s="576"/>
      <c r="W3379" s="573"/>
      <c r="X3379" s="574">
        <f t="shared" si="421"/>
        <v>0</v>
      </c>
      <c r="Y3379" s="487"/>
      <c r="Z3379" s="487"/>
      <c r="AA3379" s="276">
        <f t="shared" si="422"/>
        <v>0</v>
      </c>
      <c r="AB3379" s="573"/>
      <c r="AC3379" s="487"/>
      <c r="AD3379" s="573"/>
      <c r="AE3379" s="487"/>
      <c r="AF3379" s="577">
        <f t="shared" si="418"/>
        <v>0</v>
      </c>
      <c r="AG3379" s="275">
        <f t="shared" si="419"/>
        <v>0</v>
      </c>
    </row>
    <row r="3380" spans="1:33" ht="12" customHeight="1">
      <c r="A3380" s="641" t="s">
        <v>1285</v>
      </c>
      <c r="B3380" s="642" t="s">
        <v>1413</v>
      </c>
      <c r="C3380" s="741" t="s">
        <v>1915</v>
      </c>
      <c r="D3380" s="740"/>
      <c r="E3380" s="645"/>
      <c r="F3380" s="573"/>
      <c r="G3380" s="487"/>
      <c r="H3380" s="573"/>
      <c r="I3380" s="487"/>
      <c r="J3380" s="573"/>
      <c r="K3380" s="487"/>
      <c r="L3380" s="573"/>
      <c r="M3380" s="573"/>
      <c r="N3380" s="456">
        <f t="shared" si="420"/>
        <v>0</v>
      </c>
      <c r="O3380" s="487"/>
      <c r="P3380" s="487"/>
      <c r="Q3380" s="274">
        <f t="shared" si="415"/>
        <v>0</v>
      </c>
      <c r="R3380" s="574">
        <f t="shared" si="416"/>
        <v>0</v>
      </c>
      <c r="S3380" s="275">
        <f t="shared" si="417"/>
        <v>0</v>
      </c>
      <c r="T3380" s="575"/>
      <c r="U3380" s="487"/>
      <c r="V3380" s="576"/>
      <c r="W3380" s="573"/>
      <c r="X3380" s="574">
        <f t="shared" si="421"/>
        <v>0</v>
      </c>
      <c r="Y3380" s="487"/>
      <c r="Z3380" s="487"/>
      <c r="AA3380" s="276">
        <f t="shared" si="422"/>
        <v>0</v>
      </c>
      <c r="AB3380" s="573"/>
      <c r="AC3380" s="487"/>
      <c r="AD3380" s="573"/>
      <c r="AE3380" s="487"/>
      <c r="AF3380" s="577">
        <f t="shared" si="418"/>
        <v>0</v>
      </c>
      <c r="AG3380" s="275">
        <f t="shared" si="419"/>
        <v>0</v>
      </c>
    </row>
    <row r="3381" spans="1:33" ht="12" customHeight="1">
      <c r="A3381" s="641" t="s">
        <v>1285</v>
      </c>
      <c r="B3381" s="742" t="s">
        <v>1582</v>
      </c>
      <c r="C3381" s="741" t="s">
        <v>1883</v>
      </c>
      <c r="D3381" s="740"/>
      <c r="E3381" s="645"/>
      <c r="F3381" s="573"/>
      <c r="G3381" s="487"/>
      <c r="H3381" s="573"/>
      <c r="I3381" s="487"/>
      <c r="J3381" s="573"/>
      <c r="K3381" s="487"/>
      <c r="L3381" s="573"/>
      <c r="M3381" s="573"/>
      <c r="N3381" s="456">
        <f t="shared" si="420"/>
        <v>0</v>
      </c>
      <c r="O3381" s="487"/>
      <c r="P3381" s="487"/>
      <c r="Q3381" s="274">
        <f t="shared" si="415"/>
        <v>0</v>
      </c>
      <c r="R3381" s="574">
        <f t="shared" si="416"/>
        <v>0</v>
      </c>
      <c r="S3381" s="275">
        <f t="shared" si="417"/>
        <v>0</v>
      </c>
      <c r="T3381" s="575">
        <v>529229</v>
      </c>
      <c r="U3381" s="487">
        <v>249326</v>
      </c>
      <c r="V3381" s="576"/>
      <c r="W3381" s="573"/>
      <c r="X3381" s="574">
        <f t="shared" si="421"/>
        <v>0</v>
      </c>
      <c r="Y3381" s="487"/>
      <c r="Z3381" s="487"/>
      <c r="AA3381" s="276">
        <f t="shared" si="422"/>
        <v>0</v>
      </c>
      <c r="AB3381" s="573"/>
      <c r="AC3381" s="487"/>
      <c r="AD3381" s="573"/>
      <c r="AE3381" s="487"/>
      <c r="AF3381" s="577">
        <f t="shared" si="418"/>
        <v>529229</v>
      </c>
      <c r="AG3381" s="275">
        <f t="shared" si="419"/>
        <v>249326</v>
      </c>
    </row>
    <row r="3382" spans="1:33" ht="12" customHeight="1">
      <c r="A3382" s="641" t="s">
        <v>1285</v>
      </c>
      <c r="B3382" s="742" t="s">
        <v>1583</v>
      </c>
      <c r="C3382" s="741" t="s">
        <v>1761</v>
      </c>
      <c r="D3382" s="740"/>
      <c r="E3382" s="645"/>
      <c r="F3382" s="573"/>
      <c r="G3382" s="487"/>
      <c r="H3382" s="573"/>
      <c r="I3382" s="487"/>
      <c r="J3382" s="573"/>
      <c r="K3382" s="487"/>
      <c r="L3382" s="573"/>
      <c r="M3382" s="573"/>
      <c r="N3382" s="456">
        <f t="shared" si="420"/>
        <v>0</v>
      </c>
      <c r="O3382" s="487"/>
      <c r="P3382" s="487"/>
      <c r="Q3382" s="274">
        <f t="shared" si="415"/>
        <v>0</v>
      </c>
      <c r="R3382" s="574">
        <f t="shared" si="416"/>
        <v>0</v>
      </c>
      <c r="S3382" s="275">
        <f t="shared" si="417"/>
        <v>0</v>
      </c>
      <c r="T3382" s="575"/>
      <c r="U3382" s="487"/>
      <c r="V3382" s="576"/>
      <c r="W3382" s="573"/>
      <c r="X3382" s="574">
        <f t="shared" si="421"/>
        <v>0</v>
      </c>
      <c r="Y3382" s="487"/>
      <c r="Z3382" s="487"/>
      <c r="AA3382" s="276">
        <f t="shared" si="422"/>
        <v>0</v>
      </c>
      <c r="AB3382" s="573"/>
      <c r="AC3382" s="487"/>
      <c r="AD3382" s="573"/>
      <c r="AE3382" s="487"/>
      <c r="AF3382" s="577">
        <f t="shared" si="418"/>
        <v>0</v>
      </c>
      <c r="AG3382" s="275">
        <f t="shared" si="419"/>
        <v>0</v>
      </c>
    </row>
    <row r="3383" spans="1:33" ht="12" customHeight="1">
      <c r="A3383" s="641" t="s">
        <v>1285</v>
      </c>
      <c r="B3383" s="742" t="s">
        <v>1806</v>
      </c>
      <c r="C3383" s="477" t="s">
        <v>193</v>
      </c>
      <c r="D3383" s="740"/>
      <c r="E3383" s="645"/>
      <c r="F3383" s="573"/>
      <c r="G3383" s="487"/>
      <c r="H3383" s="573"/>
      <c r="I3383" s="487"/>
      <c r="J3383" s="573"/>
      <c r="K3383" s="487"/>
      <c r="L3383" s="573"/>
      <c r="M3383" s="573"/>
      <c r="N3383" s="456">
        <f t="shared" si="420"/>
        <v>0</v>
      </c>
      <c r="O3383" s="487"/>
      <c r="P3383" s="487"/>
      <c r="Q3383" s="274">
        <f t="shared" ref="Q3383:Q3388" si="423">SUM(O3383:P3383)</f>
        <v>0</v>
      </c>
      <c r="R3383" s="574">
        <f t="shared" ref="R3383:R3388" si="424">SUM(F3383,H3383,J3383,L3383)</f>
        <v>0</v>
      </c>
      <c r="S3383" s="275">
        <f t="shared" ref="S3383:S3388" si="425">SUM(G3383,I3383,K3383,O3383)</f>
        <v>0</v>
      </c>
      <c r="T3383" s="575"/>
      <c r="U3383" s="487"/>
      <c r="V3383" s="576"/>
      <c r="W3383" s="573"/>
      <c r="X3383" s="574">
        <f t="shared" si="421"/>
        <v>0</v>
      </c>
      <c r="Y3383" s="487"/>
      <c r="Z3383" s="487"/>
      <c r="AA3383" s="276">
        <f t="shared" si="422"/>
        <v>0</v>
      </c>
      <c r="AB3383" s="573"/>
      <c r="AC3383" s="487"/>
      <c r="AD3383" s="573"/>
      <c r="AE3383" s="487"/>
      <c r="AF3383" s="577">
        <f t="shared" ref="AF3383:AF3388" si="426">SUM(R3383,T3383,V3383,AB3383,AD3383)</f>
        <v>0</v>
      </c>
      <c r="AG3383" s="275">
        <f t="shared" ref="AG3383:AG3388" si="427">SUM(S3383,U3383,Y3383,AC3383,AE3383)</f>
        <v>0</v>
      </c>
    </row>
    <row r="3384" spans="1:33" ht="12" customHeight="1">
      <c r="A3384" s="641" t="s">
        <v>1285</v>
      </c>
      <c r="B3384" s="742" t="s">
        <v>1764</v>
      </c>
      <c r="C3384" s="741" t="s">
        <v>1883</v>
      </c>
      <c r="D3384" s="740"/>
      <c r="E3384" s="645"/>
      <c r="F3384" s="573"/>
      <c r="G3384" s="487"/>
      <c r="H3384" s="573"/>
      <c r="I3384" s="487"/>
      <c r="J3384" s="573"/>
      <c r="K3384" s="487"/>
      <c r="L3384" s="573"/>
      <c r="M3384" s="573"/>
      <c r="N3384" s="456">
        <f t="shared" si="420"/>
        <v>0</v>
      </c>
      <c r="O3384" s="487"/>
      <c r="P3384" s="487"/>
      <c r="Q3384" s="274">
        <f t="shared" si="423"/>
        <v>0</v>
      </c>
      <c r="R3384" s="574">
        <f t="shared" si="424"/>
        <v>0</v>
      </c>
      <c r="S3384" s="275">
        <f t="shared" si="425"/>
        <v>0</v>
      </c>
      <c r="T3384" s="575" t="s">
        <v>1164</v>
      </c>
      <c r="U3384" s="487" t="s">
        <v>1164</v>
      </c>
      <c r="V3384" s="576"/>
      <c r="W3384" s="573"/>
      <c r="X3384" s="574">
        <f t="shared" si="421"/>
        <v>0</v>
      </c>
      <c r="Y3384" s="487"/>
      <c r="Z3384" s="487"/>
      <c r="AA3384" s="276">
        <f t="shared" si="422"/>
        <v>0</v>
      </c>
      <c r="AB3384" s="573"/>
      <c r="AC3384" s="487"/>
      <c r="AD3384" s="573"/>
      <c r="AE3384" s="487"/>
      <c r="AF3384" s="577">
        <f t="shared" si="426"/>
        <v>0</v>
      </c>
      <c r="AG3384" s="275">
        <f t="shared" si="427"/>
        <v>0</v>
      </c>
    </row>
    <row r="3385" spans="1:33" ht="12" customHeight="1">
      <c r="A3385" s="641" t="s">
        <v>1285</v>
      </c>
      <c r="B3385" s="742" t="s">
        <v>1765</v>
      </c>
      <c r="C3385" s="741" t="s">
        <v>1761</v>
      </c>
      <c r="D3385" s="740"/>
      <c r="E3385" s="645"/>
      <c r="F3385" s="573"/>
      <c r="G3385" s="487"/>
      <c r="H3385" s="573"/>
      <c r="I3385" s="487"/>
      <c r="J3385" s="573"/>
      <c r="K3385" s="487"/>
      <c r="L3385" s="573"/>
      <c r="M3385" s="573"/>
      <c r="N3385" s="456">
        <f t="shared" si="420"/>
        <v>0</v>
      </c>
      <c r="O3385" s="487"/>
      <c r="P3385" s="487"/>
      <c r="Q3385" s="274">
        <f t="shared" si="423"/>
        <v>0</v>
      </c>
      <c r="R3385" s="574">
        <f t="shared" si="424"/>
        <v>0</v>
      </c>
      <c r="S3385" s="275">
        <f t="shared" si="425"/>
        <v>0</v>
      </c>
      <c r="T3385" s="575" t="s">
        <v>1164</v>
      </c>
      <c r="U3385" s="487" t="s">
        <v>1164</v>
      </c>
      <c r="V3385" s="576"/>
      <c r="W3385" s="573"/>
      <c r="X3385" s="574">
        <f t="shared" si="421"/>
        <v>0</v>
      </c>
      <c r="Y3385" s="487"/>
      <c r="Z3385" s="487"/>
      <c r="AA3385" s="276">
        <f t="shared" si="422"/>
        <v>0</v>
      </c>
      <c r="AB3385" s="573"/>
      <c r="AC3385" s="487"/>
      <c r="AD3385" s="573"/>
      <c r="AE3385" s="487"/>
      <c r="AF3385" s="577">
        <f t="shared" si="426"/>
        <v>0</v>
      </c>
      <c r="AG3385" s="275">
        <f t="shared" si="427"/>
        <v>0</v>
      </c>
    </row>
    <row r="3386" spans="1:33" ht="12" customHeight="1">
      <c r="A3386" s="641" t="s">
        <v>1285</v>
      </c>
      <c r="B3386" s="742" t="s">
        <v>1806</v>
      </c>
      <c r="C3386" s="477" t="s">
        <v>713</v>
      </c>
      <c r="D3386" s="740"/>
      <c r="E3386" s="645"/>
      <c r="F3386" s="573"/>
      <c r="G3386" s="487"/>
      <c r="H3386" s="573"/>
      <c r="I3386" s="487"/>
      <c r="J3386" s="573"/>
      <c r="K3386" s="487"/>
      <c r="L3386" s="573"/>
      <c r="M3386" s="573"/>
      <c r="N3386" s="456">
        <f t="shared" si="420"/>
        <v>0</v>
      </c>
      <c r="O3386" s="487"/>
      <c r="P3386" s="487"/>
      <c r="Q3386" s="274">
        <f t="shared" si="423"/>
        <v>0</v>
      </c>
      <c r="R3386" s="574">
        <f t="shared" si="424"/>
        <v>0</v>
      </c>
      <c r="S3386" s="275">
        <f t="shared" si="425"/>
        <v>0</v>
      </c>
      <c r="T3386" s="575"/>
      <c r="U3386" s="487"/>
      <c r="V3386" s="576"/>
      <c r="W3386" s="573"/>
      <c r="X3386" s="574">
        <f t="shared" si="421"/>
        <v>0</v>
      </c>
      <c r="Y3386" s="487"/>
      <c r="Z3386" s="487"/>
      <c r="AA3386" s="276">
        <f t="shared" si="422"/>
        <v>0</v>
      </c>
      <c r="AB3386" s="573"/>
      <c r="AC3386" s="487"/>
      <c r="AD3386" s="573"/>
      <c r="AE3386" s="487"/>
      <c r="AF3386" s="577">
        <f t="shared" si="426"/>
        <v>0</v>
      </c>
      <c r="AG3386" s="275">
        <f t="shared" si="427"/>
        <v>0</v>
      </c>
    </row>
    <row r="3387" spans="1:33" ht="12" customHeight="1">
      <c r="A3387" s="641" t="s">
        <v>1285</v>
      </c>
      <c r="B3387" s="742" t="s">
        <v>1764</v>
      </c>
      <c r="C3387" s="741" t="s">
        <v>1883</v>
      </c>
      <c r="D3387" s="740"/>
      <c r="E3387" s="645"/>
      <c r="F3387" s="573"/>
      <c r="G3387" s="487"/>
      <c r="H3387" s="573"/>
      <c r="I3387" s="487"/>
      <c r="J3387" s="573"/>
      <c r="K3387" s="487"/>
      <c r="L3387" s="573"/>
      <c r="M3387" s="573"/>
      <c r="N3387" s="456">
        <f t="shared" si="420"/>
        <v>0</v>
      </c>
      <c r="O3387" s="487"/>
      <c r="P3387" s="487"/>
      <c r="Q3387" s="274">
        <f t="shared" si="423"/>
        <v>0</v>
      </c>
      <c r="R3387" s="574">
        <f t="shared" si="424"/>
        <v>0</v>
      </c>
      <c r="S3387" s="275">
        <f t="shared" si="425"/>
        <v>0</v>
      </c>
      <c r="T3387" s="575" t="s">
        <v>1164</v>
      </c>
      <c r="U3387" s="487" t="s">
        <v>1164</v>
      </c>
      <c r="V3387" s="576"/>
      <c r="W3387" s="573"/>
      <c r="X3387" s="574">
        <f t="shared" si="421"/>
        <v>0</v>
      </c>
      <c r="Y3387" s="487"/>
      <c r="Z3387" s="487"/>
      <c r="AA3387" s="276">
        <f t="shared" si="422"/>
        <v>0</v>
      </c>
      <c r="AB3387" s="573"/>
      <c r="AC3387" s="487"/>
      <c r="AD3387" s="573"/>
      <c r="AE3387" s="487"/>
      <c r="AF3387" s="577">
        <f t="shared" si="426"/>
        <v>0</v>
      </c>
      <c r="AG3387" s="275">
        <f t="shared" si="427"/>
        <v>0</v>
      </c>
    </row>
    <row r="3388" spans="1:33">
      <c r="A3388" s="641" t="s">
        <v>1285</v>
      </c>
      <c r="B3388" s="742" t="s">
        <v>1765</v>
      </c>
      <c r="C3388" s="741" t="s">
        <v>1761</v>
      </c>
      <c r="D3388" s="740"/>
      <c r="E3388" s="645"/>
      <c r="F3388" s="573"/>
      <c r="G3388" s="487"/>
      <c r="H3388" s="573"/>
      <c r="I3388" s="487"/>
      <c r="J3388" s="573"/>
      <c r="K3388" s="487"/>
      <c r="L3388" s="573"/>
      <c r="M3388" s="573"/>
      <c r="N3388" s="456">
        <f t="shared" si="420"/>
        <v>0</v>
      </c>
      <c r="O3388" s="487"/>
      <c r="P3388" s="487"/>
      <c r="Q3388" s="274">
        <f t="shared" si="423"/>
        <v>0</v>
      </c>
      <c r="R3388" s="574">
        <f t="shared" si="424"/>
        <v>0</v>
      </c>
      <c r="S3388" s="275">
        <f t="shared" si="425"/>
        <v>0</v>
      </c>
      <c r="T3388" s="575" t="s">
        <v>1164</v>
      </c>
      <c r="U3388" s="487" t="s">
        <v>1164</v>
      </c>
      <c r="V3388" s="576"/>
      <c r="W3388" s="573"/>
      <c r="X3388" s="574">
        <f t="shared" si="421"/>
        <v>0</v>
      </c>
      <c r="Y3388" s="487"/>
      <c r="Z3388" s="487"/>
      <c r="AA3388" s="276">
        <f t="shared" si="422"/>
        <v>0</v>
      </c>
      <c r="AB3388" s="573"/>
      <c r="AC3388" s="487"/>
      <c r="AD3388" s="573"/>
      <c r="AE3388" s="487"/>
      <c r="AF3388" s="577">
        <f t="shared" si="426"/>
        <v>0</v>
      </c>
      <c r="AG3388" s="275">
        <f t="shared" si="427"/>
        <v>0</v>
      </c>
    </row>
  </sheetData>
  <mergeCells count="37">
    <mergeCell ref="T1905:T1906"/>
    <mergeCell ref="T2249:T2251"/>
    <mergeCell ref="T2259:T2261"/>
    <mergeCell ref="T2267:T2269"/>
    <mergeCell ref="T2240:T2242"/>
    <mergeCell ref="T1860:T1861"/>
    <mergeCell ref="T1869:T1870"/>
    <mergeCell ref="T1878:T1879"/>
    <mergeCell ref="T1887:T1888"/>
    <mergeCell ref="T1896:T1897"/>
    <mergeCell ref="T2859:T2864"/>
    <mergeCell ref="T3025:T3031"/>
    <mergeCell ref="T3043:T3049"/>
    <mergeCell ref="T3097:T3098"/>
    <mergeCell ref="T2276:T2278"/>
    <mergeCell ref="T3101:T3102"/>
    <mergeCell ref="T3079:T3085"/>
    <mergeCell ref="T3088:T3094"/>
    <mergeCell ref="T3034:T3040"/>
    <mergeCell ref="T3052:T3058"/>
    <mergeCell ref="T3061:T3067"/>
    <mergeCell ref="T3070:T3076"/>
    <mergeCell ref="T1677:T1682"/>
    <mergeCell ref="T463:T464"/>
    <mergeCell ref="T490:T494"/>
    <mergeCell ref="T1507:T1508"/>
    <mergeCell ref="T1565:T1566"/>
    <mergeCell ref="T1596:T1597"/>
    <mergeCell ref="T677:T682"/>
    <mergeCell ref="T691:T696"/>
    <mergeCell ref="T708:T713"/>
    <mergeCell ref="T829:T832"/>
    <mergeCell ref="T838:T841"/>
    <mergeCell ref="T845:T850"/>
    <mergeCell ref="T853:T861"/>
    <mergeCell ref="T864:T867"/>
    <mergeCell ref="T873:T876"/>
  </mergeCells>
  <phoneticPr fontId="5" type="noConversion"/>
  <conditionalFormatting sqref="H1050:I1050 G2605:G3426 G1979:G2602 I118:I119 U937:U3426 O1182:P3426 I9:I14 I17 G10:G22 I21:I26 I29 G24:G30 I31:I39 I43 G32:G44 I45:I47 I49 G47:G52 I53:I54 I56 I59 G54:G60 I61:I66 G62:G67 I68:I69 I71 G69:G72 I73:I74 I77 G74:G79 I79:I81 G81:G85 I86:I87 G87:G88 I89:I90 G90:G91 I92:I93 G93:G98 I99:I100 G100:G101 I102:I103 G103:G104 I105 I107 G106:G108 I109:I110 G110:G111 G113:G114 I112:I116 G116:G117 G119:G120 G122:G123 G125:G126 I121:I128 G128:G129 I130:I131 I134 G131:G135 I136:I137 G137:G138 I139:I140 G140:G141 I142:I143 G143:G144 I145:I146 G146:G147 I148:I149 G149:G150 G152:G153 I151:I155 G155:G156 G158:G159 I157:I161 G161:G162 I163:I164 G164:G165 I166:I167 G167:G168 G170:G171 G173:G174 G176:G177 G179:G180 I169:I183 I186 I194 I199 AE9:AE3426 U9:U908 Y9:Z3426 G182:G1976 K9:K3426 O9:P1140 AC9:AC3426 I204:I715 I717:I718 I720 I723 I725:I728 I731:I732 I734:I737 I739:I740 I742:I744 I746 I748 I750:I751 I753 I756:I757 I759:I760 I762:I769 I771:I774 I776:I777 I779:I780 I782:I783 I785:I789 I792 I794:I1198 I1200:I1247 I1249:I1828 I1832:I1834 I1836 I1838:I3426">
    <cfRule type="expression" dxfId="1183" priority="1385" stopIfTrue="1">
      <formula>G9&lt;(F9-(F9*0.05))</formula>
    </cfRule>
    <cfRule type="expression" dxfId="1182" priority="1386" stopIfTrue="1">
      <formula>G9&gt;(F9+(F9*0.05))</formula>
    </cfRule>
  </conditionalFormatting>
  <conditionalFormatting sqref="U909:U910 U912:U921 U923:U936">
    <cfRule type="expression" dxfId="1181" priority="1387" stopIfTrue="1">
      <formula>U909&lt;(T910-(T910*0.05))</formula>
    </cfRule>
    <cfRule type="expression" dxfId="1180" priority="1388" stopIfTrue="1">
      <formula>U909&gt;(T910+(T910*0.05))</formula>
    </cfRule>
  </conditionalFormatting>
  <conditionalFormatting sqref="P1141:P1181 O1174:O1181">
    <cfRule type="expression" dxfId="1179" priority="1389" stopIfTrue="1">
      <formula>O1141&lt;(K1141-(K1141*0.05))</formula>
    </cfRule>
    <cfRule type="expression" dxfId="1178" priority="1390" stopIfTrue="1">
      <formula>O1141&gt;(K1141+(K1141*0.05))</formula>
    </cfRule>
  </conditionalFormatting>
  <conditionalFormatting sqref="G1978 G2358">
    <cfRule type="expression" dxfId="1177" priority="1391" stopIfTrue="1">
      <formula>G1978&lt;(F1977-(F1977*0.05))</formula>
    </cfRule>
    <cfRule type="expression" dxfId="1176" priority="1392" stopIfTrue="1">
      <formula>G1978&gt;(F1977+(F1977*0.05))</formula>
    </cfRule>
  </conditionalFormatting>
  <conditionalFormatting sqref="G1978">
    <cfRule type="expression" dxfId="1175" priority="1377" stopIfTrue="1">
      <formula>G1978&lt;(F1977-(F1977*0.05))</formula>
    </cfRule>
    <cfRule type="expression" dxfId="1174" priority="1378" stopIfTrue="1">
      <formula>G1978&gt;(F1977+(F1977*0.05))</formula>
    </cfRule>
  </conditionalFormatting>
  <conditionalFormatting sqref="O521:P713 U521:U713 G522:G713 Y521:Z713 AC521:AC713 AE521:AE713 K521:K713 I522:I713">
    <cfRule type="expression" dxfId="1173" priority="1375" stopIfTrue="1">
      <formula>G521&lt;(F521-(F521*0.05))</formula>
    </cfRule>
    <cfRule type="expression" dxfId="1172" priority="1376" stopIfTrue="1">
      <formula>G521&gt;(F521+(F521*0.05))</formula>
    </cfRule>
  </conditionalFormatting>
  <conditionalFormatting sqref="G521">
    <cfRule type="expression" dxfId="1171" priority="1373" stopIfTrue="1">
      <formula>G521&lt;(H521-(H521*0.05))</formula>
    </cfRule>
    <cfRule type="expression" dxfId="1170" priority="1374" stopIfTrue="1">
      <formula>G521&gt;(H521+(H521*0.05))</formula>
    </cfRule>
  </conditionalFormatting>
  <conditionalFormatting sqref="O2240:P2247 U2240:U2247 AE2240:AE2247 G2240:G2247">
    <cfRule type="expression" dxfId="1169" priority="1349" stopIfTrue="1">
      <formula>G2240&lt;(F2240-(F2240*0.05))</formula>
    </cfRule>
    <cfRule type="expression" dxfId="1168" priority="1350" stopIfTrue="1">
      <formula>G2240&gt;(F2240+(F2240*0.05))</formula>
    </cfRule>
  </conditionalFormatting>
  <conditionalFormatting sqref="G1220:G1235">
    <cfRule type="expression" dxfId="1167" priority="1241" stopIfTrue="1">
      <formula>G1220&lt;(F1220-(F1220*0.05))</formula>
    </cfRule>
    <cfRule type="expression" dxfId="1166" priority="1242" stopIfTrue="1">
      <formula>G1220&gt;(F1220+(F1220*0.05))</formula>
    </cfRule>
  </conditionalFormatting>
  <conditionalFormatting sqref="G1220:G1235">
    <cfRule type="expression" dxfId="1165" priority="1239" stopIfTrue="1">
      <formula>G1220&lt;(F1220-(F1220*0.05))</formula>
    </cfRule>
    <cfRule type="expression" dxfId="1164" priority="1240" stopIfTrue="1">
      <formula>G1220&gt;(F1220+(F1220*0.05))</formula>
    </cfRule>
  </conditionalFormatting>
  <conditionalFormatting sqref="I1244 AE1244 Y1244:Z1244 AC1244 U1244 O1244:P1244 G1244 K1244">
    <cfRule type="expression" dxfId="1163" priority="1237" stopIfTrue="1">
      <formula>G1244&lt;(F1244-(F1244*0.05))</formula>
    </cfRule>
    <cfRule type="expression" dxfId="1162" priority="1238" stopIfTrue="1">
      <formula>G1244&gt;(F1244+(F1244*0.05))</formula>
    </cfRule>
  </conditionalFormatting>
  <conditionalFormatting sqref="U1244 Y1244:Z1244 AC1244 AE1244 K1244 I1244 O1244:P1244 G1244">
    <cfRule type="expression" dxfId="1161" priority="1235" stopIfTrue="1">
      <formula>G1244&lt;(F1244-(F1244*0.05))</formula>
    </cfRule>
    <cfRule type="expression" dxfId="1160" priority="1236" stopIfTrue="1">
      <formula>G1244&gt;(F1244+(F1244*0.05))</formula>
    </cfRule>
  </conditionalFormatting>
  <conditionalFormatting sqref="I1244">
    <cfRule type="expression" dxfId="1159" priority="1233" stopIfTrue="1">
      <formula>I1244&lt;(H1244-(H1244*0.05))</formula>
    </cfRule>
    <cfRule type="expression" dxfId="1158" priority="1234" stopIfTrue="1">
      <formula>I1244&gt;(H1244+(H1244*0.05))</formula>
    </cfRule>
  </conditionalFormatting>
  <conditionalFormatting sqref="I1239:I1244">
    <cfRule type="expression" dxfId="1157" priority="1231" stopIfTrue="1">
      <formula>I1239&lt;(H1239-(H1239*0.05))</formula>
    </cfRule>
    <cfRule type="expression" dxfId="1156" priority="1232" stopIfTrue="1">
      <formula>I1239&gt;(H1239+(H1239*0.05))</formula>
    </cfRule>
  </conditionalFormatting>
  <conditionalFormatting sqref="I1244">
    <cfRule type="expression" dxfId="1155" priority="1229" stopIfTrue="1">
      <formula>I1244&lt;(H1244-(H1244*0.05))</formula>
    </cfRule>
    <cfRule type="expression" dxfId="1154" priority="1230" stopIfTrue="1">
      <formula>I1244&gt;(H1244+(H1244*0.05))</formula>
    </cfRule>
  </conditionalFormatting>
  <conditionalFormatting sqref="I1239:I1244">
    <cfRule type="expression" dxfId="1153" priority="1227" stopIfTrue="1">
      <formula>I1239&lt;(H1239-(H1239*0.05))</formula>
    </cfRule>
    <cfRule type="expression" dxfId="1152" priority="1228" stopIfTrue="1">
      <formula>I1239&gt;(H1239+(H1239*0.05))</formula>
    </cfRule>
  </conditionalFormatting>
  <conditionalFormatting sqref="I1266">
    <cfRule type="expression" dxfId="1151" priority="1225" stopIfTrue="1">
      <formula>I1266&lt;(H1266-(H1266*0.05))</formula>
    </cfRule>
    <cfRule type="expression" dxfId="1150" priority="1226" stopIfTrue="1">
      <formula>I1266&gt;(H1266+(H1266*0.05))</formula>
    </cfRule>
  </conditionalFormatting>
  <conditionalFormatting sqref="I1266">
    <cfRule type="expression" dxfId="1149" priority="1223" stopIfTrue="1">
      <formula>I1266&lt;(H1266-(H1266*0.05))</formula>
    </cfRule>
    <cfRule type="expression" dxfId="1148" priority="1224" stopIfTrue="1">
      <formula>I1266&gt;(H1266+(H1266*0.05))</formula>
    </cfRule>
  </conditionalFormatting>
  <conditionalFormatting sqref="O1220:O1235">
    <cfRule type="expression" dxfId="1147" priority="1221" stopIfTrue="1">
      <formula>O1220&lt;(N1220-(N1220*0.05))</formula>
    </cfRule>
    <cfRule type="expression" dxfId="1146" priority="1222" stopIfTrue="1">
      <formula>O1220&gt;(N1220+(N1220*0.05))</formula>
    </cfRule>
  </conditionalFormatting>
  <conditionalFormatting sqref="O1220:O1235">
    <cfRule type="expression" dxfId="1145" priority="1219" stopIfTrue="1">
      <formula>O1220&lt;(N1220-(N1220*0.05))</formula>
    </cfRule>
    <cfRule type="expression" dxfId="1144" priority="1220" stopIfTrue="1">
      <formula>O1220&gt;(N1220+(N1220*0.05))</formula>
    </cfRule>
  </conditionalFormatting>
  <conditionalFormatting sqref="U1262">
    <cfRule type="expression" dxfId="1143" priority="1217" stopIfTrue="1">
      <formula>U1262&lt;(T1262-(T1262*0.05))</formula>
    </cfRule>
    <cfRule type="expression" dxfId="1142" priority="1218" stopIfTrue="1">
      <formula>U1262&gt;(T1262+(T1262*0.05))</formula>
    </cfRule>
  </conditionalFormatting>
  <conditionalFormatting sqref="U1262">
    <cfRule type="expression" dxfId="1141" priority="1215" stopIfTrue="1">
      <formula>U1262&lt;(T1262-(T1262*0.05))</formula>
    </cfRule>
    <cfRule type="expression" dxfId="1140" priority="1216" stopIfTrue="1">
      <formula>U1262&gt;(T1262+(T1262*0.05))</formula>
    </cfRule>
  </conditionalFormatting>
  <conditionalFormatting sqref="AC1684">
    <cfRule type="expression" dxfId="1139" priority="1213" stopIfTrue="1">
      <formula>AC1684&lt;(AB1684-(AB1684*0.05))</formula>
    </cfRule>
    <cfRule type="expression" dxfId="1138" priority="1214" stopIfTrue="1">
      <formula>AC1684&gt;(AB1684+(AB1684*0.05))</formula>
    </cfRule>
  </conditionalFormatting>
  <conditionalFormatting sqref="AC1684">
    <cfRule type="expression" dxfId="1137" priority="1211" stopIfTrue="1">
      <formula>AC1684&lt;(AB1684-(AB1684*0.05))</formula>
    </cfRule>
    <cfRule type="expression" dxfId="1136" priority="1212" stopIfTrue="1">
      <formula>AC1684&gt;(AB1684+(AB1684*0.05))</formula>
    </cfRule>
  </conditionalFormatting>
  <conditionalFormatting sqref="AE720:AE733">
    <cfRule type="expression" dxfId="1135" priority="1209" stopIfTrue="1">
      <formula>AE720&lt;(AD720-(AD720*0.05))</formula>
    </cfRule>
    <cfRule type="expression" dxfId="1134" priority="1210" stopIfTrue="1">
      <formula>AE720&gt;(AD720+(AD720*0.05))</formula>
    </cfRule>
  </conditionalFormatting>
  <conditionalFormatting sqref="G720">
    <cfRule type="expression" dxfId="1133" priority="1207" stopIfTrue="1">
      <formula>G720&lt;(F720-(F720*0.05))</formula>
    </cfRule>
    <cfRule type="expression" dxfId="1132" priority="1208" stopIfTrue="1">
      <formula>G720&gt;(F720+(F720*0.05))</formula>
    </cfRule>
  </conditionalFormatting>
  <conditionalFormatting sqref="G731">
    <cfRule type="expression" dxfId="1131" priority="1205" stopIfTrue="1">
      <formula>G731&lt;(F731-(F731*0.05))</formula>
    </cfRule>
    <cfRule type="expression" dxfId="1130" priority="1206" stopIfTrue="1">
      <formula>G731&gt;(F731+(F731*0.05))</formula>
    </cfRule>
  </conditionalFormatting>
  <conditionalFormatting sqref="G739">
    <cfRule type="expression" dxfId="1129" priority="1203" stopIfTrue="1">
      <formula>G739&lt;(F739-(F739*0.05))</formula>
    </cfRule>
    <cfRule type="expression" dxfId="1128" priority="1204" stopIfTrue="1">
      <formula>G739&gt;(F739+(F739*0.05))</formula>
    </cfRule>
  </conditionalFormatting>
  <conditionalFormatting sqref="G750">
    <cfRule type="expression" dxfId="1127" priority="1201" stopIfTrue="1">
      <formula>G750&lt;(F750-(F750*0.05))</formula>
    </cfRule>
    <cfRule type="expression" dxfId="1126" priority="1202" stopIfTrue="1">
      <formula>G750&gt;(F750+(F750*0.05))</formula>
    </cfRule>
  </conditionalFormatting>
  <conditionalFormatting sqref="G759">
    <cfRule type="expression" dxfId="1125" priority="1199" stopIfTrue="1">
      <formula>G759&lt;(F759-(F759*0.05))</formula>
    </cfRule>
    <cfRule type="expression" dxfId="1124" priority="1200" stopIfTrue="1">
      <formula>G759&gt;(F759+(F759*0.05))</formula>
    </cfRule>
  </conditionalFormatting>
  <conditionalFormatting sqref="G714">
    <cfRule type="expression" dxfId="1123" priority="1197" stopIfTrue="1">
      <formula>G714&lt;(F714-(F714*0.05))</formula>
    </cfRule>
    <cfRule type="expression" dxfId="1122" priority="1198" stopIfTrue="1">
      <formula>G714&gt;(F714+(F714*0.05))</formula>
    </cfRule>
  </conditionalFormatting>
  <conditionalFormatting sqref="G768">
    <cfRule type="expression" dxfId="1121" priority="1195" stopIfTrue="1">
      <formula>G768&lt;(F768-(F768*0.05))</formula>
    </cfRule>
    <cfRule type="expression" dxfId="1120" priority="1196" stopIfTrue="1">
      <formula>G768&gt;(F768+(F768*0.05))</formula>
    </cfRule>
  </conditionalFormatting>
  <conditionalFormatting sqref="G773">
    <cfRule type="expression" dxfId="1119" priority="1193" stopIfTrue="1">
      <formula>G773&lt;(F773-(F773*0.05))</formula>
    </cfRule>
    <cfRule type="expression" dxfId="1118" priority="1194" stopIfTrue="1">
      <formula>G773&gt;(F773+(F773*0.05))</formula>
    </cfRule>
  </conditionalFormatting>
  <conditionalFormatting sqref="G776">
    <cfRule type="expression" dxfId="1117" priority="1191" stopIfTrue="1">
      <formula>G776&lt;(F776-(F776*0.05))</formula>
    </cfRule>
    <cfRule type="expression" dxfId="1116" priority="1192" stopIfTrue="1">
      <formula>G776&gt;(F776+(F776*0.05))</formula>
    </cfRule>
  </conditionalFormatting>
  <conditionalFormatting sqref="G779">
    <cfRule type="expression" dxfId="1115" priority="1189" stopIfTrue="1">
      <formula>G779&lt;(F779-(F779*0.05))</formula>
    </cfRule>
    <cfRule type="expression" dxfId="1114" priority="1190" stopIfTrue="1">
      <formula>G779&gt;(F779+(F779*0.05))</formula>
    </cfRule>
  </conditionalFormatting>
  <conditionalFormatting sqref="G782">
    <cfRule type="expression" dxfId="1113" priority="1187" stopIfTrue="1">
      <formula>G782&lt;(F782-(F782*0.05))</formula>
    </cfRule>
    <cfRule type="expression" dxfId="1112" priority="1188" stopIfTrue="1">
      <formula>G782&gt;(F782+(F782*0.05))</formula>
    </cfRule>
  </conditionalFormatting>
  <conditionalFormatting sqref="O738:P738 G738 AC738 K738 AE738 U738 Y738:Z738">
    <cfRule type="expression" dxfId="1107" priority="1181" stopIfTrue="1">
      <formula>G738&lt;(F738-(F738*0.05))</formula>
    </cfRule>
    <cfRule type="expression" dxfId="1106" priority="1182" stopIfTrue="1">
      <formula>G738&gt;(F738+(F738*0.05))</formula>
    </cfRule>
  </conditionalFormatting>
  <conditionalFormatting sqref="O749:P749 G749 AC749 K749 AE749 U749 Y749:Z749">
    <cfRule type="expression" dxfId="1105" priority="1179" stopIfTrue="1">
      <formula>G749&lt;(F749-(F749*0.05))</formula>
    </cfRule>
    <cfRule type="expression" dxfId="1104" priority="1180" stopIfTrue="1">
      <formula>G749&gt;(F749+(F749*0.05))</formula>
    </cfRule>
  </conditionalFormatting>
  <conditionalFormatting sqref="O758:P758 G758 AC758 K758 AE758 U758 Y758:Z758">
    <cfRule type="expression" dxfId="1103" priority="1177" stopIfTrue="1">
      <formula>G758&lt;(F758-(F758*0.05))</formula>
    </cfRule>
    <cfRule type="expression" dxfId="1102" priority="1178" stopIfTrue="1">
      <formula>G758&gt;(F758+(F758*0.05))</formula>
    </cfRule>
  </conditionalFormatting>
  <conditionalFormatting sqref="I763">
    <cfRule type="expression" dxfId="1101" priority="1175" stopIfTrue="1">
      <formula>I763&lt;(H763-(H763*0.05))</formula>
    </cfRule>
    <cfRule type="expression" dxfId="1100" priority="1176" stopIfTrue="1">
      <formula>I763&gt;(H763+(H763*0.05))</formula>
    </cfRule>
  </conditionalFormatting>
  <conditionalFormatting sqref="O767:P767 G767 I767 K767 AE767 U767 Y767:Z767 AC767">
    <cfRule type="expression" dxfId="1099" priority="1173" stopIfTrue="1">
      <formula>G767&lt;(F767-(F767*0.05))</formula>
    </cfRule>
    <cfRule type="expression" dxfId="1098" priority="1174" stopIfTrue="1">
      <formula>G767&gt;(F767+(F767*0.05))</formula>
    </cfRule>
  </conditionalFormatting>
  <conditionalFormatting sqref="O719:P719 G719 AC719 K719 AE719 U719 Y719:Z719">
    <cfRule type="expression" dxfId="1097" priority="1171" stopIfTrue="1">
      <formula>G719&lt;(F719-(F719*0.05))</formula>
    </cfRule>
    <cfRule type="expression" dxfId="1096" priority="1172" stopIfTrue="1">
      <formula>G719&gt;(F719+(F719*0.05))</formula>
    </cfRule>
  </conditionalFormatting>
  <conditionalFormatting sqref="I794">
    <cfRule type="expression" dxfId="1095" priority="1169" stopIfTrue="1">
      <formula>I794&lt;(H794-(H794*0.05))</formula>
    </cfRule>
    <cfRule type="expression" dxfId="1094" priority="1170" stopIfTrue="1">
      <formula>I794&gt;(H794+(H794*0.05))</formula>
    </cfRule>
  </conditionalFormatting>
  <conditionalFormatting sqref="U798">
    <cfRule type="expression" dxfId="1093" priority="1167" stopIfTrue="1">
      <formula>U798&lt;(T798-(T798*0.05))</formula>
    </cfRule>
    <cfRule type="expression" dxfId="1092" priority="1168" stopIfTrue="1">
      <formula>U798&gt;(T798+(T798*0.05))</formula>
    </cfRule>
  </conditionalFormatting>
  <conditionalFormatting sqref="U800">
    <cfRule type="expression" dxfId="1091" priority="1165" stopIfTrue="1">
      <formula>U800&lt;(T800-(T800*0.05))</formula>
    </cfRule>
    <cfRule type="expression" dxfId="1090" priority="1166" stopIfTrue="1">
      <formula>U800&gt;(T800+(T800*0.05))</formula>
    </cfRule>
  </conditionalFormatting>
  <conditionalFormatting sqref="U802:U803">
    <cfRule type="expression" dxfId="1089" priority="1163" stopIfTrue="1">
      <formula>U802&lt;(T802-(T802*0.05))</formula>
    </cfRule>
    <cfRule type="expression" dxfId="1088" priority="1164" stopIfTrue="1">
      <formula>U802&gt;(T802+(T802*0.05))</formula>
    </cfRule>
  </conditionalFormatting>
  <conditionalFormatting sqref="U807:U813">
    <cfRule type="expression" dxfId="1087" priority="1161" stopIfTrue="1">
      <formula>U807&lt;(T807-(T807*0.05))</formula>
    </cfRule>
    <cfRule type="expression" dxfId="1086" priority="1162" stopIfTrue="1">
      <formula>U807&gt;(T807+(T807*0.05))</formula>
    </cfRule>
  </conditionalFormatting>
  <conditionalFormatting sqref="U818:U822">
    <cfRule type="expression" dxfId="1085" priority="1159" stopIfTrue="1">
      <formula>U818&lt;(T818-(T818*0.05))</formula>
    </cfRule>
    <cfRule type="expression" dxfId="1084" priority="1160" stopIfTrue="1">
      <formula>U818&gt;(T818+(T818*0.05))</formula>
    </cfRule>
  </conditionalFormatting>
  <conditionalFormatting sqref="U828">
    <cfRule type="expression" dxfId="1083" priority="1157" stopIfTrue="1">
      <formula>U828&lt;(T828-(T828*0.05))</formula>
    </cfRule>
    <cfRule type="expression" dxfId="1082" priority="1158" stopIfTrue="1">
      <formula>U828&gt;(T828+(T828*0.05))</formula>
    </cfRule>
  </conditionalFormatting>
  <conditionalFormatting sqref="U837">
    <cfRule type="expression" dxfId="1081" priority="1155" stopIfTrue="1">
      <formula>U837&lt;(T837-(T837*0.05))</formula>
    </cfRule>
    <cfRule type="expression" dxfId="1080" priority="1156" stopIfTrue="1">
      <formula>U837&gt;(T837+(T837*0.05))</formula>
    </cfRule>
  </conditionalFormatting>
  <conditionalFormatting sqref="U844">
    <cfRule type="expression" dxfId="1079" priority="1153" stopIfTrue="1">
      <formula>U844&lt;(T844-(T844*0.05))</formula>
    </cfRule>
    <cfRule type="expression" dxfId="1078" priority="1154" stopIfTrue="1">
      <formula>U844&gt;(T844+(T844*0.05))</formula>
    </cfRule>
  </conditionalFormatting>
  <conditionalFormatting sqref="U854">
    <cfRule type="expression" dxfId="1077" priority="1151" stopIfTrue="1">
      <formula>U854&lt;(T853-(T853*0.05))</formula>
    </cfRule>
    <cfRule type="expression" dxfId="1076" priority="1152" stopIfTrue="1">
      <formula>U854&gt;(T853+(T853*0.05))</formula>
    </cfRule>
  </conditionalFormatting>
  <conditionalFormatting sqref="U863">
    <cfRule type="expression" dxfId="1075" priority="1149" stopIfTrue="1">
      <formula>U863&lt;(T863-(T863*0.05))</formula>
    </cfRule>
    <cfRule type="expression" dxfId="1074" priority="1150" stopIfTrue="1">
      <formula>U863&gt;(T863+(T863*0.05))</formula>
    </cfRule>
  </conditionalFormatting>
  <conditionalFormatting sqref="U872">
    <cfRule type="expression" dxfId="1073" priority="1147" stopIfTrue="1">
      <formula>U872&lt;(T872-(T872*0.05))</formula>
    </cfRule>
    <cfRule type="expression" dxfId="1072" priority="1148" stopIfTrue="1">
      <formula>U872&gt;(T872+(T872*0.05))</formula>
    </cfRule>
  </conditionalFormatting>
  <conditionalFormatting sqref="U883">
    <cfRule type="expression" dxfId="1071" priority="1145" stopIfTrue="1">
      <formula>U883&lt;(T883-(T883*0.05))</formula>
    </cfRule>
    <cfRule type="expression" dxfId="1070" priority="1146" stopIfTrue="1">
      <formula>U883&gt;(T883+(T883*0.05))</formula>
    </cfRule>
  </conditionalFormatting>
  <conditionalFormatting sqref="U885">
    <cfRule type="expression" dxfId="1069" priority="1143" stopIfTrue="1">
      <formula>U885&lt;(T885-(T885*0.05))</formula>
    </cfRule>
    <cfRule type="expression" dxfId="1068" priority="1144" stopIfTrue="1">
      <formula>U885&gt;(T885+(T885*0.05))</formula>
    </cfRule>
  </conditionalFormatting>
  <conditionalFormatting sqref="U889">
    <cfRule type="expression" dxfId="1067" priority="1141" stopIfTrue="1">
      <formula>U889&lt;(T889-(T889*0.05))</formula>
    </cfRule>
    <cfRule type="expression" dxfId="1066" priority="1142" stopIfTrue="1">
      <formula>U889&gt;(T889+(T889*0.05))</formula>
    </cfRule>
  </conditionalFormatting>
  <conditionalFormatting sqref="U892">
    <cfRule type="expression" dxfId="1065" priority="1139" stopIfTrue="1">
      <formula>U892&lt;(T892-(T892*0.05))</formula>
    </cfRule>
    <cfRule type="expression" dxfId="1064" priority="1140" stopIfTrue="1">
      <formula>U892&gt;(T892+(T892*0.05))</formula>
    </cfRule>
  </conditionalFormatting>
  <conditionalFormatting sqref="U896">
    <cfRule type="expression" dxfId="1063" priority="1137" stopIfTrue="1">
      <formula>U896&lt;(T896-(T896*0.05))</formula>
    </cfRule>
    <cfRule type="expression" dxfId="1062" priority="1138" stopIfTrue="1">
      <formula>U896&gt;(T896+(T896*0.05))</formula>
    </cfRule>
  </conditionalFormatting>
  <conditionalFormatting sqref="U899">
    <cfRule type="expression" dxfId="1061" priority="1135" stopIfTrue="1">
      <formula>U899&lt;(T899-(T899*0.05))</formula>
    </cfRule>
    <cfRule type="expression" dxfId="1060" priority="1136" stopIfTrue="1">
      <formula>U899&gt;(T899+(T899*0.05))</formula>
    </cfRule>
  </conditionalFormatting>
  <conditionalFormatting sqref="U901">
    <cfRule type="expression" dxfId="1059" priority="1133" stopIfTrue="1">
      <formula>U901&lt;(T901-(T901*0.05))</formula>
    </cfRule>
    <cfRule type="expression" dxfId="1058" priority="1134" stopIfTrue="1">
      <formula>U901&gt;(T901+(T901*0.05))</formula>
    </cfRule>
  </conditionalFormatting>
  <conditionalFormatting sqref="U904">
    <cfRule type="expression" dxfId="1057" priority="1131" stopIfTrue="1">
      <formula>U904&lt;(T904-(T904*0.05))</formula>
    </cfRule>
    <cfRule type="expression" dxfId="1056" priority="1132" stopIfTrue="1">
      <formula>U904&gt;(T904+(T904*0.05))</formula>
    </cfRule>
  </conditionalFormatting>
  <conditionalFormatting sqref="U907">
    <cfRule type="expression" dxfId="1055" priority="1129" stopIfTrue="1">
      <formula>U907&lt;(T907-(T907*0.05))</formula>
    </cfRule>
    <cfRule type="expression" dxfId="1054" priority="1130" stopIfTrue="1">
      <formula>U907&gt;(T907+(T907*0.05))</formula>
    </cfRule>
  </conditionalFormatting>
  <conditionalFormatting sqref="U884">
    <cfRule type="expression" dxfId="1053" priority="1127" stopIfTrue="1">
      <formula>U884&lt;(T885-(T885*0.05))</formula>
    </cfRule>
    <cfRule type="expression" dxfId="1052" priority="1128" stopIfTrue="1">
      <formula>U884&gt;(T885+(T885*0.05))</formula>
    </cfRule>
  </conditionalFormatting>
  <conditionalFormatting sqref="U886:U888">
    <cfRule type="expression" dxfId="1051" priority="1125" stopIfTrue="1">
      <formula>U886&lt;(T887-(T887*0.05))</formula>
    </cfRule>
    <cfRule type="expression" dxfId="1050" priority="1126" stopIfTrue="1">
      <formula>U886&gt;(T887+(T887*0.05))</formula>
    </cfRule>
  </conditionalFormatting>
  <conditionalFormatting sqref="U890:U891">
    <cfRule type="expression" dxfId="1049" priority="1123" stopIfTrue="1">
      <formula>U890&lt;(T891-(T891*0.05))</formula>
    </cfRule>
    <cfRule type="expression" dxfId="1048" priority="1124" stopIfTrue="1">
      <formula>U890&gt;(T891+(T891*0.05))</formula>
    </cfRule>
  </conditionalFormatting>
  <conditionalFormatting sqref="U893:U895">
    <cfRule type="expression" dxfId="1047" priority="1121" stopIfTrue="1">
      <formula>U893&lt;(T894-(T894*0.05))</formula>
    </cfRule>
    <cfRule type="expression" dxfId="1046" priority="1122" stopIfTrue="1">
      <formula>U893&gt;(T894+(T894*0.05))</formula>
    </cfRule>
  </conditionalFormatting>
  <conditionalFormatting sqref="U897:U898">
    <cfRule type="expression" dxfId="1045" priority="1119" stopIfTrue="1">
      <formula>U897&lt;(T898-(T898*0.05))</formula>
    </cfRule>
    <cfRule type="expression" dxfId="1044" priority="1120" stopIfTrue="1">
      <formula>U897&gt;(T898+(T898*0.05))</formula>
    </cfRule>
  </conditionalFormatting>
  <conditionalFormatting sqref="U900">
    <cfRule type="expression" dxfId="1043" priority="1117" stopIfTrue="1">
      <formula>U900&lt;(T901-(T901*0.05))</formula>
    </cfRule>
    <cfRule type="expression" dxfId="1042" priority="1118" stopIfTrue="1">
      <formula>U900&gt;(T901+(T901*0.05))</formula>
    </cfRule>
  </conditionalFormatting>
  <conditionalFormatting sqref="U902:U903">
    <cfRule type="expression" dxfId="1041" priority="1115" stopIfTrue="1">
      <formula>U902&lt;(T903-(T903*0.05))</formula>
    </cfRule>
    <cfRule type="expression" dxfId="1040" priority="1116" stopIfTrue="1">
      <formula>U902&gt;(T903+(T903*0.05))</formula>
    </cfRule>
  </conditionalFormatting>
  <conditionalFormatting sqref="U905:U906">
    <cfRule type="expression" dxfId="1039" priority="1113" stopIfTrue="1">
      <formula>U905&lt;(T906-(T906*0.05))</formula>
    </cfRule>
    <cfRule type="expression" dxfId="1038" priority="1114" stopIfTrue="1">
      <formula>U905&gt;(T906+(T906*0.05))</formula>
    </cfRule>
  </conditionalFormatting>
  <conditionalFormatting sqref="AC742:AC744">
    <cfRule type="expression" dxfId="1037" priority="1111" stopIfTrue="1">
      <formula>AC742&lt;(AB742-(AB742*0.05))</formula>
    </cfRule>
    <cfRule type="expression" dxfId="1036" priority="1112" stopIfTrue="1">
      <formula>AC742&gt;(AB742+(AB742*0.05))</formula>
    </cfRule>
  </conditionalFormatting>
  <conditionalFormatting sqref="AC753">
    <cfRule type="expression" dxfId="1035" priority="1109" stopIfTrue="1">
      <formula>AC753&lt;(AB753-(AB753*0.05))</formula>
    </cfRule>
    <cfRule type="expression" dxfId="1034" priority="1110" stopIfTrue="1">
      <formula>AC753&gt;(AB753+(AB753*0.05))</formula>
    </cfRule>
  </conditionalFormatting>
  <conditionalFormatting sqref="AC717:AC718">
    <cfRule type="expression" dxfId="1033" priority="1107" stopIfTrue="1">
      <formula>AC717&lt;(AB717-(AB717*0.05))</formula>
    </cfRule>
    <cfRule type="expression" dxfId="1032" priority="1108" stopIfTrue="1">
      <formula>AC717&gt;(AB717+(AB717*0.05))</formula>
    </cfRule>
  </conditionalFormatting>
  <conditionalFormatting sqref="AE734">
    <cfRule type="expression" dxfId="1031" priority="1105" stopIfTrue="1">
      <formula>AE734&lt;(AD734-(AD734*0.05))</formula>
    </cfRule>
    <cfRule type="expression" dxfId="1030" priority="1106" stopIfTrue="1">
      <formula>AE734&gt;(AD734+(AD734*0.05))</formula>
    </cfRule>
  </conditionalFormatting>
  <conditionalFormatting sqref="I2295">
    <cfRule type="expression" dxfId="1029" priority="1101" stopIfTrue="1">
      <formula>I2295&lt;(H2295-(H2295*0.05))</formula>
    </cfRule>
    <cfRule type="expression" dxfId="1028" priority="1102" stopIfTrue="1">
      <formula>I2295&gt;(H2295+(H2295*0.05))</formula>
    </cfRule>
  </conditionalFormatting>
  <conditionalFormatting sqref="I2329:I2339">
    <cfRule type="expression" dxfId="1027" priority="1097" stopIfTrue="1">
      <formula>I2329&lt;(H2329-(H2329*0.05))</formula>
    </cfRule>
    <cfRule type="expression" dxfId="1026" priority="1098" stopIfTrue="1">
      <formula>I2329&gt;(H2329+(H2329*0.05))</formula>
    </cfRule>
  </conditionalFormatting>
  <conditionalFormatting sqref="I2319:I2327">
    <cfRule type="expression" dxfId="1025" priority="1095" stopIfTrue="1">
      <formula>I2319&lt;(H2319-(H2319*0.05))</formula>
    </cfRule>
    <cfRule type="expression" dxfId="1024" priority="1096" stopIfTrue="1">
      <formula>I2319&gt;(H2319+(H2319*0.05))</formula>
    </cfRule>
  </conditionalFormatting>
  <conditionalFormatting sqref="I2350:I2355">
    <cfRule type="expression" dxfId="1023" priority="1093" stopIfTrue="1">
      <formula>I2350&lt;(H2350-(H2350*0.05))</formula>
    </cfRule>
    <cfRule type="expression" dxfId="1022" priority="1094" stopIfTrue="1">
      <formula>I2350&gt;(H2350+(H2350*0.05))</formula>
    </cfRule>
  </conditionalFormatting>
  <conditionalFormatting sqref="I2365:I2372">
    <cfRule type="expression" dxfId="1021" priority="1091" stopIfTrue="1">
      <formula>I2365&lt;(H2365-(H2365*0.05))</formula>
    </cfRule>
    <cfRule type="expression" dxfId="1020" priority="1092" stopIfTrue="1">
      <formula>I2365&gt;(H2365+(H2365*0.05))</formula>
    </cfRule>
  </conditionalFormatting>
  <conditionalFormatting sqref="I2381:I2384">
    <cfRule type="expression" dxfId="1019" priority="1087" stopIfTrue="1">
      <formula>I2381&lt;(H2381-(H2381*0.05))</formula>
    </cfRule>
    <cfRule type="expression" dxfId="1018" priority="1088" stopIfTrue="1">
      <formula>I2381&gt;(H2381+(H2381*0.05))</formula>
    </cfRule>
  </conditionalFormatting>
  <conditionalFormatting sqref="I2424">
    <cfRule type="expression" dxfId="1017" priority="1079" stopIfTrue="1">
      <formula>I2424&lt;(H2424-(H2424*0.05))</formula>
    </cfRule>
    <cfRule type="expression" dxfId="1016" priority="1080" stopIfTrue="1">
      <formula>I2424&gt;(H2424+(H2424*0.05))</formula>
    </cfRule>
  </conditionalFormatting>
  <conditionalFormatting sqref="I2449:I2452">
    <cfRule type="expression" dxfId="1015" priority="1077" stopIfTrue="1">
      <formula>I2449&lt;(H2449-(H2449*0.05))</formula>
    </cfRule>
    <cfRule type="expression" dxfId="1014" priority="1078" stopIfTrue="1">
      <formula>I2449&gt;(H2449+(H2449*0.05))</formula>
    </cfRule>
  </conditionalFormatting>
  <conditionalFormatting sqref="I2467:I2472">
    <cfRule type="expression" dxfId="1013" priority="1073" stopIfTrue="1">
      <formula>I2467&lt;(H2467-(H2467*0.05))</formula>
    </cfRule>
    <cfRule type="expression" dxfId="1012" priority="1074" stopIfTrue="1">
      <formula>I2467&gt;(H2467+(H2467*0.05))</formula>
    </cfRule>
  </conditionalFormatting>
  <conditionalFormatting sqref="I2483">
    <cfRule type="expression" dxfId="1011" priority="1071" stopIfTrue="1">
      <formula>I2483&lt;(H2483-(H2483*0.05))</formula>
    </cfRule>
    <cfRule type="expression" dxfId="1010" priority="1072" stopIfTrue="1">
      <formula>I2483&gt;(H2483+(H2483*0.05))</formula>
    </cfRule>
  </conditionalFormatting>
  <conditionalFormatting sqref="I2486:I2493">
    <cfRule type="expression" dxfId="1009" priority="1069" stopIfTrue="1">
      <formula>I2486&lt;(H2486-(H2486*0.05))</formula>
    </cfRule>
    <cfRule type="expression" dxfId="1008" priority="1070" stopIfTrue="1">
      <formula>I2486&gt;(H2486+(H2486*0.05))</formula>
    </cfRule>
  </conditionalFormatting>
  <conditionalFormatting sqref="I2496:I2503">
    <cfRule type="expression" dxfId="1007" priority="1067" stopIfTrue="1">
      <formula>I2496&lt;(H2496-(H2496*0.05))</formula>
    </cfRule>
    <cfRule type="expression" dxfId="1006" priority="1068" stopIfTrue="1">
      <formula>I2496&gt;(H2496+(H2496*0.05))</formula>
    </cfRule>
  </conditionalFormatting>
  <conditionalFormatting sqref="G2496">
    <cfRule type="expression" dxfId="1005" priority="1065" stopIfTrue="1">
      <formula>G2496&lt;(F2496-(F2496*0.05))</formula>
    </cfRule>
    <cfRule type="expression" dxfId="1004" priority="1066" stopIfTrue="1">
      <formula>G2496&gt;(F2496+(F2496*0.05))</formula>
    </cfRule>
  </conditionalFormatting>
  <conditionalFormatting sqref="I2507:I2512">
    <cfRule type="expression" dxfId="1003" priority="1063" stopIfTrue="1">
      <formula>I2507&lt;(H2507-(H2507*0.05))</formula>
    </cfRule>
    <cfRule type="expression" dxfId="1002" priority="1064" stopIfTrue="1">
      <formula>I2507&gt;(H2507+(H2507*0.05))</formula>
    </cfRule>
  </conditionalFormatting>
  <conditionalFormatting sqref="I2523:I2529">
    <cfRule type="expression" dxfId="1001" priority="1061" stopIfTrue="1">
      <formula>I2523&lt;(H2523-(H2523*0.05))</formula>
    </cfRule>
    <cfRule type="expression" dxfId="1000" priority="1062" stopIfTrue="1">
      <formula>I2523&gt;(H2523+(H2523*0.05))</formula>
    </cfRule>
  </conditionalFormatting>
  <conditionalFormatting sqref="I2532:I2539">
    <cfRule type="expression" dxfId="999" priority="1059" stopIfTrue="1">
      <formula>I2532&lt;(H2532-(H2532*0.05))</formula>
    </cfRule>
    <cfRule type="expression" dxfId="998" priority="1060" stopIfTrue="1">
      <formula>I2532&gt;(H2532+(H2532*0.05))</formula>
    </cfRule>
  </conditionalFormatting>
  <conditionalFormatting sqref="I2542:I2544">
    <cfRule type="expression" dxfId="997" priority="1057" stopIfTrue="1">
      <formula>I2542&lt;(H2542-(H2542*0.05))</formula>
    </cfRule>
    <cfRule type="expression" dxfId="996" priority="1058" stopIfTrue="1">
      <formula>I2542&gt;(H2542+(H2542*0.05))</formula>
    </cfRule>
  </conditionalFormatting>
  <conditionalFormatting sqref="I2545:I2547">
    <cfRule type="expression" dxfId="995" priority="1055" stopIfTrue="1">
      <formula>I2545&lt;(H2545-(H2545*0.05))</formula>
    </cfRule>
    <cfRule type="expression" dxfId="994" priority="1056" stopIfTrue="1">
      <formula>I2545&gt;(H2545+(H2545*0.05))</formula>
    </cfRule>
  </conditionalFormatting>
  <conditionalFormatting sqref="I2550:I2556">
    <cfRule type="expression" dxfId="993" priority="1053" stopIfTrue="1">
      <formula>I2550&lt;(H2550-(H2550*0.05))</formula>
    </cfRule>
    <cfRule type="expression" dxfId="992" priority="1054" stopIfTrue="1">
      <formula>I2550&gt;(H2550+(H2550*0.05))</formula>
    </cfRule>
  </conditionalFormatting>
  <conditionalFormatting sqref="I2559:I2565">
    <cfRule type="expression" dxfId="991" priority="1051" stopIfTrue="1">
      <formula>I2559&lt;(H2559-(H2559*0.05))</formula>
    </cfRule>
    <cfRule type="expression" dxfId="990" priority="1052" stopIfTrue="1">
      <formula>I2559&gt;(H2559+(H2559*0.05))</formula>
    </cfRule>
  </conditionalFormatting>
  <conditionalFormatting sqref="I2569:I2574">
    <cfRule type="expression" dxfId="989" priority="1049" stopIfTrue="1">
      <formula>I2569&lt;(H2569-(H2569*0.05))</formula>
    </cfRule>
    <cfRule type="expression" dxfId="988" priority="1050" stopIfTrue="1">
      <formula>I2569&gt;(H2569+(H2569*0.05))</formula>
    </cfRule>
  </conditionalFormatting>
  <conditionalFormatting sqref="I2577:I2582">
    <cfRule type="expression" dxfId="987" priority="1047" stopIfTrue="1">
      <formula>I2577&lt;(H2577-(H2577*0.05))</formula>
    </cfRule>
    <cfRule type="expression" dxfId="986" priority="1048" stopIfTrue="1">
      <formula>I2577&gt;(H2577+(H2577*0.05))</formula>
    </cfRule>
  </conditionalFormatting>
  <conditionalFormatting sqref="I2585:I2591">
    <cfRule type="expression" dxfId="985" priority="1045" stopIfTrue="1">
      <formula>I2585&lt;(H2585-(H2585*0.05))</formula>
    </cfRule>
    <cfRule type="expression" dxfId="984" priority="1046" stopIfTrue="1">
      <formula>I2585&gt;(H2585+(H2585*0.05))</formula>
    </cfRule>
  </conditionalFormatting>
  <conditionalFormatting sqref="I2515:I2520">
    <cfRule type="expression" dxfId="983" priority="1043" stopIfTrue="1">
      <formula>I2515&lt;(H2515-(H2515*0.05))</formula>
    </cfRule>
    <cfRule type="expression" dxfId="982" priority="1044" stopIfTrue="1">
      <formula>I2515&gt;(H2515+(H2515*0.05))</formula>
    </cfRule>
  </conditionalFormatting>
  <conditionalFormatting sqref="U1065:U1066">
    <cfRule type="expression" dxfId="981" priority="1039" stopIfTrue="1">
      <formula>U1065&lt;(T1065-(T1065*0.05))</formula>
    </cfRule>
    <cfRule type="expression" dxfId="980" priority="1040" stopIfTrue="1">
      <formula>U1065&gt;(T1065+(T1065*0.05))</formula>
    </cfRule>
  </conditionalFormatting>
  <conditionalFormatting sqref="G2291:G2292">
    <cfRule type="expression" dxfId="979" priority="1037" stopIfTrue="1">
      <formula>G2291&lt;(F2291-(F2291*0.05))</formula>
    </cfRule>
    <cfRule type="expression" dxfId="978" priority="1038" stopIfTrue="1">
      <formula>G2291&gt;(F2291+(F2291*0.05))</formula>
    </cfRule>
  </conditionalFormatting>
  <conditionalFormatting sqref="G2292">
    <cfRule type="expression" dxfId="977" priority="1035" stopIfTrue="1">
      <formula>G2292&lt;(F2292-(F2292*0.05))</formula>
    </cfRule>
    <cfRule type="expression" dxfId="976" priority="1036" stopIfTrue="1">
      <formula>G2292&gt;(F2292+(F2292*0.05))</formula>
    </cfRule>
  </conditionalFormatting>
  <conditionalFormatting sqref="I2314">
    <cfRule type="expression" dxfId="975" priority="1033" stopIfTrue="1">
      <formula>I2314&lt;(H2314-(H2314*0.05))</formula>
    </cfRule>
    <cfRule type="expression" dxfId="974" priority="1034" stopIfTrue="1">
      <formula>I2314&gt;(H2314+(H2314*0.05))</formula>
    </cfRule>
  </conditionalFormatting>
  <conditionalFormatting sqref="I2298:I2300">
    <cfRule type="expression" dxfId="973" priority="1031" stopIfTrue="1">
      <formula>I2298&lt;(H2298-(H2298*0.05))</formula>
    </cfRule>
    <cfRule type="expression" dxfId="972" priority="1032" stopIfTrue="1">
      <formula>I2298&gt;(H2298+(H2298*0.05))</formula>
    </cfRule>
  </conditionalFormatting>
  <conditionalFormatting sqref="G2316">
    <cfRule type="expression" dxfId="971" priority="1029" stopIfTrue="1">
      <formula>G2316&lt;(F2316-(F2316*0.05))</formula>
    </cfRule>
    <cfRule type="expression" dxfId="970" priority="1030" stopIfTrue="1">
      <formula>G2316&gt;(F2316+(F2316*0.05))</formula>
    </cfRule>
  </conditionalFormatting>
  <conditionalFormatting sqref="I2339">
    <cfRule type="expression" dxfId="969" priority="1025" stopIfTrue="1">
      <formula>I2339&lt;(H2339-(H2339*0.05))</formula>
    </cfRule>
    <cfRule type="expression" dxfId="968" priority="1026" stopIfTrue="1">
      <formula>I2339&gt;(H2339+(H2339*0.05))</formula>
    </cfRule>
  </conditionalFormatting>
  <conditionalFormatting sqref="I2320">
    <cfRule type="expression" dxfId="967" priority="1023" stopIfTrue="1">
      <formula>I2320&lt;(H2320-(H2320*0.05))</formula>
    </cfRule>
    <cfRule type="expression" dxfId="966" priority="1024" stopIfTrue="1">
      <formula>I2320&gt;(H2320+(H2320*0.05))</formula>
    </cfRule>
  </conditionalFormatting>
  <conditionalFormatting sqref="I2322">
    <cfRule type="expression" dxfId="965" priority="1021" stopIfTrue="1">
      <formula>I2322&lt;(H2322-(H2322*0.05))</formula>
    </cfRule>
    <cfRule type="expression" dxfId="964" priority="1022" stopIfTrue="1">
      <formula>I2322&gt;(H2322+(H2322*0.05))</formula>
    </cfRule>
  </conditionalFormatting>
  <conditionalFormatting sqref="I2323">
    <cfRule type="expression" dxfId="963" priority="1019" stopIfTrue="1">
      <formula>I2323&lt;(H2323-(H2323*0.05))</formula>
    </cfRule>
    <cfRule type="expression" dxfId="962" priority="1020" stopIfTrue="1">
      <formula>I2323&gt;(H2323+(H2323*0.05))</formula>
    </cfRule>
  </conditionalFormatting>
  <conditionalFormatting sqref="I2325:I2326">
    <cfRule type="expression" dxfId="961" priority="1017" stopIfTrue="1">
      <formula>I2325&lt;(H2325-(H2325*0.05))</formula>
    </cfRule>
    <cfRule type="expression" dxfId="960" priority="1018" stopIfTrue="1">
      <formula>I2325&gt;(H2325+(H2325*0.05))</formula>
    </cfRule>
  </conditionalFormatting>
  <conditionalFormatting sqref="G2346">
    <cfRule type="expression" dxfId="959" priority="1015" stopIfTrue="1">
      <formula>G2346&lt;(F2346-(F2346*0.05))</formula>
    </cfRule>
    <cfRule type="expression" dxfId="958" priority="1016" stopIfTrue="1">
      <formula>G2346&gt;(F2346+(F2346*0.05))</formula>
    </cfRule>
  </conditionalFormatting>
  <conditionalFormatting sqref="G2348:G2349">
    <cfRule type="expression" dxfId="957" priority="1013" stopIfTrue="1">
      <formula>G2348&lt;(F2348-(F2348*0.05))</formula>
    </cfRule>
    <cfRule type="expression" dxfId="956" priority="1014" stopIfTrue="1">
      <formula>G2348&gt;(F2348+(F2348*0.05))</formula>
    </cfRule>
  </conditionalFormatting>
  <conditionalFormatting sqref="I2353">
    <cfRule type="expression" dxfId="955" priority="1011" stopIfTrue="1">
      <formula>I2353&lt;(H2353-(H2353*0.05))</formula>
    </cfRule>
    <cfRule type="expression" dxfId="954" priority="1012" stopIfTrue="1">
      <formula>I2353&gt;(H2353+(H2353*0.05))</formula>
    </cfRule>
  </conditionalFormatting>
  <conditionalFormatting sqref="G2356">
    <cfRule type="expression" dxfId="953" priority="1009" stopIfTrue="1">
      <formula>G2356&lt;(F2356-(F2356*0.05))</formula>
    </cfRule>
    <cfRule type="expression" dxfId="952" priority="1010" stopIfTrue="1">
      <formula>G2356&gt;(F2356+(F2356*0.05))</formula>
    </cfRule>
  </conditionalFormatting>
  <conditionalFormatting sqref="I2372">
    <cfRule type="expression" dxfId="951" priority="1005" stopIfTrue="1">
      <formula>I2372&lt;(H2372-(H2372*0.05))</formula>
    </cfRule>
    <cfRule type="expression" dxfId="950" priority="1006" stopIfTrue="1">
      <formula>I2372&gt;(H2372+(H2372*0.05))</formula>
    </cfRule>
  </conditionalFormatting>
  <conditionalFormatting sqref="G2377">
    <cfRule type="expression" dxfId="949" priority="1003" stopIfTrue="1">
      <formula>G2377&lt;(F2377-(F2377*0.05))</formula>
    </cfRule>
    <cfRule type="expression" dxfId="948" priority="1004" stopIfTrue="1">
      <formula>G2377&gt;(F2377+(F2377*0.05))</formula>
    </cfRule>
  </conditionalFormatting>
  <conditionalFormatting sqref="G2379:G2380">
    <cfRule type="expression" dxfId="947" priority="1001" stopIfTrue="1">
      <formula>G2379&lt;(F2379-(F2379*0.05))</formula>
    </cfRule>
    <cfRule type="expression" dxfId="946" priority="1002" stopIfTrue="1">
      <formula>G2379&gt;(F2379+(F2379*0.05))</formula>
    </cfRule>
  </conditionalFormatting>
  <conditionalFormatting sqref="I2384">
    <cfRule type="expression" dxfId="945" priority="999" stopIfTrue="1">
      <formula>I2384&lt;(H2384-(H2384*0.05))</formula>
    </cfRule>
    <cfRule type="expression" dxfId="944" priority="1000" stopIfTrue="1">
      <formula>I2384&gt;(H2384+(H2384*0.05))</formula>
    </cfRule>
  </conditionalFormatting>
  <conditionalFormatting sqref="G2385">
    <cfRule type="expression" dxfId="943" priority="997" stopIfTrue="1">
      <formula>G2385&lt;(F2385-(F2385*0.05))</formula>
    </cfRule>
    <cfRule type="expression" dxfId="942" priority="998" stopIfTrue="1">
      <formula>G2385&gt;(F2385+(F2385*0.05))</formula>
    </cfRule>
  </conditionalFormatting>
  <conditionalFormatting sqref="I2405">
    <cfRule type="expression" dxfId="941" priority="993" stopIfTrue="1">
      <formula>I2405&lt;(H2405-(H2405*0.05))</formula>
    </cfRule>
    <cfRule type="expression" dxfId="940" priority="994" stopIfTrue="1">
      <formula>I2405&gt;(H2405+(H2405*0.05))</formula>
    </cfRule>
  </conditionalFormatting>
  <conditionalFormatting sqref="G2406">
    <cfRule type="expression" dxfId="939" priority="991" stopIfTrue="1">
      <formula>G2406&lt;(F2406-(F2406*0.05))</formula>
    </cfRule>
    <cfRule type="expression" dxfId="938" priority="992" stopIfTrue="1">
      <formula>G2406&gt;(F2406+(F2406*0.05))</formula>
    </cfRule>
  </conditionalFormatting>
  <conditionalFormatting sqref="G2408:G2409">
    <cfRule type="expression" dxfId="937" priority="989" stopIfTrue="1">
      <formula>G2408&lt;(F2408-(F2408*0.05))</formula>
    </cfRule>
    <cfRule type="expression" dxfId="936" priority="990" stopIfTrue="1">
      <formula>G2408&gt;(F2408+(F2408*0.05))</formula>
    </cfRule>
  </conditionalFormatting>
  <conditionalFormatting sqref="I2414">
    <cfRule type="expression" dxfId="935" priority="987" stopIfTrue="1">
      <formula>I2414&lt;(H2414-(H2414*0.05))</formula>
    </cfRule>
    <cfRule type="expression" dxfId="934" priority="988" stopIfTrue="1">
      <formula>I2414&gt;(H2414+(H2414*0.05))</formula>
    </cfRule>
  </conditionalFormatting>
  <conditionalFormatting sqref="G2417">
    <cfRule type="expression" dxfId="933" priority="985" stopIfTrue="1">
      <formula>G2417&lt;(F2417-(F2417*0.05))</formula>
    </cfRule>
    <cfRule type="expression" dxfId="932" priority="986" stopIfTrue="1">
      <formula>G2417&gt;(F2417+(F2417*0.05))</formula>
    </cfRule>
  </conditionalFormatting>
  <conditionalFormatting sqref="I2430">
    <cfRule type="expression" dxfId="931" priority="981" stopIfTrue="1">
      <formula>I2430&lt;(H2430-(H2430*0.05))</formula>
    </cfRule>
    <cfRule type="expression" dxfId="930" priority="982" stopIfTrue="1">
      <formula>I2430&gt;(H2430+(H2430*0.05))</formula>
    </cfRule>
  </conditionalFormatting>
  <conditionalFormatting sqref="I2436:I2437">
    <cfRule type="expression" dxfId="929" priority="979" stopIfTrue="1">
      <formula>I2436&lt;(H2436-(H2436*0.05))</formula>
    </cfRule>
    <cfRule type="expression" dxfId="928" priority="980" stopIfTrue="1">
      <formula>I2436&gt;(H2436+(H2436*0.05))</formula>
    </cfRule>
  </conditionalFormatting>
  <conditionalFormatting sqref="I2424">
    <cfRule type="expression" dxfId="927" priority="977" stopIfTrue="1">
      <formula>I2424&lt;(H2424-(H2424*0.05))</formula>
    </cfRule>
    <cfRule type="expression" dxfId="926" priority="978" stopIfTrue="1">
      <formula>I2424&gt;(H2424+(H2424*0.05))</formula>
    </cfRule>
  </conditionalFormatting>
  <conditionalFormatting sqref="I2438:I2444">
    <cfRule type="expression" dxfId="925" priority="975" stopIfTrue="1">
      <formula>I2438&lt;(H2438-(H2438*0.05))</formula>
    </cfRule>
    <cfRule type="expression" dxfId="924" priority="976" stopIfTrue="1">
      <formula>I2438&gt;(H2438+(H2438*0.05))</formula>
    </cfRule>
  </conditionalFormatting>
  <conditionalFormatting sqref="G2444">
    <cfRule type="expression" dxfId="923" priority="973" stopIfTrue="1">
      <formula>G2444&lt;(F2444-(F2444*0.05))</formula>
    </cfRule>
    <cfRule type="expression" dxfId="922" priority="974" stopIfTrue="1">
      <formula>G2444&gt;(F2444+(F2444*0.05))</formula>
    </cfRule>
  </conditionalFormatting>
  <conditionalFormatting sqref="G2447:G2448">
    <cfRule type="expression" dxfId="921" priority="971" stopIfTrue="1">
      <formula>G2447&lt;(F2447-(F2447*0.05))</formula>
    </cfRule>
    <cfRule type="expression" dxfId="920" priority="972" stopIfTrue="1">
      <formula>G2447&gt;(F2447+(F2447*0.05))</formula>
    </cfRule>
  </conditionalFormatting>
  <conditionalFormatting sqref="I2452">
    <cfRule type="expression" dxfId="919" priority="969" stopIfTrue="1">
      <formula>I2452&lt;(H2452-(H2452*0.05))</formula>
    </cfRule>
    <cfRule type="expression" dxfId="918" priority="970" stopIfTrue="1">
      <formula>I2452&gt;(H2452+(H2452*0.05))</formula>
    </cfRule>
  </conditionalFormatting>
  <conditionalFormatting sqref="G2453">
    <cfRule type="expression" dxfId="917" priority="967" stopIfTrue="1">
      <formula>G2453&lt;(F2453-(F2453*0.05))</formula>
    </cfRule>
    <cfRule type="expression" dxfId="916" priority="968" stopIfTrue="1">
      <formula>G2453&gt;(F2453+(F2453*0.05))</formula>
    </cfRule>
  </conditionalFormatting>
  <conditionalFormatting sqref="G2455:G2456">
    <cfRule type="expression" dxfId="915" priority="965" stopIfTrue="1">
      <formula>G2455&lt;(F2455-(F2455*0.05))</formula>
    </cfRule>
    <cfRule type="expression" dxfId="914" priority="966" stopIfTrue="1">
      <formula>G2455&gt;(F2455+(F2455*0.05))</formula>
    </cfRule>
  </conditionalFormatting>
  <conditionalFormatting sqref="G2462">
    <cfRule type="expression" dxfId="913" priority="961" stopIfTrue="1">
      <formula>G2462&lt;(F2462-(F2462*0.05))</formula>
    </cfRule>
    <cfRule type="expression" dxfId="912" priority="962" stopIfTrue="1">
      <formula>G2462&gt;(F2462+(F2462*0.05))</formula>
    </cfRule>
  </conditionalFormatting>
  <conditionalFormatting sqref="G2465:G2466">
    <cfRule type="expression" dxfId="911" priority="959" stopIfTrue="1">
      <formula>G2465&lt;(F2465-(F2465*0.05))</formula>
    </cfRule>
    <cfRule type="expression" dxfId="910" priority="960" stopIfTrue="1">
      <formula>G2465&gt;(F2465+(F2465*0.05))</formula>
    </cfRule>
  </conditionalFormatting>
  <conditionalFormatting sqref="I2467">
    <cfRule type="expression" dxfId="909" priority="957" stopIfTrue="1">
      <formula>I2467&lt;(H2467-(H2467*0.05))</formula>
    </cfRule>
    <cfRule type="expression" dxfId="908" priority="958" stopIfTrue="1">
      <formula>I2467&gt;(H2467+(H2467*0.05))</formula>
    </cfRule>
  </conditionalFormatting>
  <conditionalFormatting sqref="I2472">
    <cfRule type="expression" dxfId="907" priority="955" stopIfTrue="1">
      <formula>I2472&lt;(H2472-(H2472*0.05))</formula>
    </cfRule>
    <cfRule type="expression" dxfId="906" priority="956" stopIfTrue="1">
      <formula>I2472&gt;(H2472+(H2472*0.05))</formula>
    </cfRule>
  </conditionalFormatting>
  <conditionalFormatting sqref="G2473">
    <cfRule type="expression" dxfId="905" priority="953" stopIfTrue="1">
      <formula>G2473&lt;(F2473-(F2473*0.05))</formula>
    </cfRule>
    <cfRule type="expression" dxfId="904" priority="954" stopIfTrue="1">
      <formula>G2473&gt;(F2473+(F2473*0.05))</formula>
    </cfRule>
  </conditionalFormatting>
  <conditionalFormatting sqref="I2483">
    <cfRule type="expression" dxfId="903" priority="949" stopIfTrue="1">
      <formula>I2483&lt;(H2483-(H2483*0.05))</formula>
    </cfRule>
    <cfRule type="expression" dxfId="902" priority="950" stopIfTrue="1">
      <formula>I2483&gt;(H2483+(H2483*0.05))</formula>
    </cfRule>
  </conditionalFormatting>
  <conditionalFormatting sqref="G2484:G2485">
    <cfRule type="expression" dxfId="901" priority="947" stopIfTrue="1">
      <formula>G2484&lt;(F2484-(F2484*0.05))</formula>
    </cfRule>
    <cfRule type="expression" dxfId="900" priority="948" stopIfTrue="1">
      <formula>G2484&gt;(F2484+(F2484*0.05))</formula>
    </cfRule>
  </conditionalFormatting>
  <conditionalFormatting sqref="I2491:I2493">
    <cfRule type="expression" dxfId="899" priority="945" stopIfTrue="1">
      <formula>I2491&lt;(H2491-(H2491*0.05))</formula>
    </cfRule>
    <cfRule type="expression" dxfId="898" priority="946" stopIfTrue="1">
      <formula>I2491&gt;(H2491+(H2491*0.05))</formula>
    </cfRule>
  </conditionalFormatting>
  <conditionalFormatting sqref="G2494:G2495">
    <cfRule type="expression" dxfId="897" priority="943" stopIfTrue="1">
      <formula>G2494&lt;(F2494-(F2494*0.05))</formula>
    </cfRule>
    <cfRule type="expression" dxfId="896" priority="944" stopIfTrue="1">
      <formula>G2494&gt;(F2494+(F2494*0.05))</formula>
    </cfRule>
  </conditionalFormatting>
  <conditionalFormatting sqref="G2496">
    <cfRule type="expression" dxfId="895" priority="941" stopIfTrue="1">
      <formula>G2496&lt;(F2496-(F2496*0.05))</formula>
    </cfRule>
    <cfRule type="expression" dxfId="894" priority="942" stopIfTrue="1">
      <formula>G2496&gt;(F2496+(F2496*0.05))</formula>
    </cfRule>
  </conditionalFormatting>
  <conditionalFormatting sqref="I2497">
    <cfRule type="expression" dxfId="893" priority="939" stopIfTrue="1">
      <formula>I2497&lt;(H2497-(H2497*0.05))</formula>
    </cfRule>
    <cfRule type="expression" dxfId="892" priority="940" stopIfTrue="1">
      <formula>I2497&gt;(H2497+(H2497*0.05))</formula>
    </cfRule>
  </conditionalFormatting>
  <conditionalFormatting sqref="I2501:I2503">
    <cfRule type="expression" dxfId="891" priority="937" stopIfTrue="1">
      <formula>I2501&lt;(H2501-(H2501*0.05))</formula>
    </cfRule>
    <cfRule type="expression" dxfId="890" priority="938" stopIfTrue="1">
      <formula>I2501&gt;(H2501+(H2501*0.05))</formula>
    </cfRule>
  </conditionalFormatting>
  <conditionalFormatting sqref="G2504:G2505">
    <cfRule type="expression" dxfId="889" priority="935" stopIfTrue="1">
      <formula>G2504&lt;(F2504-(F2504*0.05))</formula>
    </cfRule>
    <cfRule type="expression" dxfId="888" priority="936" stopIfTrue="1">
      <formula>G2504&gt;(F2504+(F2504*0.05))</formula>
    </cfRule>
  </conditionalFormatting>
  <conditionalFormatting sqref="G2506">
    <cfRule type="expression" dxfId="887" priority="933" stopIfTrue="1">
      <formula>G2506&lt;(F2506-(F2506*0.05))</formula>
    </cfRule>
    <cfRule type="expression" dxfId="886" priority="934" stopIfTrue="1">
      <formula>G2506&gt;(F2506+(F2506*0.05))</formula>
    </cfRule>
  </conditionalFormatting>
  <conditionalFormatting sqref="I2507">
    <cfRule type="expression" dxfId="885" priority="931" stopIfTrue="1">
      <formula>I2507&lt;(H2507-(H2507*0.05))</formula>
    </cfRule>
    <cfRule type="expression" dxfId="884" priority="932" stopIfTrue="1">
      <formula>I2507&gt;(H2507+(H2507*0.05))</formula>
    </cfRule>
  </conditionalFormatting>
  <conditionalFormatting sqref="I2511:I2512">
    <cfRule type="expression" dxfId="883" priority="929" stopIfTrue="1">
      <formula>I2511&lt;(H2511-(H2511*0.05))</formula>
    </cfRule>
    <cfRule type="expression" dxfId="882" priority="930" stopIfTrue="1">
      <formula>I2511&gt;(H2511+(H2511*0.05))</formula>
    </cfRule>
  </conditionalFormatting>
  <conditionalFormatting sqref="G2521:G2522">
    <cfRule type="expression" dxfId="881" priority="927" stopIfTrue="1">
      <formula>G2521&lt;(F2521-(F2521*0.05))</formula>
    </cfRule>
    <cfRule type="expression" dxfId="880" priority="928" stopIfTrue="1">
      <formula>G2521&gt;(F2521+(F2521*0.05))</formula>
    </cfRule>
  </conditionalFormatting>
  <conditionalFormatting sqref="I2523">
    <cfRule type="expression" dxfId="879" priority="925" stopIfTrue="1">
      <formula>I2523&lt;(H2523-(H2523*0.05))</formula>
    </cfRule>
    <cfRule type="expression" dxfId="878" priority="926" stopIfTrue="1">
      <formula>I2523&gt;(H2523+(H2523*0.05))</formula>
    </cfRule>
  </conditionalFormatting>
  <conditionalFormatting sqref="I2527:I2529">
    <cfRule type="expression" dxfId="877" priority="923" stopIfTrue="1">
      <formula>I2527&lt;(H2527-(H2527*0.05))</formula>
    </cfRule>
    <cfRule type="expression" dxfId="876" priority="924" stopIfTrue="1">
      <formula>I2527&gt;(H2527+(H2527*0.05))</formula>
    </cfRule>
  </conditionalFormatting>
  <conditionalFormatting sqref="G2530:G2531">
    <cfRule type="expression" dxfId="875" priority="921" stopIfTrue="1">
      <formula>G2530&lt;(F2530-(F2530*0.05))</formula>
    </cfRule>
    <cfRule type="expression" dxfId="874" priority="922" stopIfTrue="1">
      <formula>G2530&gt;(F2530+(F2530*0.05))</formula>
    </cfRule>
  </conditionalFormatting>
  <conditionalFormatting sqref="I2532">
    <cfRule type="expression" dxfId="873" priority="919" stopIfTrue="1">
      <formula>I2532&lt;(H2532-(H2532*0.05))</formula>
    </cfRule>
    <cfRule type="expression" dxfId="872" priority="920" stopIfTrue="1">
      <formula>I2532&gt;(H2532+(H2532*0.05))</formula>
    </cfRule>
  </conditionalFormatting>
  <conditionalFormatting sqref="I2533">
    <cfRule type="expression" dxfId="871" priority="917" stopIfTrue="1">
      <formula>I2533&lt;(H2533-(H2533*0.05))</formula>
    </cfRule>
    <cfRule type="expression" dxfId="870" priority="918" stopIfTrue="1">
      <formula>I2533&gt;(H2533+(H2533*0.05))</formula>
    </cfRule>
  </conditionalFormatting>
  <conditionalFormatting sqref="I2534">
    <cfRule type="expression" dxfId="869" priority="915" stopIfTrue="1">
      <formula>I2534&lt;(H2534-(H2534*0.05))</formula>
    </cfRule>
    <cfRule type="expression" dxfId="868" priority="916" stopIfTrue="1">
      <formula>I2534&gt;(H2534+(H2534*0.05))</formula>
    </cfRule>
  </conditionalFormatting>
  <conditionalFormatting sqref="I2538:I2539">
    <cfRule type="expression" dxfId="867" priority="913" stopIfTrue="1">
      <formula>I2538&lt;(H2538-(H2538*0.05))</formula>
    </cfRule>
    <cfRule type="expression" dxfId="866" priority="914" stopIfTrue="1">
      <formula>I2538&gt;(H2538+(H2538*0.05))</formula>
    </cfRule>
  </conditionalFormatting>
  <conditionalFormatting sqref="G2540:G2541">
    <cfRule type="expression" dxfId="865" priority="911" stopIfTrue="1">
      <formula>G2540&lt;(F2540-(F2540*0.05))</formula>
    </cfRule>
    <cfRule type="expression" dxfId="864" priority="912" stopIfTrue="1">
      <formula>G2540&gt;(F2540+(F2540*0.05))</formula>
    </cfRule>
  </conditionalFormatting>
  <conditionalFormatting sqref="I2542">
    <cfRule type="expression" dxfId="863" priority="909" stopIfTrue="1">
      <formula>I2542&lt;(H2542-(H2542*0.05))</formula>
    </cfRule>
    <cfRule type="expression" dxfId="862" priority="910" stopIfTrue="1">
      <formula>I2542&gt;(H2542+(H2542*0.05))</formula>
    </cfRule>
  </conditionalFormatting>
  <conditionalFormatting sqref="I2546:I2547">
    <cfRule type="expression" dxfId="861" priority="907" stopIfTrue="1">
      <formula>I2546&lt;(H2546-(H2546*0.05))</formula>
    </cfRule>
    <cfRule type="expression" dxfId="860" priority="908" stopIfTrue="1">
      <formula>I2546&gt;(H2546+(H2546*0.05))</formula>
    </cfRule>
  </conditionalFormatting>
  <conditionalFormatting sqref="G2548:G2549">
    <cfRule type="expression" dxfId="859" priority="905" stopIfTrue="1">
      <formula>G2548&lt;(F2548-(F2548*0.05))</formula>
    </cfRule>
    <cfRule type="expression" dxfId="858" priority="906" stopIfTrue="1">
      <formula>G2548&gt;(F2548+(F2548*0.05))</formula>
    </cfRule>
  </conditionalFormatting>
  <conditionalFormatting sqref="I2550">
    <cfRule type="expression" dxfId="857" priority="903" stopIfTrue="1">
      <formula>I2550&lt;(H2550-(H2550*0.05))</formula>
    </cfRule>
    <cfRule type="expression" dxfId="856" priority="904" stopIfTrue="1">
      <formula>I2550&gt;(H2550+(H2550*0.05))</formula>
    </cfRule>
  </conditionalFormatting>
  <conditionalFormatting sqref="I2554:I2556">
    <cfRule type="expression" dxfId="855" priority="901" stopIfTrue="1">
      <formula>I2554&lt;(H2554-(H2554*0.05))</formula>
    </cfRule>
    <cfRule type="expression" dxfId="854" priority="902" stopIfTrue="1">
      <formula>I2554&gt;(H2554+(H2554*0.05))</formula>
    </cfRule>
  </conditionalFormatting>
  <conditionalFormatting sqref="G2557:G2558">
    <cfRule type="expression" dxfId="853" priority="899" stopIfTrue="1">
      <formula>G2557&lt;(F2557-(F2557*0.05))</formula>
    </cfRule>
    <cfRule type="expression" dxfId="852" priority="900" stopIfTrue="1">
      <formula>G2557&gt;(F2557+(F2557*0.05))</formula>
    </cfRule>
  </conditionalFormatting>
  <conditionalFormatting sqref="I2559">
    <cfRule type="expression" dxfId="851" priority="897" stopIfTrue="1">
      <formula>I2559&lt;(H2559-(H2559*0.05))</formula>
    </cfRule>
    <cfRule type="expression" dxfId="850" priority="898" stopIfTrue="1">
      <formula>I2559&gt;(H2559+(H2559*0.05))</formula>
    </cfRule>
  </conditionalFormatting>
  <conditionalFormatting sqref="I2563:I2565">
    <cfRule type="expression" dxfId="849" priority="895" stopIfTrue="1">
      <formula>I2563&lt;(H2563-(H2563*0.05))</formula>
    </cfRule>
    <cfRule type="expression" dxfId="848" priority="896" stopIfTrue="1">
      <formula>I2563&gt;(H2563+(H2563*0.05))</formula>
    </cfRule>
  </conditionalFormatting>
  <conditionalFormatting sqref="G2566:G2567">
    <cfRule type="expression" dxfId="847" priority="893" stopIfTrue="1">
      <formula>G2566&lt;(F2566-(F2566*0.05))</formula>
    </cfRule>
    <cfRule type="expression" dxfId="846" priority="894" stopIfTrue="1">
      <formula>G2566&gt;(F2566+(F2566*0.05))</formula>
    </cfRule>
  </conditionalFormatting>
  <conditionalFormatting sqref="G2568">
    <cfRule type="expression" dxfId="845" priority="891" stopIfTrue="1">
      <formula>G2568&lt;(F2568-(F2568*0.05))</formula>
    </cfRule>
    <cfRule type="expression" dxfId="844" priority="892" stopIfTrue="1">
      <formula>G2568&gt;(F2568+(F2568*0.05))</formula>
    </cfRule>
  </conditionalFormatting>
  <conditionalFormatting sqref="I2569">
    <cfRule type="expression" dxfId="843" priority="889" stopIfTrue="1">
      <formula>I2569&lt;(H2569-(H2569*0.05))</formula>
    </cfRule>
    <cfRule type="expression" dxfId="842" priority="890" stopIfTrue="1">
      <formula>I2569&gt;(H2569+(H2569*0.05))</formula>
    </cfRule>
  </conditionalFormatting>
  <conditionalFormatting sqref="I2573:I2574">
    <cfRule type="expression" dxfId="841" priority="887" stopIfTrue="1">
      <formula>I2573&lt;(H2573-(H2573*0.05))</formula>
    </cfRule>
    <cfRule type="expression" dxfId="840" priority="888" stopIfTrue="1">
      <formula>I2573&gt;(H2573+(H2573*0.05))</formula>
    </cfRule>
  </conditionalFormatting>
  <conditionalFormatting sqref="G2575:G2576">
    <cfRule type="expression" dxfId="839" priority="885" stopIfTrue="1">
      <formula>G2575&lt;(F2575-(F2575*0.05))</formula>
    </cfRule>
    <cfRule type="expression" dxfId="838" priority="886" stopIfTrue="1">
      <formula>G2575&gt;(F2575+(F2575*0.05))</formula>
    </cfRule>
  </conditionalFormatting>
  <conditionalFormatting sqref="I2577">
    <cfRule type="expression" dxfId="837" priority="883" stopIfTrue="1">
      <formula>I2577&lt;(H2577-(H2577*0.05))</formula>
    </cfRule>
    <cfRule type="expression" dxfId="836" priority="884" stopIfTrue="1">
      <formula>I2577&gt;(H2577+(H2577*0.05))</formula>
    </cfRule>
  </conditionalFormatting>
  <conditionalFormatting sqref="I2581:I2582">
    <cfRule type="expression" dxfId="835" priority="881" stopIfTrue="1">
      <formula>I2581&lt;(H2581-(H2581*0.05))</formula>
    </cfRule>
    <cfRule type="expression" dxfId="834" priority="882" stopIfTrue="1">
      <formula>I2581&gt;(H2581+(H2581*0.05))</formula>
    </cfRule>
  </conditionalFormatting>
  <conditionalFormatting sqref="G2583:G2584">
    <cfRule type="expression" dxfId="833" priority="879" stopIfTrue="1">
      <formula>G2583&lt;(F2583-(F2583*0.05))</formula>
    </cfRule>
    <cfRule type="expression" dxfId="832" priority="880" stopIfTrue="1">
      <formula>G2583&gt;(F2583+(F2583*0.05))</formula>
    </cfRule>
  </conditionalFormatting>
  <conditionalFormatting sqref="I2585">
    <cfRule type="expression" dxfId="831" priority="877" stopIfTrue="1">
      <formula>I2585&lt;(H2585-(H2585*0.05))</formula>
    </cfRule>
    <cfRule type="expression" dxfId="830" priority="878" stopIfTrue="1">
      <formula>I2585&gt;(H2585+(H2585*0.05))</formula>
    </cfRule>
  </conditionalFormatting>
  <conditionalFormatting sqref="I2589:I2591">
    <cfRule type="expression" dxfId="829" priority="875" stopIfTrue="1">
      <formula>I2589&lt;(H2589-(H2589*0.05))</formula>
    </cfRule>
    <cfRule type="expression" dxfId="828" priority="876" stopIfTrue="1">
      <formula>I2589&gt;(H2589+(H2589*0.05))</formula>
    </cfRule>
  </conditionalFormatting>
  <conditionalFormatting sqref="G2513:G2514">
    <cfRule type="expression" dxfId="827" priority="873" stopIfTrue="1">
      <formula>G2513&lt;(F2513-(F2513*0.05))</formula>
    </cfRule>
    <cfRule type="expression" dxfId="826" priority="874" stopIfTrue="1">
      <formula>G2513&gt;(F2513+(F2513*0.05))</formula>
    </cfRule>
  </conditionalFormatting>
  <conditionalFormatting sqref="I2515">
    <cfRule type="expression" dxfId="825" priority="871" stopIfTrue="1">
      <formula>I2515&lt;(H2515-(H2515*0.05))</formula>
    </cfRule>
    <cfRule type="expression" dxfId="824" priority="872" stopIfTrue="1">
      <formula>I2515&gt;(H2515+(H2515*0.05))</formula>
    </cfRule>
  </conditionalFormatting>
  <conditionalFormatting sqref="I2519:I2520">
    <cfRule type="expression" dxfId="823" priority="869" stopIfTrue="1">
      <formula>I2519&lt;(H2519-(H2519*0.05))</formula>
    </cfRule>
    <cfRule type="expression" dxfId="822" priority="870" stopIfTrue="1">
      <formula>I2519&gt;(H2519+(H2519*0.05))</formula>
    </cfRule>
  </conditionalFormatting>
  <conditionalFormatting sqref="G2592:G2593">
    <cfRule type="expression" dxfId="821" priority="867" stopIfTrue="1">
      <formula>G2592&lt;(F2592-(F2592*0.05))</formula>
    </cfRule>
    <cfRule type="expression" dxfId="820" priority="868" stopIfTrue="1">
      <formula>G2592&gt;(F2592+(F2592*0.05))</formula>
    </cfRule>
  </conditionalFormatting>
  <conditionalFormatting sqref="I2594">
    <cfRule type="expression" dxfId="819" priority="865" stopIfTrue="1">
      <formula>I2594&lt;(H2594-(H2594*0.05))</formula>
    </cfRule>
    <cfRule type="expression" dxfId="818" priority="866" stopIfTrue="1">
      <formula>I2594&gt;(H2594+(H2594*0.05))</formula>
    </cfRule>
  </conditionalFormatting>
  <conditionalFormatting sqref="I2596:I2597">
    <cfRule type="expression" dxfId="817" priority="863" stopIfTrue="1">
      <formula>I2596&lt;(H2596-(H2596*0.05))</formula>
    </cfRule>
    <cfRule type="expression" dxfId="816" priority="864" stopIfTrue="1">
      <formula>I2596&gt;(H2596+(H2596*0.05))</formula>
    </cfRule>
  </conditionalFormatting>
  <conditionalFormatting sqref="G2598:G2599">
    <cfRule type="expression" dxfId="815" priority="861" stopIfTrue="1">
      <formula>G2598&lt;(F2598-(F2598*0.05))</formula>
    </cfRule>
    <cfRule type="expression" dxfId="814" priority="862" stopIfTrue="1">
      <formula>G2598&gt;(F2598+(F2598*0.05))</formula>
    </cfRule>
  </conditionalFormatting>
  <conditionalFormatting sqref="I2600">
    <cfRule type="expression" dxfId="813" priority="859" stopIfTrue="1">
      <formula>I2600&lt;(H2600-(H2600*0.05))</formula>
    </cfRule>
    <cfRule type="expression" dxfId="812" priority="860" stopIfTrue="1">
      <formula>I2600&gt;(H2600+(H2600*0.05))</formula>
    </cfRule>
  </conditionalFormatting>
  <conditionalFormatting sqref="I2603:I2604">
    <cfRule type="expression" dxfId="811" priority="857" stopIfTrue="1">
      <formula>I2603&lt;(H2603-(H2603*0.05))</formula>
    </cfRule>
    <cfRule type="expression" dxfId="810" priority="858" stopIfTrue="1">
      <formula>I2603&gt;(H2603+(H2603*0.05))</formula>
    </cfRule>
  </conditionalFormatting>
  <conditionalFormatting sqref="G2603:G2604">
    <cfRule type="expression" dxfId="809" priority="855" stopIfTrue="1">
      <formula>G2603&lt;(F2603-(F2603*0.05))</formula>
    </cfRule>
    <cfRule type="expression" dxfId="808" priority="856" stopIfTrue="1">
      <formula>G2603&gt;(F2603+(F2603*0.05))</formula>
    </cfRule>
  </conditionalFormatting>
  <conditionalFormatting sqref="G2604:G2606">
    <cfRule type="expression" dxfId="807" priority="853" stopIfTrue="1">
      <formula>G2604&lt;(F2604-(F2604*0.05))</formula>
    </cfRule>
    <cfRule type="expression" dxfId="806" priority="854" stopIfTrue="1">
      <formula>G2604&gt;(F2604+(F2604*0.05))</formula>
    </cfRule>
  </conditionalFormatting>
  <conditionalFormatting sqref="I2607">
    <cfRule type="expression" dxfId="805" priority="851" stopIfTrue="1">
      <formula>I2607&lt;(H2607-(H2607*0.05))</formula>
    </cfRule>
    <cfRule type="expression" dxfId="804" priority="852" stopIfTrue="1">
      <formula>I2607&gt;(H2607+(H2607*0.05))</formula>
    </cfRule>
  </conditionalFormatting>
  <conditionalFormatting sqref="I2611:I2613">
    <cfRule type="expression" dxfId="803" priority="849" stopIfTrue="1">
      <formula>I2611&lt;(H2611-(H2611*0.05))</formula>
    </cfRule>
    <cfRule type="expression" dxfId="802" priority="850" stopIfTrue="1">
      <formula>I2611&gt;(H2611+(H2611*0.05))</formula>
    </cfRule>
  </conditionalFormatting>
  <conditionalFormatting sqref="G2614 G2617:G2618">
    <cfRule type="expression" dxfId="801" priority="847" stopIfTrue="1">
      <formula>G2614&lt;(F2614-(F2614*0.05))</formula>
    </cfRule>
    <cfRule type="expression" dxfId="800" priority="848" stopIfTrue="1">
      <formula>G2614&gt;(F2614+(F2614*0.05))</formula>
    </cfRule>
  </conditionalFormatting>
  <conditionalFormatting sqref="G2618">
    <cfRule type="expression" dxfId="799" priority="845" stopIfTrue="1">
      <formula>G2618&lt;(F2618-(F2618*0.05))</formula>
    </cfRule>
    <cfRule type="expression" dxfId="798" priority="846" stopIfTrue="1">
      <formula>G2618&gt;(F2618+(F2618*0.05))</formula>
    </cfRule>
  </conditionalFormatting>
  <conditionalFormatting sqref="G2616">
    <cfRule type="expression" dxfId="797" priority="843" stopIfTrue="1">
      <formula>G2616&lt;(F2616-(F2616*0.05))</formula>
    </cfRule>
    <cfRule type="expression" dxfId="796" priority="844" stopIfTrue="1">
      <formula>G2616&gt;(F2616+(F2616*0.05))</formula>
    </cfRule>
  </conditionalFormatting>
  <conditionalFormatting sqref="I2622:I2623">
    <cfRule type="expression" dxfId="795" priority="841" stopIfTrue="1">
      <formula>I2622&lt;(H2622-(H2622*0.05))</formula>
    </cfRule>
    <cfRule type="expression" dxfId="794" priority="842" stopIfTrue="1">
      <formula>I2622&gt;(H2622+(H2622*0.05))</formula>
    </cfRule>
  </conditionalFormatting>
  <conditionalFormatting sqref="G2624">
    <cfRule type="expression" dxfId="793" priority="839" stopIfTrue="1">
      <formula>G2624&lt;(F2624-(F2624*0.05))</formula>
    </cfRule>
    <cfRule type="expression" dxfId="792" priority="840" stopIfTrue="1">
      <formula>G2624&gt;(F2624+(F2624*0.05))</formula>
    </cfRule>
  </conditionalFormatting>
  <conditionalFormatting sqref="I2632">
    <cfRule type="expression" dxfId="791" priority="835" stopIfTrue="1">
      <formula>I2632&lt;(H2632-(H2632*0.05))</formula>
    </cfRule>
    <cfRule type="expression" dxfId="790" priority="836" stopIfTrue="1">
      <formula>I2632&gt;(H2632+(H2632*0.05))</formula>
    </cfRule>
  </conditionalFormatting>
  <conditionalFormatting sqref="G2633">
    <cfRule type="expression" dxfId="789" priority="833" stopIfTrue="1">
      <formula>G2633&lt;(F2633-(F2633*0.05))</formula>
    </cfRule>
    <cfRule type="expression" dxfId="788" priority="834" stopIfTrue="1">
      <formula>G2633&gt;(F2633+(F2633*0.05))</formula>
    </cfRule>
  </conditionalFormatting>
  <conditionalFormatting sqref="G2635:G2636">
    <cfRule type="expression" dxfId="787" priority="831" stopIfTrue="1">
      <formula>G2635&lt;(F2635-(F2635*0.05))</formula>
    </cfRule>
    <cfRule type="expression" dxfId="786" priority="832" stopIfTrue="1">
      <formula>G2635&gt;(F2635+(F2635*0.05))</formula>
    </cfRule>
  </conditionalFormatting>
  <conditionalFormatting sqref="I2639">
    <cfRule type="expression" dxfId="785" priority="829" stopIfTrue="1">
      <formula>I2639&lt;(H2639-(H2639*0.05))</formula>
    </cfRule>
    <cfRule type="expression" dxfId="784" priority="830" stopIfTrue="1">
      <formula>I2639&gt;(H2639+(H2639*0.05))</formula>
    </cfRule>
  </conditionalFormatting>
  <conditionalFormatting sqref="G2640">
    <cfRule type="expression" dxfId="783" priority="827" stopIfTrue="1">
      <formula>G2640&lt;(F2640-(F2640*0.05))</formula>
    </cfRule>
    <cfRule type="expression" dxfId="782" priority="828" stopIfTrue="1">
      <formula>G2640&gt;(F2640+(F2640*0.05))</formula>
    </cfRule>
  </conditionalFormatting>
  <conditionalFormatting sqref="G2642:G2643">
    <cfRule type="expression" dxfId="781" priority="825" stopIfTrue="1">
      <formula>G2642&lt;(F2642-(F2642*0.05))</formula>
    </cfRule>
    <cfRule type="expression" dxfId="780" priority="826" stopIfTrue="1">
      <formula>G2642&gt;(F2642+(F2642*0.05))</formula>
    </cfRule>
  </conditionalFormatting>
  <conditionalFormatting sqref="I2646">
    <cfRule type="expression" dxfId="779" priority="823" stopIfTrue="1">
      <formula>I2646&lt;(H2646-(H2646*0.05))</formula>
    </cfRule>
    <cfRule type="expression" dxfId="778" priority="824" stopIfTrue="1">
      <formula>I2646&gt;(H2646+(H2646*0.05))</formula>
    </cfRule>
  </conditionalFormatting>
  <conditionalFormatting sqref="I2649">
    <cfRule type="expression" dxfId="777" priority="821" stopIfTrue="1">
      <formula>I2649&lt;(H2649-(H2649*0.05))</formula>
    </cfRule>
    <cfRule type="expression" dxfId="776" priority="822" stopIfTrue="1">
      <formula>I2649&gt;(H2649+(H2649*0.05))</formula>
    </cfRule>
  </conditionalFormatting>
  <conditionalFormatting sqref="I2652:I2654">
    <cfRule type="expression" dxfId="775" priority="819" stopIfTrue="1">
      <formula>I2652&lt;(H2652-(H2652*0.05))</formula>
    </cfRule>
    <cfRule type="expression" dxfId="774" priority="820" stopIfTrue="1">
      <formula>I2652&gt;(H2652+(H2652*0.05))</formula>
    </cfRule>
  </conditionalFormatting>
  <conditionalFormatting sqref="I2671">
    <cfRule type="expression" dxfId="773" priority="817" stopIfTrue="1">
      <formula>I2671&lt;(H2671-(H2671*0.05))</formula>
    </cfRule>
    <cfRule type="expression" dxfId="772" priority="818" stopIfTrue="1">
      <formula>I2671&gt;(H2671+(H2671*0.05))</formula>
    </cfRule>
  </conditionalFormatting>
  <conditionalFormatting sqref="I2678:I2680">
    <cfRule type="expression" dxfId="771" priority="815" stopIfTrue="1">
      <formula>I2678&lt;(H2678-(H2678*0.05))</formula>
    </cfRule>
    <cfRule type="expression" dxfId="770" priority="816" stopIfTrue="1">
      <formula>I2678&gt;(H2678+(H2678*0.05))</formula>
    </cfRule>
  </conditionalFormatting>
  <conditionalFormatting sqref="I2680">
    <cfRule type="expression" dxfId="769" priority="813" stopIfTrue="1">
      <formula>I2680&lt;(H2680-(H2680*0.05))</formula>
    </cfRule>
    <cfRule type="expression" dxfId="768" priority="814" stopIfTrue="1">
      <formula>I2680&gt;(H2680+(H2680*0.05))</formula>
    </cfRule>
  </conditionalFormatting>
  <conditionalFormatting sqref="U2692:U2693">
    <cfRule type="expression" dxfId="767" priority="811" stopIfTrue="1">
      <formula>U2692&lt;(T2692-(T2692*0.05))</formula>
    </cfRule>
    <cfRule type="expression" dxfId="766" priority="812" stopIfTrue="1">
      <formula>U2692&gt;(T2692+(T2692*0.05))</formula>
    </cfRule>
  </conditionalFormatting>
  <conditionalFormatting sqref="U2703:U2704">
    <cfRule type="expression" dxfId="765" priority="809" stopIfTrue="1">
      <formula>U2703&lt;(T2703-(T2703*0.05))</formula>
    </cfRule>
    <cfRule type="expression" dxfId="764" priority="810" stopIfTrue="1">
      <formula>U2703&gt;(T2703+(T2703*0.05))</formula>
    </cfRule>
  </conditionalFormatting>
  <conditionalFormatting sqref="U2703:U2704">
    <cfRule type="expression" dxfId="763" priority="807" stopIfTrue="1">
      <formula>U2703&lt;(S2703-(S2703*0.05))</formula>
    </cfRule>
    <cfRule type="expression" dxfId="762" priority="808" stopIfTrue="1">
      <formula>U2703&gt;(S2703+(S2703*0.05))</formula>
    </cfRule>
  </conditionalFormatting>
  <conditionalFormatting sqref="U2762">
    <cfRule type="expression" dxfId="761" priority="805" stopIfTrue="1">
      <formula>U2762&lt;(T2762-(T2762*0.05))</formula>
    </cfRule>
    <cfRule type="expression" dxfId="760" priority="806" stopIfTrue="1">
      <formula>U2762&gt;(T2762+(T2762*0.05))</formula>
    </cfRule>
  </conditionalFormatting>
  <conditionalFormatting sqref="U2764:U2765">
    <cfRule type="expression" dxfId="759" priority="803" stopIfTrue="1">
      <formula>U2764&lt;(T2764-(T2764*0.05))</formula>
    </cfRule>
    <cfRule type="expression" dxfId="758" priority="804" stopIfTrue="1">
      <formula>U2764&gt;(T2764+(T2764*0.05))</formula>
    </cfRule>
  </conditionalFormatting>
  <conditionalFormatting sqref="U2769">
    <cfRule type="expression" dxfId="757" priority="801" stopIfTrue="1">
      <formula>U2769&lt;(T2769-(T2769*0.05))</formula>
    </cfRule>
    <cfRule type="expression" dxfId="756" priority="802" stopIfTrue="1">
      <formula>U2769&gt;(T2769+(T2769*0.05))</formula>
    </cfRule>
  </conditionalFormatting>
  <conditionalFormatting sqref="AC2344">
    <cfRule type="expression" dxfId="755" priority="799" stopIfTrue="1">
      <formula>AC2344&lt;(AB2344-(AB2344*0.05))</formula>
    </cfRule>
    <cfRule type="expression" dxfId="754" priority="800" stopIfTrue="1">
      <formula>AC2344&gt;(AB2344+(AB2344*0.05))</formula>
    </cfRule>
  </conditionalFormatting>
  <conditionalFormatting sqref="AC2655">
    <cfRule type="expression" dxfId="753" priority="797" stopIfTrue="1">
      <formula>AC2655&lt;(AB2655-(AB2655*0.05))</formula>
    </cfRule>
    <cfRule type="expression" dxfId="752" priority="798" stopIfTrue="1">
      <formula>AC2655&gt;(AB2655+(AB2655*0.05))</formula>
    </cfRule>
  </conditionalFormatting>
  <conditionalFormatting sqref="AC2656">
    <cfRule type="expression" dxfId="751" priority="795" stopIfTrue="1">
      <formula>AC2656&lt;(AB2656-(AB2656*0.05))</formula>
    </cfRule>
    <cfRule type="expression" dxfId="750" priority="796" stopIfTrue="1">
      <formula>AC2656&gt;(AB2656+(AB2656*0.05))</formula>
    </cfRule>
  </conditionalFormatting>
  <conditionalFormatting sqref="AC2659:AC2660">
    <cfRule type="expression" dxfId="749" priority="793" stopIfTrue="1">
      <formula>AC2659&lt;(AB2659-(AB2659*0.05))</formula>
    </cfRule>
    <cfRule type="expression" dxfId="748" priority="794" stopIfTrue="1">
      <formula>AC2659&gt;(AB2659+(AB2659*0.05))</formula>
    </cfRule>
  </conditionalFormatting>
  <conditionalFormatting sqref="AC2660">
    <cfRule type="expression" dxfId="747" priority="791" stopIfTrue="1">
      <formula>AC2660&lt;(AB2660-(AB2660*0.05))</formula>
    </cfRule>
    <cfRule type="expression" dxfId="746" priority="792" stopIfTrue="1">
      <formula>AC2660&gt;(AB2660+(AB2660*0.05))</formula>
    </cfRule>
  </conditionalFormatting>
  <conditionalFormatting sqref="AC2664:AC2668">
    <cfRule type="expression" dxfId="745" priority="789" stopIfTrue="1">
      <formula>AC2664&lt;(AB2664-(AB2664*0.05))</formula>
    </cfRule>
    <cfRule type="expression" dxfId="744" priority="790" stopIfTrue="1">
      <formula>AC2664&gt;(AB2664+(AB2664*0.05))</formula>
    </cfRule>
  </conditionalFormatting>
  <conditionalFormatting sqref="AC2665:AC2668">
    <cfRule type="expression" dxfId="743" priority="787" stopIfTrue="1">
      <formula>AC2665&lt;(AB2665-(AB2665*0.05))</formula>
    </cfRule>
    <cfRule type="expression" dxfId="742" priority="788" stopIfTrue="1">
      <formula>AC2665&gt;(AB2665+(AB2665*0.05))</formula>
    </cfRule>
  </conditionalFormatting>
  <conditionalFormatting sqref="G2349">
    <cfRule type="expression" dxfId="741" priority="785" stopIfTrue="1">
      <formula>G2349&lt;(F2348-(F2348*0.05))</formula>
    </cfRule>
    <cfRule type="expression" dxfId="740" priority="786" stopIfTrue="1">
      <formula>G2349&gt;(F2348+(F2348*0.05))</formula>
    </cfRule>
  </conditionalFormatting>
  <conditionalFormatting sqref="G2364">
    <cfRule type="expression" dxfId="739" priority="1427" stopIfTrue="1">
      <formula>G2364&lt;(F2358-(F2358*0.05))</formula>
    </cfRule>
    <cfRule type="expression" dxfId="738" priority="1428" stopIfTrue="1">
      <formula>G2364&gt;(F2358+(F2358*0.05))</formula>
    </cfRule>
  </conditionalFormatting>
  <conditionalFormatting sqref="G2380">
    <cfRule type="expression" dxfId="737" priority="783" stopIfTrue="1">
      <formula>G2380&lt;(F2374-(F2374*0.05))</formula>
    </cfRule>
    <cfRule type="expression" dxfId="736" priority="784" stopIfTrue="1">
      <formula>G2380&gt;(F2374+(F2374*0.05))</formula>
    </cfRule>
  </conditionalFormatting>
  <conditionalFormatting sqref="G2395">
    <cfRule type="expression" dxfId="735" priority="781" stopIfTrue="1">
      <formula>G2395&lt;(F2395-(F2395*0.05))</formula>
    </cfRule>
    <cfRule type="expression" dxfId="734" priority="782" stopIfTrue="1">
      <formula>G2395&gt;(F2395+(F2395*0.05))</formula>
    </cfRule>
  </conditionalFormatting>
  <conditionalFormatting sqref="G2395">
    <cfRule type="expression" dxfId="733" priority="779" stopIfTrue="1">
      <formula>G2395&lt;(F2382-(F2382*0.05))</formula>
    </cfRule>
    <cfRule type="expression" dxfId="732" priority="780" stopIfTrue="1">
      <formula>G2395&gt;(F2382+(F2382*0.05))</formula>
    </cfRule>
  </conditionalFormatting>
  <conditionalFormatting sqref="G2409">
    <cfRule type="expression" dxfId="731" priority="777" stopIfTrue="1">
      <formula>G2409&lt;(F2409-(F2409*0.05))</formula>
    </cfRule>
    <cfRule type="expression" dxfId="730" priority="778" stopIfTrue="1">
      <formula>G2409&gt;(F2409+(F2409*0.05))</formula>
    </cfRule>
  </conditionalFormatting>
  <conditionalFormatting sqref="G2409">
    <cfRule type="expression" dxfId="729" priority="775" stopIfTrue="1">
      <formula>G2409&lt;(F2396-(F2396*0.05))</formula>
    </cfRule>
    <cfRule type="expression" dxfId="728" priority="776" stopIfTrue="1">
      <formula>G2409&gt;(F2396+(F2396*0.05))</formula>
    </cfRule>
  </conditionalFormatting>
  <conditionalFormatting sqref="G2425">
    <cfRule type="expression" dxfId="727" priority="773" stopIfTrue="1">
      <formula>G2425&lt;(F2425-(F2425*0.05))</formula>
    </cfRule>
    <cfRule type="expression" dxfId="726" priority="774" stopIfTrue="1">
      <formula>G2425&gt;(F2425+(F2425*0.05))</formula>
    </cfRule>
  </conditionalFormatting>
  <conditionalFormatting sqref="G2425">
    <cfRule type="expression" dxfId="725" priority="771" stopIfTrue="1">
      <formula>G2425&lt;(F2425-(F2425*0.05))</formula>
    </cfRule>
    <cfRule type="expression" dxfId="724" priority="772" stopIfTrue="1">
      <formula>G2425&gt;(F2425+(F2425*0.05))</formula>
    </cfRule>
  </conditionalFormatting>
  <conditionalFormatting sqref="G2425">
    <cfRule type="expression" dxfId="723" priority="769" stopIfTrue="1">
      <formula>G2425&lt;(F2408-(F2408*0.05))</formula>
    </cfRule>
    <cfRule type="expression" dxfId="722" priority="770" stopIfTrue="1">
      <formula>G2425&gt;(F2408+(F2408*0.05))</formula>
    </cfRule>
  </conditionalFormatting>
  <conditionalFormatting sqref="G2448">
    <cfRule type="expression" dxfId="721" priority="767" stopIfTrue="1">
      <formula>G2448&lt;(F2448-(F2448*0.05))</formula>
    </cfRule>
    <cfRule type="expression" dxfId="720" priority="768" stopIfTrue="1">
      <formula>G2448&gt;(F2448+(F2448*0.05))</formula>
    </cfRule>
  </conditionalFormatting>
  <conditionalFormatting sqref="G2448">
    <cfRule type="expression" dxfId="719" priority="765" stopIfTrue="1">
      <formula>G2448&lt;(F2448-(F2448*0.05))</formula>
    </cfRule>
    <cfRule type="expression" dxfId="718" priority="766" stopIfTrue="1">
      <formula>G2448&gt;(F2448+(F2448*0.05))</formula>
    </cfRule>
  </conditionalFormatting>
  <conditionalFormatting sqref="G2448">
    <cfRule type="expression" dxfId="717" priority="763" stopIfTrue="1">
      <formula>G2448&lt;(F2433-(F2433*0.05))</formula>
    </cfRule>
    <cfRule type="expression" dxfId="716" priority="764" stopIfTrue="1">
      <formula>G2448&gt;(F2433+(F2433*0.05))</formula>
    </cfRule>
  </conditionalFormatting>
  <conditionalFormatting sqref="G2456">
    <cfRule type="expression" dxfId="715" priority="761" stopIfTrue="1">
      <formula>G2456&lt;(F2456-(F2456*0.05))</formula>
    </cfRule>
    <cfRule type="expression" dxfId="714" priority="762" stopIfTrue="1">
      <formula>G2456&gt;(F2456+(F2456*0.05))</formula>
    </cfRule>
  </conditionalFormatting>
  <conditionalFormatting sqref="G2456">
    <cfRule type="expression" dxfId="713" priority="759" stopIfTrue="1">
      <formula>G2456&lt;(F2456-(F2456*0.05))</formula>
    </cfRule>
    <cfRule type="expression" dxfId="712" priority="760" stopIfTrue="1">
      <formula>G2456&gt;(F2456+(F2456*0.05))</formula>
    </cfRule>
  </conditionalFormatting>
  <conditionalFormatting sqref="G2456">
    <cfRule type="expression" dxfId="711" priority="757" stopIfTrue="1">
      <formula>G2456&lt;(F2456-(F2456*0.05))</formula>
    </cfRule>
    <cfRule type="expression" dxfId="710" priority="758" stopIfTrue="1">
      <formula>G2456&gt;(F2456+(F2456*0.05))</formula>
    </cfRule>
  </conditionalFormatting>
  <conditionalFormatting sqref="G2456">
    <cfRule type="expression" dxfId="709" priority="755" stopIfTrue="1">
      <formula>G2456&lt;(F2438-(F2438*0.05))</formula>
    </cfRule>
    <cfRule type="expression" dxfId="708" priority="756" stopIfTrue="1">
      <formula>G2456&gt;(F2438+(F2438*0.05))</formula>
    </cfRule>
  </conditionalFormatting>
  <conditionalFormatting sqref="G2466">
    <cfRule type="expression" dxfId="707" priority="753" stopIfTrue="1">
      <formula>G2466&lt;(F2466-(F2466*0.05))</formula>
    </cfRule>
    <cfRule type="expression" dxfId="706" priority="754" stopIfTrue="1">
      <formula>G2466&gt;(F2466+(F2466*0.05))</formula>
    </cfRule>
  </conditionalFormatting>
  <conditionalFormatting sqref="G2466">
    <cfRule type="expression" dxfId="705" priority="751" stopIfTrue="1">
      <formula>G2466&lt;(F2466-(F2466*0.05))</formula>
    </cfRule>
    <cfRule type="expression" dxfId="704" priority="752" stopIfTrue="1">
      <formula>G2466&gt;(F2466+(F2466*0.05))</formula>
    </cfRule>
  </conditionalFormatting>
  <conditionalFormatting sqref="G2466">
    <cfRule type="expression" dxfId="703" priority="749" stopIfTrue="1">
      <formula>G2466&lt;(F2466-(F2466*0.05))</formula>
    </cfRule>
    <cfRule type="expression" dxfId="702" priority="750" stopIfTrue="1">
      <formula>G2466&gt;(F2466+(F2466*0.05))</formula>
    </cfRule>
  </conditionalFormatting>
  <conditionalFormatting sqref="G2466">
    <cfRule type="expression" dxfId="701" priority="747" stopIfTrue="1">
      <formula>G2466&lt;(F2466-(F2466*0.05))</formula>
    </cfRule>
    <cfRule type="expression" dxfId="700" priority="748" stopIfTrue="1">
      <formula>G2466&gt;(F2466+(F2466*0.05))</formula>
    </cfRule>
  </conditionalFormatting>
  <conditionalFormatting sqref="G2466">
    <cfRule type="expression" dxfId="699" priority="745" stopIfTrue="1">
      <formula>G2466&lt;(F2448-(F2448*0.05))</formula>
    </cfRule>
    <cfRule type="expression" dxfId="698" priority="746" stopIfTrue="1">
      <formula>G2466&gt;(F2448+(F2448*0.05))</formula>
    </cfRule>
  </conditionalFormatting>
  <conditionalFormatting sqref="G2479">
    <cfRule type="expression" dxfId="697" priority="743" stopIfTrue="1">
      <formula>G2479&lt;(F2479-(F2479*0.05))</formula>
    </cfRule>
    <cfRule type="expression" dxfId="696" priority="744" stopIfTrue="1">
      <formula>G2479&gt;(F2479+(F2479*0.05))</formula>
    </cfRule>
  </conditionalFormatting>
  <conditionalFormatting sqref="G2479">
    <cfRule type="expression" dxfId="695" priority="741" stopIfTrue="1">
      <formula>G2479&lt;(F2479-(F2479*0.05))</formula>
    </cfRule>
    <cfRule type="expression" dxfId="694" priority="742" stopIfTrue="1">
      <formula>G2479&gt;(F2479+(F2479*0.05))</formula>
    </cfRule>
  </conditionalFormatting>
  <conditionalFormatting sqref="G2479">
    <cfRule type="expression" dxfId="693" priority="739" stopIfTrue="1">
      <formula>G2479&lt;(F2479-(F2479*0.05))</formula>
    </cfRule>
    <cfRule type="expression" dxfId="692" priority="740" stopIfTrue="1">
      <formula>G2479&gt;(F2479+(F2479*0.05))</formula>
    </cfRule>
  </conditionalFormatting>
  <conditionalFormatting sqref="G2479">
    <cfRule type="expression" dxfId="691" priority="737" stopIfTrue="1">
      <formula>G2479&lt;(F2479-(F2479*0.05))</formula>
    </cfRule>
    <cfRule type="expression" dxfId="690" priority="738" stopIfTrue="1">
      <formula>G2479&gt;(F2479+(F2479*0.05))</formula>
    </cfRule>
  </conditionalFormatting>
  <conditionalFormatting sqref="G2479">
    <cfRule type="expression" dxfId="689" priority="735" stopIfTrue="1">
      <formula>G2479&lt;(F2479-(F2479*0.05))</formula>
    </cfRule>
    <cfRule type="expression" dxfId="688" priority="736" stopIfTrue="1">
      <formula>G2479&gt;(F2479+(F2479*0.05))</formula>
    </cfRule>
  </conditionalFormatting>
  <conditionalFormatting sqref="G2479">
    <cfRule type="expression" dxfId="687" priority="733" stopIfTrue="1">
      <formula>G2479&lt;(F2459-(F2459*0.05))</formula>
    </cfRule>
    <cfRule type="expression" dxfId="686" priority="734" stopIfTrue="1">
      <formula>G2479&gt;(F2459+(F2459*0.05))</formula>
    </cfRule>
  </conditionalFormatting>
  <conditionalFormatting sqref="G2485">
    <cfRule type="expression" dxfId="685" priority="731" stopIfTrue="1">
      <formula>G2485&lt;(F2485-(F2485*0.05))</formula>
    </cfRule>
    <cfRule type="expression" dxfId="684" priority="732" stopIfTrue="1">
      <formula>G2485&gt;(F2485+(F2485*0.05))</formula>
    </cfRule>
  </conditionalFormatting>
  <conditionalFormatting sqref="G2485">
    <cfRule type="expression" dxfId="683" priority="729" stopIfTrue="1">
      <formula>G2485&lt;(F2485-(F2485*0.05))</formula>
    </cfRule>
    <cfRule type="expression" dxfId="682" priority="730" stopIfTrue="1">
      <formula>G2485&gt;(F2485+(F2485*0.05))</formula>
    </cfRule>
  </conditionalFormatting>
  <conditionalFormatting sqref="G2485">
    <cfRule type="expression" dxfId="681" priority="727" stopIfTrue="1">
      <formula>G2485&lt;(F2485-(F2485*0.05))</formula>
    </cfRule>
    <cfRule type="expression" dxfId="680" priority="728" stopIfTrue="1">
      <formula>G2485&gt;(F2485+(F2485*0.05))</formula>
    </cfRule>
  </conditionalFormatting>
  <conditionalFormatting sqref="G2485">
    <cfRule type="expression" dxfId="679" priority="725" stopIfTrue="1">
      <formula>G2485&lt;(F2485-(F2485*0.05))</formula>
    </cfRule>
    <cfRule type="expression" dxfId="678" priority="726" stopIfTrue="1">
      <formula>G2485&gt;(F2485+(F2485*0.05))</formula>
    </cfRule>
  </conditionalFormatting>
  <conditionalFormatting sqref="G2485">
    <cfRule type="expression" dxfId="677" priority="723" stopIfTrue="1">
      <formula>G2485&lt;(F2485-(F2485*0.05))</formula>
    </cfRule>
    <cfRule type="expression" dxfId="676" priority="724" stopIfTrue="1">
      <formula>G2485&gt;(F2485+(F2485*0.05))</formula>
    </cfRule>
  </conditionalFormatting>
  <conditionalFormatting sqref="G2485">
    <cfRule type="expression" dxfId="675" priority="721" stopIfTrue="1">
      <formula>G2485&lt;(F2465-(F2465*0.05))</formula>
    </cfRule>
    <cfRule type="expression" dxfId="674" priority="722" stopIfTrue="1">
      <formula>G2485&gt;(F2465+(F2465*0.05))</formula>
    </cfRule>
  </conditionalFormatting>
  <conditionalFormatting sqref="G2495">
    <cfRule type="expression" dxfId="673" priority="719" stopIfTrue="1">
      <formula>G2495&lt;(F2495-(F2495*0.05))</formula>
    </cfRule>
    <cfRule type="expression" dxfId="672" priority="720" stopIfTrue="1">
      <formula>G2495&gt;(F2495+(F2495*0.05))</formula>
    </cfRule>
  </conditionalFormatting>
  <conditionalFormatting sqref="G2495">
    <cfRule type="expression" dxfId="671" priority="717" stopIfTrue="1">
      <formula>G2495&lt;(F2495-(F2495*0.05))</formula>
    </cfRule>
    <cfRule type="expression" dxfId="670" priority="718" stopIfTrue="1">
      <formula>G2495&gt;(F2495+(F2495*0.05))</formula>
    </cfRule>
  </conditionalFormatting>
  <conditionalFormatting sqref="G2495">
    <cfRule type="expression" dxfId="669" priority="715" stopIfTrue="1">
      <formula>G2495&lt;(F2495-(F2495*0.05))</formula>
    </cfRule>
    <cfRule type="expression" dxfId="668" priority="716" stopIfTrue="1">
      <formula>G2495&gt;(F2495+(F2495*0.05))</formula>
    </cfRule>
  </conditionalFormatting>
  <conditionalFormatting sqref="G2495">
    <cfRule type="expression" dxfId="667" priority="713" stopIfTrue="1">
      <formula>G2495&lt;(F2495-(F2495*0.05))</formula>
    </cfRule>
    <cfRule type="expression" dxfId="666" priority="714" stopIfTrue="1">
      <formula>G2495&gt;(F2495+(F2495*0.05))</formula>
    </cfRule>
  </conditionalFormatting>
  <conditionalFormatting sqref="G2495">
    <cfRule type="expression" dxfId="665" priority="711" stopIfTrue="1">
      <formula>G2495&lt;(F2495-(F2495*0.05))</formula>
    </cfRule>
    <cfRule type="expression" dxfId="664" priority="712" stopIfTrue="1">
      <formula>G2495&gt;(F2495+(F2495*0.05))</formula>
    </cfRule>
  </conditionalFormatting>
  <conditionalFormatting sqref="G2495">
    <cfRule type="expression" dxfId="663" priority="709" stopIfTrue="1">
      <formula>G2495&lt;(F2495-(F2495*0.05))</formula>
    </cfRule>
    <cfRule type="expression" dxfId="662" priority="710" stopIfTrue="1">
      <formula>G2495&gt;(F2495+(F2495*0.05))</formula>
    </cfRule>
  </conditionalFormatting>
  <conditionalFormatting sqref="G2495">
    <cfRule type="expression" dxfId="661" priority="707" stopIfTrue="1">
      <formula>G2495&lt;(F2475-(F2475*0.05))</formula>
    </cfRule>
    <cfRule type="expression" dxfId="660" priority="708" stopIfTrue="1">
      <formula>G2495&gt;(F2475+(F2475*0.05))</formula>
    </cfRule>
  </conditionalFormatting>
  <conditionalFormatting sqref="G2505">
    <cfRule type="expression" dxfId="659" priority="705" stopIfTrue="1">
      <formula>G2505&lt;(F2505-(F2505*0.05))</formula>
    </cfRule>
    <cfRule type="expression" dxfId="658" priority="706" stopIfTrue="1">
      <formula>G2505&gt;(F2505+(F2505*0.05))</formula>
    </cfRule>
  </conditionalFormatting>
  <conditionalFormatting sqref="G2505">
    <cfRule type="expression" dxfId="657" priority="703" stopIfTrue="1">
      <formula>G2505&lt;(F2505-(F2505*0.05))</formula>
    </cfRule>
    <cfRule type="expression" dxfId="656" priority="704" stopIfTrue="1">
      <formula>G2505&gt;(F2505+(F2505*0.05))</formula>
    </cfRule>
  </conditionalFormatting>
  <conditionalFormatting sqref="G2505">
    <cfRule type="expression" dxfId="655" priority="701" stopIfTrue="1">
      <formula>G2505&lt;(F2505-(F2505*0.05))</formula>
    </cfRule>
    <cfRule type="expression" dxfId="654" priority="702" stopIfTrue="1">
      <formula>G2505&gt;(F2505+(F2505*0.05))</formula>
    </cfRule>
  </conditionalFormatting>
  <conditionalFormatting sqref="G2505">
    <cfRule type="expression" dxfId="653" priority="699" stopIfTrue="1">
      <formula>G2505&lt;(F2505-(F2505*0.05))</formula>
    </cfRule>
    <cfRule type="expression" dxfId="652" priority="700" stopIfTrue="1">
      <formula>G2505&gt;(F2505+(F2505*0.05))</formula>
    </cfRule>
  </conditionalFormatting>
  <conditionalFormatting sqref="G2505">
    <cfRule type="expression" dxfId="651" priority="697" stopIfTrue="1">
      <formula>G2505&lt;(F2505-(F2505*0.05))</formula>
    </cfRule>
    <cfRule type="expression" dxfId="650" priority="698" stopIfTrue="1">
      <formula>G2505&gt;(F2505+(F2505*0.05))</formula>
    </cfRule>
  </conditionalFormatting>
  <conditionalFormatting sqref="G2505">
    <cfRule type="expression" dxfId="649" priority="695" stopIfTrue="1">
      <formula>G2505&lt;(F2505-(F2505*0.05))</formula>
    </cfRule>
    <cfRule type="expression" dxfId="648" priority="696" stopIfTrue="1">
      <formula>G2505&gt;(F2505+(F2505*0.05))</formula>
    </cfRule>
  </conditionalFormatting>
  <conditionalFormatting sqref="G2505">
    <cfRule type="expression" dxfId="647" priority="693" stopIfTrue="1">
      <formula>G2505&lt;(F2505-(F2505*0.05))</formula>
    </cfRule>
    <cfRule type="expression" dxfId="646" priority="694" stopIfTrue="1">
      <formula>G2505&gt;(F2505+(F2505*0.05))</formula>
    </cfRule>
  </conditionalFormatting>
  <conditionalFormatting sqref="G2505">
    <cfRule type="expression" dxfId="645" priority="691" stopIfTrue="1">
      <formula>G2505&lt;(F2485-(F2485*0.05))</formula>
    </cfRule>
    <cfRule type="expression" dxfId="644" priority="692" stopIfTrue="1">
      <formula>G2505&gt;(F2485+(F2485*0.05))</formula>
    </cfRule>
  </conditionalFormatting>
  <conditionalFormatting sqref="G2522">
    <cfRule type="expression" dxfId="643" priority="689" stopIfTrue="1">
      <formula>G2522&lt;(F2522-(F2522*0.05))</formula>
    </cfRule>
    <cfRule type="expression" dxfId="642" priority="690" stopIfTrue="1">
      <formula>G2522&gt;(F2522+(F2522*0.05))</formula>
    </cfRule>
  </conditionalFormatting>
  <conditionalFormatting sqref="G2522">
    <cfRule type="expression" dxfId="641" priority="687" stopIfTrue="1">
      <formula>G2522&lt;(F2522-(F2522*0.05))</formula>
    </cfRule>
    <cfRule type="expression" dxfId="640" priority="688" stopIfTrue="1">
      <formula>G2522&gt;(F2522+(F2522*0.05))</formula>
    </cfRule>
  </conditionalFormatting>
  <conditionalFormatting sqref="G2522">
    <cfRule type="expression" dxfId="639" priority="685" stopIfTrue="1">
      <formula>G2522&lt;(F2522-(F2522*0.05))</formula>
    </cfRule>
    <cfRule type="expression" dxfId="638" priority="686" stopIfTrue="1">
      <formula>G2522&gt;(F2522+(F2522*0.05))</formula>
    </cfRule>
  </conditionalFormatting>
  <conditionalFormatting sqref="G2522">
    <cfRule type="expression" dxfId="637" priority="683" stopIfTrue="1">
      <formula>G2522&lt;(F2522-(F2522*0.05))</formula>
    </cfRule>
    <cfRule type="expression" dxfId="636" priority="684" stopIfTrue="1">
      <formula>G2522&gt;(F2522+(F2522*0.05))</formula>
    </cfRule>
  </conditionalFormatting>
  <conditionalFormatting sqref="G2522">
    <cfRule type="expression" dxfId="635" priority="681" stopIfTrue="1">
      <formula>G2522&lt;(F2522-(F2522*0.05))</formula>
    </cfRule>
    <cfRule type="expression" dxfId="634" priority="682" stopIfTrue="1">
      <formula>G2522&gt;(F2522+(F2522*0.05))</formula>
    </cfRule>
  </conditionalFormatting>
  <conditionalFormatting sqref="G2522">
    <cfRule type="expression" dxfId="633" priority="679" stopIfTrue="1">
      <formula>G2522&lt;(F2522-(F2522*0.05))</formula>
    </cfRule>
    <cfRule type="expression" dxfId="632" priority="680" stopIfTrue="1">
      <formula>G2522&gt;(F2522+(F2522*0.05))</formula>
    </cfRule>
  </conditionalFormatting>
  <conditionalFormatting sqref="G2522">
    <cfRule type="expression" dxfId="631" priority="677" stopIfTrue="1">
      <formula>G2522&lt;(F2522-(F2522*0.05))</formula>
    </cfRule>
    <cfRule type="expression" dxfId="630" priority="678" stopIfTrue="1">
      <formula>G2522&gt;(F2522+(F2522*0.05))</formula>
    </cfRule>
  </conditionalFormatting>
  <conditionalFormatting sqref="G2522">
    <cfRule type="expression" dxfId="629" priority="675" stopIfTrue="1">
      <formula>G2522&lt;(F2522-(F2522*0.05))</formula>
    </cfRule>
    <cfRule type="expression" dxfId="628" priority="676" stopIfTrue="1">
      <formula>G2522&gt;(F2522+(F2522*0.05))</formula>
    </cfRule>
  </conditionalFormatting>
  <conditionalFormatting sqref="G2522">
    <cfRule type="expression" dxfId="627" priority="673" stopIfTrue="1">
      <formula>G2522&lt;(F2494-(F2494*0.05))</formula>
    </cfRule>
    <cfRule type="expression" dxfId="626" priority="674" stopIfTrue="1">
      <formula>G2522&gt;(F2494+(F2494*0.05))</formula>
    </cfRule>
  </conditionalFormatting>
  <conditionalFormatting sqref="G2531">
    <cfRule type="expression" dxfId="625" priority="671" stopIfTrue="1">
      <formula>G2531&lt;(F2531-(F2531*0.05))</formula>
    </cfRule>
    <cfRule type="expression" dxfId="624" priority="672" stopIfTrue="1">
      <formula>G2531&gt;(F2531+(F2531*0.05))</formula>
    </cfRule>
  </conditionalFormatting>
  <conditionalFormatting sqref="G2531">
    <cfRule type="expression" dxfId="623" priority="669" stopIfTrue="1">
      <formula>G2531&lt;(F2531-(F2531*0.05))</formula>
    </cfRule>
    <cfRule type="expression" dxfId="622" priority="670" stopIfTrue="1">
      <formula>G2531&gt;(F2531+(F2531*0.05))</formula>
    </cfRule>
  </conditionalFormatting>
  <conditionalFormatting sqref="G2531">
    <cfRule type="expression" dxfId="621" priority="667" stopIfTrue="1">
      <formula>G2531&lt;(F2531-(F2531*0.05))</formula>
    </cfRule>
    <cfRule type="expression" dxfId="620" priority="668" stopIfTrue="1">
      <formula>G2531&gt;(F2531+(F2531*0.05))</formula>
    </cfRule>
  </conditionalFormatting>
  <conditionalFormatting sqref="G2531">
    <cfRule type="expression" dxfId="619" priority="665" stopIfTrue="1">
      <formula>G2531&lt;(F2531-(F2531*0.05))</formula>
    </cfRule>
    <cfRule type="expression" dxfId="618" priority="666" stopIfTrue="1">
      <formula>G2531&gt;(F2531+(F2531*0.05))</formula>
    </cfRule>
  </conditionalFormatting>
  <conditionalFormatting sqref="G2531">
    <cfRule type="expression" dxfId="617" priority="663" stopIfTrue="1">
      <formula>G2531&lt;(F2531-(F2531*0.05))</formula>
    </cfRule>
    <cfRule type="expression" dxfId="616" priority="664" stopIfTrue="1">
      <formula>G2531&gt;(F2531+(F2531*0.05))</formula>
    </cfRule>
  </conditionalFormatting>
  <conditionalFormatting sqref="G2531">
    <cfRule type="expression" dxfId="615" priority="661" stopIfTrue="1">
      <formula>G2531&lt;(F2531-(F2531*0.05))</formula>
    </cfRule>
    <cfRule type="expression" dxfId="614" priority="662" stopIfTrue="1">
      <formula>G2531&gt;(F2531+(F2531*0.05))</formula>
    </cfRule>
  </conditionalFormatting>
  <conditionalFormatting sqref="G2531">
    <cfRule type="expression" dxfId="613" priority="659" stopIfTrue="1">
      <formula>G2531&lt;(F2531-(F2531*0.05))</formula>
    </cfRule>
    <cfRule type="expression" dxfId="612" priority="660" stopIfTrue="1">
      <formula>G2531&gt;(F2531+(F2531*0.05))</formula>
    </cfRule>
  </conditionalFormatting>
  <conditionalFormatting sqref="G2531">
    <cfRule type="expression" dxfId="611" priority="657" stopIfTrue="1">
      <formula>G2531&lt;(F2531-(F2531*0.05))</formula>
    </cfRule>
    <cfRule type="expression" dxfId="610" priority="658" stopIfTrue="1">
      <formula>G2531&gt;(F2531+(F2531*0.05))</formula>
    </cfRule>
  </conditionalFormatting>
  <conditionalFormatting sqref="G2531">
    <cfRule type="expression" dxfId="609" priority="655" stopIfTrue="1">
      <formula>G2531&lt;(F2531-(F2531*0.05))</formula>
    </cfRule>
    <cfRule type="expression" dxfId="608" priority="656" stopIfTrue="1">
      <formula>G2531&gt;(F2531+(F2531*0.05))</formula>
    </cfRule>
  </conditionalFormatting>
  <conditionalFormatting sqref="G2531">
    <cfRule type="expression" dxfId="607" priority="653" stopIfTrue="1">
      <formula>G2531&lt;(F2503-(F2503*0.05))</formula>
    </cfRule>
    <cfRule type="expression" dxfId="606" priority="654" stopIfTrue="1">
      <formula>G2531&gt;(F2503+(F2503*0.05))</formula>
    </cfRule>
  </conditionalFormatting>
  <conditionalFormatting sqref="G2541">
    <cfRule type="expression" dxfId="605" priority="651" stopIfTrue="1">
      <formula>G2541&lt;(F2541-(F2541*0.05))</formula>
    </cfRule>
    <cfRule type="expression" dxfId="604" priority="652" stopIfTrue="1">
      <formula>G2541&gt;(F2541+(F2541*0.05))</formula>
    </cfRule>
  </conditionalFormatting>
  <conditionalFormatting sqref="G2541">
    <cfRule type="expression" dxfId="603" priority="649" stopIfTrue="1">
      <formula>G2541&lt;(F2541-(F2541*0.05))</formula>
    </cfRule>
    <cfRule type="expression" dxfId="602" priority="650" stopIfTrue="1">
      <formula>G2541&gt;(F2541+(F2541*0.05))</formula>
    </cfRule>
  </conditionalFormatting>
  <conditionalFormatting sqref="G2541">
    <cfRule type="expression" dxfId="601" priority="647" stopIfTrue="1">
      <formula>G2541&lt;(F2541-(F2541*0.05))</formula>
    </cfRule>
    <cfRule type="expression" dxfId="600" priority="648" stopIfTrue="1">
      <formula>G2541&gt;(F2541+(F2541*0.05))</formula>
    </cfRule>
  </conditionalFormatting>
  <conditionalFormatting sqref="G2541">
    <cfRule type="expression" dxfId="599" priority="645" stopIfTrue="1">
      <formula>G2541&lt;(F2541-(F2541*0.05))</formula>
    </cfRule>
    <cfRule type="expression" dxfId="598" priority="646" stopIfTrue="1">
      <formula>G2541&gt;(F2541+(F2541*0.05))</formula>
    </cfRule>
  </conditionalFormatting>
  <conditionalFormatting sqref="G2541">
    <cfRule type="expression" dxfId="597" priority="643" stopIfTrue="1">
      <formula>G2541&lt;(F2541-(F2541*0.05))</formula>
    </cfRule>
    <cfRule type="expression" dxfId="596" priority="644" stopIfTrue="1">
      <formula>G2541&gt;(F2541+(F2541*0.05))</formula>
    </cfRule>
  </conditionalFormatting>
  <conditionalFormatting sqref="G2541">
    <cfRule type="expression" dxfId="595" priority="641" stopIfTrue="1">
      <formula>G2541&lt;(F2541-(F2541*0.05))</formula>
    </cfRule>
    <cfRule type="expression" dxfId="594" priority="642" stopIfTrue="1">
      <formula>G2541&gt;(F2541+(F2541*0.05))</formula>
    </cfRule>
  </conditionalFormatting>
  <conditionalFormatting sqref="G2541">
    <cfRule type="expression" dxfId="593" priority="639" stopIfTrue="1">
      <formula>G2541&lt;(F2541-(F2541*0.05))</formula>
    </cfRule>
    <cfRule type="expression" dxfId="592" priority="640" stopIfTrue="1">
      <formula>G2541&gt;(F2541+(F2541*0.05))</formula>
    </cfRule>
  </conditionalFormatting>
  <conditionalFormatting sqref="G2541">
    <cfRule type="expression" dxfId="591" priority="637" stopIfTrue="1">
      <formula>G2541&lt;(F2541-(F2541*0.05))</formula>
    </cfRule>
    <cfRule type="expression" dxfId="590" priority="638" stopIfTrue="1">
      <formula>G2541&gt;(F2541+(F2541*0.05))</formula>
    </cfRule>
  </conditionalFormatting>
  <conditionalFormatting sqref="G2541">
    <cfRule type="expression" dxfId="589" priority="635" stopIfTrue="1">
      <formula>G2541&lt;(F2541-(F2541*0.05))</formula>
    </cfRule>
    <cfRule type="expression" dxfId="588" priority="636" stopIfTrue="1">
      <formula>G2541&gt;(F2541+(F2541*0.05))</formula>
    </cfRule>
  </conditionalFormatting>
  <conditionalFormatting sqref="G2541">
    <cfRule type="expression" dxfId="587" priority="633" stopIfTrue="1">
      <formula>G2541&lt;(F2541-(F2541*0.05))</formula>
    </cfRule>
    <cfRule type="expression" dxfId="586" priority="634" stopIfTrue="1">
      <formula>G2541&gt;(F2541+(F2541*0.05))</formula>
    </cfRule>
  </conditionalFormatting>
  <conditionalFormatting sqref="G2541">
    <cfRule type="expression" dxfId="585" priority="631" stopIfTrue="1">
      <formula>G2541&lt;(F2521-(F2521*0.05))</formula>
    </cfRule>
    <cfRule type="expression" dxfId="584" priority="632" stopIfTrue="1">
      <formula>G2541&gt;(F2521+(F2521*0.05))</formula>
    </cfRule>
  </conditionalFormatting>
  <conditionalFormatting sqref="G2549">
    <cfRule type="expression" dxfId="583" priority="629" stopIfTrue="1">
      <formula>G2549&lt;(F2549-(F2549*0.05))</formula>
    </cfRule>
    <cfRule type="expression" dxfId="582" priority="630" stopIfTrue="1">
      <formula>G2549&gt;(F2549+(F2549*0.05))</formula>
    </cfRule>
  </conditionalFormatting>
  <conditionalFormatting sqref="G2549">
    <cfRule type="expression" dxfId="581" priority="627" stopIfTrue="1">
      <formula>G2549&lt;(F2549-(F2549*0.05))</formula>
    </cfRule>
    <cfRule type="expression" dxfId="580" priority="628" stopIfTrue="1">
      <formula>G2549&gt;(F2549+(F2549*0.05))</formula>
    </cfRule>
  </conditionalFormatting>
  <conditionalFormatting sqref="G2549">
    <cfRule type="expression" dxfId="579" priority="625" stopIfTrue="1">
      <formula>G2549&lt;(F2549-(F2549*0.05))</formula>
    </cfRule>
    <cfRule type="expression" dxfId="578" priority="626" stopIfTrue="1">
      <formula>G2549&gt;(F2549+(F2549*0.05))</formula>
    </cfRule>
  </conditionalFormatting>
  <conditionalFormatting sqref="G2549">
    <cfRule type="expression" dxfId="577" priority="623" stopIfTrue="1">
      <formula>G2549&lt;(F2549-(F2549*0.05))</formula>
    </cfRule>
    <cfRule type="expression" dxfId="576" priority="624" stopIfTrue="1">
      <formula>G2549&gt;(F2549+(F2549*0.05))</formula>
    </cfRule>
  </conditionalFormatting>
  <conditionalFormatting sqref="G2549">
    <cfRule type="expression" dxfId="575" priority="621" stopIfTrue="1">
      <formula>G2549&lt;(F2549-(F2549*0.05))</formula>
    </cfRule>
    <cfRule type="expression" dxfId="574" priority="622" stopIfTrue="1">
      <formula>G2549&gt;(F2549+(F2549*0.05))</formula>
    </cfRule>
  </conditionalFormatting>
  <conditionalFormatting sqref="G2549">
    <cfRule type="expression" dxfId="573" priority="619" stopIfTrue="1">
      <formula>G2549&lt;(F2549-(F2549*0.05))</formula>
    </cfRule>
    <cfRule type="expression" dxfId="572" priority="620" stopIfTrue="1">
      <formula>G2549&gt;(F2549+(F2549*0.05))</formula>
    </cfRule>
  </conditionalFormatting>
  <conditionalFormatting sqref="G2549">
    <cfRule type="expression" dxfId="571" priority="617" stopIfTrue="1">
      <formula>G2549&lt;(F2549-(F2549*0.05))</formula>
    </cfRule>
    <cfRule type="expression" dxfId="570" priority="618" stopIfTrue="1">
      <formula>G2549&gt;(F2549+(F2549*0.05))</formula>
    </cfRule>
  </conditionalFormatting>
  <conditionalFormatting sqref="G2549">
    <cfRule type="expression" dxfId="569" priority="615" stopIfTrue="1">
      <formula>G2549&lt;(F2549-(F2549*0.05))</formula>
    </cfRule>
    <cfRule type="expression" dxfId="568" priority="616" stopIfTrue="1">
      <formula>G2549&gt;(F2549+(F2549*0.05))</formula>
    </cfRule>
  </conditionalFormatting>
  <conditionalFormatting sqref="G2549">
    <cfRule type="expression" dxfId="567" priority="613" stopIfTrue="1">
      <formula>G2549&lt;(F2549-(F2549*0.05))</formula>
    </cfRule>
    <cfRule type="expression" dxfId="566" priority="614" stopIfTrue="1">
      <formula>G2549&gt;(F2549+(F2549*0.05))</formula>
    </cfRule>
  </conditionalFormatting>
  <conditionalFormatting sqref="G2549">
    <cfRule type="expression" dxfId="565" priority="611" stopIfTrue="1">
      <formula>G2549&lt;(F2549-(F2549*0.05))</formula>
    </cfRule>
    <cfRule type="expression" dxfId="564" priority="612" stopIfTrue="1">
      <formula>G2549&gt;(F2549+(F2549*0.05))</formula>
    </cfRule>
  </conditionalFormatting>
  <conditionalFormatting sqref="G2549">
    <cfRule type="expression" dxfId="563" priority="609" stopIfTrue="1">
      <formula>G2549&lt;(F2549-(F2549*0.05))</formula>
    </cfRule>
    <cfRule type="expression" dxfId="562" priority="610" stopIfTrue="1">
      <formula>G2549&gt;(F2549+(F2549*0.05))</formula>
    </cfRule>
  </conditionalFormatting>
  <conditionalFormatting sqref="G2549">
    <cfRule type="expression" dxfId="561" priority="607" stopIfTrue="1">
      <formula>G2549&lt;(F2529-(F2529*0.05))</formula>
    </cfRule>
    <cfRule type="expression" dxfId="560" priority="608" stopIfTrue="1">
      <formula>G2549&gt;(F2529+(F2529*0.05))</formula>
    </cfRule>
  </conditionalFormatting>
  <conditionalFormatting sqref="G2558">
    <cfRule type="expression" dxfId="559" priority="605" stopIfTrue="1">
      <formula>G2558&lt;(F2558-(F2558*0.05))</formula>
    </cfRule>
    <cfRule type="expression" dxfId="558" priority="606" stopIfTrue="1">
      <formula>G2558&gt;(F2558+(F2558*0.05))</formula>
    </cfRule>
  </conditionalFormatting>
  <conditionalFormatting sqref="G2558">
    <cfRule type="expression" dxfId="557" priority="603" stopIfTrue="1">
      <formula>G2558&lt;(F2558-(F2558*0.05))</formula>
    </cfRule>
    <cfRule type="expression" dxfId="556" priority="604" stopIfTrue="1">
      <formula>G2558&gt;(F2558+(F2558*0.05))</formula>
    </cfRule>
  </conditionalFormatting>
  <conditionalFormatting sqref="G2558">
    <cfRule type="expression" dxfId="555" priority="601" stopIfTrue="1">
      <formula>G2558&lt;(F2558-(F2558*0.05))</formula>
    </cfRule>
    <cfRule type="expression" dxfId="554" priority="602" stopIfTrue="1">
      <formula>G2558&gt;(F2558+(F2558*0.05))</formula>
    </cfRule>
  </conditionalFormatting>
  <conditionalFormatting sqref="G2558">
    <cfRule type="expression" dxfId="553" priority="599" stopIfTrue="1">
      <formula>G2558&lt;(F2558-(F2558*0.05))</formula>
    </cfRule>
    <cfRule type="expression" dxfId="552" priority="600" stopIfTrue="1">
      <formula>G2558&gt;(F2558+(F2558*0.05))</formula>
    </cfRule>
  </conditionalFormatting>
  <conditionalFormatting sqref="G2558">
    <cfRule type="expression" dxfId="551" priority="597" stopIfTrue="1">
      <formula>G2558&lt;(F2558-(F2558*0.05))</formula>
    </cfRule>
    <cfRule type="expression" dxfId="550" priority="598" stopIfTrue="1">
      <formula>G2558&gt;(F2558+(F2558*0.05))</formula>
    </cfRule>
  </conditionalFormatting>
  <conditionalFormatting sqref="G2558">
    <cfRule type="expression" dxfId="549" priority="595" stopIfTrue="1">
      <formula>G2558&lt;(F2558-(F2558*0.05))</formula>
    </cfRule>
    <cfRule type="expression" dxfId="548" priority="596" stopIfTrue="1">
      <formula>G2558&gt;(F2558+(F2558*0.05))</formula>
    </cfRule>
  </conditionalFormatting>
  <conditionalFormatting sqref="G2558">
    <cfRule type="expression" dxfId="547" priority="593" stopIfTrue="1">
      <formula>G2558&lt;(F2558-(F2558*0.05))</formula>
    </cfRule>
    <cfRule type="expression" dxfId="546" priority="594" stopIfTrue="1">
      <formula>G2558&gt;(F2558+(F2558*0.05))</formula>
    </cfRule>
  </conditionalFormatting>
  <conditionalFormatting sqref="G2558">
    <cfRule type="expression" dxfId="545" priority="591" stopIfTrue="1">
      <formula>G2558&lt;(F2558-(F2558*0.05))</formula>
    </cfRule>
    <cfRule type="expression" dxfId="544" priority="592" stopIfTrue="1">
      <formula>G2558&gt;(F2558+(F2558*0.05))</formula>
    </cfRule>
  </conditionalFormatting>
  <conditionalFormatting sqref="G2558">
    <cfRule type="expression" dxfId="543" priority="589" stopIfTrue="1">
      <formula>G2558&lt;(F2558-(F2558*0.05))</formula>
    </cfRule>
    <cfRule type="expression" dxfId="542" priority="590" stopIfTrue="1">
      <formula>G2558&gt;(F2558+(F2558*0.05))</formula>
    </cfRule>
  </conditionalFormatting>
  <conditionalFormatting sqref="G2558">
    <cfRule type="expression" dxfId="541" priority="587" stopIfTrue="1">
      <formula>G2558&lt;(F2558-(F2558*0.05))</formula>
    </cfRule>
    <cfRule type="expression" dxfId="540" priority="588" stopIfTrue="1">
      <formula>G2558&gt;(F2558+(F2558*0.05))</formula>
    </cfRule>
  </conditionalFormatting>
  <conditionalFormatting sqref="G2558">
    <cfRule type="expression" dxfId="539" priority="585" stopIfTrue="1">
      <formula>G2558&lt;(F2558-(F2558*0.05))</formula>
    </cfRule>
    <cfRule type="expression" dxfId="538" priority="586" stopIfTrue="1">
      <formula>G2558&gt;(F2558+(F2558*0.05))</formula>
    </cfRule>
  </conditionalFormatting>
  <conditionalFormatting sqref="G2558">
    <cfRule type="expression" dxfId="537" priority="583" stopIfTrue="1">
      <formula>G2558&lt;(F2558-(F2558*0.05))</formula>
    </cfRule>
    <cfRule type="expression" dxfId="536" priority="584" stopIfTrue="1">
      <formula>G2558&gt;(F2558+(F2558*0.05))</formula>
    </cfRule>
  </conditionalFormatting>
  <conditionalFormatting sqref="G2558">
    <cfRule type="expression" dxfId="535" priority="581" stopIfTrue="1">
      <formula>G2558&lt;(F2538-(F2538*0.05))</formula>
    </cfRule>
    <cfRule type="expression" dxfId="534" priority="582" stopIfTrue="1">
      <formula>G2558&gt;(F2538+(F2538*0.05))</formula>
    </cfRule>
  </conditionalFormatting>
  <conditionalFormatting sqref="G2567">
    <cfRule type="expression" dxfId="533" priority="579" stopIfTrue="1">
      <formula>G2567&lt;(F2567-(F2567*0.05))</formula>
    </cfRule>
    <cfRule type="expression" dxfId="532" priority="580" stopIfTrue="1">
      <formula>G2567&gt;(F2567+(F2567*0.05))</formula>
    </cfRule>
  </conditionalFormatting>
  <conditionalFormatting sqref="G2567">
    <cfRule type="expression" dxfId="531" priority="577" stopIfTrue="1">
      <formula>G2567&lt;(F2567-(F2567*0.05))</formula>
    </cfRule>
    <cfRule type="expression" dxfId="530" priority="578" stopIfTrue="1">
      <formula>G2567&gt;(F2567+(F2567*0.05))</formula>
    </cfRule>
  </conditionalFormatting>
  <conditionalFormatting sqref="G2567">
    <cfRule type="expression" dxfId="529" priority="575" stopIfTrue="1">
      <formula>G2567&lt;(F2567-(F2567*0.05))</formula>
    </cfRule>
    <cfRule type="expression" dxfId="528" priority="576" stopIfTrue="1">
      <formula>G2567&gt;(F2567+(F2567*0.05))</formula>
    </cfRule>
  </conditionalFormatting>
  <conditionalFormatting sqref="G2567">
    <cfRule type="expression" dxfId="527" priority="573" stopIfTrue="1">
      <formula>G2567&lt;(F2567-(F2567*0.05))</formula>
    </cfRule>
    <cfRule type="expression" dxfId="526" priority="574" stopIfTrue="1">
      <formula>G2567&gt;(F2567+(F2567*0.05))</formula>
    </cfRule>
  </conditionalFormatting>
  <conditionalFormatting sqref="G2567">
    <cfRule type="expression" dxfId="525" priority="571" stopIfTrue="1">
      <formula>G2567&lt;(F2567-(F2567*0.05))</formula>
    </cfRule>
    <cfRule type="expression" dxfId="524" priority="572" stopIfTrue="1">
      <formula>G2567&gt;(F2567+(F2567*0.05))</formula>
    </cfRule>
  </conditionalFormatting>
  <conditionalFormatting sqref="G2567">
    <cfRule type="expression" dxfId="523" priority="569" stopIfTrue="1">
      <formula>G2567&lt;(F2567-(F2567*0.05))</formula>
    </cfRule>
    <cfRule type="expression" dxfId="522" priority="570" stopIfTrue="1">
      <formula>G2567&gt;(F2567+(F2567*0.05))</formula>
    </cfRule>
  </conditionalFormatting>
  <conditionalFormatting sqref="G2567">
    <cfRule type="expression" dxfId="521" priority="567" stopIfTrue="1">
      <formula>G2567&lt;(F2567-(F2567*0.05))</formula>
    </cfRule>
    <cfRule type="expression" dxfId="520" priority="568" stopIfTrue="1">
      <formula>G2567&gt;(F2567+(F2567*0.05))</formula>
    </cfRule>
  </conditionalFormatting>
  <conditionalFormatting sqref="G2567">
    <cfRule type="expression" dxfId="519" priority="565" stopIfTrue="1">
      <formula>G2567&lt;(F2567-(F2567*0.05))</formula>
    </cfRule>
    <cfRule type="expression" dxfId="518" priority="566" stopIfTrue="1">
      <formula>G2567&gt;(F2567+(F2567*0.05))</formula>
    </cfRule>
  </conditionalFormatting>
  <conditionalFormatting sqref="G2567">
    <cfRule type="expression" dxfId="517" priority="563" stopIfTrue="1">
      <formula>G2567&lt;(F2567-(F2567*0.05))</formula>
    </cfRule>
    <cfRule type="expression" dxfId="516" priority="564" stopIfTrue="1">
      <formula>G2567&gt;(F2567+(F2567*0.05))</formula>
    </cfRule>
  </conditionalFormatting>
  <conditionalFormatting sqref="G2567">
    <cfRule type="expression" dxfId="515" priority="561" stopIfTrue="1">
      <formula>G2567&lt;(F2567-(F2567*0.05))</formula>
    </cfRule>
    <cfRule type="expression" dxfId="514" priority="562" stopIfTrue="1">
      <formula>G2567&gt;(F2567+(F2567*0.05))</formula>
    </cfRule>
  </conditionalFormatting>
  <conditionalFormatting sqref="G2567">
    <cfRule type="expression" dxfId="513" priority="559" stopIfTrue="1">
      <formula>G2567&lt;(F2567-(F2567*0.05))</formula>
    </cfRule>
    <cfRule type="expression" dxfId="512" priority="560" stopIfTrue="1">
      <formula>G2567&gt;(F2567+(F2567*0.05))</formula>
    </cfRule>
  </conditionalFormatting>
  <conditionalFormatting sqref="G2567">
    <cfRule type="expression" dxfId="511" priority="557" stopIfTrue="1">
      <formula>G2567&lt;(F2567-(F2567*0.05))</formula>
    </cfRule>
    <cfRule type="expression" dxfId="510" priority="558" stopIfTrue="1">
      <formula>G2567&gt;(F2567+(F2567*0.05))</formula>
    </cfRule>
  </conditionalFormatting>
  <conditionalFormatting sqref="G2567">
    <cfRule type="expression" dxfId="509" priority="555" stopIfTrue="1">
      <formula>G2567&lt;(F2567-(F2567*0.05))</formula>
    </cfRule>
    <cfRule type="expression" dxfId="508" priority="556" stopIfTrue="1">
      <formula>G2567&gt;(F2567+(F2567*0.05))</formula>
    </cfRule>
  </conditionalFormatting>
  <conditionalFormatting sqref="G2567">
    <cfRule type="expression" dxfId="507" priority="553" stopIfTrue="1">
      <formula>G2567&lt;(F2547-(F2547*0.05))</formula>
    </cfRule>
    <cfRule type="expression" dxfId="506" priority="554" stopIfTrue="1">
      <formula>G2567&gt;(F2547+(F2547*0.05))</formula>
    </cfRule>
  </conditionalFormatting>
  <conditionalFormatting sqref="G2576">
    <cfRule type="expression" dxfId="505" priority="551" stopIfTrue="1">
      <formula>G2576&lt;(F2576-(F2576*0.05))</formula>
    </cfRule>
    <cfRule type="expression" dxfId="504" priority="552" stopIfTrue="1">
      <formula>G2576&gt;(F2576+(F2576*0.05))</formula>
    </cfRule>
  </conditionalFormatting>
  <conditionalFormatting sqref="G2576">
    <cfRule type="expression" dxfId="503" priority="549" stopIfTrue="1">
      <formula>G2576&lt;(F2576-(F2576*0.05))</formula>
    </cfRule>
    <cfRule type="expression" dxfId="502" priority="550" stopIfTrue="1">
      <formula>G2576&gt;(F2576+(F2576*0.05))</formula>
    </cfRule>
  </conditionalFormatting>
  <conditionalFormatting sqref="G2576">
    <cfRule type="expression" dxfId="501" priority="547" stopIfTrue="1">
      <formula>G2576&lt;(F2576-(F2576*0.05))</formula>
    </cfRule>
    <cfRule type="expression" dxfId="500" priority="548" stopIfTrue="1">
      <formula>G2576&gt;(F2576+(F2576*0.05))</formula>
    </cfRule>
  </conditionalFormatting>
  <conditionalFormatting sqref="G2576">
    <cfRule type="expression" dxfId="499" priority="545" stopIfTrue="1">
      <formula>G2576&lt;(F2576-(F2576*0.05))</formula>
    </cfRule>
    <cfRule type="expression" dxfId="498" priority="546" stopIfTrue="1">
      <formula>G2576&gt;(F2576+(F2576*0.05))</formula>
    </cfRule>
  </conditionalFormatting>
  <conditionalFormatting sqref="G2576">
    <cfRule type="expression" dxfId="497" priority="543" stopIfTrue="1">
      <formula>G2576&lt;(F2576-(F2576*0.05))</formula>
    </cfRule>
    <cfRule type="expression" dxfId="496" priority="544" stopIfTrue="1">
      <formula>G2576&gt;(F2576+(F2576*0.05))</formula>
    </cfRule>
  </conditionalFormatting>
  <conditionalFormatting sqref="G2576">
    <cfRule type="expression" dxfId="495" priority="541" stopIfTrue="1">
      <formula>G2576&lt;(F2576-(F2576*0.05))</formula>
    </cfRule>
    <cfRule type="expression" dxfId="494" priority="542" stopIfTrue="1">
      <formula>G2576&gt;(F2576+(F2576*0.05))</formula>
    </cfRule>
  </conditionalFormatting>
  <conditionalFormatting sqref="G2576">
    <cfRule type="expression" dxfId="493" priority="539" stopIfTrue="1">
      <formula>G2576&lt;(F2576-(F2576*0.05))</formula>
    </cfRule>
    <cfRule type="expression" dxfId="492" priority="540" stopIfTrue="1">
      <formula>G2576&gt;(F2576+(F2576*0.05))</formula>
    </cfRule>
  </conditionalFormatting>
  <conditionalFormatting sqref="G2576">
    <cfRule type="expression" dxfId="491" priority="537" stopIfTrue="1">
      <formula>G2576&lt;(F2576-(F2576*0.05))</formula>
    </cfRule>
    <cfRule type="expression" dxfId="490" priority="538" stopIfTrue="1">
      <formula>G2576&gt;(F2576+(F2576*0.05))</formula>
    </cfRule>
  </conditionalFormatting>
  <conditionalFormatting sqref="G2576">
    <cfRule type="expression" dxfId="489" priority="535" stopIfTrue="1">
      <formula>G2576&lt;(F2576-(F2576*0.05))</formula>
    </cfRule>
    <cfRule type="expression" dxfId="488" priority="536" stopIfTrue="1">
      <formula>G2576&gt;(F2576+(F2576*0.05))</formula>
    </cfRule>
  </conditionalFormatting>
  <conditionalFormatting sqref="G2576">
    <cfRule type="expression" dxfId="487" priority="533" stopIfTrue="1">
      <formula>G2576&lt;(F2576-(F2576*0.05))</formula>
    </cfRule>
    <cfRule type="expression" dxfId="486" priority="534" stopIfTrue="1">
      <formula>G2576&gt;(F2576+(F2576*0.05))</formula>
    </cfRule>
  </conditionalFormatting>
  <conditionalFormatting sqref="G2576">
    <cfRule type="expression" dxfId="485" priority="531" stopIfTrue="1">
      <formula>G2576&lt;(F2576-(F2576*0.05))</formula>
    </cfRule>
    <cfRule type="expression" dxfId="484" priority="532" stopIfTrue="1">
      <formula>G2576&gt;(F2576+(F2576*0.05))</formula>
    </cfRule>
  </conditionalFormatting>
  <conditionalFormatting sqref="G2576">
    <cfRule type="expression" dxfId="483" priority="529" stopIfTrue="1">
      <formula>G2576&lt;(F2576-(F2576*0.05))</formula>
    </cfRule>
    <cfRule type="expression" dxfId="482" priority="530" stopIfTrue="1">
      <formula>G2576&gt;(F2576+(F2576*0.05))</formula>
    </cfRule>
  </conditionalFormatting>
  <conditionalFormatting sqref="G2576">
    <cfRule type="expression" dxfId="481" priority="527" stopIfTrue="1">
      <formula>G2576&lt;(F2576-(F2576*0.05))</formula>
    </cfRule>
    <cfRule type="expression" dxfId="480" priority="528" stopIfTrue="1">
      <formula>G2576&gt;(F2576+(F2576*0.05))</formula>
    </cfRule>
  </conditionalFormatting>
  <conditionalFormatting sqref="G2576">
    <cfRule type="expression" dxfId="479" priority="525" stopIfTrue="1">
      <formula>G2576&lt;(F2576-(F2576*0.05))</formula>
    </cfRule>
    <cfRule type="expression" dxfId="478" priority="526" stopIfTrue="1">
      <formula>G2576&gt;(F2576+(F2576*0.05))</formula>
    </cfRule>
  </conditionalFormatting>
  <conditionalFormatting sqref="G2576">
    <cfRule type="expression" dxfId="477" priority="523" stopIfTrue="1">
      <formula>G2576&lt;(F2556-(F2556*0.05))</formula>
    </cfRule>
    <cfRule type="expression" dxfId="476" priority="524" stopIfTrue="1">
      <formula>G2576&gt;(F2556+(F2556*0.05))</formula>
    </cfRule>
  </conditionalFormatting>
  <conditionalFormatting sqref="G2584">
    <cfRule type="expression" dxfId="475" priority="521" stopIfTrue="1">
      <formula>G2584&lt;(F2584-(F2584*0.05))</formula>
    </cfRule>
    <cfRule type="expression" dxfId="474" priority="522" stopIfTrue="1">
      <formula>G2584&gt;(F2584+(F2584*0.05))</formula>
    </cfRule>
  </conditionalFormatting>
  <conditionalFormatting sqref="G2584">
    <cfRule type="expression" dxfId="473" priority="519" stopIfTrue="1">
      <formula>G2584&lt;(F2584-(F2584*0.05))</formula>
    </cfRule>
    <cfRule type="expression" dxfId="472" priority="520" stopIfTrue="1">
      <formula>G2584&gt;(F2584+(F2584*0.05))</formula>
    </cfRule>
  </conditionalFormatting>
  <conditionalFormatting sqref="G2584">
    <cfRule type="expression" dxfId="471" priority="517" stopIfTrue="1">
      <formula>G2584&lt;(F2584-(F2584*0.05))</formula>
    </cfRule>
    <cfRule type="expression" dxfId="470" priority="518" stopIfTrue="1">
      <formula>G2584&gt;(F2584+(F2584*0.05))</formula>
    </cfRule>
  </conditionalFormatting>
  <conditionalFormatting sqref="G2584">
    <cfRule type="expression" dxfId="469" priority="515" stopIfTrue="1">
      <formula>G2584&lt;(F2584-(F2584*0.05))</formula>
    </cfRule>
    <cfRule type="expression" dxfId="468" priority="516" stopIfTrue="1">
      <formula>G2584&gt;(F2584+(F2584*0.05))</formula>
    </cfRule>
  </conditionalFormatting>
  <conditionalFormatting sqref="G2584">
    <cfRule type="expression" dxfId="467" priority="513" stopIfTrue="1">
      <formula>G2584&lt;(F2584-(F2584*0.05))</formula>
    </cfRule>
    <cfRule type="expression" dxfId="466" priority="514" stopIfTrue="1">
      <formula>G2584&gt;(F2584+(F2584*0.05))</formula>
    </cfRule>
  </conditionalFormatting>
  <conditionalFormatting sqref="G2584">
    <cfRule type="expression" dxfId="465" priority="511" stopIfTrue="1">
      <formula>G2584&lt;(F2584-(F2584*0.05))</formula>
    </cfRule>
    <cfRule type="expression" dxfId="464" priority="512" stopIfTrue="1">
      <formula>G2584&gt;(F2584+(F2584*0.05))</formula>
    </cfRule>
  </conditionalFormatting>
  <conditionalFormatting sqref="G2584">
    <cfRule type="expression" dxfId="463" priority="509" stopIfTrue="1">
      <formula>G2584&lt;(F2584-(F2584*0.05))</formula>
    </cfRule>
    <cfRule type="expression" dxfId="462" priority="510" stopIfTrue="1">
      <formula>G2584&gt;(F2584+(F2584*0.05))</formula>
    </cfRule>
  </conditionalFormatting>
  <conditionalFormatting sqref="G2584">
    <cfRule type="expression" dxfId="461" priority="507" stopIfTrue="1">
      <formula>G2584&lt;(F2584-(F2584*0.05))</formula>
    </cfRule>
    <cfRule type="expression" dxfId="460" priority="508" stopIfTrue="1">
      <formula>G2584&gt;(F2584+(F2584*0.05))</formula>
    </cfRule>
  </conditionalFormatting>
  <conditionalFormatting sqref="G2584">
    <cfRule type="expression" dxfId="459" priority="505" stopIfTrue="1">
      <formula>G2584&lt;(F2584-(F2584*0.05))</formula>
    </cfRule>
    <cfRule type="expression" dxfId="458" priority="506" stopIfTrue="1">
      <formula>G2584&gt;(F2584+(F2584*0.05))</formula>
    </cfRule>
  </conditionalFormatting>
  <conditionalFormatting sqref="G2584">
    <cfRule type="expression" dxfId="457" priority="503" stopIfTrue="1">
      <formula>G2584&lt;(F2584-(F2584*0.05))</formula>
    </cfRule>
    <cfRule type="expression" dxfId="456" priority="504" stopIfTrue="1">
      <formula>G2584&gt;(F2584+(F2584*0.05))</formula>
    </cfRule>
  </conditionalFormatting>
  <conditionalFormatting sqref="G2584">
    <cfRule type="expression" dxfId="455" priority="501" stopIfTrue="1">
      <formula>G2584&lt;(F2584-(F2584*0.05))</formula>
    </cfRule>
    <cfRule type="expression" dxfId="454" priority="502" stopIfTrue="1">
      <formula>G2584&gt;(F2584+(F2584*0.05))</formula>
    </cfRule>
  </conditionalFormatting>
  <conditionalFormatting sqref="G2584">
    <cfRule type="expression" dxfId="453" priority="499" stopIfTrue="1">
      <formula>G2584&lt;(F2584-(F2584*0.05))</formula>
    </cfRule>
    <cfRule type="expression" dxfId="452" priority="500" stopIfTrue="1">
      <formula>G2584&gt;(F2584+(F2584*0.05))</formula>
    </cfRule>
  </conditionalFormatting>
  <conditionalFormatting sqref="G2584">
    <cfRule type="expression" dxfId="451" priority="497" stopIfTrue="1">
      <formula>G2584&lt;(F2584-(F2584*0.05))</formula>
    </cfRule>
    <cfRule type="expression" dxfId="450" priority="498" stopIfTrue="1">
      <formula>G2584&gt;(F2584+(F2584*0.05))</formula>
    </cfRule>
  </conditionalFormatting>
  <conditionalFormatting sqref="G2584">
    <cfRule type="expression" dxfId="449" priority="495" stopIfTrue="1">
      <formula>G2584&lt;(F2584-(F2584*0.05))</formula>
    </cfRule>
    <cfRule type="expression" dxfId="448" priority="496" stopIfTrue="1">
      <formula>G2584&gt;(F2584+(F2584*0.05))</formula>
    </cfRule>
  </conditionalFormatting>
  <conditionalFormatting sqref="G2584">
    <cfRule type="expression" dxfId="447" priority="493" stopIfTrue="1">
      <formula>G2584&lt;(F2584-(F2584*0.05))</formula>
    </cfRule>
    <cfRule type="expression" dxfId="446" priority="494" stopIfTrue="1">
      <formula>G2584&gt;(F2584+(F2584*0.05))</formula>
    </cfRule>
  </conditionalFormatting>
  <conditionalFormatting sqref="G2584">
    <cfRule type="expression" dxfId="445" priority="491" stopIfTrue="1">
      <formula>G2584&lt;(F2564-(F2564*0.05))</formula>
    </cfRule>
    <cfRule type="expression" dxfId="444" priority="492" stopIfTrue="1">
      <formula>G2584&gt;(F2564+(F2564*0.05))</formula>
    </cfRule>
  </conditionalFormatting>
  <conditionalFormatting sqref="G2514">
    <cfRule type="expression" dxfId="443" priority="489" stopIfTrue="1">
      <formula>G2514&lt;(F2514-(F2514*0.05))</formula>
    </cfRule>
    <cfRule type="expression" dxfId="442" priority="490" stopIfTrue="1">
      <formula>G2514&gt;(F2514+(F2514*0.05))</formula>
    </cfRule>
  </conditionalFormatting>
  <conditionalFormatting sqref="G2514">
    <cfRule type="expression" dxfId="441" priority="487" stopIfTrue="1">
      <formula>G2514&lt;(F2514-(F2514*0.05))</formula>
    </cfRule>
    <cfRule type="expression" dxfId="440" priority="488" stopIfTrue="1">
      <formula>G2514&gt;(F2514+(F2514*0.05))</formula>
    </cfRule>
  </conditionalFormatting>
  <conditionalFormatting sqref="G2514">
    <cfRule type="expression" dxfId="439" priority="485" stopIfTrue="1">
      <formula>G2514&lt;(F2514-(F2514*0.05))</formula>
    </cfRule>
    <cfRule type="expression" dxfId="438" priority="486" stopIfTrue="1">
      <formula>G2514&gt;(F2514+(F2514*0.05))</formula>
    </cfRule>
  </conditionalFormatting>
  <conditionalFormatting sqref="G2514">
    <cfRule type="expression" dxfId="437" priority="483" stopIfTrue="1">
      <formula>G2514&lt;(F2514-(F2514*0.05))</formula>
    </cfRule>
    <cfRule type="expression" dxfId="436" priority="484" stopIfTrue="1">
      <formula>G2514&gt;(F2514+(F2514*0.05))</formula>
    </cfRule>
  </conditionalFormatting>
  <conditionalFormatting sqref="G2514">
    <cfRule type="expression" dxfId="435" priority="481" stopIfTrue="1">
      <formula>G2514&lt;(F2514-(F2514*0.05))</formula>
    </cfRule>
    <cfRule type="expression" dxfId="434" priority="482" stopIfTrue="1">
      <formula>G2514&gt;(F2514+(F2514*0.05))</formula>
    </cfRule>
  </conditionalFormatting>
  <conditionalFormatting sqref="G2514">
    <cfRule type="expression" dxfId="433" priority="479" stopIfTrue="1">
      <formula>G2514&lt;(F2514-(F2514*0.05))</formula>
    </cfRule>
    <cfRule type="expression" dxfId="432" priority="480" stopIfTrue="1">
      <formula>G2514&gt;(F2514+(F2514*0.05))</formula>
    </cfRule>
  </conditionalFormatting>
  <conditionalFormatting sqref="G2514">
    <cfRule type="expression" dxfId="431" priority="477" stopIfTrue="1">
      <formula>G2514&lt;(F2514-(F2514*0.05))</formula>
    </cfRule>
    <cfRule type="expression" dxfId="430" priority="478" stopIfTrue="1">
      <formula>G2514&gt;(F2514+(F2514*0.05))</formula>
    </cfRule>
  </conditionalFormatting>
  <conditionalFormatting sqref="G2514">
    <cfRule type="expression" dxfId="429" priority="475" stopIfTrue="1">
      <formula>G2514&lt;(F2514-(F2514*0.05))</formula>
    </cfRule>
    <cfRule type="expression" dxfId="428" priority="476" stopIfTrue="1">
      <formula>G2514&gt;(F2514+(F2514*0.05))</formula>
    </cfRule>
  </conditionalFormatting>
  <conditionalFormatting sqref="G2514">
    <cfRule type="expression" dxfId="427" priority="473" stopIfTrue="1">
      <formula>G2514&lt;(F2514-(F2514*0.05))</formula>
    </cfRule>
    <cfRule type="expression" dxfId="426" priority="474" stopIfTrue="1">
      <formula>G2514&gt;(F2514+(F2514*0.05))</formula>
    </cfRule>
  </conditionalFormatting>
  <conditionalFormatting sqref="G2514">
    <cfRule type="expression" dxfId="425" priority="471" stopIfTrue="1">
      <formula>G2514&lt;(F2514-(F2514*0.05))</formula>
    </cfRule>
    <cfRule type="expression" dxfId="424" priority="472" stopIfTrue="1">
      <formula>G2514&gt;(F2514+(F2514*0.05))</formula>
    </cfRule>
  </conditionalFormatting>
  <conditionalFormatting sqref="G2514">
    <cfRule type="expression" dxfId="423" priority="469" stopIfTrue="1">
      <formula>G2514&lt;(F2514-(F2514*0.05))</formula>
    </cfRule>
    <cfRule type="expression" dxfId="422" priority="470" stopIfTrue="1">
      <formula>G2514&gt;(F2514+(F2514*0.05))</formula>
    </cfRule>
  </conditionalFormatting>
  <conditionalFormatting sqref="G2514">
    <cfRule type="expression" dxfId="421" priority="467" stopIfTrue="1">
      <formula>G2514&lt;(F2514-(F2514*0.05))</formula>
    </cfRule>
    <cfRule type="expression" dxfId="420" priority="468" stopIfTrue="1">
      <formula>G2514&gt;(F2514+(F2514*0.05))</formula>
    </cfRule>
  </conditionalFormatting>
  <conditionalFormatting sqref="G2514">
    <cfRule type="expression" dxfId="419" priority="465" stopIfTrue="1">
      <formula>G2514&lt;(F2514-(F2514*0.05))</formula>
    </cfRule>
    <cfRule type="expression" dxfId="418" priority="466" stopIfTrue="1">
      <formula>G2514&gt;(F2514+(F2514*0.05))</formula>
    </cfRule>
  </conditionalFormatting>
  <conditionalFormatting sqref="G2514">
    <cfRule type="expression" dxfId="417" priority="463" stopIfTrue="1">
      <formula>G2514&lt;(F2514-(F2514*0.05))</formula>
    </cfRule>
    <cfRule type="expression" dxfId="416" priority="464" stopIfTrue="1">
      <formula>G2514&gt;(F2514+(F2514*0.05))</formula>
    </cfRule>
  </conditionalFormatting>
  <conditionalFormatting sqref="G2514">
    <cfRule type="expression" dxfId="415" priority="461" stopIfTrue="1">
      <formula>G2514&lt;(F2514-(F2514*0.05))</formula>
    </cfRule>
    <cfRule type="expression" dxfId="414" priority="462" stopIfTrue="1">
      <formula>G2514&gt;(F2514+(F2514*0.05))</formula>
    </cfRule>
  </conditionalFormatting>
  <conditionalFormatting sqref="G2514">
    <cfRule type="expression" dxfId="413" priority="459" stopIfTrue="1">
      <formula>G2514&lt;(F2514-(F2514*0.05))</formula>
    </cfRule>
    <cfRule type="expression" dxfId="412" priority="460" stopIfTrue="1">
      <formula>G2514&gt;(F2514+(F2514*0.05))</formula>
    </cfRule>
  </conditionalFormatting>
  <conditionalFormatting sqref="G2514">
    <cfRule type="expression" dxfId="411" priority="457" stopIfTrue="1">
      <formula>G2514&lt;(F2573-(F2573*0.05))</formula>
    </cfRule>
    <cfRule type="expression" dxfId="410" priority="458" stopIfTrue="1">
      <formula>G2514&gt;(F2573+(F2573*0.05))</formula>
    </cfRule>
  </conditionalFormatting>
  <conditionalFormatting sqref="G2593">
    <cfRule type="expression" dxfId="409" priority="455" stopIfTrue="1">
      <formula>G2593&lt;(F2593-(F2593*0.05))</formula>
    </cfRule>
    <cfRule type="expression" dxfId="408" priority="456" stopIfTrue="1">
      <formula>G2593&gt;(F2593+(F2593*0.05))</formula>
    </cfRule>
  </conditionalFormatting>
  <conditionalFormatting sqref="G2593">
    <cfRule type="expression" dxfId="407" priority="453" stopIfTrue="1">
      <formula>G2593&lt;(F2593-(F2593*0.05))</formula>
    </cfRule>
    <cfRule type="expression" dxfId="406" priority="454" stopIfTrue="1">
      <formula>G2593&gt;(F2593+(F2593*0.05))</formula>
    </cfRule>
  </conditionalFormatting>
  <conditionalFormatting sqref="G2593">
    <cfRule type="expression" dxfId="405" priority="451" stopIfTrue="1">
      <formula>G2593&lt;(F2593-(F2593*0.05))</formula>
    </cfRule>
    <cfRule type="expression" dxfId="404" priority="452" stopIfTrue="1">
      <formula>G2593&gt;(F2593+(F2593*0.05))</formula>
    </cfRule>
  </conditionalFormatting>
  <conditionalFormatting sqref="G2593">
    <cfRule type="expression" dxfId="403" priority="449" stopIfTrue="1">
      <formula>G2593&lt;(F2593-(F2593*0.05))</formula>
    </cfRule>
    <cfRule type="expression" dxfId="402" priority="450" stopIfTrue="1">
      <formula>G2593&gt;(F2593+(F2593*0.05))</formula>
    </cfRule>
  </conditionalFormatting>
  <conditionalFormatting sqref="G2593">
    <cfRule type="expression" dxfId="401" priority="447" stopIfTrue="1">
      <formula>G2593&lt;(F2593-(F2593*0.05))</formula>
    </cfRule>
    <cfRule type="expression" dxfId="400" priority="448" stopIfTrue="1">
      <formula>G2593&gt;(F2593+(F2593*0.05))</formula>
    </cfRule>
  </conditionalFormatting>
  <conditionalFormatting sqref="G2593">
    <cfRule type="expression" dxfId="399" priority="445" stopIfTrue="1">
      <formula>G2593&lt;(F2593-(F2593*0.05))</formula>
    </cfRule>
    <cfRule type="expression" dxfId="398" priority="446" stopIfTrue="1">
      <formula>G2593&gt;(F2593+(F2593*0.05))</formula>
    </cfRule>
  </conditionalFormatting>
  <conditionalFormatting sqref="G2593">
    <cfRule type="expression" dxfId="397" priority="443" stopIfTrue="1">
      <formula>G2593&lt;(F2593-(F2593*0.05))</formula>
    </cfRule>
    <cfRule type="expression" dxfId="396" priority="444" stopIfTrue="1">
      <formula>G2593&gt;(F2593+(F2593*0.05))</formula>
    </cfRule>
  </conditionalFormatting>
  <conditionalFormatting sqref="G2593">
    <cfRule type="expression" dxfId="395" priority="441" stopIfTrue="1">
      <formula>G2593&lt;(F2593-(F2593*0.05))</formula>
    </cfRule>
    <cfRule type="expression" dxfId="394" priority="442" stopIfTrue="1">
      <formula>G2593&gt;(F2593+(F2593*0.05))</formula>
    </cfRule>
  </conditionalFormatting>
  <conditionalFormatting sqref="G2593">
    <cfRule type="expression" dxfId="393" priority="439" stopIfTrue="1">
      <formula>G2593&lt;(F2593-(F2593*0.05))</formula>
    </cfRule>
    <cfRule type="expression" dxfId="392" priority="440" stopIfTrue="1">
      <formula>G2593&gt;(F2593+(F2593*0.05))</formula>
    </cfRule>
  </conditionalFormatting>
  <conditionalFormatting sqref="G2593">
    <cfRule type="expression" dxfId="391" priority="437" stopIfTrue="1">
      <formula>G2593&lt;(F2593-(F2593*0.05))</formula>
    </cfRule>
    <cfRule type="expression" dxfId="390" priority="438" stopIfTrue="1">
      <formula>G2593&gt;(F2593+(F2593*0.05))</formula>
    </cfRule>
  </conditionalFormatting>
  <conditionalFormatting sqref="G2593">
    <cfRule type="expression" dxfId="389" priority="435" stopIfTrue="1">
      <formula>G2593&lt;(F2593-(F2593*0.05))</formula>
    </cfRule>
    <cfRule type="expression" dxfId="388" priority="436" stopIfTrue="1">
      <formula>G2593&gt;(F2593+(F2593*0.05))</formula>
    </cfRule>
  </conditionalFormatting>
  <conditionalFormatting sqref="G2593">
    <cfRule type="expression" dxfId="387" priority="433" stopIfTrue="1">
      <formula>G2593&lt;(F2593-(F2593*0.05))</formula>
    </cfRule>
    <cfRule type="expression" dxfId="386" priority="434" stopIfTrue="1">
      <formula>G2593&gt;(F2593+(F2593*0.05))</formula>
    </cfRule>
  </conditionalFormatting>
  <conditionalFormatting sqref="G2593">
    <cfRule type="expression" dxfId="385" priority="431" stopIfTrue="1">
      <formula>G2593&lt;(F2593-(F2593*0.05))</formula>
    </cfRule>
    <cfRule type="expression" dxfId="384" priority="432" stopIfTrue="1">
      <formula>G2593&gt;(F2593+(F2593*0.05))</formula>
    </cfRule>
  </conditionalFormatting>
  <conditionalFormatting sqref="G2593">
    <cfRule type="expression" dxfId="383" priority="429" stopIfTrue="1">
      <formula>G2593&lt;(F2593-(F2593*0.05))</formula>
    </cfRule>
    <cfRule type="expression" dxfId="382" priority="430" stopIfTrue="1">
      <formula>G2593&gt;(F2593+(F2593*0.05))</formula>
    </cfRule>
  </conditionalFormatting>
  <conditionalFormatting sqref="G2593">
    <cfRule type="expression" dxfId="381" priority="427" stopIfTrue="1">
      <formula>G2593&lt;(F2593-(F2593*0.05))</formula>
    </cfRule>
    <cfRule type="expression" dxfId="380" priority="428" stopIfTrue="1">
      <formula>G2593&gt;(F2593+(F2593*0.05))</formula>
    </cfRule>
  </conditionalFormatting>
  <conditionalFormatting sqref="G2593">
    <cfRule type="expression" dxfId="379" priority="425" stopIfTrue="1">
      <formula>G2593&lt;(F2593-(F2593*0.05))</formula>
    </cfRule>
    <cfRule type="expression" dxfId="378" priority="426" stopIfTrue="1">
      <formula>G2593&gt;(F2593+(F2593*0.05))</formula>
    </cfRule>
  </conditionalFormatting>
  <conditionalFormatting sqref="G2593">
    <cfRule type="expression" dxfId="377" priority="423" stopIfTrue="1">
      <formula>G2593&lt;(F2593-(F2593*0.05))</formula>
    </cfRule>
    <cfRule type="expression" dxfId="376" priority="424" stopIfTrue="1">
      <formula>G2593&gt;(F2593+(F2593*0.05))</formula>
    </cfRule>
  </conditionalFormatting>
  <conditionalFormatting sqref="G2593">
    <cfRule type="expression" dxfId="375" priority="421" stopIfTrue="1">
      <formula>G2593&lt;(F2581-(F2581*0.05))</formula>
    </cfRule>
    <cfRule type="expression" dxfId="374" priority="422" stopIfTrue="1">
      <formula>G2593&gt;(F2581+(F2581*0.05))</formula>
    </cfRule>
  </conditionalFormatting>
  <conditionalFormatting sqref="G2599">
    <cfRule type="expression" dxfId="373" priority="419" stopIfTrue="1">
      <formula>G2599&lt;(F2599-(F2599*0.05))</formula>
    </cfRule>
    <cfRule type="expression" dxfId="372" priority="420" stopIfTrue="1">
      <formula>G2599&gt;(F2599+(F2599*0.05))</formula>
    </cfRule>
  </conditionalFormatting>
  <conditionalFormatting sqref="G2599">
    <cfRule type="expression" dxfId="371" priority="417" stopIfTrue="1">
      <formula>G2599&lt;(F2599-(F2599*0.05))</formula>
    </cfRule>
    <cfRule type="expression" dxfId="370" priority="418" stopIfTrue="1">
      <formula>G2599&gt;(F2599+(F2599*0.05))</formula>
    </cfRule>
  </conditionalFormatting>
  <conditionalFormatting sqref="G2599">
    <cfRule type="expression" dxfId="369" priority="415" stopIfTrue="1">
      <formula>G2599&lt;(F2599-(F2599*0.05))</formula>
    </cfRule>
    <cfRule type="expression" dxfId="368" priority="416" stopIfTrue="1">
      <formula>G2599&gt;(F2599+(F2599*0.05))</formula>
    </cfRule>
  </conditionalFormatting>
  <conditionalFormatting sqref="G2599">
    <cfRule type="expression" dxfId="367" priority="413" stopIfTrue="1">
      <formula>G2599&lt;(F2599-(F2599*0.05))</formula>
    </cfRule>
    <cfRule type="expression" dxfId="366" priority="414" stopIfTrue="1">
      <formula>G2599&gt;(F2599+(F2599*0.05))</formula>
    </cfRule>
  </conditionalFormatting>
  <conditionalFormatting sqref="G2599">
    <cfRule type="expression" dxfId="365" priority="411" stopIfTrue="1">
      <formula>G2599&lt;(F2599-(F2599*0.05))</formula>
    </cfRule>
    <cfRule type="expression" dxfId="364" priority="412" stopIfTrue="1">
      <formula>G2599&gt;(F2599+(F2599*0.05))</formula>
    </cfRule>
  </conditionalFormatting>
  <conditionalFormatting sqref="G2599">
    <cfRule type="expression" dxfId="363" priority="409" stopIfTrue="1">
      <formula>G2599&lt;(F2599-(F2599*0.05))</formula>
    </cfRule>
    <cfRule type="expression" dxfId="362" priority="410" stopIfTrue="1">
      <formula>G2599&gt;(F2599+(F2599*0.05))</formula>
    </cfRule>
  </conditionalFormatting>
  <conditionalFormatting sqref="G2599">
    <cfRule type="expression" dxfId="361" priority="407" stopIfTrue="1">
      <formula>G2599&lt;(F2599-(F2599*0.05))</formula>
    </cfRule>
    <cfRule type="expression" dxfId="360" priority="408" stopIfTrue="1">
      <formula>G2599&gt;(F2599+(F2599*0.05))</formula>
    </cfRule>
  </conditionalFormatting>
  <conditionalFormatting sqref="G2599">
    <cfRule type="expression" dxfId="359" priority="405" stopIfTrue="1">
      <formula>G2599&lt;(F2599-(F2599*0.05))</formula>
    </cfRule>
    <cfRule type="expression" dxfId="358" priority="406" stopIfTrue="1">
      <formula>G2599&gt;(F2599+(F2599*0.05))</formula>
    </cfRule>
  </conditionalFormatting>
  <conditionalFormatting sqref="G2599">
    <cfRule type="expression" dxfId="357" priority="403" stopIfTrue="1">
      <formula>G2599&lt;(F2599-(F2599*0.05))</formula>
    </cfRule>
    <cfRule type="expression" dxfId="356" priority="404" stopIfTrue="1">
      <formula>G2599&gt;(F2599+(F2599*0.05))</formula>
    </cfRule>
  </conditionalFormatting>
  <conditionalFormatting sqref="G2599">
    <cfRule type="expression" dxfId="355" priority="401" stopIfTrue="1">
      <formula>G2599&lt;(F2599-(F2599*0.05))</formula>
    </cfRule>
    <cfRule type="expression" dxfId="354" priority="402" stopIfTrue="1">
      <formula>G2599&gt;(F2599+(F2599*0.05))</formula>
    </cfRule>
  </conditionalFormatting>
  <conditionalFormatting sqref="G2599">
    <cfRule type="expression" dxfId="353" priority="399" stopIfTrue="1">
      <formula>G2599&lt;(F2599-(F2599*0.05))</formula>
    </cfRule>
    <cfRule type="expression" dxfId="352" priority="400" stopIfTrue="1">
      <formula>G2599&gt;(F2599+(F2599*0.05))</formula>
    </cfRule>
  </conditionalFormatting>
  <conditionalFormatting sqref="G2599">
    <cfRule type="expression" dxfId="351" priority="397" stopIfTrue="1">
      <formula>G2599&lt;(F2599-(F2599*0.05))</formula>
    </cfRule>
    <cfRule type="expression" dxfId="350" priority="398" stopIfTrue="1">
      <formula>G2599&gt;(F2599+(F2599*0.05))</formula>
    </cfRule>
  </conditionalFormatting>
  <conditionalFormatting sqref="G2599">
    <cfRule type="expression" dxfId="349" priority="395" stopIfTrue="1">
      <formula>G2599&lt;(F2599-(F2599*0.05))</formula>
    </cfRule>
    <cfRule type="expression" dxfId="348" priority="396" stopIfTrue="1">
      <formula>G2599&gt;(F2599+(F2599*0.05))</formula>
    </cfRule>
  </conditionalFormatting>
  <conditionalFormatting sqref="G2599">
    <cfRule type="expression" dxfId="347" priority="393" stopIfTrue="1">
      <formula>G2599&lt;(F2599-(F2599*0.05))</formula>
    </cfRule>
    <cfRule type="expression" dxfId="346" priority="394" stopIfTrue="1">
      <formula>G2599&gt;(F2599+(F2599*0.05))</formula>
    </cfRule>
  </conditionalFormatting>
  <conditionalFormatting sqref="G2599">
    <cfRule type="expression" dxfId="345" priority="391" stopIfTrue="1">
      <formula>G2599&lt;(F2599-(F2599*0.05))</formula>
    </cfRule>
    <cfRule type="expression" dxfId="344" priority="392" stopIfTrue="1">
      <formula>G2599&gt;(F2599+(F2599*0.05))</formula>
    </cfRule>
  </conditionalFormatting>
  <conditionalFormatting sqref="G2599">
    <cfRule type="expression" dxfId="343" priority="389" stopIfTrue="1">
      <formula>G2599&lt;(F2599-(F2599*0.05))</formula>
    </cfRule>
    <cfRule type="expression" dxfId="342" priority="390" stopIfTrue="1">
      <formula>G2599&gt;(F2599+(F2599*0.05))</formula>
    </cfRule>
  </conditionalFormatting>
  <conditionalFormatting sqref="G2599">
    <cfRule type="expression" dxfId="341" priority="387" stopIfTrue="1">
      <formula>G2599&lt;(F2599-(F2599*0.05))</formula>
    </cfRule>
    <cfRule type="expression" dxfId="340" priority="388" stopIfTrue="1">
      <formula>G2599&gt;(F2599+(F2599*0.05))</formula>
    </cfRule>
  </conditionalFormatting>
  <conditionalFormatting sqref="G2599">
    <cfRule type="expression" dxfId="339" priority="385" stopIfTrue="1">
      <formula>G2599&lt;(F2599-(F2599*0.05))</formula>
    </cfRule>
    <cfRule type="expression" dxfId="338" priority="386" stopIfTrue="1">
      <formula>G2599&gt;(F2599+(F2599*0.05))</formula>
    </cfRule>
  </conditionalFormatting>
  <conditionalFormatting sqref="G2599">
    <cfRule type="expression" dxfId="337" priority="383" stopIfTrue="1">
      <formula>G2599&lt;(F2587-(F2587*0.05))</formula>
    </cfRule>
    <cfRule type="expression" dxfId="336" priority="384" stopIfTrue="1">
      <formula>G2599&gt;(F2587+(F2587*0.05))</formula>
    </cfRule>
  </conditionalFormatting>
  <conditionalFormatting sqref="G2606">
    <cfRule type="expression" dxfId="335" priority="381" stopIfTrue="1">
      <formula>G2606&lt;(F2606-(F2606*0.05))</formula>
    </cfRule>
    <cfRule type="expression" dxfId="334" priority="382" stopIfTrue="1">
      <formula>G2606&gt;(F2606+(F2606*0.05))</formula>
    </cfRule>
  </conditionalFormatting>
  <conditionalFormatting sqref="G2606">
    <cfRule type="expression" dxfId="333" priority="379" stopIfTrue="1">
      <formula>G2606&lt;(F2606-(F2606*0.05))</formula>
    </cfRule>
    <cfRule type="expression" dxfId="332" priority="380" stopIfTrue="1">
      <formula>G2606&gt;(F2606+(F2606*0.05))</formula>
    </cfRule>
  </conditionalFormatting>
  <conditionalFormatting sqref="G2606">
    <cfRule type="expression" dxfId="331" priority="377" stopIfTrue="1">
      <formula>G2606&lt;(F2606-(F2606*0.05))</formula>
    </cfRule>
    <cfRule type="expression" dxfId="330" priority="378" stopIfTrue="1">
      <formula>G2606&gt;(F2606+(F2606*0.05))</formula>
    </cfRule>
  </conditionalFormatting>
  <conditionalFormatting sqref="G2606">
    <cfRule type="expression" dxfId="329" priority="375" stopIfTrue="1">
      <formula>G2606&lt;(F2606-(F2606*0.05))</formula>
    </cfRule>
    <cfRule type="expression" dxfId="328" priority="376" stopIfTrue="1">
      <formula>G2606&gt;(F2606+(F2606*0.05))</formula>
    </cfRule>
  </conditionalFormatting>
  <conditionalFormatting sqref="G2606">
    <cfRule type="expression" dxfId="327" priority="373" stopIfTrue="1">
      <formula>G2606&lt;(F2606-(F2606*0.05))</formula>
    </cfRule>
    <cfRule type="expression" dxfId="326" priority="374" stopIfTrue="1">
      <formula>G2606&gt;(F2606+(F2606*0.05))</formula>
    </cfRule>
  </conditionalFormatting>
  <conditionalFormatting sqref="G2606">
    <cfRule type="expression" dxfId="325" priority="371" stopIfTrue="1">
      <formula>G2606&lt;(F2606-(F2606*0.05))</formula>
    </cfRule>
    <cfRule type="expression" dxfId="324" priority="372" stopIfTrue="1">
      <formula>G2606&gt;(F2606+(F2606*0.05))</formula>
    </cfRule>
  </conditionalFormatting>
  <conditionalFormatting sqref="G2606">
    <cfRule type="expression" dxfId="323" priority="369" stopIfTrue="1">
      <formula>G2606&lt;(F2606-(F2606*0.05))</formula>
    </cfRule>
    <cfRule type="expression" dxfId="322" priority="370" stopIfTrue="1">
      <formula>G2606&gt;(F2606+(F2606*0.05))</formula>
    </cfRule>
  </conditionalFormatting>
  <conditionalFormatting sqref="G2606">
    <cfRule type="expression" dxfId="321" priority="367" stopIfTrue="1">
      <formula>G2606&lt;(F2606-(F2606*0.05))</formula>
    </cfRule>
    <cfRule type="expression" dxfId="320" priority="368" stopIfTrue="1">
      <formula>G2606&gt;(F2606+(F2606*0.05))</formula>
    </cfRule>
  </conditionalFormatting>
  <conditionalFormatting sqref="G2606">
    <cfRule type="expression" dxfId="319" priority="365" stopIfTrue="1">
      <formula>G2606&lt;(F2606-(F2606*0.05))</formula>
    </cfRule>
    <cfRule type="expression" dxfId="318" priority="366" stopIfTrue="1">
      <formula>G2606&gt;(F2606+(F2606*0.05))</formula>
    </cfRule>
  </conditionalFormatting>
  <conditionalFormatting sqref="G2606">
    <cfRule type="expression" dxfId="317" priority="363" stopIfTrue="1">
      <formula>G2606&lt;(F2606-(F2606*0.05))</formula>
    </cfRule>
    <cfRule type="expression" dxfId="316" priority="364" stopIfTrue="1">
      <formula>G2606&gt;(F2606+(F2606*0.05))</formula>
    </cfRule>
  </conditionalFormatting>
  <conditionalFormatting sqref="G2606">
    <cfRule type="expression" dxfId="315" priority="361" stopIfTrue="1">
      <formula>G2606&lt;(F2606-(F2606*0.05))</formula>
    </cfRule>
    <cfRule type="expression" dxfId="314" priority="362" stopIfTrue="1">
      <formula>G2606&gt;(F2606+(F2606*0.05))</formula>
    </cfRule>
  </conditionalFormatting>
  <conditionalFormatting sqref="G2606">
    <cfRule type="expression" dxfId="313" priority="359" stopIfTrue="1">
      <formula>G2606&lt;(F2606-(F2606*0.05))</formula>
    </cfRule>
    <cfRule type="expression" dxfId="312" priority="360" stopIfTrue="1">
      <formula>G2606&gt;(F2606+(F2606*0.05))</formula>
    </cfRule>
  </conditionalFormatting>
  <conditionalFormatting sqref="G2606">
    <cfRule type="expression" dxfId="311" priority="357" stopIfTrue="1">
      <formula>G2606&lt;(F2606-(F2606*0.05))</formula>
    </cfRule>
    <cfRule type="expression" dxfId="310" priority="358" stopIfTrue="1">
      <formula>G2606&gt;(F2606+(F2606*0.05))</formula>
    </cfRule>
  </conditionalFormatting>
  <conditionalFormatting sqref="G2606">
    <cfRule type="expression" dxfId="309" priority="355" stopIfTrue="1">
      <formula>G2606&lt;(F2606-(F2606*0.05))</formula>
    </cfRule>
    <cfRule type="expression" dxfId="308" priority="356" stopIfTrue="1">
      <formula>G2606&gt;(F2606+(F2606*0.05))</formula>
    </cfRule>
  </conditionalFormatting>
  <conditionalFormatting sqref="G2606">
    <cfRule type="expression" dxfId="307" priority="353" stopIfTrue="1">
      <formula>G2606&lt;(F2606-(F2606*0.05))</formula>
    </cfRule>
    <cfRule type="expression" dxfId="306" priority="354" stopIfTrue="1">
      <formula>G2606&gt;(F2606+(F2606*0.05))</formula>
    </cfRule>
  </conditionalFormatting>
  <conditionalFormatting sqref="G2606">
    <cfRule type="expression" dxfId="305" priority="351" stopIfTrue="1">
      <formula>G2606&lt;(F2606-(F2606*0.05))</formula>
    </cfRule>
    <cfRule type="expression" dxfId="304" priority="352" stopIfTrue="1">
      <formula>G2606&gt;(F2606+(F2606*0.05))</formula>
    </cfRule>
  </conditionalFormatting>
  <conditionalFormatting sqref="G2606">
    <cfRule type="expression" dxfId="303" priority="349" stopIfTrue="1">
      <formula>G2606&lt;(F2606-(F2606*0.05))</formula>
    </cfRule>
    <cfRule type="expression" dxfId="302" priority="350" stopIfTrue="1">
      <formula>G2606&gt;(F2606+(F2606*0.05))</formula>
    </cfRule>
  </conditionalFormatting>
  <conditionalFormatting sqref="G2606">
    <cfRule type="expression" dxfId="301" priority="347" stopIfTrue="1">
      <formula>G2606&lt;(F2606-(F2606*0.05))</formula>
    </cfRule>
    <cfRule type="expression" dxfId="300" priority="348" stopIfTrue="1">
      <formula>G2606&gt;(F2606+(F2606*0.05))</formula>
    </cfRule>
  </conditionalFormatting>
  <conditionalFormatting sqref="G2606">
    <cfRule type="expression" dxfId="299" priority="345" stopIfTrue="1">
      <formula>G2606&lt;(F2606-(F2606*0.05))</formula>
    </cfRule>
    <cfRule type="expression" dxfId="298" priority="346" stopIfTrue="1">
      <formula>G2606&gt;(F2606+(F2606*0.05))</formula>
    </cfRule>
  </conditionalFormatting>
  <conditionalFormatting sqref="G2617">
    <cfRule type="expression" dxfId="297" priority="341" stopIfTrue="1">
      <formula>G2617&lt;(F2617-(F2617*0.05))</formula>
    </cfRule>
    <cfRule type="expression" dxfId="296" priority="342" stopIfTrue="1">
      <formula>G2617&gt;(F2617+(F2617*0.05))</formula>
    </cfRule>
  </conditionalFormatting>
  <conditionalFormatting sqref="G2617">
    <cfRule type="expression" dxfId="295" priority="339" stopIfTrue="1">
      <formula>G2617&lt;(F2617-(F2617*0.05))</formula>
    </cfRule>
    <cfRule type="expression" dxfId="294" priority="340" stopIfTrue="1">
      <formula>G2617&gt;(F2617+(F2617*0.05))</formula>
    </cfRule>
  </conditionalFormatting>
  <conditionalFormatting sqref="G2617">
    <cfRule type="expression" dxfId="293" priority="337" stopIfTrue="1">
      <formula>G2617&lt;(F2617-(F2617*0.05))</formula>
    </cfRule>
    <cfRule type="expression" dxfId="292" priority="338" stopIfTrue="1">
      <formula>G2617&gt;(F2617+(F2617*0.05))</formula>
    </cfRule>
  </conditionalFormatting>
  <conditionalFormatting sqref="G2617">
    <cfRule type="expression" dxfId="291" priority="335" stopIfTrue="1">
      <formula>G2617&lt;(F2617-(F2617*0.05))</formula>
    </cfRule>
    <cfRule type="expression" dxfId="290" priority="336" stopIfTrue="1">
      <formula>G2617&gt;(F2617+(F2617*0.05))</formula>
    </cfRule>
  </conditionalFormatting>
  <conditionalFormatting sqref="G2617">
    <cfRule type="expression" dxfId="289" priority="333" stopIfTrue="1">
      <formula>G2617&lt;(F2617-(F2617*0.05))</formula>
    </cfRule>
    <cfRule type="expression" dxfId="288" priority="334" stopIfTrue="1">
      <formula>G2617&gt;(F2617+(F2617*0.05))</formula>
    </cfRule>
  </conditionalFormatting>
  <conditionalFormatting sqref="G2617">
    <cfRule type="expression" dxfId="287" priority="331" stopIfTrue="1">
      <formula>G2617&lt;(F2617-(F2617*0.05))</formula>
    </cfRule>
    <cfRule type="expression" dxfId="286" priority="332" stopIfTrue="1">
      <formula>G2617&gt;(F2617+(F2617*0.05))</formula>
    </cfRule>
  </conditionalFormatting>
  <conditionalFormatting sqref="G2617">
    <cfRule type="expression" dxfId="285" priority="329" stopIfTrue="1">
      <formula>G2617&lt;(F2617-(F2617*0.05))</formula>
    </cfRule>
    <cfRule type="expression" dxfId="284" priority="330" stopIfTrue="1">
      <formula>G2617&gt;(F2617+(F2617*0.05))</formula>
    </cfRule>
  </conditionalFormatting>
  <conditionalFormatting sqref="G2617">
    <cfRule type="expression" dxfId="283" priority="327" stopIfTrue="1">
      <formula>G2617&lt;(F2617-(F2617*0.05))</formula>
    </cfRule>
    <cfRule type="expression" dxfId="282" priority="328" stopIfTrue="1">
      <formula>G2617&gt;(F2617+(F2617*0.05))</formula>
    </cfRule>
  </conditionalFormatting>
  <conditionalFormatting sqref="G2617">
    <cfRule type="expression" dxfId="281" priority="325" stopIfTrue="1">
      <formula>G2617&lt;(F2617-(F2617*0.05))</formula>
    </cfRule>
    <cfRule type="expression" dxfId="280" priority="326" stopIfTrue="1">
      <formula>G2617&gt;(F2617+(F2617*0.05))</formula>
    </cfRule>
  </conditionalFormatting>
  <conditionalFormatting sqref="G2617">
    <cfRule type="expression" dxfId="279" priority="323" stopIfTrue="1">
      <formula>G2617&lt;(F2617-(F2617*0.05))</formula>
    </cfRule>
    <cfRule type="expression" dxfId="278" priority="324" stopIfTrue="1">
      <formula>G2617&gt;(F2617+(F2617*0.05))</formula>
    </cfRule>
  </conditionalFormatting>
  <conditionalFormatting sqref="G2617">
    <cfRule type="expression" dxfId="277" priority="321" stopIfTrue="1">
      <formula>G2617&lt;(F2617-(F2617*0.05))</formula>
    </cfRule>
    <cfRule type="expression" dxfId="276" priority="322" stopIfTrue="1">
      <formula>G2617&gt;(F2617+(F2617*0.05))</formula>
    </cfRule>
  </conditionalFormatting>
  <conditionalFormatting sqref="G2617">
    <cfRule type="expression" dxfId="275" priority="319" stopIfTrue="1">
      <formula>G2617&lt;(F2617-(F2617*0.05))</formula>
    </cfRule>
    <cfRule type="expression" dxfId="274" priority="320" stopIfTrue="1">
      <formula>G2617&gt;(F2617+(F2617*0.05))</formula>
    </cfRule>
  </conditionalFormatting>
  <conditionalFormatting sqref="G2617">
    <cfRule type="expression" dxfId="273" priority="317" stopIfTrue="1">
      <formula>G2617&lt;(F2617-(F2617*0.05))</formula>
    </cfRule>
    <cfRule type="expression" dxfId="272" priority="318" stopIfTrue="1">
      <formula>G2617&gt;(F2617+(F2617*0.05))</formula>
    </cfRule>
  </conditionalFormatting>
  <conditionalFormatting sqref="G2617">
    <cfRule type="expression" dxfId="271" priority="315" stopIfTrue="1">
      <formula>G2617&lt;(F2617-(F2617*0.05))</formula>
    </cfRule>
    <cfRule type="expression" dxfId="270" priority="316" stopIfTrue="1">
      <formula>G2617&gt;(F2617+(F2617*0.05))</formula>
    </cfRule>
  </conditionalFormatting>
  <conditionalFormatting sqref="G2617">
    <cfRule type="expression" dxfId="269" priority="313" stopIfTrue="1">
      <formula>G2617&lt;(F2617-(F2617*0.05))</formula>
    </cfRule>
    <cfRule type="expression" dxfId="268" priority="314" stopIfTrue="1">
      <formula>G2617&gt;(F2617+(F2617*0.05))</formula>
    </cfRule>
  </conditionalFormatting>
  <conditionalFormatting sqref="G2617">
    <cfRule type="expression" dxfId="267" priority="311" stopIfTrue="1">
      <formula>G2617&lt;(F2617-(F2617*0.05))</formula>
    </cfRule>
    <cfRule type="expression" dxfId="266" priority="312" stopIfTrue="1">
      <formula>G2617&gt;(F2617+(F2617*0.05))</formula>
    </cfRule>
  </conditionalFormatting>
  <conditionalFormatting sqref="G2617">
    <cfRule type="expression" dxfId="265" priority="309" stopIfTrue="1">
      <formula>G2617&lt;(F2617-(F2617*0.05))</formula>
    </cfRule>
    <cfRule type="expression" dxfId="264" priority="310" stopIfTrue="1">
      <formula>G2617&gt;(F2617+(F2617*0.05))</formula>
    </cfRule>
  </conditionalFormatting>
  <conditionalFormatting sqref="G2617">
    <cfRule type="expression" dxfId="263" priority="307" stopIfTrue="1">
      <formula>G2617&lt;(F2617-(F2617*0.05))</formula>
    </cfRule>
    <cfRule type="expression" dxfId="262" priority="308" stopIfTrue="1">
      <formula>G2617&gt;(F2617+(F2617*0.05))</formula>
    </cfRule>
  </conditionalFormatting>
  <conditionalFormatting sqref="G2617">
    <cfRule type="expression" dxfId="261" priority="305" stopIfTrue="1">
      <formula>G2617&lt;(F2617-(F2617*0.05))</formula>
    </cfRule>
    <cfRule type="expression" dxfId="260" priority="306" stopIfTrue="1">
      <formula>G2617&gt;(F2617+(F2617*0.05))</formula>
    </cfRule>
  </conditionalFormatting>
  <conditionalFormatting sqref="G2617">
    <cfRule type="expression" dxfId="259" priority="303" stopIfTrue="1">
      <formula>G2617&lt;(F2617-(F2617*0.05))</formula>
    </cfRule>
    <cfRule type="expression" dxfId="258" priority="304" stopIfTrue="1">
      <formula>G2617&gt;(F2617+(F2617*0.05))</formula>
    </cfRule>
  </conditionalFormatting>
  <conditionalFormatting sqref="G2617">
    <cfRule type="expression" dxfId="257" priority="301" stopIfTrue="1">
      <formula>G2617&lt;(F2595-(F2595*0.05))</formula>
    </cfRule>
    <cfRule type="expression" dxfId="256" priority="302" stopIfTrue="1">
      <formula>G2617&gt;(F2595+(F2595*0.05))</formula>
    </cfRule>
  </conditionalFormatting>
  <conditionalFormatting sqref="G2629">
    <cfRule type="expression" dxfId="255" priority="255" stopIfTrue="1">
      <formula>G2629&lt;(F2629-(F2629*0.05))</formula>
    </cfRule>
    <cfRule type="expression" dxfId="254" priority="256" stopIfTrue="1">
      <formula>G2629&gt;(F2629+(F2629*0.05))</formula>
    </cfRule>
  </conditionalFormatting>
  <conditionalFormatting sqref="G2629">
    <cfRule type="expression" dxfId="253" priority="253" stopIfTrue="1">
      <formula>G2629&lt;(F2629-(F2629*0.05))</formula>
    </cfRule>
    <cfRule type="expression" dxfId="252" priority="254" stopIfTrue="1">
      <formula>G2629&gt;(F2629+(F2629*0.05))</formula>
    </cfRule>
  </conditionalFormatting>
  <conditionalFormatting sqref="G2629">
    <cfRule type="expression" dxfId="251" priority="251" stopIfTrue="1">
      <formula>G2629&lt;(F2629-(F2629*0.05))</formula>
    </cfRule>
    <cfRule type="expression" dxfId="250" priority="252" stopIfTrue="1">
      <formula>G2629&gt;(F2629+(F2629*0.05))</formula>
    </cfRule>
  </conditionalFormatting>
  <conditionalFormatting sqref="G2629">
    <cfRule type="expression" dxfId="249" priority="249" stopIfTrue="1">
      <formula>G2629&lt;(F2629-(F2629*0.05))</formula>
    </cfRule>
    <cfRule type="expression" dxfId="248" priority="250" stopIfTrue="1">
      <formula>G2629&gt;(F2629+(F2629*0.05))</formula>
    </cfRule>
  </conditionalFormatting>
  <conditionalFormatting sqref="G2629">
    <cfRule type="expression" dxfId="247" priority="247" stopIfTrue="1">
      <formula>G2629&lt;(F2629-(F2629*0.05))</formula>
    </cfRule>
    <cfRule type="expression" dxfId="246" priority="248" stopIfTrue="1">
      <formula>G2629&gt;(F2629+(F2629*0.05))</formula>
    </cfRule>
  </conditionalFormatting>
  <conditionalFormatting sqref="G2629">
    <cfRule type="expression" dxfId="245" priority="245" stopIfTrue="1">
      <formula>G2629&lt;(F2629-(F2629*0.05))</formula>
    </cfRule>
    <cfRule type="expression" dxfId="244" priority="246" stopIfTrue="1">
      <formula>G2629&gt;(F2629+(F2629*0.05))</formula>
    </cfRule>
  </conditionalFormatting>
  <conditionalFormatting sqref="G2629">
    <cfRule type="expression" dxfId="243" priority="243" stopIfTrue="1">
      <formula>G2629&lt;(F2629-(F2629*0.05))</formula>
    </cfRule>
    <cfRule type="expression" dxfId="242" priority="244" stopIfTrue="1">
      <formula>G2629&gt;(F2629+(F2629*0.05))</formula>
    </cfRule>
  </conditionalFormatting>
  <conditionalFormatting sqref="G2629">
    <cfRule type="expression" dxfId="241" priority="241" stopIfTrue="1">
      <formula>G2629&lt;(F2629-(F2629*0.05))</formula>
    </cfRule>
    <cfRule type="expression" dxfId="240" priority="242" stopIfTrue="1">
      <formula>G2629&gt;(F2629+(F2629*0.05))</formula>
    </cfRule>
  </conditionalFormatting>
  <conditionalFormatting sqref="G2629">
    <cfRule type="expression" dxfId="239" priority="239" stopIfTrue="1">
      <formula>G2629&lt;(F2629-(F2629*0.05))</formula>
    </cfRule>
    <cfRule type="expression" dxfId="238" priority="240" stopIfTrue="1">
      <formula>G2629&gt;(F2629+(F2629*0.05))</formula>
    </cfRule>
  </conditionalFormatting>
  <conditionalFormatting sqref="G2629">
    <cfRule type="expression" dxfId="237" priority="237" stopIfTrue="1">
      <formula>G2629&lt;(F2629-(F2629*0.05))</formula>
    </cfRule>
    <cfRule type="expression" dxfId="236" priority="238" stopIfTrue="1">
      <formula>G2629&gt;(F2629+(F2629*0.05))</formula>
    </cfRule>
  </conditionalFormatting>
  <conditionalFormatting sqref="G2629">
    <cfRule type="expression" dxfId="235" priority="235" stopIfTrue="1">
      <formula>G2629&lt;(F2629-(F2629*0.05))</formula>
    </cfRule>
    <cfRule type="expression" dxfId="234" priority="236" stopIfTrue="1">
      <formula>G2629&gt;(F2629+(F2629*0.05))</formula>
    </cfRule>
  </conditionalFormatting>
  <conditionalFormatting sqref="G2629">
    <cfRule type="expression" dxfId="233" priority="233" stopIfTrue="1">
      <formula>G2629&lt;(F2629-(F2629*0.05))</formula>
    </cfRule>
    <cfRule type="expression" dxfId="232" priority="234" stopIfTrue="1">
      <formula>G2629&gt;(F2629+(F2629*0.05))</formula>
    </cfRule>
  </conditionalFormatting>
  <conditionalFormatting sqref="G2629">
    <cfRule type="expression" dxfId="231" priority="231" stopIfTrue="1">
      <formula>G2629&lt;(F2629-(F2629*0.05))</formula>
    </cfRule>
    <cfRule type="expression" dxfId="230" priority="232" stopIfTrue="1">
      <formula>G2629&gt;(F2629+(F2629*0.05))</formula>
    </cfRule>
  </conditionalFormatting>
  <conditionalFormatting sqref="G2629">
    <cfRule type="expression" dxfId="229" priority="229" stopIfTrue="1">
      <formula>G2629&lt;(F2629-(F2629*0.05))</formula>
    </cfRule>
    <cfRule type="expression" dxfId="228" priority="230" stopIfTrue="1">
      <formula>G2629&gt;(F2629+(F2629*0.05))</formula>
    </cfRule>
  </conditionalFormatting>
  <conditionalFormatting sqref="G2629">
    <cfRule type="expression" dxfId="227" priority="227" stopIfTrue="1">
      <formula>G2629&lt;(F2629-(F2629*0.05))</formula>
    </cfRule>
    <cfRule type="expression" dxfId="226" priority="228" stopIfTrue="1">
      <formula>G2629&gt;(F2629+(F2629*0.05))</formula>
    </cfRule>
  </conditionalFormatting>
  <conditionalFormatting sqref="G2629">
    <cfRule type="expression" dxfId="225" priority="225" stopIfTrue="1">
      <formula>G2629&lt;(F2629-(F2629*0.05))</formula>
    </cfRule>
    <cfRule type="expression" dxfId="224" priority="226" stopIfTrue="1">
      <formula>G2629&gt;(F2629+(F2629*0.05))</formula>
    </cfRule>
  </conditionalFormatting>
  <conditionalFormatting sqref="G2629">
    <cfRule type="expression" dxfId="223" priority="223" stopIfTrue="1">
      <formula>G2629&lt;(F2629-(F2629*0.05))</formula>
    </cfRule>
    <cfRule type="expression" dxfId="222" priority="224" stopIfTrue="1">
      <formula>G2629&gt;(F2629+(F2629*0.05))</formula>
    </cfRule>
  </conditionalFormatting>
  <conditionalFormatting sqref="G2629">
    <cfRule type="expression" dxfId="221" priority="221" stopIfTrue="1">
      <formula>G2629&lt;(F2629-(F2629*0.05))</formula>
    </cfRule>
    <cfRule type="expression" dxfId="220" priority="222" stopIfTrue="1">
      <formula>G2629&gt;(F2629+(F2629*0.05))</formula>
    </cfRule>
  </conditionalFormatting>
  <conditionalFormatting sqref="G2629">
    <cfRule type="expression" dxfId="219" priority="219" stopIfTrue="1">
      <formula>G2629&lt;(F2629-(F2629*0.05))</formula>
    </cfRule>
    <cfRule type="expression" dxfId="218" priority="220" stopIfTrue="1">
      <formula>G2629&gt;(F2629+(F2629*0.05))</formula>
    </cfRule>
  </conditionalFormatting>
  <conditionalFormatting sqref="G2629">
    <cfRule type="expression" dxfId="217" priority="217" stopIfTrue="1">
      <formula>G2629&lt;(F2629-(F2629*0.05))</formula>
    </cfRule>
    <cfRule type="expression" dxfId="216" priority="218" stopIfTrue="1">
      <formula>G2629&gt;(F2629+(F2629*0.05))</formula>
    </cfRule>
  </conditionalFormatting>
  <conditionalFormatting sqref="G2629">
    <cfRule type="expression" dxfId="215" priority="215" stopIfTrue="1">
      <formula>G2629&lt;(F2629-(F2629*0.05))</formula>
    </cfRule>
    <cfRule type="expression" dxfId="214" priority="216" stopIfTrue="1">
      <formula>G2629&gt;(F2629+(F2629*0.05))</formula>
    </cfRule>
  </conditionalFormatting>
  <conditionalFormatting sqref="G2629">
    <cfRule type="expression" dxfId="213" priority="213" stopIfTrue="1">
      <formula>G2629&lt;(F2629-(F2629*0.05))</formula>
    </cfRule>
    <cfRule type="expression" dxfId="212" priority="214" stopIfTrue="1">
      <formula>G2629&gt;(F2629+(F2629*0.05))</formula>
    </cfRule>
  </conditionalFormatting>
  <conditionalFormatting sqref="G2629">
    <cfRule type="expression" dxfId="211" priority="211" stopIfTrue="1">
      <formula>G2629&lt;(F2610-(F2610*0.05))</formula>
    </cfRule>
    <cfRule type="expression" dxfId="210" priority="212" stopIfTrue="1">
      <formula>G2629&gt;(F2610+(F2610*0.05))</formula>
    </cfRule>
  </conditionalFormatting>
  <conditionalFormatting sqref="G2636">
    <cfRule type="expression" dxfId="209" priority="209" stopIfTrue="1">
      <formula>G2636&lt;(F2636-(F2636*0.05))</formula>
    </cfRule>
    <cfRule type="expression" dxfId="208" priority="210" stopIfTrue="1">
      <formula>G2636&gt;(F2636+(F2636*0.05))</formula>
    </cfRule>
  </conditionalFormatting>
  <conditionalFormatting sqref="G2636">
    <cfRule type="expression" dxfId="207" priority="207" stopIfTrue="1">
      <formula>G2636&lt;(F2636-(F2636*0.05))</formula>
    </cfRule>
    <cfRule type="expression" dxfId="206" priority="208" stopIfTrue="1">
      <formula>G2636&gt;(F2636+(F2636*0.05))</formula>
    </cfRule>
  </conditionalFormatting>
  <conditionalFormatting sqref="G2636">
    <cfRule type="expression" dxfId="205" priority="205" stopIfTrue="1">
      <formula>G2636&lt;(F2636-(F2636*0.05))</formula>
    </cfRule>
    <cfRule type="expression" dxfId="204" priority="206" stopIfTrue="1">
      <formula>G2636&gt;(F2636+(F2636*0.05))</formula>
    </cfRule>
  </conditionalFormatting>
  <conditionalFormatting sqref="G2636">
    <cfRule type="expression" dxfId="203" priority="203" stopIfTrue="1">
      <formula>G2636&lt;(F2636-(F2636*0.05))</formula>
    </cfRule>
    <cfRule type="expression" dxfId="202" priority="204" stopIfTrue="1">
      <formula>G2636&gt;(F2636+(F2636*0.05))</formula>
    </cfRule>
  </conditionalFormatting>
  <conditionalFormatting sqref="G2636">
    <cfRule type="expression" dxfId="201" priority="201" stopIfTrue="1">
      <formula>G2636&lt;(F2636-(F2636*0.05))</formula>
    </cfRule>
    <cfRule type="expression" dxfId="200" priority="202" stopIfTrue="1">
      <formula>G2636&gt;(F2636+(F2636*0.05))</formula>
    </cfRule>
  </conditionalFormatting>
  <conditionalFormatting sqref="G2636">
    <cfRule type="expression" dxfId="199" priority="199" stopIfTrue="1">
      <formula>G2636&lt;(F2636-(F2636*0.05))</formula>
    </cfRule>
    <cfRule type="expression" dxfId="198" priority="200" stopIfTrue="1">
      <formula>G2636&gt;(F2636+(F2636*0.05))</formula>
    </cfRule>
  </conditionalFormatting>
  <conditionalFormatting sqref="G2636">
    <cfRule type="expression" dxfId="197" priority="197" stopIfTrue="1">
      <formula>G2636&lt;(F2636-(F2636*0.05))</formula>
    </cfRule>
    <cfRule type="expression" dxfId="196" priority="198" stopIfTrue="1">
      <formula>G2636&gt;(F2636+(F2636*0.05))</formula>
    </cfRule>
  </conditionalFormatting>
  <conditionalFormatting sqref="G2636">
    <cfRule type="expression" dxfId="195" priority="195" stopIfTrue="1">
      <formula>G2636&lt;(F2636-(F2636*0.05))</formula>
    </cfRule>
    <cfRule type="expression" dxfId="194" priority="196" stopIfTrue="1">
      <formula>G2636&gt;(F2636+(F2636*0.05))</formula>
    </cfRule>
  </conditionalFormatting>
  <conditionalFormatting sqref="G2636">
    <cfRule type="expression" dxfId="193" priority="193" stopIfTrue="1">
      <formula>G2636&lt;(F2636-(F2636*0.05))</formula>
    </cfRule>
    <cfRule type="expression" dxfId="192" priority="194" stopIfTrue="1">
      <formula>G2636&gt;(F2636+(F2636*0.05))</formula>
    </cfRule>
  </conditionalFormatting>
  <conditionalFormatting sqref="G2636">
    <cfRule type="expression" dxfId="191" priority="191" stopIfTrue="1">
      <formula>G2636&lt;(F2636-(F2636*0.05))</formula>
    </cfRule>
    <cfRule type="expression" dxfId="190" priority="192" stopIfTrue="1">
      <formula>G2636&gt;(F2636+(F2636*0.05))</formula>
    </cfRule>
  </conditionalFormatting>
  <conditionalFormatting sqref="G2636">
    <cfRule type="expression" dxfId="189" priority="189" stopIfTrue="1">
      <formula>G2636&lt;(F2636-(F2636*0.05))</formula>
    </cfRule>
    <cfRule type="expression" dxfId="188" priority="190" stopIfTrue="1">
      <formula>G2636&gt;(F2636+(F2636*0.05))</formula>
    </cfRule>
  </conditionalFormatting>
  <conditionalFormatting sqref="G2636">
    <cfRule type="expression" dxfId="187" priority="187" stopIfTrue="1">
      <formula>G2636&lt;(F2636-(F2636*0.05))</formula>
    </cfRule>
    <cfRule type="expression" dxfId="186" priority="188" stopIfTrue="1">
      <formula>G2636&gt;(F2636+(F2636*0.05))</formula>
    </cfRule>
  </conditionalFormatting>
  <conditionalFormatting sqref="G2636">
    <cfRule type="expression" dxfId="185" priority="185" stopIfTrue="1">
      <formula>G2636&lt;(F2636-(F2636*0.05))</formula>
    </cfRule>
    <cfRule type="expression" dxfId="184" priority="186" stopIfTrue="1">
      <formula>G2636&gt;(F2636+(F2636*0.05))</formula>
    </cfRule>
  </conditionalFormatting>
  <conditionalFormatting sqref="G2636">
    <cfRule type="expression" dxfId="183" priority="183" stopIfTrue="1">
      <formula>G2636&lt;(F2636-(F2636*0.05))</formula>
    </cfRule>
    <cfRule type="expression" dxfId="182" priority="184" stopIfTrue="1">
      <formula>G2636&gt;(F2636+(F2636*0.05))</formula>
    </cfRule>
  </conditionalFormatting>
  <conditionalFormatting sqref="G2636">
    <cfRule type="expression" dxfId="181" priority="181" stopIfTrue="1">
      <formula>G2636&lt;(F2636-(F2636*0.05))</formula>
    </cfRule>
    <cfRule type="expression" dxfId="180" priority="182" stopIfTrue="1">
      <formula>G2636&gt;(F2636+(F2636*0.05))</formula>
    </cfRule>
  </conditionalFormatting>
  <conditionalFormatting sqref="G2636">
    <cfRule type="expression" dxfId="179" priority="179" stopIfTrue="1">
      <formula>G2636&lt;(F2636-(F2636*0.05))</formula>
    </cfRule>
    <cfRule type="expression" dxfId="178" priority="180" stopIfTrue="1">
      <formula>G2636&gt;(F2636+(F2636*0.05))</formula>
    </cfRule>
  </conditionalFormatting>
  <conditionalFormatting sqref="G2636">
    <cfRule type="expression" dxfId="177" priority="177" stopIfTrue="1">
      <formula>G2636&lt;(F2636-(F2636*0.05))</formula>
    </cfRule>
    <cfRule type="expression" dxfId="176" priority="178" stopIfTrue="1">
      <formula>G2636&gt;(F2636+(F2636*0.05))</formula>
    </cfRule>
  </conditionalFormatting>
  <conditionalFormatting sqref="G2636">
    <cfRule type="expression" dxfId="175" priority="175" stopIfTrue="1">
      <formula>G2636&lt;(F2636-(F2636*0.05))</formula>
    </cfRule>
    <cfRule type="expression" dxfId="174" priority="176" stopIfTrue="1">
      <formula>G2636&gt;(F2636+(F2636*0.05))</formula>
    </cfRule>
  </conditionalFormatting>
  <conditionalFormatting sqref="G2636">
    <cfRule type="expression" dxfId="173" priority="173" stopIfTrue="1">
      <formula>G2636&lt;(F2636-(F2636*0.05))</formula>
    </cfRule>
    <cfRule type="expression" dxfId="172" priority="174" stopIfTrue="1">
      <formula>G2636&gt;(F2636+(F2636*0.05))</formula>
    </cfRule>
  </conditionalFormatting>
  <conditionalFormatting sqref="G2636">
    <cfRule type="expression" dxfId="171" priority="171" stopIfTrue="1">
      <formula>G2636&lt;(F2636-(F2636*0.05))</formula>
    </cfRule>
    <cfRule type="expression" dxfId="170" priority="172" stopIfTrue="1">
      <formula>G2636&gt;(F2636+(F2636*0.05))</formula>
    </cfRule>
  </conditionalFormatting>
  <conditionalFormatting sqref="G2636">
    <cfRule type="expression" dxfId="169" priority="169" stopIfTrue="1">
      <formula>G2636&lt;(F2636-(F2636*0.05))</formula>
    </cfRule>
    <cfRule type="expression" dxfId="168" priority="170" stopIfTrue="1">
      <formula>G2636&gt;(F2636+(F2636*0.05))</formula>
    </cfRule>
  </conditionalFormatting>
  <conditionalFormatting sqref="G2636">
    <cfRule type="expression" dxfId="167" priority="167" stopIfTrue="1">
      <formula>G2636&lt;(F2636-(F2636*0.05))</formula>
    </cfRule>
    <cfRule type="expression" dxfId="166" priority="168" stopIfTrue="1">
      <formula>G2636&gt;(F2636+(F2636*0.05))</formula>
    </cfRule>
  </conditionalFormatting>
  <conditionalFormatting sqref="G2636">
    <cfRule type="expression" dxfId="165" priority="165" stopIfTrue="1">
      <formula>G2636&lt;(F2617-(F2617*0.05))</formula>
    </cfRule>
    <cfRule type="expression" dxfId="164" priority="166" stopIfTrue="1">
      <formula>G2636&gt;(F2617+(F2617*0.05))</formula>
    </cfRule>
  </conditionalFormatting>
  <conditionalFormatting sqref="G2643">
    <cfRule type="expression" dxfId="163" priority="163" stopIfTrue="1">
      <formula>G2643&lt;(F2643-(F2643*0.05))</formula>
    </cfRule>
    <cfRule type="expression" dxfId="162" priority="164" stopIfTrue="1">
      <formula>G2643&gt;(F2643+(F2643*0.05))</formula>
    </cfRule>
  </conditionalFormatting>
  <conditionalFormatting sqref="G2643">
    <cfRule type="expression" dxfId="161" priority="161" stopIfTrue="1">
      <formula>G2643&lt;(F2643-(F2643*0.05))</formula>
    </cfRule>
    <cfRule type="expression" dxfId="160" priority="162" stopIfTrue="1">
      <formula>G2643&gt;(F2643+(F2643*0.05))</formula>
    </cfRule>
  </conditionalFormatting>
  <conditionalFormatting sqref="G2643">
    <cfRule type="expression" dxfId="159" priority="159" stopIfTrue="1">
      <formula>G2643&lt;(F2643-(F2643*0.05))</formula>
    </cfRule>
    <cfRule type="expression" dxfId="158" priority="160" stopIfTrue="1">
      <formula>G2643&gt;(F2643+(F2643*0.05))</formula>
    </cfRule>
  </conditionalFormatting>
  <conditionalFormatting sqref="G2643">
    <cfRule type="expression" dxfId="157" priority="157" stopIfTrue="1">
      <formula>G2643&lt;(F2643-(F2643*0.05))</formula>
    </cfRule>
    <cfRule type="expression" dxfId="156" priority="158" stopIfTrue="1">
      <formula>G2643&gt;(F2643+(F2643*0.05))</formula>
    </cfRule>
  </conditionalFormatting>
  <conditionalFormatting sqref="G2643">
    <cfRule type="expression" dxfId="155" priority="155" stopIfTrue="1">
      <formula>G2643&lt;(F2643-(F2643*0.05))</formula>
    </cfRule>
    <cfRule type="expression" dxfId="154" priority="156" stopIfTrue="1">
      <formula>G2643&gt;(F2643+(F2643*0.05))</formula>
    </cfRule>
  </conditionalFormatting>
  <conditionalFormatting sqref="G2643">
    <cfRule type="expression" dxfId="153" priority="153" stopIfTrue="1">
      <formula>G2643&lt;(F2643-(F2643*0.05))</formula>
    </cfRule>
    <cfRule type="expression" dxfId="152" priority="154" stopIfTrue="1">
      <formula>G2643&gt;(F2643+(F2643*0.05))</formula>
    </cfRule>
  </conditionalFormatting>
  <conditionalFormatting sqref="G2643">
    <cfRule type="expression" dxfId="151" priority="151" stopIfTrue="1">
      <formula>G2643&lt;(F2643-(F2643*0.05))</formula>
    </cfRule>
    <cfRule type="expression" dxfId="150" priority="152" stopIfTrue="1">
      <formula>G2643&gt;(F2643+(F2643*0.05))</formula>
    </cfRule>
  </conditionalFormatting>
  <conditionalFormatting sqref="G2643">
    <cfRule type="expression" dxfId="149" priority="149" stopIfTrue="1">
      <formula>G2643&lt;(F2643-(F2643*0.05))</formula>
    </cfRule>
    <cfRule type="expression" dxfId="148" priority="150" stopIfTrue="1">
      <formula>G2643&gt;(F2643+(F2643*0.05))</formula>
    </cfRule>
  </conditionalFormatting>
  <conditionalFormatting sqref="G2643">
    <cfRule type="expression" dxfId="147" priority="147" stopIfTrue="1">
      <formula>G2643&lt;(F2643-(F2643*0.05))</formula>
    </cfRule>
    <cfRule type="expression" dxfId="146" priority="148" stopIfTrue="1">
      <formula>G2643&gt;(F2643+(F2643*0.05))</formula>
    </cfRule>
  </conditionalFormatting>
  <conditionalFormatting sqref="G2643">
    <cfRule type="expression" dxfId="145" priority="145" stopIfTrue="1">
      <formula>G2643&lt;(F2643-(F2643*0.05))</formula>
    </cfRule>
    <cfRule type="expression" dxfId="144" priority="146" stopIfTrue="1">
      <formula>G2643&gt;(F2643+(F2643*0.05))</formula>
    </cfRule>
  </conditionalFormatting>
  <conditionalFormatting sqref="G2643">
    <cfRule type="expression" dxfId="143" priority="143" stopIfTrue="1">
      <formula>G2643&lt;(F2643-(F2643*0.05))</formula>
    </cfRule>
    <cfRule type="expression" dxfId="142" priority="144" stopIfTrue="1">
      <formula>G2643&gt;(F2643+(F2643*0.05))</formula>
    </cfRule>
  </conditionalFormatting>
  <conditionalFormatting sqref="G2643">
    <cfRule type="expression" dxfId="141" priority="141" stopIfTrue="1">
      <formula>G2643&lt;(F2643-(F2643*0.05))</formula>
    </cfRule>
    <cfRule type="expression" dxfId="140" priority="142" stopIfTrue="1">
      <formula>G2643&gt;(F2643+(F2643*0.05))</formula>
    </cfRule>
  </conditionalFormatting>
  <conditionalFormatting sqref="G2643">
    <cfRule type="expression" dxfId="139" priority="139" stopIfTrue="1">
      <formula>G2643&lt;(F2643-(F2643*0.05))</formula>
    </cfRule>
    <cfRule type="expression" dxfId="138" priority="140" stopIfTrue="1">
      <formula>G2643&gt;(F2643+(F2643*0.05))</formula>
    </cfRule>
  </conditionalFormatting>
  <conditionalFormatting sqref="G2643">
    <cfRule type="expression" dxfId="137" priority="137" stopIfTrue="1">
      <formula>G2643&lt;(F2643-(F2643*0.05))</formula>
    </cfRule>
    <cfRule type="expression" dxfId="136" priority="138" stopIfTrue="1">
      <formula>G2643&gt;(F2643+(F2643*0.05))</formula>
    </cfRule>
  </conditionalFormatting>
  <conditionalFormatting sqref="G2643">
    <cfRule type="expression" dxfId="135" priority="135" stopIfTrue="1">
      <formula>G2643&lt;(F2643-(F2643*0.05))</formula>
    </cfRule>
    <cfRule type="expression" dxfId="134" priority="136" stopIfTrue="1">
      <formula>G2643&gt;(F2643+(F2643*0.05))</formula>
    </cfRule>
  </conditionalFormatting>
  <conditionalFormatting sqref="G2643">
    <cfRule type="expression" dxfId="133" priority="133" stopIfTrue="1">
      <formula>G2643&lt;(F2643-(F2643*0.05))</formula>
    </cfRule>
    <cfRule type="expression" dxfId="132" priority="134" stopIfTrue="1">
      <formula>G2643&gt;(F2643+(F2643*0.05))</formula>
    </cfRule>
  </conditionalFormatting>
  <conditionalFormatting sqref="G2643">
    <cfRule type="expression" dxfId="131" priority="131" stopIfTrue="1">
      <formula>G2643&lt;(F2643-(F2643*0.05))</formula>
    </cfRule>
    <cfRule type="expression" dxfId="130" priority="132" stopIfTrue="1">
      <formula>G2643&gt;(F2643+(F2643*0.05))</formula>
    </cfRule>
  </conditionalFormatting>
  <conditionalFormatting sqref="G2643">
    <cfRule type="expression" dxfId="129" priority="129" stopIfTrue="1">
      <formula>G2643&lt;(F2643-(F2643*0.05))</formula>
    </cfRule>
    <cfRule type="expression" dxfId="128" priority="130" stopIfTrue="1">
      <formula>G2643&gt;(F2643+(F2643*0.05))</formula>
    </cfRule>
  </conditionalFormatting>
  <conditionalFormatting sqref="G2643">
    <cfRule type="expression" dxfId="127" priority="127" stopIfTrue="1">
      <formula>G2643&lt;(F2643-(F2643*0.05))</formula>
    </cfRule>
    <cfRule type="expression" dxfId="126" priority="128" stopIfTrue="1">
      <formula>G2643&gt;(F2643+(F2643*0.05))</formula>
    </cfRule>
  </conditionalFormatting>
  <conditionalFormatting sqref="G2643">
    <cfRule type="expression" dxfId="125" priority="125" stopIfTrue="1">
      <formula>G2643&lt;(F2643-(F2643*0.05))</formula>
    </cfRule>
    <cfRule type="expression" dxfId="124" priority="126" stopIfTrue="1">
      <formula>G2643&gt;(F2643+(F2643*0.05))</formula>
    </cfRule>
  </conditionalFormatting>
  <conditionalFormatting sqref="G2643">
    <cfRule type="expression" dxfId="123" priority="123" stopIfTrue="1">
      <formula>G2643&lt;(F2643-(F2643*0.05))</formula>
    </cfRule>
    <cfRule type="expression" dxfId="122" priority="124" stopIfTrue="1">
      <formula>G2643&gt;(F2643+(F2643*0.05))</formula>
    </cfRule>
  </conditionalFormatting>
  <conditionalFormatting sqref="G2643">
    <cfRule type="expression" dxfId="121" priority="121" stopIfTrue="1">
      <formula>G2643&lt;(F2643-(F2643*0.05))</formula>
    </cfRule>
    <cfRule type="expression" dxfId="120" priority="122" stopIfTrue="1">
      <formula>G2643&gt;(F2643+(F2643*0.05))</formula>
    </cfRule>
  </conditionalFormatting>
  <conditionalFormatting sqref="G2643">
    <cfRule type="expression" dxfId="119" priority="119" stopIfTrue="1">
      <formula>G2643&lt;(F2643-(F2643*0.05))</formula>
    </cfRule>
    <cfRule type="expression" dxfId="118" priority="120" stopIfTrue="1">
      <formula>G2643&gt;(F2643+(F2643*0.05))</formula>
    </cfRule>
  </conditionalFormatting>
  <conditionalFormatting sqref="G2643">
    <cfRule type="expression" dxfId="117" priority="117" stopIfTrue="1">
      <formula>G2643&lt;(F2624-(F2624*0.05))</formula>
    </cfRule>
    <cfRule type="expression" dxfId="116" priority="118" stopIfTrue="1">
      <formula>G2643&gt;(F2624+(F2624*0.05))</formula>
    </cfRule>
  </conditionalFormatting>
  <conditionalFormatting sqref="G2648">
    <cfRule type="expression" dxfId="115" priority="115" stopIfTrue="1">
      <formula>G2648&lt;(F2648-(F2648*0.05))</formula>
    </cfRule>
    <cfRule type="expression" dxfId="114" priority="116" stopIfTrue="1">
      <formula>G2648&gt;(F2648+(F2648*0.05))</formula>
    </cfRule>
  </conditionalFormatting>
  <conditionalFormatting sqref="G2648">
    <cfRule type="expression" dxfId="113" priority="113" stopIfTrue="1">
      <formula>G2648&lt;(F2648-(F2648*0.05))</formula>
    </cfRule>
    <cfRule type="expression" dxfId="112" priority="114" stopIfTrue="1">
      <formula>G2648&gt;(F2648+(F2648*0.05))</formula>
    </cfRule>
  </conditionalFormatting>
  <conditionalFormatting sqref="G2648">
    <cfRule type="expression" dxfId="111" priority="111" stopIfTrue="1">
      <formula>G2648&lt;(F2648-(F2648*0.05))</formula>
    </cfRule>
    <cfRule type="expression" dxfId="110" priority="112" stopIfTrue="1">
      <formula>G2648&gt;(F2648+(F2648*0.05))</formula>
    </cfRule>
  </conditionalFormatting>
  <conditionalFormatting sqref="G2648">
    <cfRule type="expression" dxfId="109" priority="109" stopIfTrue="1">
      <formula>G2648&lt;(F2648-(F2648*0.05))</formula>
    </cfRule>
    <cfRule type="expression" dxfId="108" priority="110" stopIfTrue="1">
      <formula>G2648&gt;(F2648+(F2648*0.05))</formula>
    </cfRule>
  </conditionalFormatting>
  <conditionalFormatting sqref="G2648">
    <cfRule type="expression" dxfId="107" priority="107" stopIfTrue="1">
      <formula>G2648&lt;(F2648-(F2648*0.05))</formula>
    </cfRule>
    <cfRule type="expression" dxfId="106" priority="108" stopIfTrue="1">
      <formula>G2648&gt;(F2648+(F2648*0.05))</formula>
    </cfRule>
  </conditionalFormatting>
  <conditionalFormatting sqref="G2648">
    <cfRule type="expression" dxfId="105" priority="105" stopIfTrue="1">
      <formula>G2648&lt;(F2648-(F2648*0.05))</formula>
    </cfRule>
    <cfRule type="expression" dxfId="104" priority="106" stopIfTrue="1">
      <formula>G2648&gt;(F2648+(F2648*0.05))</formula>
    </cfRule>
  </conditionalFormatting>
  <conditionalFormatting sqref="G2648">
    <cfRule type="expression" dxfId="103" priority="103" stopIfTrue="1">
      <formula>G2648&lt;(F2648-(F2648*0.05))</formula>
    </cfRule>
    <cfRule type="expression" dxfId="102" priority="104" stopIfTrue="1">
      <formula>G2648&gt;(F2648+(F2648*0.05))</formula>
    </cfRule>
  </conditionalFormatting>
  <conditionalFormatting sqref="G2648">
    <cfRule type="expression" dxfId="101" priority="101" stopIfTrue="1">
      <formula>G2648&lt;(F2648-(F2648*0.05))</formula>
    </cfRule>
    <cfRule type="expression" dxfId="100" priority="102" stopIfTrue="1">
      <formula>G2648&gt;(F2648+(F2648*0.05))</formula>
    </cfRule>
  </conditionalFormatting>
  <conditionalFormatting sqref="G2648">
    <cfRule type="expression" dxfId="99" priority="99" stopIfTrue="1">
      <formula>G2648&lt;(F2648-(F2648*0.05))</formula>
    </cfRule>
    <cfRule type="expression" dxfId="98" priority="100" stopIfTrue="1">
      <formula>G2648&gt;(F2648+(F2648*0.05))</formula>
    </cfRule>
  </conditionalFormatting>
  <conditionalFormatting sqref="G2648">
    <cfRule type="expression" dxfId="97" priority="97" stopIfTrue="1">
      <formula>G2648&lt;(F2648-(F2648*0.05))</formula>
    </cfRule>
    <cfRule type="expression" dxfId="96" priority="98" stopIfTrue="1">
      <formula>G2648&gt;(F2648+(F2648*0.05))</formula>
    </cfRule>
  </conditionalFormatting>
  <conditionalFormatting sqref="G2648">
    <cfRule type="expression" dxfId="95" priority="95" stopIfTrue="1">
      <formula>G2648&lt;(F2648-(F2648*0.05))</formula>
    </cfRule>
    <cfRule type="expression" dxfId="94" priority="96" stopIfTrue="1">
      <formula>G2648&gt;(F2648+(F2648*0.05))</formula>
    </cfRule>
  </conditionalFormatting>
  <conditionalFormatting sqref="G2648">
    <cfRule type="expression" dxfId="93" priority="93" stopIfTrue="1">
      <formula>G2648&lt;(F2648-(F2648*0.05))</formula>
    </cfRule>
    <cfRule type="expression" dxfId="92" priority="94" stopIfTrue="1">
      <formula>G2648&gt;(F2648+(F2648*0.05))</formula>
    </cfRule>
  </conditionalFormatting>
  <conditionalFormatting sqref="G2648">
    <cfRule type="expression" dxfId="91" priority="91" stopIfTrue="1">
      <formula>G2648&lt;(F2648-(F2648*0.05))</formula>
    </cfRule>
    <cfRule type="expression" dxfId="90" priority="92" stopIfTrue="1">
      <formula>G2648&gt;(F2648+(F2648*0.05))</formula>
    </cfRule>
  </conditionalFormatting>
  <conditionalFormatting sqref="G2648">
    <cfRule type="expression" dxfId="89" priority="89" stopIfTrue="1">
      <formula>G2648&lt;(F2648-(F2648*0.05))</formula>
    </cfRule>
    <cfRule type="expression" dxfId="88" priority="90" stopIfTrue="1">
      <formula>G2648&gt;(F2648+(F2648*0.05))</formula>
    </cfRule>
  </conditionalFormatting>
  <conditionalFormatting sqref="G2648">
    <cfRule type="expression" dxfId="87" priority="87" stopIfTrue="1">
      <formula>G2648&lt;(F2648-(F2648*0.05))</formula>
    </cfRule>
    <cfRule type="expression" dxfId="86" priority="88" stopIfTrue="1">
      <formula>G2648&gt;(F2648+(F2648*0.05))</formula>
    </cfRule>
  </conditionalFormatting>
  <conditionalFormatting sqref="G2648">
    <cfRule type="expression" dxfId="85" priority="85" stopIfTrue="1">
      <formula>G2648&lt;(F2648-(F2648*0.05))</formula>
    </cfRule>
    <cfRule type="expression" dxfId="84" priority="86" stopIfTrue="1">
      <formula>G2648&gt;(F2648+(F2648*0.05))</formula>
    </cfRule>
  </conditionalFormatting>
  <conditionalFormatting sqref="G2648">
    <cfRule type="expression" dxfId="83" priority="83" stopIfTrue="1">
      <formula>G2648&lt;(F2648-(F2648*0.05))</formula>
    </cfRule>
    <cfRule type="expression" dxfId="82" priority="84" stopIfTrue="1">
      <formula>G2648&gt;(F2648+(F2648*0.05))</formula>
    </cfRule>
  </conditionalFormatting>
  <conditionalFormatting sqref="G2648">
    <cfRule type="expression" dxfId="81" priority="81" stopIfTrue="1">
      <formula>G2648&lt;(F2648-(F2648*0.05))</formula>
    </cfRule>
    <cfRule type="expression" dxfId="80" priority="82" stopIfTrue="1">
      <formula>G2648&gt;(F2648+(F2648*0.05))</formula>
    </cfRule>
  </conditionalFormatting>
  <conditionalFormatting sqref="G2648">
    <cfRule type="expression" dxfId="79" priority="79" stopIfTrue="1">
      <formula>G2648&lt;(F2648-(F2648*0.05))</formula>
    </cfRule>
    <cfRule type="expression" dxfId="78" priority="80" stopIfTrue="1">
      <formula>G2648&gt;(F2648+(F2648*0.05))</formula>
    </cfRule>
  </conditionalFormatting>
  <conditionalFormatting sqref="G2648">
    <cfRule type="expression" dxfId="77" priority="77" stopIfTrue="1">
      <formula>G2648&lt;(F2648-(F2648*0.05))</formula>
    </cfRule>
    <cfRule type="expression" dxfId="76" priority="78" stopIfTrue="1">
      <formula>G2648&gt;(F2648+(F2648*0.05))</formula>
    </cfRule>
  </conditionalFormatting>
  <conditionalFormatting sqref="G2648">
    <cfRule type="expression" dxfId="75" priority="75" stopIfTrue="1">
      <formula>G2648&lt;(F2648-(F2648*0.05))</formula>
    </cfRule>
    <cfRule type="expression" dxfId="74" priority="76" stopIfTrue="1">
      <formula>G2648&gt;(F2648+(F2648*0.05))</formula>
    </cfRule>
  </conditionalFormatting>
  <conditionalFormatting sqref="G2648">
    <cfRule type="expression" dxfId="73" priority="73" stopIfTrue="1">
      <formula>G2648&lt;(F2648-(F2648*0.05))</formula>
    </cfRule>
    <cfRule type="expression" dxfId="72" priority="74" stopIfTrue="1">
      <formula>G2648&gt;(F2648+(F2648*0.05))</formula>
    </cfRule>
  </conditionalFormatting>
  <conditionalFormatting sqref="G2648">
    <cfRule type="expression" dxfId="71" priority="71" stopIfTrue="1">
      <formula>G2648&lt;(F2648-(F2648*0.05))</formula>
    </cfRule>
    <cfRule type="expression" dxfId="70" priority="72" stopIfTrue="1">
      <formula>G2648&gt;(F2648+(F2648*0.05))</formula>
    </cfRule>
  </conditionalFormatting>
  <conditionalFormatting sqref="G2648">
    <cfRule type="expression" dxfId="69" priority="69" stopIfTrue="1">
      <formula>G2648&lt;(F2648-(F2648*0.05))</formula>
    </cfRule>
    <cfRule type="expression" dxfId="68" priority="70" stopIfTrue="1">
      <formula>G2648&gt;(F2648+(F2648*0.05))</formula>
    </cfRule>
  </conditionalFormatting>
  <conditionalFormatting sqref="G2648">
    <cfRule type="expression" dxfId="67" priority="67" stopIfTrue="1">
      <formula>G2648&lt;(F2629-(F2629*0.05))</formula>
    </cfRule>
    <cfRule type="expression" dxfId="66" priority="68" stopIfTrue="1">
      <formula>G2648&gt;(F2629+(F2629*0.05))</formula>
    </cfRule>
  </conditionalFormatting>
  <conditionalFormatting sqref="G2606">
    <cfRule type="expression" dxfId="65" priority="1461" stopIfTrue="1">
      <formula>G2606&lt;(F2515-(F2515*0.05))</formula>
    </cfRule>
    <cfRule type="expression" dxfId="64" priority="1462" stopIfTrue="1">
      <formula>G2606&gt;(F2515+(F2515*0.05))</formula>
    </cfRule>
  </conditionalFormatting>
  <conditionalFormatting sqref="U911">
    <cfRule type="expression" dxfId="63" priority="1529" stopIfTrue="1">
      <formula>U911&lt;(T922-(T922*0.05))</formula>
    </cfRule>
    <cfRule type="expression" dxfId="62" priority="1530" stopIfTrue="1">
      <formula>U911&gt;(T922+(T922*0.05))</formula>
    </cfRule>
  </conditionalFormatting>
  <conditionalFormatting sqref="U922">
    <cfRule type="expression" dxfId="61" priority="1533" stopIfTrue="1">
      <formula>U922&lt;(T932-(T932*0.05))</formula>
    </cfRule>
    <cfRule type="expression" dxfId="60" priority="1534" stopIfTrue="1">
      <formula>U922&gt;(T932+(T932*0.05))</formula>
    </cfRule>
  </conditionalFormatting>
  <conditionalFormatting sqref="O3229:P3229 U3229 I3229 K3229 AE3229 AC3229 Y3229:Z3229 G3229">
    <cfRule type="expression" dxfId="59" priority="65" stopIfTrue="1">
      <formula>G3229&lt;(F3229-(F3229*0.05))</formula>
    </cfRule>
    <cfRule type="expression" dxfId="58" priority="66" stopIfTrue="1">
      <formula>G3229&gt;(F3229+(F3229*0.05))</formula>
    </cfRule>
  </conditionalFormatting>
  <conditionalFormatting sqref="O3240:P3240 U3240 I3240 K3240 AE3240 AC3240 Y3240:Z3240 G3240">
    <cfRule type="expression" dxfId="57" priority="63" stopIfTrue="1">
      <formula>G3240&lt;(F3240-(F3240*0.05))</formula>
    </cfRule>
    <cfRule type="expression" dxfId="56" priority="64" stopIfTrue="1">
      <formula>G3240&gt;(F3240+(F3240*0.05))</formula>
    </cfRule>
  </conditionalFormatting>
  <conditionalFormatting sqref="O3234:P3234 U3234 I3234 K3234 AE3234 AC3234 Y3234:Z3234 G3234">
    <cfRule type="expression" dxfId="55" priority="61" stopIfTrue="1">
      <formula>G3234&lt;(F3234-(F3234*0.05))</formula>
    </cfRule>
    <cfRule type="expression" dxfId="54" priority="62" stopIfTrue="1">
      <formula>G3234&gt;(F3234+(F3234*0.05))</formula>
    </cfRule>
  </conditionalFormatting>
  <conditionalFormatting sqref="O3248:P3250 U3248:U3250 I3248:I3250 K3248:K3250 AE3248:AE3250 AC3248:AC3250 Y3248:Z3250 G3248:G3250">
    <cfRule type="expression" dxfId="53" priority="59" stopIfTrue="1">
      <formula>G3248&lt;(F3248-(F3248*0.05))</formula>
    </cfRule>
    <cfRule type="expression" dxfId="52" priority="60" stopIfTrue="1">
      <formula>G3248&gt;(F3248+(F3248*0.05))</formula>
    </cfRule>
  </conditionalFormatting>
  <conditionalFormatting sqref="O3251:P3255 U3251:U3255 I3251:I3255 K3251:K3255 AE3251:AE3255 AC3251:AC3255 Y3251:Z3255 G3251:G3255">
    <cfRule type="expression" dxfId="51" priority="57" stopIfTrue="1">
      <formula>G3251&lt;(F3251-(F3251*0.05))</formula>
    </cfRule>
    <cfRule type="expression" dxfId="50" priority="58" stopIfTrue="1">
      <formula>G3251&gt;(F3251+(F3251*0.05))</formula>
    </cfRule>
  </conditionalFormatting>
  <conditionalFormatting sqref="O3261:P3263 U3261:U3263 I3261:I3263 K3261:K3263 AE3261:AE3263 AC3261:AC3263 Y3261:Z3263 G3261:G3263">
    <cfRule type="expression" dxfId="49" priority="53" stopIfTrue="1">
      <formula>G3261&lt;(F3261-(F3261*0.05))</formula>
    </cfRule>
    <cfRule type="expression" dxfId="48" priority="54" stopIfTrue="1">
      <formula>G3261&gt;(F3261+(F3261*0.05))</formula>
    </cfRule>
  </conditionalFormatting>
  <conditionalFormatting sqref="O3266:P3267 U3266:U3267 I3266:I3267 K3266:K3267 AE3266:AE3267 AC3266:AC3267 Y3266:Z3267 G3266:G3267">
    <cfRule type="expression" dxfId="47" priority="51" stopIfTrue="1">
      <formula>G3266&lt;(F3266-(F3266*0.05))</formula>
    </cfRule>
    <cfRule type="expression" dxfId="46" priority="52" stopIfTrue="1">
      <formula>G3266&gt;(F3266+(F3266*0.05))</formula>
    </cfRule>
  </conditionalFormatting>
  <conditionalFormatting sqref="O3270:P3273 U3270:U3273 I3270:I3273 K3270:K3273 AE3270:AE3273 AC3270:AC3273 Y3270:Z3273 G3270:G3273">
    <cfRule type="expression" dxfId="45" priority="49" stopIfTrue="1">
      <formula>G3270&lt;(F3270-(F3270*0.05))</formula>
    </cfRule>
    <cfRule type="expression" dxfId="44" priority="50" stopIfTrue="1">
      <formula>G3270&gt;(F3270+(F3270*0.05))</formula>
    </cfRule>
  </conditionalFormatting>
  <conditionalFormatting sqref="O3276:P3278 U3276:U3278 I3276:I3278 K3276:K3278 AE3276:AE3278 AC3276:AC3278 Y3276:Z3278 G3276:G3278">
    <cfRule type="expression" dxfId="43" priority="47" stopIfTrue="1">
      <formula>G3276&lt;(F3276-(F3276*0.05))</formula>
    </cfRule>
    <cfRule type="expression" dxfId="42" priority="48" stopIfTrue="1">
      <formula>G3276&gt;(F3276+(F3276*0.05))</formula>
    </cfRule>
  </conditionalFormatting>
  <conditionalFormatting sqref="O3282:P3284 U3282:U3284 I3282:I3284 K3282:K3284 AE3282:AE3284 AC3282:AC3284 Y3282:Z3284 G3282:G3284">
    <cfRule type="expression" dxfId="41" priority="45" stopIfTrue="1">
      <formula>G3282&lt;(F3282-(F3282*0.05))</formula>
    </cfRule>
    <cfRule type="expression" dxfId="40" priority="46" stopIfTrue="1">
      <formula>G3282&gt;(F3282+(F3282*0.05))</formula>
    </cfRule>
  </conditionalFormatting>
  <conditionalFormatting sqref="O3287:P3289 U3287:U3289 I3287:I3289 K3287:K3289 AE3287:AE3289 AC3287:AC3289 Y3287:Z3289 G3287:G3289">
    <cfRule type="expression" dxfId="39" priority="43" stopIfTrue="1">
      <formula>G3287&lt;(F3287-(F3287*0.05))</formula>
    </cfRule>
    <cfRule type="expression" dxfId="38" priority="44" stopIfTrue="1">
      <formula>G3287&gt;(F3287+(F3287*0.05))</formula>
    </cfRule>
  </conditionalFormatting>
  <conditionalFormatting sqref="G3208">
    <cfRule type="expression" dxfId="37" priority="39" stopIfTrue="1">
      <formula>G3208&lt;(F3208-(F3208*0.05))</formula>
    </cfRule>
    <cfRule type="expression" dxfId="36" priority="40" stopIfTrue="1">
      <formula>G3208&gt;(F3208+(F3208*0.05))</formula>
    </cfRule>
  </conditionalFormatting>
  <conditionalFormatting sqref="G3224">
    <cfRule type="expression" dxfId="35" priority="37" stopIfTrue="1">
      <formula>G3224&lt;(F3224-(F3224*0.05))</formula>
    </cfRule>
    <cfRule type="expression" dxfId="34" priority="38" stopIfTrue="1">
      <formula>G3224&gt;(F3224+(F3224*0.05))</formula>
    </cfRule>
  </conditionalFormatting>
  <conditionalFormatting sqref="G3235">
    <cfRule type="expression" dxfId="33" priority="35" stopIfTrue="1">
      <formula>G3235&lt;(F3235-(F3235*0.05))</formula>
    </cfRule>
    <cfRule type="expression" dxfId="32" priority="36" stopIfTrue="1">
      <formula>G3235&gt;(F3235+(F3235*0.05))</formula>
    </cfRule>
  </conditionalFormatting>
  <conditionalFormatting sqref="G3236:G3237">
    <cfRule type="expression" dxfId="31" priority="33" stopIfTrue="1">
      <formula>G3236&lt;(F3236-(F3236*0.05))</formula>
    </cfRule>
    <cfRule type="expression" dxfId="30" priority="34" stopIfTrue="1">
      <formula>G3236&gt;(F3236+(F3236*0.05))</formula>
    </cfRule>
  </conditionalFormatting>
  <conditionalFormatting sqref="G3243:G3244">
    <cfRule type="expression" dxfId="29" priority="31" stopIfTrue="1">
      <formula>G3243&lt;(F3243-(F3243*0.05))</formula>
    </cfRule>
    <cfRule type="expression" dxfId="28" priority="32" stopIfTrue="1">
      <formula>G3243&gt;(F3243+(F3243*0.05))</formula>
    </cfRule>
  </conditionalFormatting>
  <conditionalFormatting sqref="G3246:G3247">
    <cfRule type="expression" dxfId="27" priority="29" stopIfTrue="1">
      <formula>G3246&lt;(F3246-(F3246*0.05))</formula>
    </cfRule>
    <cfRule type="expression" dxfId="26" priority="30" stopIfTrue="1">
      <formula>G3246&gt;(F3246+(F3246*0.05))</formula>
    </cfRule>
  </conditionalFormatting>
  <conditionalFormatting sqref="G3280:G3281">
    <cfRule type="expression" dxfId="25" priority="27" stopIfTrue="1">
      <formula>G3280&lt;(F3280-(F3280*0.05))</formula>
    </cfRule>
    <cfRule type="expression" dxfId="24" priority="28" stopIfTrue="1">
      <formula>G3280&gt;(F3280+(F3280*0.05))</formula>
    </cfRule>
  </conditionalFormatting>
  <conditionalFormatting sqref="O3306:P3308 U3306:U3308 I3306:I3308 K3306:K3308 AE3306:AE3308 AC3306:AC3308 Y3306:Z3308 G3306:G3308">
    <cfRule type="expression" dxfId="23" priority="25" stopIfTrue="1">
      <formula>G3306&lt;(F3306-(F3306*0.05))</formula>
    </cfRule>
    <cfRule type="expression" dxfId="22" priority="26" stopIfTrue="1">
      <formula>G3306&gt;(F3306+(F3306*0.05))</formula>
    </cfRule>
  </conditionalFormatting>
  <conditionalFormatting sqref="I3310">
    <cfRule type="expression" dxfId="21" priority="23" stopIfTrue="1">
      <formula>I3310&lt;(H3310-(H3310*0.05))</formula>
    </cfRule>
    <cfRule type="expression" dxfId="20" priority="24" stopIfTrue="1">
      <formula>I3310&gt;(H3310+(H3310*0.05))</formula>
    </cfRule>
  </conditionalFormatting>
  <conditionalFormatting sqref="U3310">
    <cfRule type="expression" dxfId="19" priority="21" stopIfTrue="1">
      <formula>U3310&lt;(T3310-(T3310*0.05))</formula>
    </cfRule>
    <cfRule type="expression" dxfId="18" priority="22" stopIfTrue="1">
      <formula>U3310&gt;(T3310+(T3310*0.05))</formula>
    </cfRule>
  </conditionalFormatting>
  <conditionalFormatting sqref="AC3230">
    <cfRule type="expression" dxfId="17" priority="19" stopIfTrue="1">
      <formula>AC3230&lt;(AB3230-(AB3230*0.05))</formula>
    </cfRule>
    <cfRule type="expression" dxfId="16" priority="20" stopIfTrue="1">
      <formula>AC3230&gt;(AB3230+(AB3230*0.05))</formula>
    </cfRule>
  </conditionalFormatting>
  <conditionalFormatting sqref="I340:I342">
    <cfRule type="cellIs" dxfId="15" priority="15" stopIfTrue="1" operator="greaterThan">
      <formula>H340+(H340*0.05)</formula>
    </cfRule>
    <cfRule type="cellIs" dxfId="14" priority="16" stopIfTrue="1" operator="lessThan">
      <formula>H340-(H340*0.05)</formula>
    </cfRule>
  </conditionalFormatting>
  <conditionalFormatting sqref="I344:I345">
    <cfRule type="cellIs" dxfId="13" priority="13" stopIfTrue="1" operator="greaterThan">
      <formula>H344+(H344*0.05)</formula>
    </cfRule>
    <cfRule type="cellIs" dxfId="12" priority="14" stopIfTrue="1" operator="lessThan">
      <formula>H344-(H344*0.05)</formula>
    </cfRule>
  </conditionalFormatting>
  <conditionalFormatting sqref="I351">
    <cfRule type="cellIs" dxfId="11" priority="11" stopIfTrue="1" operator="greaterThan">
      <formula>H351+(H351*0.05)</formula>
    </cfRule>
    <cfRule type="cellIs" dxfId="10" priority="12" stopIfTrue="1" operator="lessThan">
      <formula>H351-(H351*0.05)</formula>
    </cfRule>
  </conditionalFormatting>
  <conditionalFormatting sqref="I355">
    <cfRule type="cellIs" dxfId="9" priority="9" stopIfTrue="1" operator="greaterThan">
      <formula>H355+(H355*0.05)</formula>
    </cfRule>
    <cfRule type="cellIs" dxfId="8" priority="10" stopIfTrue="1" operator="lessThan">
      <formula>H355-(H355*0.05)</formula>
    </cfRule>
  </conditionalFormatting>
  <conditionalFormatting sqref="I358">
    <cfRule type="cellIs" dxfId="7" priority="7" stopIfTrue="1" operator="greaterThan">
      <formula>H358+(H358*0.05)</formula>
    </cfRule>
    <cfRule type="cellIs" dxfId="6" priority="8" stopIfTrue="1" operator="lessThan">
      <formula>H358-(H358*0.05)</formula>
    </cfRule>
  </conditionalFormatting>
  <conditionalFormatting sqref="I361:I362">
    <cfRule type="cellIs" dxfId="5" priority="5" stopIfTrue="1" operator="greaterThan">
      <formula>H361+(H361*0.05)</formula>
    </cfRule>
    <cfRule type="cellIs" dxfId="4" priority="6" stopIfTrue="1" operator="lessThan">
      <formula>H361-(H361*0.05)</formula>
    </cfRule>
  </conditionalFormatting>
  <conditionalFormatting sqref="I385">
    <cfRule type="cellIs" dxfId="3" priority="3" stopIfTrue="1" operator="greaterThan">
      <formula>H385+(H385*0.05)</formula>
    </cfRule>
    <cfRule type="cellIs" dxfId="2" priority="4" stopIfTrue="1" operator="lessThan">
      <formula>H385-(H385*0.05)</formula>
    </cfRule>
  </conditionalFormatting>
  <conditionalFormatting sqref="I1178">
    <cfRule type="cellIs" dxfId="1" priority="1" stopIfTrue="1" operator="greaterThan">
      <formula>G1178+(G1178*0.05)</formula>
    </cfRule>
    <cfRule type="cellIs" dxfId="0" priority="2" stopIfTrue="1" operator="lessThan">
      <formula>G1178-(G1178*0.05)</formula>
    </cfRule>
  </conditionalFormatting>
  <pageMargins left="0.5" right="0.5" top="0.4" bottom="0.4" header="0.35" footer="0.17"/>
  <pageSetup paperSize="5" scale="89" orientation="landscape" r:id="rId1"/>
  <headerFooter alignWithMargins="0">
    <oddFooter>&amp;L&amp;"Arial,Regular"SREB-State Data Exchange&amp;C&amp;"Arial,Regular"&amp;D&amp;R&amp;"Arial,Regular"&amp;P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indexed="17"/>
  </sheetPr>
  <dimension ref="A1:V153"/>
  <sheetViews>
    <sheetView zoomScale="80" zoomScaleNormal="80" workbookViewId="0">
      <pane xSplit="4" ySplit="3" topLeftCell="I94" activePane="bottomRight" state="frozen"/>
      <selection pane="topRight" activeCell="E1" sqref="E1"/>
      <selection pane="bottomLeft" activeCell="A4" sqref="A4"/>
      <selection pane="bottomRight" activeCell="L102" sqref="L102"/>
    </sheetView>
  </sheetViews>
  <sheetFormatPr defaultRowHeight="12.75"/>
  <cols>
    <col min="1" max="1" width="11.125" style="832" customWidth="1"/>
    <col min="2" max="2" width="41" style="1013" customWidth="1"/>
    <col min="3" max="3" width="3.5" style="833" customWidth="1"/>
    <col min="4" max="4" width="9.375" style="833" customWidth="1"/>
    <col min="5" max="20" width="13.375" style="833" customWidth="1"/>
    <col min="21" max="22" width="13.375" style="986" customWidth="1"/>
    <col min="23" max="16384" width="9" style="986"/>
  </cols>
  <sheetData>
    <row r="1" spans="1:22">
      <c r="A1" s="981"/>
      <c r="B1" s="982"/>
      <c r="C1" s="834"/>
      <c r="D1" s="834"/>
      <c r="E1" s="834"/>
      <c r="F1" s="834"/>
      <c r="G1" s="983"/>
      <c r="H1" s="984"/>
      <c r="I1" s="834"/>
      <c r="J1" s="834"/>
      <c r="K1" s="835"/>
      <c r="L1" s="834"/>
      <c r="M1" s="834"/>
      <c r="N1" s="834"/>
      <c r="O1" s="834"/>
      <c r="P1" s="834"/>
      <c r="Q1" s="834"/>
      <c r="R1" s="834"/>
      <c r="S1" s="834"/>
      <c r="T1" s="834"/>
      <c r="U1" s="985"/>
    </row>
    <row r="2" spans="1:22">
      <c r="B2" s="987"/>
      <c r="C2" s="988"/>
      <c r="D2" s="989"/>
      <c r="E2" s="976" t="s">
        <v>913</v>
      </c>
      <c r="F2" s="975"/>
      <c r="G2" s="975"/>
      <c r="H2" s="861"/>
      <c r="I2" s="975"/>
      <c r="J2" s="975"/>
      <c r="K2" s="861"/>
      <c r="L2" s="975"/>
      <c r="M2" s="975"/>
      <c r="N2" s="975"/>
      <c r="O2" s="975"/>
      <c r="P2" s="975"/>
      <c r="Q2" s="975"/>
      <c r="R2" s="975"/>
      <c r="S2" s="975"/>
      <c r="T2" s="975"/>
      <c r="U2" s="979"/>
      <c r="V2"/>
    </row>
    <row r="3" spans="1:22">
      <c r="B3" s="987"/>
      <c r="C3" s="976" t="s">
        <v>915</v>
      </c>
      <c r="D3" s="976" t="s">
        <v>908</v>
      </c>
      <c r="E3" s="990" t="s">
        <v>1270</v>
      </c>
      <c r="F3" s="991" t="s">
        <v>1271</v>
      </c>
      <c r="G3" s="991" t="s">
        <v>1276</v>
      </c>
      <c r="H3" s="992" t="s">
        <v>1277</v>
      </c>
      <c r="I3" s="991" t="s">
        <v>1272</v>
      </c>
      <c r="J3" s="991" t="s">
        <v>1278</v>
      </c>
      <c r="K3" s="992" t="s">
        <v>1273</v>
      </c>
      <c r="L3" s="991" t="s">
        <v>1279</v>
      </c>
      <c r="M3" s="991" t="s">
        <v>1280</v>
      </c>
      <c r="N3" s="991" t="s">
        <v>1281</v>
      </c>
      <c r="O3" s="991" t="s">
        <v>1282</v>
      </c>
      <c r="P3" s="991" t="s">
        <v>1274</v>
      </c>
      <c r="Q3" s="991" t="s">
        <v>1283</v>
      </c>
      <c r="R3" s="991" t="s">
        <v>1275</v>
      </c>
      <c r="S3" s="991" t="s">
        <v>1284</v>
      </c>
      <c r="T3" s="991" t="s">
        <v>1285</v>
      </c>
      <c r="U3" s="993" t="s">
        <v>1907</v>
      </c>
      <c r="V3"/>
    </row>
    <row r="4" spans="1:22">
      <c r="A4" s="1156" t="s">
        <v>2046</v>
      </c>
      <c r="B4" s="994" t="s">
        <v>1618</v>
      </c>
      <c r="C4" s="995" t="s">
        <v>1776</v>
      </c>
      <c r="D4" s="839" t="s">
        <v>1375</v>
      </c>
      <c r="E4" s="841">
        <v>2180117096.2999997</v>
      </c>
      <c r="F4" s="837">
        <v>1097026311.5899999</v>
      </c>
      <c r="G4" s="837">
        <v>581062846</v>
      </c>
      <c r="H4" s="838">
        <v>4683239558</v>
      </c>
      <c r="I4" s="837">
        <v>3006616836.8499999</v>
      </c>
      <c r="J4" s="837">
        <v>1817828953</v>
      </c>
      <c r="K4" s="838">
        <v>1599559406</v>
      </c>
      <c r="L4" s="837">
        <v>2499858700</v>
      </c>
      <c r="M4" s="837">
        <v>1196556893</v>
      </c>
      <c r="N4" s="837">
        <v>3920599180</v>
      </c>
      <c r="O4" s="837">
        <v>1387317946</v>
      </c>
      <c r="P4" s="837">
        <v>1745215169</v>
      </c>
      <c r="Q4" s="837">
        <v>1844204689</v>
      </c>
      <c r="R4" s="837">
        <v>8907376630</v>
      </c>
      <c r="S4" s="837">
        <v>2982128645</v>
      </c>
      <c r="T4" s="837">
        <v>679653103</v>
      </c>
      <c r="U4" s="839">
        <v>40128361962.739998</v>
      </c>
      <c r="V4"/>
    </row>
    <row r="5" spans="1:22">
      <c r="A5" s="1157"/>
      <c r="B5" s="996"/>
      <c r="C5" s="997"/>
      <c r="D5" s="840" t="s">
        <v>1377</v>
      </c>
      <c r="E5" s="842">
        <v>1955134181.0700006</v>
      </c>
      <c r="F5" s="834">
        <v>1089815970.7</v>
      </c>
      <c r="G5" s="834">
        <v>618038984</v>
      </c>
      <c r="H5" s="835">
        <v>4573645225</v>
      </c>
      <c r="I5" s="834">
        <v>3062811529</v>
      </c>
      <c r="J5" s="834">
        <v>1850340400</v>
      </c>
      <c r="K5" s="835">
        <v>1692239403</v>
      </c>
      <c r="L5" s="834">
        <v>2660869494</v>
      </c>
      <c r="M5" s="834">
        <v>1229031961.8600001</v>
      </c>
      <c r="N5" s="834">
        <v>4183297614</v>
      </c>
      <c r="O5" s="834">
        <v>1448762622</v>
      </c>
      <c r="P5" s="834">
        <v>1738276284</v>
      </c>
      <c r="Q5" s="834">
        <v>1806647943.0000005</v>
      </c>
      <c r="R5" s="834">
        <v>9240777254</v>
      </c>
      <c r="S5" s="834">
        <v>3151652023</v>
      </c>
      <c r="T5" s="834">
        <v>721869426</v>
      </c>
      <c r="U5" s="840">
        <v>41023210314.630005</v>
      </c>
      <c r="V5"/>
    </row>
    <row r="6" spans="1:22">
      <c r="A6" s="1157"/>
      <c r="B6" s="996"/>
      <c r="C6" s="997"/>
      <c r="D6" s="998" t="s">
        <v>1917</v>
      </c>
      <c r="E6" s="1016">
        <v>-0.18773222985683038</v>
      </c>
      <c r="F6" s="1017">
        <v>-6.6491713190850845E-3</v>
      </c>
      <c r="G6" s="1017">
        <v>3.8934724901409257E-2</v>
      </c>
      <c r="H6" s="1018">
        <v>-6.0992407157601174E-2</v>
      </c>
      <c r="I6" s="1017">
        <v>-2.6948161763915107E-2</v>
      </c>
      <c r="J6" s="1017">
        <v>-1.056552680707388E-2</v>
      </c>
      <c r="K6" s="1018">
        <v>5.3349580849398393E-4</v>
      </c>
      <c r="L6" s="1017">
        <v>6.0984307414224698E-2</v>
      </c>
      <c r="M6" s="1017">
        <v>1.5657114451298151E-2</v>
      </c>
      <c r="N6" s="1017">
        <v>6.6949369009075527E-2</v>
      </c>
      <c r="O6" s="1017">
        <v>-1.724530994466774E-2</v>
      </c>
      <c r="P6" s="1017">
        <v>-0.18783659004743192</v>
      </c>
      <c r="Q6" s="1017">
        <v>-9.8592753293784266E-2</v>
      </c>
      <c r="R6" s="1017">
        <v>-5.4591453223411274E-2</v>
      </c>
      <c r="S6" s="1017">
        <v>2.1394253291478725E-2</v>
      </c>
      <c r="T6" s="1017">
        <v>6.0666277676686559E-2</v>
      </c>
      <c r="U6" s="1019">
        <v>-2.9291919503896247E-2</v>
      </c>
      <c r="V6"/>
    </row>
    <row r="7" spans="1:22">
      <c r="A7" s="1157"/>
      <c r="B7" s="994" t="s">
        <v>2043</v>
      </c>
      <c r="C7" s="970" t="s">
        <v>1777</v>
      </c>
      <c r="D7" s="974" t="s">
        <v>1375</v>
      </c>
      <c r="E7" s="1085">
        <v>0</v>
      </c>
      <c r="F7" s="994"/>
      <c r="G7" s="994"/>
      <c r="H7" s="1052"/>
      <c r="I7" s="994"/>
      <c r="J7" s="994"/>
      <c r="K7" s="1052"/>
      <c r="L7" s="994"/>
      <c r="M7" s="837"/>
      <c r="N7" s="994"/>
      <c r="O7" s="994"/>
      <c r="P7" s="994"/>
      <c r="Q7" s="994"/>
      <c r="R7" s="994"/>
      <c r="S7" s="994"/>
      <c r="T7" s="994"/>
      <c r="U7" s="1053">
        <v>0</v>
      </c>
      <c r="V7"/>
    </row>
    <row r="8" spans="1:22">
      <c r="A8" s="1157"/>
      <c r="B8" s="996"/>
      <c r="C8" s="977"/>
      <c r="D8" s="971" t="s">
        <v>1377</v>
      </c>
      <c r="E8" s="842">
        <v>0</v>
      </c>
      <c r="F8" s="832"/>
      <c r="G8" s="832"/>
      <c r="I8" s="832"/>
      <c r="J8" s="832"/>
      <c r="L8" s="832"/>
      <c r="M8" s="832"/>
      <c r="N8" s="832"/>
      <c r="O8" s="832"/>
      <c r="P8" s="832"/>
      <c r="Q8" s="832"/>
      <c r="R8" s="832"/>
      <c r="S8" s="832"/>
      <c r="T8" s="832"/>
      <c r="U8" s="840">
        <v>0</v>
      </c>
      <c r="V8"/>
    </row>
    <row r="9" spans="1:22" ht="13.5" thickBot="1">
      <c r="A9" s="1157"/>
      <c r="B9" s="996"/>
      <c r="C9" s="977"/>
      <c r="D9" s="999" t="s">
        <v>1917</v>
      </c>
      <c r="E9" s="1016">
        <v>0</v>
      </c>
      <c r="F9" s="832">
        <v>0</v>
      </c>
      <c r="G9" s="832">
        <v>0</v>
      </c>
      <c r="H9" s="833">
        <v>0</v>
      </c>
      <c r="I9" s="832">
        <v>0</v>
      </c>
      <c r="J9" s="832">
        <v>0</v>
      </c>
      <c r="K9" s="833">
        <v>0</v>
      </c>
      <c r="L9" s="832">
        <v>0</v>
      </c>
      <c r="M9" s="832">
        <v>0</v>
      </c>
      <c r="N9" s="832">
        <v>0</v>
      </c>
      <c r="O9" s="832">
        <v>0</v>
      </c>
      <c r="P9" s="832">
        <v>0</v>
      </c>
      <c r="Q9" s="832">
        <v>0</v>
      </c>
      <c r="R9" s="832">
        <v>0</v>
      </c>
      <c r="S9" s="832">
        <v>0</v>
      </c>
      <c r="T9" s="832">
        <v>0</v>
      </c>
      <c r="U9" s="840">
        <v>0</v>
      </c>
      <c r="V9"/>
    </row>
    <row r="10" spans="1:22">
      <c r="A10" s="1157"/>
      <c r="B10" s="1000" t="s">
        <v>1891</v>
      </c>
      <c r="C10" s="970" t="s">
        <v>1778</v>
      </c>
      <c r="D10" s="974" t="s">
        <v>1375</v>
      </c>
      <c r="E10" s="1085">
        <v>14167500</v>
      </c>
      <c r="F10" s="994">
        <v>27037627.170000002</v>
      </c>
      <c r="G10" s="994">
        <v>91800</v>
      </c>
      <c r="H10" s="1052">
        <v>34477359</v>
      </c>
      <c r="I10" s="1054">
        <v>16046177</v>
      </c>
      <c r="J10" s="994">
        <v>21990300</v>
      </c>
      <c r="K10" s="1052"/>
      <c r="L10" s="994"/>
      <c r="M10" s="837">
        <v>277003</v>
      </c>
      <c r="N10" s="994">
        <v>10493890</v>
      </c>
      <c r="O10" s="994"/>
      <c r="P10" s="1054">
        <v>10594749</v>
      </c>
      <c r="Q10" s="994">
        <v>9329000</v>
      </c>
      <c r="R10" s="994">
        <v>27851162</v>
      </c>
      <c r="S10" s="994"/>
      <c r="T10" s="994"/>
      <c r="U10" s="1053">
        <v>172356567.17000002</v>
      </c>
      <c r="V10"/>
    </row>
    <row r="11" spans="1:22">
      <c r="A11" s="1157"/>
      <c r="B11" s="1001"/>
      <c r="C11" s="977"/>
      <c r="D11" s="971" t="s">
        <v>1377</v>
      </c>
      <c r="E11" s="842">
        <v>12569016</v>
      </c>
      <c r="F11" s="832">
        <v>23272929</v>
      </c>
      <c r="G11" s="832">
        <v>91800</v>
      </c>
      <c r="H11" s="833">
        <v>32433247</v>
      </c>
      <c r="I11" s="1040">
        <v>12504146</v>
      </c>
      <c r="J11" s="832">
        <v>21457700</v>
      </c>
      <c r="L11" s="832"/>
      <c r="M11" s="832">
        <v>271980.38</v>
      </c>
      <c r="N11" s="832">
        <v>11033196</v>
      </c>
      <c r="O11" s="832"/>
      <c r="P11" s="1040">
        <v>2407604</v>
      </c>
      <c r="Q11" s="832">
        <v>8928000</v>
      </c>
      <c r="R11" s="832">
        <v>27975443</v>
      </c>
      <c r="S11" s="832"/>
      <c r="T11" s="832"/>
      <c r="U11" s="840">
        <v>152945061.38</v>
      </c>
      <c r="V11"/>
    </row>
    <row r="12" spans="1:22" ht="13.5" thickBot="1">
      <c r="A12" s="1157"/>
      <c r="B12" s="1001"/>
      <c r="C12" s="977"/>
      <c r="D12" s="999" t="s">
        <v>1917</v>
      </c>
      <c r="E12" s="1016">
        <v>0</v>
      </c>
      <c r="F12" s="832">
        <v>0</v>
      </c>
      <c r="G12" s="832">
        <v>0</v>
      </c>
      <c r="H12" s="833">
        <v>0</v>
      </c>
      <c r="I12" s="1041">
        <v>0</v>
      </c>
      <c r="J12" s="832">
        <v>0</v>
      </c>
      <c r="K12" s="833">
        <v>0</v>
      </c>
      <c r="L12" s="832">
        <v>0</v>
      </c>
      <c r="M12" s="832">
        <v>0</v>
      </c>
      <c r="N12" s="832">
        <v>0</v>
      </c>
      <c r="O12" s="832">
        <v>0</v>
      </c>
      <c r="P12" s="1041">
        <v>0</v>
      </c>
      <c r="Q12" s="832">
        <v>0</v>
      </c>
      <c r="R12" s="832">
        <v>0</v>
      </c>
      <c r="S12" s="832">
        <v>0</v>
      </c>
      <c r="T12" s="832">
        <v>0</v>
      </c>
      <c r="U12" s="840">
        <v>0</v>
      </c>
      <c r="V12"/>
    </row>
    <row r="13" spans="1:22">
      <c r="A13" s="1157"/>
      <c r="B13" s="1000" t="s">
        <v>1770</v>
      </c>
      <c r="C13" s="970" t="s">
        <v>1779</v>
      </c>
      <c r="D13" s="974" t="s">
        <v>1375</v>
      </c>
      <c r="E13" s="1085">
        <v>5666669</v>
      </c>
      <c r="F13" s="994"/>
      <c r="G13" s="994"/>
      <c r="H13" s="1052"/>
      <c r="I13" s="994"/>
      <c r="J13" s="994"/>
      <c r="K13" s="1052"/>
      <c r="L13" s="994">
        <v>0</v>
      </c>
      <c r="M13" s="837"/>
      <c r="N13" s="994"/>
      <c r="O13" s="994"/>
      <c r="P13" s="994"/>
      <c r="Q13" s="994"/>
      <c r="R13" s="994"/>
      <c r="S13" s="994"/>
      <c r="T13" s="994"/>
      <c r="U13" s="1053">
        <v>5666669</v>
      </c>
      <c r="V13"/>
    </row>
    <row r="14" spans="1:22">
      <c r="A14" s="1157"/>
      <c r="B14" s="1001"/>
      <c r="C14" s="977"/>
      <c r="D14" s="971" t="s">
        <v>1377</v>
      </c>
      <c r="E14" s="842">
        <v>3480100</v>
      </c>
      <c r="F14" s="832"/>
      <c r="G14" s="832"/>
      <c r="I14" s="832"/>
      <c r="J14" s="832"/>
      <c r="L14" s="832">
        <v>0</v>
      </c>
      <c r="M14" s="832"/>
      <c r="N14" s="832"/>
      <c r="O14" s="832"/>
      <c r="P14" s="832"/>
      <c r="Q14" s="832"/>
      <c r="R14" s="832"/>
      <c r="S14" s="832"/>
      <c r="T14" s="832"/>
      <c r="U14" s="840">
        <v>3480100</v>
      </c>
      <c r="V14"/>
    </row>
    <row r="15" spans="1:22" ht="13.5" thickBot="1">
      <c r="A15" s="1157"/>
      <c r="B15" s="1001"/>
      <c r="C15" s="977"/>
      <c r="D15" s="999" t="s">
        <v>1917</v>
      </c>
      <c r="E15" s="1016">
        <v>0</v>
      </c>
      <c r="F15" s="832">
        <v>0</v>
      </c>
      <c r="G15" s="832">
        <v>0</v>
      </c>
      <c r="H15" s="833">
        <v>0</v>
      </c>
      <c r="I15" s="832">
        <v>0</v>
      </c>
      <c r="J15" s="832">
        <v>0</v>
      </c>
      <c r="K15" s="833">
        <v>0</v>
      </c>
      <c r="L15" s="832">
        <v>0</v>
      </c>
      <c r="M15" s="832">
        <v>0</v>
      </c>
      <c r="N15" s="832">
        <v>0</v>
      </c>
      <c r="O15" s="832">
        <v>0</v>
      </c>
      <c r="P15" s="832">
        <v>0</v>
      </c>
      <c r="Q15" s="832">
        <v>0</v>
      </c>
      <c r="R15" s="832">
        <v>0</v>
      </c>
      <c r="S15" s="832">
        <v>0</v>
      </c>
      <c r="T15" s="832">
        <v>0</v>
      </c>
      <c r="U15" s="840">
        <v>0</v>
      </c>
      <c r="V15"/>
    </row>
    <row r="16" spans="1:22">
      <c r="A16" s="1157"/>
      <c r="B16" s="1000" t="s">
        <v>1769</v>
      </c>
      <c r="C16" s="970" t="s">
        <v>1780</v>
      </c>
      <c r="D16" s="974" t="s">
        <v>1375</v>
      </c>
      <c r="E16" s="1085">
        <v>52822766</v>
      </c>
      <c r="F16" s="994"/>
      <c r="G16" s="1054">
        <v>2905600</v>
      </c>
      <c r="H16" s="1052">
        <v>141232404</v>
      </c>
      <c r="I16" s="994">
        <v>35391924</v>
      </c>
      <c r="J16" s="994">
        <v>67039200</v>
      </c>
      <c r="K16" s="1052"/>
      <c r="L16" s="994">
        <v>19457358</v>
      </c>
      <c r="M16" s="994">
        <v>34150411</v>
      </c>
      <c r="N16" s="994">
        <v>44062874</v>
      </c>
      <c r="O16" s="1054">
        <v>29792416</v>
      </c>
      <c r="P16" s="994">
        <v>59730971</v>
      </c>
      <c r="Q16" s="994">
        <v>30626200</v>
      </c>
      <c r="R16" s="994">
        <v>64099700</v>
      </c>
      <c r="S16" s="994">
        <v>31278516</v>
      </c>
      <c r="T16" s="994">
        <v>13126602</v>
      </c>
      <c r="U16" s="1053">
        <v>625716942</v>
      </c>
      <c r="V16"/>
    </row>
    <row r="17" spans="1:22">
      <c r="A17" s="1157"/>
      <c r="B17" s="1001"/>
      <c r="C17" s="977"/>
      <c r="D17" s="971" t="s">
        <v>1377</v>
      </c>
      <c r="E17" s="842">
        <v>42378377</v>
      </c>
      <c r="F17" s="832"/>
      <c r="G17" s="1040">
        <v>2471100</v>
      </c>
      <c r="H17" s="833">
        <v>136572337</v>
      </c>
      <c r="I17" s="832">
        <v>34564750</v>
      </c>
      <c r="J17" s="832">
        <v>65841700</v>
      </c>
      <c r="L17" s="832">
        <v>20720943</v>
      </c>
      <c r="M17" s="832">
        <v>33506682.16</v>
      </c>
      <c r="N17" s="832">
        <v>45406148</v>
      </c>
      <c r="O17" s="1040">
        <v>30017859</v>
      </c>
      <c r="P17" s="832">
        <v>43977884</v>
      </c>
      <c r="Q17" s="832">
        <v>29197400</v>
      </c>
      <c r="R17" s="832">
        <v>62125785</v>
      </c>
      <c r="S17" s="832">
        <v>35369454</v>
      </c>
      <c r="T17" s="832">
        <v>15281319</v>
      </c>
      <c r="U17" s="840">
        <v>597431738.16000009</v>
      </c>
      <c r="V17"/>
    </row>
    <row r="18" spans="1:22" ht="13.5" thickBot="1">
      <c r="A18" s="1157"/>
      <c r="B18" s="1001"/>
      <c r="C18" s="977"/>
      <c r="D18" s="999" t="s">
        <v>1917</v>
      </c>
      <c r="E18" s="1016">
        <v>0</v>
      </c>
      <c r="F18" s="832">
        <v>0</v>
      </c>
      <c r="G18" s="1041">
        <v>0</v>
      </c>
      <c r="H18" s="833">
        <v>0</v>
      </c>
      <c r="I18" s="832">
        <v>0</v>
      </c>
      <c r="J18" s="832">
        <v>0</v>
      </c>
      <c r="K18" s="833">
        <v>0</v>
      </c>
      <c r="L18" s="832">
        <v>0</v>
      </c>
      <c r="M18" s="832">
        <v>0</v>
      </c>
      <c r="N18" s="832">
        <v>0</v>
      </c>
      <c r="O18" s="1041">
        <v>0</v>
      </c>
      <c r="P18" s="832">
        <v>0</v>
      </c>
      <c r="Q18" s="832">
        <v>0</v>
      </c>
      <c r="R18" s="832">
        <v>0</v>
      </c>
      <c r="S18" s="832">
        <v>0</v>
      </c>
      <c r="T18" s="832">
        <v>0</v>
      </c>
      <c r="U18" s="840">
        <v>0</v>
      </c>
      <c r="V18"/>
    </row>
    <row r="19" spans="1:22">
      <c r="A19" s="1157"/>
      <c r="B19" s="1000" t="s">
        <v>1768</v>
      </c>
      <c r="C19" s="970" t="s">
        <v>1781</v>
      </c>
      <c r="D19" s="974" t="s">
        <v>1375</v>
      </c>
      <c r="E19" s="1085">
        <v>41192188</v>
      </c>
      <c r="F19" s="994"/>
      <c r="G19" s="994">
        <v>2609900</v>
      </c>
      <c r="H19" s="1052"/>
      <c r="I19" s="994">
        <v>42936221</v>
      </c>
      <c r="J19" s="994"/>
      <c r="K19" s="1052"/>
      <c r="L19" s="994">
        <v>16777686</v>
      </c>
      <c r="M19" s="994">
        <v>23699108</v>
      </c>
      <c r="N19" s="994">
        <v>64912224</v>
      </c>
      <c r="O19" s="1055">
        <v>29635879</v>
      </c>
      <c r="P19" s="994"/>
      <c r="Q19" s="994">
        <v>25183200</v>
      </c>
      <c r="R19" s="994">
        <v>69672238</v>
      </c>
      <c r="S19" s="994">
        <v>33476293</v>
      </c>
      <c r="T19" s="994">
        <v>7126096</v>
      </c>
      <c r="U19" s="1053">
        <v>357221033</v>
      </c>
      <c r="V19"/>
    </row>
    <row r="20" spans="1:22">
      <c r="A20" s="1157"/>
      <c r="B20" s="1001"/>
      <c r="C20" s="977"/>
      <c r="D20" s="971" t="s">
        <v>1377</v>
      </c>
      <c r="E20" s="842">
        <v>32482870</v>
      </c>
      <c r="F20" s="832"/>
      <c r="G20" s="832">
        <v>2817000</v>
      </c>
      <c r="I20" s="832">
        <v>41002005</v>
      </c>
      <c r="J20" s="832"/>
      <c r="L20" s="832">
        <v>17611271</v>
      </c>
      <c r="M20" s="832">
        <v>23242634.52</v>
      </c>
      <c r="N20" s="832">
        <v>62920006</v>
      </c>
      <c r="O20" s="1040">
        <v>29818928</v>
      </c>
      <c r="P20" s="832"/>
      <c r="Q20" s="832">
        <v>23841500</v>
      </c>
      <c r="R20" s="832">
        <v>69909436</v>
      </c>
      <c r="S20" s="832">
        <v>31019424</v>
      </c>
      <c r="T20" s="832">
        <v>6407977</v>
      </c>
      <c r="U20" s="840">
        <v>341073051.51999998</v>
      </c>
      <c r="V20"/>
    </row>
    <row r="21" spans="1:22" ht="13.5" thickBot="1">
      <c r="A21" s="1157"/>
      <c r="B21" s="1001"/>
      <c r="C21" s="977"/>
      <c r="D21" s="999" t="s">
        <v>1917</v>
      </c>
      <c r="E21" s="1016">
        <v>0</v>
      </c>
      <c r="F21" s="832">
        <v>0</v>
      </c>
      <c r="G21" s="832">
        <v>0</v>
      </c>
      <c r="H21" s="833">
        <v>0</v>
      </c>
      <c r="I21" s="832">
        <v>0</v>
      </c>
      <c r="J21" s="832">
        <v>0</v>
      </c>
      <c r="K21" s="833">
        <v>0</v>
      </c>
      <c r="L21" s="832">
        <v>0</v>
      </c>
      <c r="M21" s="832">
        <v>0</v>
      </c>
      <c r="N21" s="832">
        <v>0</v>
      </c>
      <c r="O21" s="1041">
        <v>0</v>
      </c>
      <c r="P21" s="832">
        <v>0</v>
      </c>
      <c r="Q21" s="832">
        <v>0</v>
      </c>
      <c r="R21" s="832">
        <v>0</v>
      </c>
      <c r="S21" s="832">
        <v>0</v>
      </c>
      <c r="T21" s="832">
        <v>0</v>
      </c>
      <c r="U21" s="840">
        <v>0</v>
      </c>
      <c r="V21"/>
    </row>
    <row r="22" spans="1:22">
      <c r="A22" s="1157"/>
      <c r="B22" s="1000" t="s">
        <v>1880</v>
      </c>
      <c r="C22" s="970" t="s">
        <v>1782</v>
      </c>
      <c r="D22" s="974" t="s">
        <v>1375</v>
      </c>
      <c r="E22" s="1085"/>
      <c r="F22" s="994"/>
      <c r="G22" s="994"/>
      <c r="H22" s="1052"/>
      <c r="I22" s="994">
        <v>5988620</v>
      </c>
      <c r="J22" s="994"/>
      <c r="K22" s="1052"/>
      <c r="L22" s="994"/>
      <c r="M22" s="994"/>
      <c r="N22" s="994"/>
      <c r="O22" s="994"/>
      <c r="P22" s="994"/>
      <c r="Q22" s="994"/>
      <c r="R22" s="994">
        <v>18193004</v>
      </c>
      <c r="S22" s="994"/>
      <c r="T22" s="994">
        <v>2095900</v>
      </c>
      <c r="U22" s="1053">
        <v>26277524</v>
      </c>
      <c r="V22"/>
    </row>
    <row r="23" spans="1:22">
      <c r="A23" s="1157"/>
      <c r="B23" s="1001"/>
      <c r="C23" s="977"/>
      <c r="D23" s="971" t="s">
        <v>1377</v>
      </c>
      <c r="E23" s="842"/>
      <c r="F23" s="832"/>
      <c r="G23" s="832"/>
      <c r="I23" s="832">
        <v>5441105</v>
      </c>
      <c r="J23" s="832"/>
      <c r="L23" s="832"/>
      <c r="M23" s="832"/>
      <c r="N23" s="832"/>
      <c r="O23" s="832"/>
      <c r="P23" s="832"/>
      <c r="Q23" s="832"/>
      <c r="R23" s="832">
        <v>18294087</v>
      </c>
      <c r="S23" s="832"/>
      <c r="T23" s="832">
        <v>2207220</v>
      </c>
      <c r="U23" s="840">
        <v>25942412</v>
      </c>
      <c r="V23"/>
    </row>
    <row r="24" spans="1:22" ht="13.5" thickBot="1">
      <c r="A24" s="1157"/>
      <c r="B24" s="1001"/>
      <c r="C24" s="977"/>
      <c r="D24" s="999" t="s">
        <v>1917</v>
      </c>
      <c r="E24" s="1016">
        <v>0</v>
      </c>
      <c r="F24" s="832">
        <v>0</v>
      </c>
      <c r="G24" s="832">
        <v>0</v>
      </c>
      <c r="H24" s="833">
        <v>0</v>
      </c>
      <c r="I24" s="832">
        <v>0</v>
      </c>
      <c r="J24" s="832">
        <v>0</v>
      </c>
      <c r="K24" s="833">
        <v>0</v>
      </c>
      <c r="L24" s="832">
        <v>0</v>
      </c>
      <c r="M24" s="832">
        <v>0</v>
      </c>
      <c r="N24" s="832">
        <v>0</v>
      </c>
      <c r="O24" s="832">
        <v>0</v>
      </c>
      <c r="P24" s="832">
        <v>0</v>
      </c>
      <c r="Q24" s="832">
        <v>0</v>
      </c>
      <c r="R24" s="832">
        <v>0</v>
      </c>
      <c r="S24" s="832">
        <v>0</v>
      </c>
      <c r="T24" s="832">
        <v>0</v>
      </c>
      <c r="U24" s="840">
        <v>0</v>
      </c>
      <c r="V24"/>
    </row>
    <row r="25" spans="1:22">
      <c r="A25" s="1157"/>
      <c r="B25" s="1000" t="s">
        <v>1881</v>
      </c>
      <c r="C25" s="970" t="s">
        <v>1783</v>
      </c>
      <c r="D25" s="974" t="s">
        <v>1375</v>
      </c>
      <c r="E25" s="1085">
        <v>200000</v>
      </c>
      <c r="F25" s="994"/>
      <c r="G25" s="994">
        <v>4038500</v>
      </c>
      <c r="H25" s="1052">
        <v>7264725</v>
      </c>
      <c r="I25" s="994">
        <v>11768862</v>
      </c>
      <c r="J25" s="994">
        <v>6252900</v>
      </c>
      <c r="K25" s="1052"/>
      <c r="L25" s="1054">
        <v>37245931</v>
      </c>
      <c r="M25" s="994">
        <v>23490529</v>
      </c>
      <c r="N25" s="994"/>
      <c r="O25" s="994"/>
      <c r="P25" s="994">
        <v>7951998</v>
      </c>
      <c r="Q25" s="994"/>
      <c r="R25" s="994"/>
      <c r="S25" s="994">
        <v>19397121</v>
      </c>
      <c r="T25" s="994">
        <v>5735125</v>
      </c>
      <c r="U25" s="1053">
        <v>123345691</v>
      </c>
      <c r="V25"/>
    </row>
    <row r="26" spans="1:22">
      <c r="A26" s="1157"/>
      <c r="B26" s="1001"/>
      <c r="C26" s="977"/>
      <c r="D26" s="971" t="s">
        <v>1377</v>
      </c>
      <c r="E26" s="1014">
        <v>0</v>
      </c>
      <c r="F26" s="832"/>
      <c r="G26" s="832">
        <v>4212200</v>
      </c>
      <c r="H26" s="833">
        <v>81860988</v>
      </c>
      <c r="I26" s="832">
        <v>11039704</v>
      </c>
      <c r="J26" s="832">
        <v>6150900</v>
      </c>
      <c r="L26" s="1040">
        <v>38509791</v>
      </c>
      <c r="M26" s="832">
        <v>23532614.560000002</v>
      </c>
      <c r="N26" s="832"/>
      <c r="O26" s="832"/>
      <c r="P26" s="832">
        <v>4160742</v>
      </c>
      <c r="Q26" s="832"/>
      <c r="R26" s="832"/>
      <c r="S26" s="832">
        <v>19495729</v>
      </c>
      <c r="T26" s="832">
        <v>6833338</v>
      </c>
      <c r="U26" s="840">
        <v>195796006.56</v>
      </c>
      <c r="V26"/>
    </row>
    <row r="27" spans="1:22" ht="13.5" thickBot="1">
      <c r="A27" s="1157"/>
      <c r="B27" s="1001"/>
      <c r="C27" s="977"/>
      <c r="D27" s="999" t="s">
        <v>1917</v>
      </c>
      <c r="E27" s="1016">
        <v>0</v>
      </c>
      <c r="F27" s="832">
        <v>0</v>
      </c>
      <c r="G27" s="832">
        <v>0</v>
      </c>
      <c r="H27" s="833">
        <v>0</v>
      </c>
      <c r="I27" s="832">
        <v>0</v>
      </c>
      <c r="J27" s="832">
        <v>0</v>
      </c>
      <c r="K27" s="833">
        <v>0</v>
      </c>
      <c r="L27" s="1041">
        <v>0</v>
      </c>
      <c r="M27" s="832">
        <v>0</v>
      </c>
      <c r="N27" s="832">
        <v>0</v>
      </c>
      <c r="O27" s="832">
        <v>0</v>
      </c>
      <c r="P27" s="832">
        <v>0</v>
      </c>
      <c r="Q27" s="832">
        <v>0</v>
      </c>
      <c r="R27" s="832">
        <v>0</v>
      </c>
      <c r="S27" s="832">
        <v>0</v>
      </c>
      <c r="T27" s="832">
        <v>0</v>
      </c>
      <c r="U27" s="840">
        <v>0</v>
      </c>
      <c r="V27"/>
    </row>
    <row r="28" spans="1:22">
      <c r="A28" s="1157"/>
      <c r="B28" s="1000" t="s">
        <v>1808</v>
      </c>
      <c r="C28" s="970" t="s">
        <v>1784</v>
      </c>
      <c r="D28" s="974" t="s">
        <v>1375</v>
      </c>
      <c r="E28" s="1085">
        <v>5084717</v>
      </c>
      <c r="F28" s="994"/>
      <c r="G28" s="994"/>
      <c r="H28" s="1056">
        <v>2033666</v>
      </c>
      <c r="I28" s="994"/>
      <c r="J28" s="994"/>
      <c r="K28" s="1052"/>
      <c r="L28" s="994"/>
      <c r="M28" s="994"/>
      <c r="N28" s="994"/>
      <c r="O28" s="994"/>
      <c r="P28" s="994">
        <v>73081305</v>
      </c>
      <c r="Q28" s="994"/>
      <c r="R28" s="994"/>
      <c r="S28" s="994"/>
      <c r="T28" s="994">
        <v>21861905</v>
      </c>
      <c r="U28" s="1053">
        <v>102061593</v>
      </c>
      <c r="V28"/>
    </row>
    <row r="29" spans="1:22">
      <c r="A29" s="1157"/>
      <c r="B29" s="1001"/>
      <c r="C29" s="977"/>
      <c r="D29" s="971" t="s">
        <v>1377</v>
      </c>
      <c r="E29" s="842">
        <v>3965747</v>
      </c>
      <c r="F29" s="832"/>
      <c r="G29" s="832"/>
      <c r="H29" s="1042">
        <v>1852749</v>
      </c>
      <c r="I29" s="832"/>
      <c r="J29" s="832"/>
      <c r="L29" s="832"/>
      <c r="M29" s="832"/>
      <c r="N29" s="832"/>
      <c r="O29" s="832"/>
      <c r="P29" s="832">
        <v>36835877</v>
      </c>
      <c r="Q29" s="832"/>
      <c r="R29" s="832"/>
      <c r="S29" s="832"/>
      <c r="T29" s="832">
        <v>5381755</v>
      </c>
      <c r="U29" s="840">
        <v>48036128</v>
      </c>
      <c r="V29"/>
    </row>
    <row r="30" spans="1:22" ht="13.5" thickBot="1">
      <c r="A30" s="1157"/>
      <c r="B30" s="1001"/>
      <c r="C30" s="977"/>
      <c r="D30" s="999" t="s">
        <v>1917</v>
      </c>
      <c r="E30" s="1016">
        <v>0</v>
      </c>
      <c r="F30" s="832">
        <v>0</v>
      </c>
      <c r="G30" s="832">
        <v>0</v>
      </c>
      <c r="H30" s="1043">
        <v>0</v>
      </c>
      <c r="I30" s="832">
        <v>0</v>
      </c>
      <c r="J30" s="832">
        <v>0</v>
      </c>
      <c r="K30" s="833">
        <v>0</v>
      </c>
      <c r="L30" s="832">
        <v>0</v>
      </c>
      <c r="M30" s="832">
        <v>0</v>
      </c>
      <c r="N30" s="832">
        <v>0</v>
      </c>
      <c r="O30" s="832">
        <v>0</v>
      </c>
      <c r="P30" s="832">
        <v>1.1255712994921399</v>
      </c>
      <c r="Q30" s="832">
        <v>0</v>
      </c>
      <c r="R30" s="832">
        <v>0</v>
      </c>
      <c r="S30" s="832">
        <v>0</v>
      </c>
      <c r="T30" s="832">
        <v>0</v>
      </c>
      <c r="U30" s="840">
        <v>1.1255712994921399</v>
      </c>
      <c r="V30"/>
    </row>
    <row r="31" spans="1:22">
      <c r="A31" s="1157"/>
      <c r="B31" s="994" t="s">
        <v>2044</v>
      </c>
      <c r="C31" s="970" t="s">
        <v>1785</v>
      </c>
      <c r="D31" s="974" t="s">
        <v>1375</v>
      </c>
      <c r="E31" s="1085">
        <v>0</v>
      </c>
      <c r="F31" s="994"/>
      <c r="G31" s="994"/>
      <c r="H31" s="1052"/>
      <c r="I31" s="994">
        <v>0</v>
      </c>
      <c r="J31" s="994"/>
      <c r="K31" s="1052">
        <v>0</v>
      </c>
      <c r="L31" s="994"/>
      <c r="M31" s="994">
        <v>0</v>
      </c>
      <c r="N31" s="994">
        <v>0</v>
      </c>
      <c r="O31" s="994">
        <v>0</v>
      </c>
      <c r="P31" s="994"/>
      <c r="Q31" s="994"/>
      <c r="R31" s="994">
        <v>0</v>
      </c>
      <c r="S31" s="994">
        <v>0</v>
      </c>
      <c r="T31" s="994">
        <v>0</v>
      </c>
      <c r="U31" s="1053">
        <v>0</v>
      </c>
      <c r="V31"/>
    </row>
    <row r="32" spans="1:22">
      <c r="A32" s="1157"/>
      <c r="B32" s="996"/>
      <c r="C32" s="977"/>
      <c r="D32" s="971" t="s">
        <v>1377</v>
      </c>
      <c r="E32" s="842">
        <v>0</v>
      </c>
      <c r="F32" s="832"/>
      <c r="G32" s="832"/>
      <c r="I32" s="832">
        <v>0</v>
      </c>
      <c r="J32" s="832"/>
      <c r="K32" s="833">
        <v>0</v>
      </c>
      <c r="L32" s="832"/>
      <c r="M32" s="832">
        <v>0</v>
      </c>
      <c r="N32" s="832">
        <v>0</v>
      </c>
      <c r="O32" s="832">
        <v>0</v>
      </c>
      <c r="P32" s="832"/>
      <c r="Q32" s="832"/>
      <c r="R32" s="832">
        <v>0</v>
      </c>
      <c r="S32" s="832">
        <v>0</v>
      </c>
      <c r="T32" s="832">
        <v>0</v>
      </c>
      <c r="U32" s="840">
        <v>0</v>
      </c>
      <c r="V32"/>
    </row>
    <row r="33" spans="1:22" ht="13.5" thickBot="1">
      <c r="A33" s="1157"/>
      <c r="B33" s="996"/>
      <c r="C33" s="977"/>
      <c r="D33" s="999" t="s">
        <v>1917</v>
      </c>
      <c r="E33" s="1016">
        <v>0</v>
      </c>
      <c r="F33" s="832">
        <v>0</v>
      </c>
      <c r="G33" s="832">
        <v>0</v>
      </c>
      <c r="H33" s="833">
        <v>0</v>
      </c>
      <c r="I33" s="832">
        <v>0</v>
      </c>
      <c r="J33" s="832">
        <v>0</v>
      </c>
      <c r="K33" s="833">
        <v>0</v>
      </c>
      <c r="L33" s="832">
        <v>0</v>
      </c>
      <c r="M33" s="832">
        <v>0</v>
      </c>
      <c r="N33" s="832">
        <v>0</v>
      </c>
      <c r="O33" s="832">
        <v>0</v>
      </c>
      <c r="P33" s="832">
        <v>0</v>
      </c>
      <c r="Q33" s="832">
        <v>0</v>
      </c>
      <c r="R33" s="832">
        <v>0</v>
      </c>
      <c r="S33" s="832">
        <v>0</v>
      </c>
      <c r="T33" s="832">
        <v>0</v>
      </c>
      <c r="U33" s="840">
        <v>0</v>
      </c>
      <c r="V33"/>
    </row>
    <row r="34" spans="1:22">
      <c r="A34" s="1157"/>
      <c r="B34" s="1000" t="s">
        <v>1891</v>
      </c>
      <c r="C34" s="970" t="s">
        <v>1786</v>
      </c>
      <c r="D34" s="974" t="s">
        <v>1375</v>
      </c>
      <c r="E34" s="1085"/>
      <c r="F34" s="994"/>
      <c r="G34" s="994"/>
      <c r="H34" s="1052">
        <v>1920000</v>
      </c>
      <c r="I34" s="994">
        <v>16368043</v>
      </c>
      <c r="J34" s="994">
        <v>17628400</v>
      </c>
      <c r="K34" s="1052">
        <v>1000168</v>
      </c>
      <c r="L34" s="994"/>
      <c r="M34" s="1054">
        <v>514773</v>
      </c>
      <c r="N34" s="994">
        <v>146087641</v>
      </c>
      <c r="O34" s="994">
        <v>100348</v>
      </c>
      <c r="P34" s="994"/>
      <c r="Q34" s="994"/>
      <c r="R34" s="994">
        <v>41298469</v>
      </c>
      <c r="S34" s="994"/>
      <c r="T34" s="994">
        <v>6814238</v>
      </c>
      <c r="U34" s="1053">
        <v>231732080</v>
      </c>
      <c r="V34"/>
    </row>
    <row r="35" spans="1:22">
      <c r="A35" s="1157"/>
      <c r="B35" s="1001"/>
      <c r="C35" s="977"/>
      <c r="D35" s="971" t="s">
        <v>1377</v>
      </c>
      <c r="E35" s="842"/>
      <c r="F35" s="832"/>
      <c r="G35" s="832"/>
      <c r="H35" s="833">
        <v>0</v>
      </c>
      <c r="I35" s="832">
        <v>0</v>
      </c>
      <c r="J35" s="832">
        <v>19769700</v>
      </c>
      <c r="K35" s="833">
        <v>1022668</v>
      </c>
      <c r="L35" s="832"/>
      <c r="M35" s="1040">
        <v>505359.54</v>
      </c>
      <c r="N35" s="832">
        <v>142841843</v>
      </c>
      <c r="O35" s="832">
        <v>100348</v>
      </c>
      <c r="P35" s="832"/>
      <c r="Q35" s="832"/>
      <c r="R35" s="832">
        <v>41453899</v>
      </c>
      <c r="S35" s="832"/>
      <c r="T35" s="832">
        <v>6375507</v>
      </c>
      <c r="U35" s="840">
        <v>212069324.53999999</v>
      </c>
      <c r="V35"/>
    </row>
    <row r="36" spans="1:22" ht="13.5" thickBot="1">
      <c r="A36" s="1157"/>
      <c r="B36" s="1001"/>
      <c r="C36" s="977"/>
      <c r="D36" s="999" t="s">
        <v>1917</v>
      </c>
      <c r="E36" s="1016">
        <v>0</v>
      </c>
      <c r="F36" s="832">
        <v>0</v>
      </c>
      <c r="G36" s="832">
        <v>0</v>
      </c>
      <c r="H36" s="833">
        <v>0</v>
      </c>
      <c r="I36" s="832">
        <v>0</v>
      </c>
      <c r="J36" s="832">
        <v>0</v>
      </c>
      <c r="K36" s="833">
        <v>0</v>
      </c>
      <c r="L36" s="832">
        <v>0</v>
      </c>
      <c r="M36" s="1041">
        <v>0</v>
      </c>
      <c r="N36" s="832">
        <v>0</v>
      </c>
      <c r="O36" s="832">
        <v>0</v>
      </c>
      <c r="P36" s="832">
        <v>0</v>
      </c>
      <c r="Q36" s="832">
        <v>0</v>
      </c>
      <c r="R36" s="832">
        <v>0</v>
      </c>
      <c r="S36" s="832">
        <v>0</v>
      </c>
      <c r="T36" s="832">
        <v>0</v>
      </c>
      <c r="U36" s="840">
        <v>0</v>
      </c>
      <c r="V36"/>
    </row>
    <row r="37" spans="1:22">
      <c r="A37" s="1157"/>
      <c r="B37" s="1000" t="s">
        <v>1770</v>
      </c>
      <c r="C37" s="970" t="s">
        <v>1787</v>
      </c>
      <c r="D37" s="974" t="s">
        <v>1375</v>
      </c>
      <c r="E37" s="1085"/>
      <c r="F37" s="994"/>
      <c r="G37" s="994"/>
      <c r="H37" s="1052"/>
      <c r="I37" s="994"/>
      <c r="J37" s="994"/>
      <c r="K37" s="1052"/>
      <c r="L37" s="994"/>
      <c r="M37" s="994">
        <v>27045704</v>
      </c>
      <c r="N37" s="994">
        <v>69778655</v>
      </c>
      <c r="O37" s="994"/>
      <c r="P37" s="994"/>
      <c r="Q37" s="994"/>
      <c r="R37" s="994"/>
      <c r="S37" s="994"/>
      <c r="T37" s="994">
        <v>266842</v>
      </c>
      <c r="U37" s="1053">
        <v>97091201</v>
      </c>
      <c r="V37"/>
    </row>
    <row r="38" spans="1:22">
      <c r="A38" s="1157"/>
      <c r="B38" s="1001"/>
      <c r="C38" s="977"/>
      <c r="D38" s="971" t="s">
        <v>1377</v>
      </c>
      <c r="E38" s="842"/>
      <c r="F38" s="832"/>
      <c r="G38" s="832"/>
      <c r="I38" s="832"/>
      <c r="J38" s="832"/>
      <c r="L38" s="832"/>
      <c r="M38" s="832">
        <v>24849146</v>
      </c>
      <c r="N38" s="832">
        <v>71272822</v>
      </c>
      <c r="O38" s="832"/>
      <c r="P38" s="832"/>
      <c r="Q38" s="832"/>
      <c r="R38" s="832"/>
      <c r="S38" s="832"/>
      <c r="T38" s="832">
        <v>271346</v>
      </c>
      <c r="U38" s="840">
        <v>96393314</v>
      </c>
      <c r="V38"/>
    </row>
    <row r="39" spans="1:22">
      <c r="A39" s="1157"/>
      <c r="B39" s="1001"/>
      <c r="C39" s="977"/>
      <c r="D39" s="999" t="s">
        <v>1917</v>
      </c>
      <c r="E39" s="1016">
        <v>0</v>
      </c>
      <c r="F39" s="832">
        <v>0</v>
      </c>
      <c r="G39" s="832">
        <v>0</v>
      </c>
      <c r="H39" s="833">
        <v>0</v>
      </c>
      <c r="I39" s="832">
        <v>0</v>
      </c>
      <c r="J39" s="832">
        <v>0</v>
      </c>
      <c r="K39" s="833">
        <v>0</v>
      </c>
      <c r="L39" s="832">
        <v>0</v>
      </c>
      <c r="M39" s="832">
        <v>0</v>
      </c>
      <c r="N39" s="832">
        <v>0</v>
      </c>
      <c r="O39" s="832">
        <v>0</v>
      </c>
      <c r="P39" s="832">
        <v>0</v>
      </c>
      <c r="Q39" s="832">
        <v>0</v>
      </c>
      <c r="R39" s="832">
        <v>0</v>
      </c>
      <c r="S39" s="832">
        <v>0</v>
      </c>
      <c r="T39" s="832">
        <v>0</v>
      </c>
      <c r="U39" s="840">
        <v>0</v>
      </c>
      <c r="V39"/>
    </row>
    <row r="40" spans="1:22">
      <c r="A40" s="1157"/>
      <c r="B40" s="1000" t="s">
        <v>1769</v>
      </c>
      <c r="C40" s="970" t="s">
        <v>1788</v>
      </c>
      <c r="D40" s="974" t="s">
        <v>1375</v>
      </c>
      <c r="E40" s="1085"/>
      <c r="F40" s="994">
        <v>67703013</v>
      </c>
      <c r="G40" s="994"/>
      <c r="H40" s="1052"/>
      <c r="I40" s="994"/>
      <c r="J40" s="994"/>
      <c r="K40" s="1052">
        <v>55248918</v>
      </c>
      <c r="L40" s="994"/>
      <c r="M40" s="994"/>
      <c r="N40" s="994"/>
      <c r="O40" s="994"/>
      <c r="P40" s="994"/>
      <c r="Q40" s="994"/>
      <c r="R40" s="994"/>
      <c r="S40" s="994"/>
      <c r="T40" s="994"/>
      <c r="U40" s="1053">
        <v>122951931</v>
      </c>
      <c r="V40"/>
    </row>
    <row r="41" spans="1:22">
      <c r="A41" s="1157"/>
      <c r="B41" s="1001"/>
      <c r="C41" s="977"/>
      <c r="D41" s="971" t="s">
        <v>1377</v>
      </c>
      <c r="E41" s="842"/>
      <c r="F41" s="832">
        <v>67293446</v>
      </c>
      <c r="G41" s="832"/>
      <c r="I41" s="832"/>
      <c r="J41" s="832"/>
      <c r="K41" s="833">
        <v>54388655</v>
      </c>
      <c r="L41" s="832"/>
      <c r="M41" s="832"/>
      <c r="N41" s="832"/>
      <c r="O41" s="832"/>
      <c r="P41" s="832"/>
      <c r="Q41" s="832"/>
      <c r="R41" s="832"/>
      <c r="S41" s="832"/>
      <c r="T41" s="832"/>
      <c r="U41" s="840">
        <v>121682101</v>
      </c>
      <c r="V41"/>
    </row>
    <row r="42" spans="1:22">
      <c r="A42" s="1157"/>
      <c r="B42" s="1001"/>
      <c r="C42" s="980"/>
      <c r="D42" s="999" t="s">
        <v>1917</v>
      </c>
      <c r="E42" s="1084">
        <v>0</v>
      </c>
      <c r="F42" s="832">
        <v>0</v>
      </c>
      <c r="G42" s="832">
        <v>0</v>
      </c>
      <c r="H42" s="833">
        <v>0</v>
      </c>
      <c r="I42" s="832">
        <v>0</v>
      </c>
      <c r="J42" s="832">
        <v>0</v>
      </c>
      <c r="K42" s="833">
        <v>0</v>
      </c>
      <c r="L42" s="832">
        <v>0</v>
      </c>
      <c r="M42" s="832">
        <v>0</v>
      </c>
      <c r="N42" s="832">
        <v>0</v>
      </c>
      <c r="O42" s="832">
        <v>0</v>
      </c>
      <c r="P42" s="832">
        <v>0</v>
      </c>
      <c r="Q42" s="832">
        <v>0</v>
      </c>
      <c r="R42" s="832">
        <v>0</v>
      </c>
      <c r="S42" s="832">
        <v>0</v>
      </c>
      <c r="T42" s="832">
        <v>0</v>
      </c>
      <c r="U42" s="840">
        <v>0</v>
      </c>
      <c r="V42"/>
    </row>
    <row r="43" spans="1:22">
      <c r="A43" s="1157"/>
      <c r="B43" s="1000" t="s">
        <v>1768</v>
      </c>
      <c r="C43" s="970" t="s">
        <v>1789</v>
      </c>
      <c r="D43" s="970" t="s">
        <v>1375</v>
      </c>
      <c r="E43" s="1085"/>
      <c r="F43" s="1033"/>
      <c r="G43" s="1033"/>
      <c r="H43" s="1034"/>
      <c r="I43" s="1033"/>
      <c r="J43" s="1033"/>
      <c r="K43" s="1034">
        <v>42461226</v>
      </c>
      <c r="L43" s="1033"/>
      <c r="M43" s="1033"/>
      <c r="N43" s="1033"/>
      <c r="O43" s="1033"/>
      <c r="P43" s="1033"/>
      <c r="Q43" s="1033"/>
      <c r="R43" s="1033"/>
      <c r="S43" s="1033"/>
      <c r="T43" s="1033"/>
      <c r="U43" s="1035">
        <v>42461226</v>
      </c>
      <c r="V43"/>
    </row>
    <row r="44" spans="1:22">
      <c r="A44" s="1157"/>
      <c r="B44" s="1001"/>
      <c r="C44" s="977"/>
      <c r="D44" s="971" t="s">
        <v>1377</v>
      </c>
      <c r="E44" s="842"/>
      <c r="F44" s="832"/>
      <c r="G44" s="832"/>
      <c r="I44" s="832"/>
      <c r="J44" s="832"/>
      <c r="K44" s="833">
        <v>41030283</v>
      </c>
      <c r="L44" s="832"/>
      <c r="M44" s="832"/>
      <c r="N44" s="832"/>
      <c r="O44" s="832"/>
      <c r="P44" s="832"/>
      <c r="Q44" s="832"/>
      <c r="R44" s="832"/>
      <c r="S44" s="832"/>
      <c r="T44" s="832"/>
      <c r="U44" s="840">
        <v>41030283</v>
      </c>
      <c r="V44"/>
    </row>
    <row r="45" spans="1:22" ht="13.5" thickBot="1">
      <c r="A45" s="1157"/>
      <c r="B45" s="1001"/>
      <c r="C45" s="977"/>
      <c r="D45" s="971" t="s">
        <v>1917</v>
      </c>
      <c r="E45" s="1016">
        <v>0</v>
      </c>
      <c r="F45" s="832">
        <v>0</v>
      </c>
      <c r="G45" s="832">
        <v>0</v>
      </c>
      <c r="H45" s="833">
        <v>0</v>
      </c>
      <c r="I45" s="832">
        <v>0</v>
      </c>
      <c r="J45" s="832">
        <v>0</v>
      </c>
      <c r="K45" s="833">
        <v>0</v>
      </c>
      <c r="L45" s="832">
        <v>0</v>
      </c>
      <c r="M45" s="832">
        <v>0</v>
      </c>
      <c r="N45" s="832">
        <v>0</v>
      </c>
      <c r="O45" s="832">
        <v>0</v>
      </c>
      <c r="P45" s="832">
        <v>0</v>
      </c>
      <c r="Q45" s="832">
        <v>0</v>
      </c>
      <c r="R45" s="832">
        <v>0</v>
      </c>
      <c r="S45" s="832">
        <v>0</v>
      </c>
      <c r="T45" s="832">
        <v>0</v>
      </c>
      <c r="U45" s="840">
        <v>0</v>
      </c>
      <c r="V45"/>
    </row>
    <row r="46" spans="1:22">
      <c r="A46" s="1157"/>
      <c r="B46" s="1000" t="s">
        <v>1880</v>
      </c>
      <c r="C46" s="970" t="s">
        <v>1790</v>
      </c>
      <c r="D46" s="974" t="s">
        <v>1375</v>
      </c>
      <c r="E46" s="1085"/>
      <c r="F46" s="994"/>
      <c r="G46" s="994"/>
      <c r="H46" s="1052"/>
      <c r="I46" s="994"/>
      <c r="J46" s="994"/>
      <c r="K46" s="1052"/>
      <c r="L46" s="994"/>
      <c r="M46" s="994"/>
      <c r="N46" s="994"/>
      <c r="O46" s="994"/>
      <c r="P46" s="994"/>
      <c r="Q46" s="994"/>
      <c r="R46" s="994">
        <v>8785214</v>
      </c>
      <c r="S46" s="994"/>
      <c r="T46" s="994"/>
      <c r="U46" s="1053">
        <v>8785214</v>
      </c>
      <c r="V46"/>
    </row>
    <row r="47" spans="1:22">
      <c r="A47" s="1157"/>
      <c r="B47" s="1001"/>
      <c r="C47" s="977"/>
      <c r="D47" s="971" t="s">
        <v>1377</v>
      </c>
      <c r="E47" s="842"/>
      <c r="F47" s="832"/>
      <c r="G47" s="832"/>
      <c r="I47" s="832"/>
      <c r="J47" s="832"/>
      <c r="L47" s="832"/>
      <c r="M47" s="832"/>
      <c r="N47" s="832"/>
      <c r="O47" s="832"/>
      <c r="P47" s="832"/>
      <c r="Q47" s="832"/>
      <c r="R47" s="832">
        <v>8847818</v>
      </c>
      <c r="S47" s="832"/>
      <c r="T47" s="832"/>
      <c r="U47" s="840">
        <v>8847818</v>
      </c>
      <c r="V47"/>
    </row>
    <row r="48" spans="1:22" ht="13.5" thickBot="1">
      <c r="A48" s="1157"/>
      <c r="B48" s="1001"/>
      <c r="C48" s="977"/>
      <c r="D48" s="999" t="s">
        <v>1917</v>
      </c>
      <c r="E48" s="1016">
        <v>0</v>
      </c>
      <c r="F48" s="832">
        <v>0</v>
      </c>
      <c r="G48" s="832">
        <v>0</v>
      </c>
      <c r="H48" s="833">
        <v>0</v>
      </c>
      <c r="I48" s="832">
        <v>0</v>
      </c>
      <c r="J48" s="832">
        <v>0</v>
      </c>
      <c r="K48" s="833">
        <v>0</v>
      </c>
      <c r="L48" s="832">
        <v>0</v>
      </c>
      <c r="M48" s="832">
        <v>0</v>
      </c>
      <c r="N48" s="832">
        <v>0</v>
      </c>
      <c r="O48" s="832">
        <v>0</v>
      </c>
      <c r="P48" s="832">
        <v>0</v>
      </c>
      <c r="Q48" s="832">
        <v>0</v>
      </c>
      <c r="R48" s="832">
        <v>0</v>
      </c>
      <c r="S48" s="832">
        <v>0</v>
      </c>
      <c r="T48" s="832">
        <v>0</v>
      </c>
      <c r="U48" s="840">
        <v>0</v>
      </c>
      <c r="V48"/>
    </row>
    <row r="49" spans="1:22">
      <c r="A49" s="1157"/>
      <c r="B49" s="1000" t="s">
        <v>1881</v>
      </c>
      <c r="C49" s="970" t="s">
        <v>1791</v>
      </c>
      <c r="D49" s="974" t="s">
        <v>1375</v>
      </c>
      <c r="E49" s="1085">
        <v>6474304</v>
      </c>
      <c r="F49" s="1054">
        <v>4311907</v>
      </c>
      <c r="G49" s="994"/>
      <c r="H49" s="1056">
        <v>15873524</v>
      </c>
      <c r="I49" s="1057">
        <v>2530780</v>
      </c>
      <c r="J49" s="994"/>
      <c r="K49" s="1056">
        <v>19569935</v>
      </c>
      <c r="L49" s="994"/>
      <c r="M49" s="994"/>
      <c r="N49" s="994">
        <v>6677308</v>
      </c>
      <c r="O49" s="994"/>
      <c r="P49" s="994"/>
      <c r="Q49" s="994"/>
      <c r="R49" s="1054">
        <v>33397844</v>
      </c>
      <c r="S49" s="994">
        <v>14566463</v>
      </c>
      <c r="T49" s="994"/>
      <c r="U49" s="1053">
        <v>103402065</v>
      </c>
      <c r="V49"/>
    </row>
    <row r="50" spans="1:22">
      <c r="A50" s="1157"/>
      <c r="B50" s="1001"/>
      <c r="C50" s="977"/>
      <c r="D50" s="971" t="s">
        <v>1377</v>
      </c>
      <c r="E50" s="842">
        <v>5350709</v>
      </c>
      <c r="F50" s="1040">
        <v>4193496</v>
      </c>
      <c r="G50" s="832"/>
      <c r="H50" s="1042">
        <v>13318645</v>
      </c>
      <c r="I50" s="1044">
        <v>1530424</v>
      </c>
      <c r="J50" s="832"/>
      <c r="K50" s="1042">
        <v>19574986</v>
      </c>
      <c r="L50" s="832"/>
      <c r="M50" s="832"/>
      <c r="N50" s="832">
        <v>6237329</v>
      </c>
      <c r="O50" s="832"/>
      <c r="P50" s="832"/>
      <c r="Q50" s="832"/>
      <c r="R50" s="1040">
        <v>0</v>
      </c>
      <c r="S50" s="832">
        <v>9173535</v>
      </c>
      <c r="T50" s="832"/>
      <c r="U50" s="840">
        <v>59379124</v>
      </c>
      <c r="V50"/>
    </row>
    <row r="51" spans="1:22" ht="13.5" thickBot="1">
      <c r="A51" s="1157"/>
      <c r="B51" s="1001"/>
      <c r="C51" s="977"/>
      <c r="D51" s="999" t="s">
        <v>1917</v>
      </c>
      <c r="E51" s="1016">
        <v>0</v>
      </c>
      <c r="F51" s="1041">
        <v>0</v>
      </c>
      <c r="G51" s="832">
        <v>0</v>
      </c>
      <c r="H51" s="1043">
        <v>0</v>
      </c>
      <c r="I51" s="1045">
        <v>0</v>
      </c>
      <c r="J51" s="832">
        <v>0</v>
      </c>
      <c r="K51" s="1043">
        <v>0</v>
      </c>
      <c r="L51" s="832">
        <v>0</v>
      </c>
      <c r="M51" s="832">
        <v>0</v>
      </c>
      <c r="N51" s="832">
        <v>0</v>
      </c>
      <c r="O51" s="832">
        <v>0</v>
      </c>
      <c r="P51" s="832">
        <v>0</v>
      </c>
      <c r="Q51" s="832">
        <v>0</v>
      </c>
      <c r="R51" s="1041">
        <v>0</v>
      </c>
      <c r="S51" s="832">
        <v>0</v>
      </c>
      <c r="T51" s="832">
        <v>0</v>
      </c>
      <c r="U51" s="840">
        <v>0</v>
      </c>
      <c r="V51"/>
    </row>
    <row r="52" spans="1:22">
      <c r="A52" s="1157"/>
      <c r="B52" s="1000" t="s">
        <v>1808</v>
      </c>
      <c r="C52" s="970" t="s">
        <v>1792</v>
      </c>
      <c r="D52" s="974" t="s">
        <v>1375</v>
      </c>
      <c r="E52" s="1085">
        <v>92582934</v>
      </c>
      <c r="F52" s="994"/>
      <c r="G52" s="994"/>
      <c r="H52" s="1058">
        <v>4026000</v>
      </c>
      <c r="I52" s="994"/>
      <c r="J52" s="994"/>
      <c r="K52" s="1052">
        <v>30279055</v>
      </c>
      <c r="L52" s="994"/>
      <c r="M52" s="994"/>
      <c r="N52" s="994">
        <v>12721075</v>
      </c>
      <c r="O52" s="994"/>
      <c r="P52" s="994"/>
      <c r="Q52" s="994"/>
      <c r="R52" s="1055">
        <v>26379520</v>
      </c>
      <c r="S52" s="994">
        <v>1212500</v>
      </c>
      <c r="T52" s="994"/>
      <c r="U52" s="1053">
        <v>167201084</v>
      </c>
      <c r="V52"/>
    </row>
    <row r="53" spans="1:22">
      <c r="A53" s="1157"/>
      <c r="B53" s="1001"/>
      <c r="C53" s="977"/>
      <c r="D53" s="971" t="s">
        <v>1377</v>
      </c>
      <c r="E53" s="842">
        <v>74564820</v>
      </c>
      <c r="F53" s="832"/>
      <c r="G53" s="832"/>
      <c r="H53" s="1042">
        <v>334026</v>
      </c>
      <c r="I53" s="832"/>
      <c r="J53" s="832"/>
      <c r="K53" s="833">
        <v>30892521</v>
      </c>
      <c r="L53" s="832"/>
      <c r="M53" s="832"/>
      <c r="N53" s="832">
        <v>9633188</v>
      </c>
      <c r="O53" s="832"/>
      <c r="P53" s="832"/>
      <c r="Q53" s="832"/>
      <c r="R53" s="1040">
        <v>22479519</v>
      </c>
      <c r="S53" s="832">
        <v>1384809</v>
      </c>
      <c r="T53" s="832"/>
      <c r="U53" s="840">
        <v>139288883</v>
      </c>
      <c r="V53"/>
    </row>
    <row r="54" spans="1:22" ht="13.5" thickBot="1">
      <c r="A54" s="1157"/>
      <c r="B54" s="1001"/>
      <c r="C54" s="977"/>
      <c r="D54" s="999" t="s">
        <v>1917</v>
      </c>
      <c r="E54" s="1016">
        <v>0</v>
      </c>
      <c r="F54" s="832">
        <v>0</v>
      </c>
      <c r="G54" s="832">
        <v>0</v>
      </c>
      <c r="H54" s="1043">
        <v>0</v>
      </c>
      <c r="I54" s="832">
        <v>0</v>
      </c>
      <c r="J54" s="832">
        <v>0</v>
      </c>
      <c r="K54" s="833">
        <v>6.1500780667312028E-3</v>
      </c>
      <c r="L54" s="832">
        <v>0</v>
      </c>
      <c r="M54" s="832">
        <v>0</v>
      </c>
      <c r="N54" s="832">
        <v>0</v>
      </c>
      <c r="O54" s="832">
        <v>0</v>
      </c>
      <c r="P54" s="832">
        <v>0</v>
      </c>
      <c r="Q54" s="832">
        <v>0</v>
      </c>
      <c r="R54" s="1041">
        <v>0</v>
      </c>
      <c r="S54" s="832">
        <v>0</v>
      </c>
      <c r="T54" s="832">
        <v>0</v>
      </c>
      <c r="U54" s="840">
        <v>6.1500780667312028E-3</v>
      </c>
      <c r="V54"/>
    </row>
    <row r="55" spans="1:22">
      <c r="A55" s="1157"/>
      <c r="B55" s="994" t="s">
        <v>2045</v>
      </c>
      <c r="C55" s="970" t="s">
        <v>1821</v>
      </c>
      <c r="D55" s="974" t="s">
        <v>1375</v>
      </c>
      <c r="E55" s="1085">
        <v>15008499</v>
      </c>
      <c r="F55" s="994">
        <v>425000</v>
      </c>
      <c r="G55" s="994">
        <v>2349200</v>
      </c>
      <c r="H55" s="1058">
        <v>74336964</v>
      </c>
      <c r="I55" s="994">
        <v>62654358</v>
      </c>
      <c r="J55" s="994">
        <v>51037600</v>
      </c>
      <c r="K55" s="1056">
        <v>56865113</v>
      </c>
      <c r="L55" s="1057">
        <v>5715830</v>
      </c>
      <c r="M55" s="994">
        <v>34281857</v>
      </c>
      <c r="N55" s="1054">
        <v>0</v>
      </c>
      <c r="O55" s="1057">
        <v>17500351</v>
      </c>
      <c r="P55" s="994">
        <v>43698349</v>
      </c>
      <c r="Q55" s="994">
        <v>395600</v>
      </c>
      <c r="R55" s="1055">
        <v>1853029</v>
      </c>
      <c r="S55" s="994">
        <v>86139568</v>
      </c>
      <c r="T55" s="994">
        <v>70060905</v>
      </c>
      <c r="U55" s="1053">
        <v>522322223</v>
      </c>
      <c r="V55"/>
    </row>
    <row r="56" spans="1:22">
      <c r="A56" s="1157"/>
      <c r="B56" s="996"/>
      <c r="C56" s="977"/>
      <c r="D56" s="971" t="s">
        <v>1377</v>
      </c>
      <c r="E56" s="842">
        <v>11686773</v>
      </c>
      <c r="F56" s="832">
        <v>425000</v>
      </c>
      <c r="G56" s="832">
        <v>2278900</v>
      </c>
      <c r="H56" s="1042">
        <v>0</v>
      </c>
      <c r="I56" s="832">
        <v>46128413</v>
      </c>
      <c r="J56" s="832">
        <v>45114300</v>
      </c>
      <c r="K56" s="1042">
        <v>46715487.280000001</v>
      </c>
      <c r="L56" s="1044">
        <v>5037806</v>
      </c>
      <c r="M56" s="832">
        <v>34558357</v>
      </c>
      <c r="N56" s="1040">
        <v>204405</v>
      </c>
      <c r="O56" s="1044">
        <v>17495311</v>
      </c>
      <c r="P56" s="832">
        <v>7767023</v>
      </c>
      <c r="Q56" s="832">
        <v>369000</v>
      </c>
      <c r="R56" s="1040">
        <v>101853029</v>
      </c>
      <c r="S56" s="832">
        <v>98910016</v>
      </c>
      <c r="T56" s="832">
        <v>15668511</v>
      </c>
      <c r="U56" s="840">
        <v>434212331.27999997</v>
      </c>
      <c r="V56"/>
    </row>
    <row r="57" spans="1:22" ht="13.5" thickBot="1">
      <c r="A57" s="1158"/>
      <c r="B57" s="1002"/>
      <c r="C57" s="980"/>
      <c r="D57" s="999" t="s">
        <v>1917</v>
      </c>
      <c r="E57" s="1084">
        <v>0</v>
      </c>
      <c r="F57" s="832">
        <v>0</v>
      </c>
      <c r="G57" s="832">
        <v>0</v>
      </c>
      <c r="H57" s="1043">
        <v>0</v>
      </c>
      <c r="I57" s="832">
        <v>0</v>
      </c>
      <c r="J57" s="832">
        <v>0</v>
      </c>
      <c r="K57" s="1043">
        <v>0</v>
      </c>
      <c r="L57" s="1045">
        <v>0</v>
      </c>
      <c r="M57" s="832">
        <v>0</v>
      </c>
      <c r="N57" s="1041">
        <v>0</v>
      </c>
      <c r="O57" s="1045">
        <v>0</v>
      </c>
      <c r="P57" s="832">
        <v>0</v>
      </c>
      <c r="Q57" s="832">
        <v>0</v>
      </c>
      <c r="R57" s="1041">
        <v>0</v>
      </c>
      <c r="S57" s="832">
        <v>0</v>
      </c>
      <c r="T57" s="832">
        <v>0</v>
      </c>
      <c r="U57" s="840">
        <v>0</v>
      </c>
      <c r="V57"/>
    </row>
    <row r="58" spans="1:22">
      <c r="A58" s="841"/>
      <c r="B58" s="1003" t="s">
        <v>1605</v>
      </c>
      <c r="C58" s="1004" t="s">
        <v>1793</v>
      </c>
      <c r="D58" s="1005" t="s">
        <v>1375</v>
      </c>
      <c r="E58" s="841">
        <v>478405127</v>
      </c>
      <c r="F58" s="1003"/>
      <c r="G58" s="994"/>
      <c r="H58" s="1052">
        <v>267170295</v>
      </c>
      <c r="I58" s="994">
        <v>18531589</v>
      </c>
      <c r="J58" s="994">
        <v>142876449</v>
      </c>
      <c r="K58" s="1052">
        <v>31883156</v>
      </c>
      <c r="L58" s="994"/>
      <c r="M58" s="994">
        <v>22743751</v>
      </c>
      <c r="N58" s="994">
        <v>338872217</v>
      </c>
      <c r="O58" s="1055">
        <v>178832551</v>
      </c>
      <c r="P58" s="994">
        <v>32075311</v>
      </c>
      <c r="Q58" s="994">
        <v>34549400</v>
      </c>
      <c r="R58" s="994">
        <v>1369650414</v>
      </c>
      <c r="S58" s="994">
        <v>133804670</v>
      </c>
      <c r="T58" s="994">
        <v>123268383</v>
      </c>
      <c r="U58" s="1053">
        <v>3172663313</v>
      </c>
      <c r="V58"/>
    </row>
    <row r="59" spans="1:22">
      <c r="A59" s="1014"/>
      <c r="B59" s="996"/>
      <c r="C59" s="977"/>
      <c r="D59" s="971" t="s">
        <v>1377</v>
      </c>
      <c r="E59" s="842">
        <v>426617492</v>
      </c>
      <c r="F59" s="834"/>
      <c r="G59" s="832"/>
      <c r="H59" s="833">
        <v>278374212</v>
      </c>
      <c r="I59" s="832">
        <v>19998247</v>
      </c>
      <c r="J59" s="832">
        <v>136494000</v>
      </c>
      <c r="K59" s="833">
        <v>32571293</v>
      </c>
      <c r="L59" s="832"/>
      <c r="M59" s="832">
        <v>23298495</v>
      </c>
      <c r="N59" s="832">
        <v>358172112</v>
      </c>
      <c r="O59" s="1040">
        <v>185286342</v>
      </c>
      <c r="P59" s="832">
        <v>22657301</v>
      </c>
      <c r="Q59" s="832">
        <v>33701200</v>
      </c>
      <c r="R59" s="832">
        <v>1385825940</v>
      </c>
      <c r="S59" s="832">
        <v>137485887</v>
      </c>
      <c r="T59" s="832">
        <v>132991839</v>
      </c>
      <c r="U59" s="840">
        <v>3173474360</v>
      </c>
      <c r="V59"/>
    </row>
    <row r="60" spans="1:22" ht="13.5" thickBot="1">
      <c r="A60" s="1015"/>
      <c r="B60" s="996"/>
      <c r="C60" s="977"/>
      <c r="D60" s="999" t="s">
        <v>1917</v>
      </c>
      <c r="E60" s="1016">
        <v>0</v>
      </c>
      <c r="F60" s="834">
        <v>0</v>
      </c>
      <c r="G60" s="832">
        <v>0</v>
      </c>
      <c r="H60" s="833">
        <v>0</v>
      </c>
      <c r="I60" s="832">
        <v>0</v>
      </c>
      <c r="J60" s="832">
        <v>0</v>
      </c>
      <c r="K60" s="833">
        <v>0</v>
      </c>
      <c r="L60" s="832">
        <v>0</v>
      </c>
      <c r="M60" s="832">
        <v>0</v>
      </c>
      <c r="N60" s="832">
        <v>0</v>
      </c>
      <c r="O60" s="1041">
        <v>0</v>
      </c>
      <c r="P60" s="832">
        <v>0</v>
      </c>
      <c r="Q60" s="832">
        <v>0</v>
      </c>
      <c r="R60" s="832">
        <v>0</v>
      </c>
      <c r="S60" s="832">
        <v>0</v>
      </c>
      <c r="T60" s="832">
        <v>0</v>
      </c>
      <c r="U60" s="840">
        <v>0</v>
      </c>
      <c r="V60"/>
    </row>
    <row r="61" spans="1:22">
      <c r="A61" s="1014"/>
      <c r="B61" s="994" t="s">
        <v>428</v>
      </c>
      <c r="C61" s="970" t="s">
        <v>1819</v>
      </c>
      <c r="D61" s="1005" t="s">
        <v>1375</v>
      </c>
      <c r="E61" s="1085"/>
      <c r="F61" s="994">
        <v>122684483</v>
      </c>
      <c r="G61" s="994"/>
      <c r="H61" s="1052"/>
      <c r="I61" s="1054">
        <v>217874770</v>
      </c>
      <c r="J61" s="994"/>
      <c r="K61" s="1052">
        <v>155819549</v>
      </c>
      <c r="L61" s="994">
        <v>252077886</v>
      </c>
      <c r="M61" s="1054">
        <v>233429388</v>
      </c>
      <c r="N61" s="994"/>
      <c r="O61" s="994"/>
      <c r="P61" s="994">
        <v>165847018</v>
      </c>
      <c r="Q61" s="994">
        <v>193604944</v>
      </c>
      <c r="R61" s="994"/>
      <c r="S61" s="994"/>
      <c r="T61" s="994">
        <v>29867208</v>
      </c>
      <c r="U61" s="1053">
        <v>1371205246</v>
      </c>
      <c r="V61"/>
    </row>
    <row r="62" spans="1:22">
      <c r="A62" s="1014"/>
      <c r="B62" s="996"/>
      <c r="C62" s="977"/>
      <c r="D62" s="971" t="s">
        <v>1377</v>
      </c>
      <c r="E62" s="842"/>
      <c r="F62" s="834">
        <v>125318246</v>
      </c>
      <c r="G62" s="832"/>
      <c r="I62" s="1040">
        <v>211973606</v>
      </c>
      <c r="J62" s="832"/>
      <c r="K62" s="833">
        <v>243496790</v>
      </c>
      <c r="L62" s="832">
        <v>262425114</v>
      </c>
      <c r="M62" s="1040">
        <v>239103114.28</v>
      </c>
      <c r="N62" s="832"/>
      <c r="O62" s="832"/>
      <c r="P62" s="832">
        <v>140859239</v>
      </c>
      <c r="Q62" s="832">
        <v>180265942</v>
      </c>
      <c r="R62" s="832"/>
      <c r="S62" s="832"/>
      <c r="T62" s="832">
        <v>30762725</v>
      </c>
      <c r="U62" s="840">
        <v>1434204776.28</v>
      </c>
      <c r="V62"/>
    </row>
    <row r="63" spans="1:22" ht="13.5" thickBot="1">
      <c r="A63" s="1015"/>
      <c r="B63" s="996"/>
      <c r="C63" s="977"/>
      <c r="D63" s="999" t="s">
        <v>1917</v>
      </c>
      <c r="E63" s="842">
        <v>0</v>
      </c>
      <c r="F63" s="834">
        <v>0</v>
      </c>
      <c r="G63" s="832">
        <v>0</v>
      </c>
      <c r="H63" s="833">
        <v>0</v>
      </c>
      <c r="I63" s="1041">
        <v>0</v>
      </c>
      <c r="J63" s="832">
        <v>0</v>
      </c>
      <c r="K63" s="833">
        <v>0</v>
      </c>
      <c r="L63" s="832">
        <v>0</v>
      </c>
      <c r="M63" s="1041">
        <v>0</v>
      </c>
      <c r="N63" s="832">
        <v>0</v>
      </c>
      <c r="O63" s="832">
        <v>0</v>
      </c>
      <c r="P63" s="832">
        <v>0</v>
      </c>
      <c r="Q63" s="832">
        <v>0</v>
      </c>
      <c r="R63" s="832">
        <v>0</v>
      </c>
      <c r="S63" s="832">
        <v>0</v>
      </c>
      <c r="T63" s="832">
        <v>0</v>
      </c>
      <c r="U63" s="840">
        <v>0</v>
      </c>
      <c r="V63"/>
    </row>
    <row r="64" spans="1:22">
      <c r="A64" s="1014"/>
      <c r="B64" s="994" t="s">
        <v>1823</v>
      </c>
      <c r="C64" s="970" t="s">
        <v>1820</v>
      </c>
      <c r="D64" s="1005" t="s">
        <v>1375</v>
      </c>
      <c r="E64" s="1085">
        <v>9737324</v>
      </c>
      <c r="F64" s="994"/>
      <c r="G64" s="994"/>
      <c r="H64" s="1052"/>
      <c r="I64" s="994">
        <v>60968177</v>
      </c>
      <c r="J64" s="994"/>
      <c r="K64" s="1052"/>
      <c r="L64" s="994">
        <v>247149400</v>
      </c>
      <c r="M64" s="994"/>
      <c r="N64" s="994">
        <v>26426818</v>
      </c>
      <c r="O64" s="994"/>
      <c r="P64" s="994"/>
      <c r="Q64" s="1054">
        <v>10774718</v>
      </c>
      <c r="R64" s="994"/>
      <c r="S64" s="994">
        <v>30866913</v>
      </c>
      <c r="T64" s="994"/>
      <c r="U64" s="1053">
        <v>385923350</v>
      </c>
      <c r="V64"/>
    </row>
    <row r="65" spans="1:22">
      <c r="A65" s="1014"/>
      <c r="B65" s="996"/>
      <c r="C65" s="977"/>
      <c r="D65" s="971" t="s">
        <v>1377</v>
      </c>
      <c r="E65" s="842">
        <v>9151344.75</v>
      </c>
      <c r="F65" s="834"/>
      <c r="G65" s="832"/>
      <c r="I65" s="832">
        <v>70385704</v>
      </c>
      <c r="J65" s="832"/>
      <c r="L65" s="832">
        <v>244127369</v>
      </c>
      <c r="M65" s="832"/>
      <c r="N65" s="832">
        <v>27949980</v>
      </c>
      <c r="O65" s="832"/>
      <c r="P65" s="832"/>
      <c r="Q65" s="1040">
        <v>9532900</v>
      </c>
      <c r="R65" s="832"/>
      <c r="S65" s="832">
        <v>31159597</v>
      </c>
      <c r="T65" s="832"/>
      <c r="U65" s="840">
        <v>392306894.75</v>
      </c>
      <c r="V65"/>
    </row>
    <row r="66" spans="1:22" ht="13.5" thickBot="1">
      <c r="A66" s="1015"/>
      <c r="B66" s="1002"/>
      <c r="C66" s="980"/>
      <c r="D66" s="999" t="s">
        <v>1917</v>
      </c>
      <c r="E66" s="1051">
        <v>-8.8888169296121672E-2</v>
      </c>
      <c r="F66" s="981">
        <v>0</v>
      </c>
      <c r="G66" s="832">
        <v>0</v>
      </c>
      <c r="H66" s="833">
        <v>0</v>
      </c>
      <c r="I66" s="832">
        <v>0.18356173648614374</v>
      </c>
      <c r="J66" s="832">
        <v>0</v>
      </c>
      <c r="K66" s="833">
        <v>0</v>
      </c>
      <c r="L66" s="832">
        <v>0</v>
      </c>
      <c r="M66" s="832">
        <v>0</v>
      </c>
      <c r="N66" s="832">
        <v>0</v>
      </c>
      <c r="O66" s="832">
        <v>0</v>
      </c>
      <c r="P66" s="832">
        <v>0</v>
      </c>
      <c r="Q66" s="1041">
        <v>0</v>
      </c>
      <c r="R66" s="832">
        <v>0</v>
      </c>
      <c r="S66" s="832">
        <v>0</v>
      </c>
      <c r="T66" s="832">
        <v>0</v>
      </c>
      <c r="U66" s="840">
        <v>0.1167081532700847</v>
      </c>
      <c r="V66"/>
    </row>
    <row r="67" spans="1:22">
      <c r="A67" s="1156" t="s">
        <v>1926</v>
      </c>
      <c r="B67" s="1003" t="s">
        <v>1591</v>
      </c>
      <c r="C67" s="970" t="s">
        <v>1794</v>
      </c>
      <c r="D67" s="974" t="s">
        <v>1375</v>
      </c>
      <c r="E67" s="1085">
        <v>0</v>
      </c>
      <c r="F67" s="994">
        <v>0</v>
      </c>
      <c r="G67" s="994">
        <v>0</v>
      </c>
      <c r="H67" s="1052">
        <v>0</v>
      </c>
      <c r="I67" s="994">
        <v>0</v>
      </c>
      <c r="J67" s="994">
        <v>0</v>
      </c>
      <c r="K67" s="1052">
        <v>0</v>
      </c>
      <c r="L67" s="994">
        <v>0</v>
      </c>
      <c r="M67" s="994">
        <v>0</v>
      </c>
      <c r="N67" s="994">
        <v>0</v>
      </c>
      <c r="O67" s="994">
        <v>0</v>
      </c>
      <c r="P67" s="994">
        <v>0</v>
      </c>
      <c r="Q67" s="994">
        <v>0</v>
      </c>
      <c r="R67" s="994">
        <v>0</v>
      </c>
      <c r="S67" s="994">
        <v>0</v>
      </c>
      <c r="T67" s="994">
        <v>0</v>
      </c>
      <c r="U67" s="1053">
        <v>0</v>
      </c>
      <c r="V67"/>
    </row>
    <row r="68" spans="1:22">
      <c r="A68" s="1159"/>
      <c r="B68" s="996"/>
      <c r="C68" s="977"/>
      <c r="D68" s="971" t="s">
        <v>1377</v>
      </c>
      <c r="E68" s="842">
        <v>0</v>
      </c>
      <c r="F68" s="832">
        <v>0</v>
      </c>
      <c r="G68" s="832">
        <v>0</v>
      </c>
      <c r="H68" s="833">
        <v>0</v>
      </c>
      <c r="I68" s="832">
        <v>0</v>
      </c>
      <c r="J68" s="832">
        <v>0</v>
      </c>
      <c r="K68" s="833">
        <v>0</v>
      </c>
      <c r="L68" s="832">
        <v>0</v>
      </c>
      <c r="M68" s="832">
        <v>0</v>
      </c>
      <c r="N68" s="832">
        <v>0</v>
      </c>
      <c r="O68" s="832">
        <v>0</v>
      </c>
      <c r="P68" s="832">
        <v>0</v>
      </c>
      <c r="Q68" s="832">
        <v>0</v>
      </c>
      <c r="R68" s="832">
        <v>0</v>
      </c>
      <c r="S68" s="832">
        <v>0</v>
      </c>
      <c r="T68" s="832">
        <v>0</v>
      </c>
      <c r="U68" s="840">
        <v>0</v>
      </c>
      <c r="V68"/>
    </row>
    <row r="69" spans="1:22" ht="13.5" thickBot="1">
      <c r="A69" s="1159"/>
      <c r="B69" s="996"/>
      <c r="C69" s="977"/>
      <c r="D69" s="999" t="s">
        <v>1917</v>
      </c>
      <c r="E69" s="842">
        <v>0</v>
      </c>
      <c r="F69" s="832">
        <v>0</v>
      </c>
      <c r="G69" s="832">
        <v>0</v>
      </c>
      <c r="H69" s="833">
        <v>0</v>
      </c>
      <c r="I69" s="832">
        <v>0</v>
      </c>
      <c r="J69" s="832">
        <v>0</v>
      </c>
      <c r="K69" s="833">
        <v>0</v>
      </c>
      <c r="L69" s="832">
        <v>0</v>
      </c>
      <c r="M69" s="832">
        <v>0</v>
      </c>
      <c r="N69" s="832">
        <v>0</v>
      </c>
      <c r="O69" s="832">
        <v>0</v>
      </c>
      <c r="P69" s="832">
        <v>0</v>
      </c>
      <c r="Q69" s="832">
        <v>0</v>
      </c>
      <c r="R69" s="832">
        <v>0</v>
      </c>
      <c r="S69" s="832">
        <v>0</v>
      </c>
      <c r="T69" s="832">
        <v>0</v>
      </c>
      <c r="U69" s="840">
        <v>0</v>
      </c>
      <c r="V69"/>
    </row>
    <row r="70" spans="1:22">
      <c r="A70" s="1159"/>
      <c r="B70" s="1000" t="s">
        <v>957</v>
      </c>
      <c r="C70" s="970" t="s">
        <v>1795</v>
      </c>
      <c r="D70" s="974" t="s">
        <v>1375</v>
      </c>
      <c r="E70" s="1085">
        <v>3004232</v>
      </c>
      <c r="F70" s="994">
        <v>10109002</v>
      </c>
      <c r="G70" s="1059">
        <v>874300</v>
      </c>
      <c r="H70" s="1056">
        <v>8417907</v>
      </c>
      <c r="I70" s="994">
        <v>25326092</v>
      </c>
      <c r="J70" s="994">
        <v>5759800</v>
      </c>
      <c r="K70" s="1052">
        <v>28193906</v>
      </c>
      <c r="L70" s="994">
        <v>14868718</v>
      </c>
      <c r="M70" s="1054">
        <v>7819573</v>
      </c>
      <c r="N70" s="994">
        <v>53368030</v>
      </c>
      <c r="O70" s="994">
        <v>8814724</v>
      </c>
      <c r="P70" s="994">
        <v>5323977</v>
      </c>
      <c r="Q70" s="994">
        <v>11817700</v>
      </c>
      <c r="R70" s="994">
        <v>58687629</v>
      </c>
      <c r="S70" s="994">
        <v>4014408</v>
      </c>
      <c r="T70" s="994">
        <v>4015992</v>
      </c>
      <c r="U70" s="1053">
        <v>250415990</v>
      </c>
      <c r="V70"/>
    </row>
    <row r="71" spans="1:22">
      <c r="A71" s="1159"/>
      <c r="B71" s="1001"/>
      <c r="C71" s="977"/>
      <c r="D71" s="971" t="s">
        <v>1377</v>
      </c>
      <c r="E71" s="842">
        <v>3023541</v>
      </c>
      <c r="F71" s="832">
        <v>9959112</v>
      </c>
      <c r="G71" s="1046">
        <v>880600</v>
      </c>
      <c r="H71" s="1042">
        <v>6619141</v>
      </c>
      <c r="I71" s="832">
        <v>24379569</v>
      </c>
      <c r="J71" s="832">
        <v>5336200</v>
      </c>
      <c r="K71" s="833">
        <v>30180351</v>
      </c>
      <c r="L71" s="832">
        <v>15172097</v>
      </c>
      <c r="M71" s="1040">
        <v>7153532.54</v>
      </c>
      <c r="N71" s="832">
        <v>41451967</v>
      </c>
      <c r="O71" s="832">
        <v>9513037</v>
      </c>
      <c r="P71" s="832">
        <v>4150228</v>
      </c>
      <c r="Q71" s="832">
        <v>10924000</v>
      </c>
      <c r="R71" s="832">
        <v>42183716</v>
      </c>
      <c r="S71" s="832">
        <v>3947161</v>
      </c>
      <c r="T71" s="832">
        <v>4310131</v>
      </c>
      <c r="U71" s="840">
        <v>219184383.54000002</v>
      </c>
      <c r="V71"/>
    </row>
    <row r="72" spans="1:22" ht="13.5" thickBot="1">
      <c r="A72" s="1159"/>
      <c r="B72" s="1001"/>
      <c r="C72" s="977"/>
      <c r="D72" s="999" t="s">
        <v>1917</v>
      </c>
      <c r="E72" s="842">
        <v>0</v>
      </c>
      <c r="F72" s="832">
        <v>0</v>
      </c>
      <c r="G72" s="1047">
        <v>0</v>
      </c>
      <c r="H72" s="1043">
        <v>0</v>
      </c>
      <c r="I72" s="832">
        <v>0</v>
      </c>
      <c r="J72" s="832">
        <v>0</v>
      </c>
      <c r="K72" s="833">
        <v>0</v>
      </c>
      <c r="L72" s="832">
        <v>0</v>
      </c>
      <c r="M72" s="1041">
        <v>0</v>
      </c>
      <c r="N72" s="832">
        <v>0</v>
      </c>
      <c r="O72" s="832">
        <v>0</v>
      </c>
      <c r="P72" s="832">
        <v>0</v>
      </c>
      <c r="Q72" s="832">
        <v>0</v>
      </c>
      <c r="R72" s="832">
        <v>0</v>
      </c>
      <c r="S72" s="832">
        <v>0</v>
      </c>
      <c r="T72" s="832">
        <v>0</v>
      </c>
      <c r="U72" s="840">
        <v>0</v>
      </c>
      <c r="V72"/>
    </row>
    <row r="73" spans="1:22">
      <c r="A73" s="1159"/>
      <c r="B73" s="1000" t="s">
        <v>956</v>
      </c>
      <c r="C73" s="970" t="s">
        <v>1796</v>
      </c>
      <c r="D73" s="974" t="s">
        <v>1375</v>
      </c>
      <c r="E73" s="1085">
        <v>6048172</v>
      </c>
      <c r="F73" s="994"/>
      <c r="G73" s="1055">
        <v>9459500</v>
      </c>
      <c r="H73" s="1052">
        <v>2089918</v>
      </c>
      <c r="I73" s="994">
        <v>10676351</v>
      </c>
      <c r="J73" s="994">
        <v>23066299</v>
      </c>
      <c r="K73" s="1052">
        <v>20471416</v>
      </c>
      <c r="L73" s="994"/>
      <c r="M73" s="1055">
        <v>2139629</v>
      </c>
      <c r="N73" s="994">
        <v>36751864</v>
      </c>
      <c r="O73" s="994">
        <v>0</v>
      </c>
      <c r="P73" s="994">
        <v>15254420</v>
      </c>
      <c r="Q73" s="994"/>
      <c r="R73" s="994">
        <v>10525074</v>
      </c>
      <c r="S73" s="994">
        <v>15765557</v>
      </c>
      <c r="T73" s="994">
        <v>1413360</v>
      </c>
      <c r="U73" s="1053">
        <v>153661560</v>
      </c>
      <c r="V73"/>
    </row>
    <row r="74" spans="1:22">
      <c r="A74" s="1159"/>
      <c r="B74" s="1001"/>
      <c r="C74" s="977"/>
      <c r="D74" s="971" t="s">
        <v>1377</v>
      </c>
      <c r="E74" s="842">
        <v>5770309</v>
      </c>
      <c r="F74" s="832"/>
      <c r="G74" s="1040">
        <v>9542300</v>
      </c>
      <c r="H74" s="833">
        <v>1907274</v>
      </c>
      <c r="I74" s="832">
        <v>13607777</v>
      </c>
      <c r="J74" s="832">
        <v>15281500</v>
      </c>
      <c r="K74" s="833">
        <v>14631397</v>
      </c>
      <c r="L74" s="832"/>
      <c r="M74" s="1040">
        <v>2437157</v>
      </c>
      <c r="N74" s="832">
        <v>28174586</v>
      </c>
      <c r="O74" s="832">
        <v>0</v>
      </c>
      <c r="P74" s="832">
        <v>13679973</v>
      </c>
      <c r="Q74" s="832"/>
      <c r="R74" s="832">
        <v>10675857</v>
      </c>
      <c r="S74" s="832">
        <v>15765557</v>
      </c>
      <c r="T74" s="832">
        <v>886664</v>
      </c>
      <c r="U74" s="840">
        <v>132360351</v>
      </c>
      <c r="V74"/>
    </row>
    <row r="75" spans="1:22" ht="13.5" thickBot="1">
      <c r="A75" s="1159"/>
      <c r="B75" s="1001"/>
      <c r="C75" s="977"/>
      <c r="D75" s="999" t="s">
        <v>1917</v>
      </c>
      <c r="E75" s="842">
        <v>0</v>
      </c>
      <c r="F75" s="832">
        <v>0</v>
      </c>
      <c r="G75" s="1041">
        <v>0</v>
      </c>
      <c r="H75" s="833">
        <v>0</v>
      </c>
      <c r="I75" s="832">
        <v>0</v>
      </c>
      <c r="J75" s="832">
        <v>0</v>
      </c>
      <c r="K75" s="833">
        <v>0</v>
      </c>
      <c r="L75" s="832">
        <v>0</v>
      </c>
      <c r="M75" s="1041">
        <v>0</v>
      </c>
      <c r="N75" s="832">
        <v>0</v>
      </c>
      <c r="O75" s="832">
        <v>0</v>
      </c>
      <c r="P75" s="832">
        <v>0</v>
      </c>
      <c r="Q75" s="832">
        <v>0</v>
      </c>
      <c r="R75" s="832">
        <v>0</v>
      </c>
      <c r="S75" s="832">
        <v>0</v>
      </c>
      <c r="T75" s="832">
        <v>0</v>
      </c>
      <c r="U75" s="840">
        <v>0</v>
      </c>
      <c r="V75"/>
    </row>
    <row r="76" spans="1:22">
      <c r="A76" s="1159"/>
      <c r="B76" s="1000" t="s">
        <v>1592</v>
      </c>
      <c r="C76" s="970" t="s">
        <v>1797</v>
      </c>
      <c r="D76" s="974" t="s">
        <v>1375</v>
      </c>
      <c r="E76" s="1085">
        <v>254505</v>
      </c>
      <c r="F76" s="994">
        <v>0</v>
      </c>
      <c r="G76" s="994">
        <v>195900</v>
      </c>
      <c r="H76" s="1056">
        <v>187900</v>
      </c>
      <c r="I76" s="994">
        <v>497900</v>
      </c>
      <c r="J76" s="994">
        <v>230600</v>
      </c>
      <c r="K76" s="1052">
        <v>0</v>
      </c>
      <c r="L76" s="994">
        <v>195900</v>
      </c>
      <c r="M76" s="994">
        <v>187900</v>
      </c>
      <c r="N76" s="994">
        <v>192900</v>
      </c>
      <c r="O76" s="994">
        <v>0</v>
      </c>
      <c r="P76" s="1054">
        <v>200257</v>
      </c>
      <c r="Q76" s="994">
        <v>0</v>
      </c>
      <c r="R76" s="994">
        <v>0</v>
      </c>
      <c r="S76" s="994">
        <v>3000000</v>
      </c>
      <c r="T76" s="994">
        <v>0</v>
      </c>
      <c r="U76" s="1053">
        <v>5143762</v>
      </c>
      <c r="V76"/>
    </row>
    <row r="77" spans="1:22">
      <c r="A77" s="1159"/>
      <c r="B77" s="1001"/>
      <c r="C77" s="977"/>
      <c r="D77" s="971" t="s">
        <v>1377</v>
      </c>
      <c r="E77" s="842">
        <v>276802</v>
      </c>
      <c r="F77" s="834">
        <v>0</v>
      </c>
      <c r="G77" s="834">
        <v>193500</v>
      </c>
      <c r="H77" s="1042">
        <v>193550</v>
      </c>
      <c r="I77" s="834">
        <v>603550</v>
      </c>
      <c r="J77" s="834">
        <v>193550</v>
      </c>
      <c r="K77" s="835">
        <v>0</v>
      </c>
      <c r="L77" s="834">
        <v>195900</v>
      </c>
      <c r="M77" s="834">
        <v>0</v>
      </c>
      <c r="N77" s="834">
        <v>187571</v>
      </c>
      <c r="O77" s="834">
        <v>0</v>
      </c>
      <c r="P77" s="1040">
        <v>204235</v>
      </c>
      <c r="Q77" s="834">
        <v>0</v>
      </c>
      <c r="R77" s="834">
        <v>0</v>
      </c>
      <c r="S77" s="834">
        <v>0</v>
      </c>
      <c r="T77" s="834">
        <v>0</v>
      </c>
      <c r="U77" s="840">
        <v>2048658</v>
      </c>
      <c r="V77"/>
    </row>
    <row r="78" spans="1:22" ht="13.5" thickBot="1">
      <c r="A78" s="1159"/>
      <c r="B78" s="1001"/>
      <c r="C78" s="977"/>
      <c r="D78" s="999" t="s">
        <v>1917</v>
      </c>
      <c r="E78" s="842">
        <v>0</v>
      </c>
      <c r="F78" s="832">
        <v>0</v>
      </c>
      <c r="G78" s="832">
        <v>0</v>
      </c>
      <c r="H78" s="1043">
        <v>0</v>
      </c>
      <c r="I78" s="832">
        <v>0</v>
      </c>
      <c r="J78" s="832">
        <v>0</v>
      </c>
      <c r="K78" s="833">
        <v>0</v>
      </c>
      <c r="L78" s="832">
        <v>0</v>
      </c>
      <c r="M78" s="832">
        <v>0</v>
      </c>
      <c r="N78" s="832">
        <v>0</v>
      </c>
      <c r="O78" s="832">
        <v>0</v>
      </c>
      <c r="P78" s="1041">
        <v>0</v>
      </c>
      <c r="Q78" s="832">
        <v>0</v>
      </c>
      <c r="R78" s="832">
        <v>0</v>
      </c>
      <c r="S78" s="832">
        <v>0</v>
      </c>
      <c r="T78" s="832">
        <v>0</v>
      </c>
      <c r="U78" s="840">
        <v>0</v>
      </c>
      <c r="V78"/>
    </row>
    <row r="79" spans="1:22">
      <c r="A79" s="1159"/>
      <c r="B79" s="1000" t="s">
        <v>1593</v>
      </c>
      <c r="C79" s="970" t="s">
        <v>1798</v>
      </c>
      <c r="D79" s="974" t="s">
        <v>1375</v>
      </c>
      <c r="E79" s="1085">
        <v>114287</v>
      </c>
      <c r="F79" s="994">
        <v>0</v>
      </c>
      <c r="G79" s="994">
        <v>0</v>
      </c>
      <c r="H79" s="1052">
        <v>0</v>
      </c>
      <c r="I79" s="1054">
        <v>158912</v>
      </c>
      <c r="J79" s="994">
        <v>0</v>
      </c>
      <c r="K79" s="1052">
        <v>3551659</v>
      </c>
      <c r="L79" s="994">
        <v>1374933</v>
      </c>
      <c r="M79" s="1054">
        <v>1137636</v>
      </c>
      <c r="N79" s="994">
        <v>0</v>
      </c>
      <c r="O79" s="994">
        <v>0</v>
      </c>
      <c r="P79" s="994">
        <v>0</v>
      </c>
      <c r="Q79" s="994">
        <v>1537400</v>
      </c>
      <c r="R79" s="994">
        <v>0</v>
      </c>
      <c r="S79" s="994">
        <v>0</v>
      </c>
      <c r="T79" s="994">
        <v>1534000</v>
      </c>
      <c r="U79" s="1053">
        <v>9408827</v>
      </c>
      <c r="V79"/>
    </row>
    <row r="80" spans="1:22">
      <c r="A80" s="1159"/>
      <c r="B80" s="1001"/>
      <c r="C80" s="977"/>
      <c r="D80" s="971" t="s">
        <v>1377</v>
      </c>
      <c r="E80" s="842">
        <v>117329</v>
      </c>
      <c r="F80" s="832">
        <v>0</v>
      </c>
      <c r="G80" s="832">
        <v>0</v>
      </c>
      <c r="H80" s="833">
        <v>0</v>
      </c>
      <c r="I80" s="1040">
        <v>0</v>
      </c>
      <c r="J80" s="832">
        <v>0</v>
      </c>
      <c r="K80" s="833">
        <v>3817183</v>
      </c>
      <c r="L80" s="832">
        <v>1179264</v>
      </c>
      <c r="M80" s="1040">
        <v>1167548</v>
      </c>
      <c r="N80" s="832">
        <v>0</v>
      </c>
      <c r="O80" s="832">
        <v>0</v>
      </c>
      <c r="P80" s="832">
        <v>0</v>
      </c>
      <c r="Q80" s="832">
        <v>1359400</v>
      </c>
      <c r="R80" s="832">
        <v>0</v>
      </c>
      <c r="S80" s="832">
        <v>0</v>
      </c>
      <c r="T80" s="832">
        <v>1166429</v>
      </c>
      <c r="U80" s="840">
        <v>8807153</v>
      </c>
      <c r="V80"/>
    </row>
    <row r="81" spans="1:22" ht="13.5" thickBot="1">
      <c r="A81" s="1159"/>
      <c r="B81" s="1001"/>
      <c r="C81" s="977"/>
      <c r="D81" s="999" t="s">
        <v>1917</v>
      </c>
      <c r="E81" s="842">
        <v>0</v>
      </c>
      <c r="F81" s="832">
        <v>0</v>
      </c>
      <c r="G81" s="832">
        <v>0</v>
      </c>
      <c r="H81" s="833">
        <v>0</v>
      </c>
      <c r="I81" s="1041">
        <v>0</v>
      </c>
      <c r="J81" s="832">
        <v>0</v>
      </c>
      <c r="K81" s="833">
        <v>0</v>
      </c>
      <c r="L81" s="832">
        <v>0</v>
      </c>
      <c r="M81" s="1041">
        <v>0</v>
      </c>
      <c r="N81" s="832">
        <v>0</v>
      </c>
      <c r="O81" s="832">
        <v>0</v>
      </c>
      <c r="P81" s="832">
        <v>0</v>
      </c>
      <c r="Q81" s="832">
        <v>0</v>
      </c>
      <c r="R81" s="832">
        <v>0</v>
      </c>
      <c r="S81" s="832">
        <v>0</v>
      </c>
      <c r="T81" s="832">
        <v>0</v>
      </c>
      <c r="U81" s="840">
        <v>0</v>
      </c>
      <c r="V81"/>
    </row>
    <row r="82" spans="1:22">
      <c r="A82" s="1159"/>
      <c r="B82" s="994" t="s">
        <v>1818</v>
      </c>
      <c r="C82" s="970" t="s">
        <v>1799</v>
      </c>
      <c r="D82" s="974" t="s">
        <v>1375</v>
      </c>
      <c r="E82" s="1085">
        <v>17631285</v>
      </c>
      <c r="F82" s="994">
        <v>0</v>
      </c>
      <c r="G82" s="994">
        <v>0</v>
      </c>
      <c r="H82" s="1056">
        <v>33991099</v>
      </c>
      <c r="I82" s="1060">
        <v>38870280</v>
      </c>
      <c r="J82" s="994">
        <v>0</v>
      </c>
      <c r="K82" s="1056">
        <v>4185379</v>
      </c>
      <c r="L82" s="994">
        <v>56051065</v>
      </c>
      <c r="M82" s="994">
        <v>0</v>
      </c>
      <c r="N82" s="994">
        <v>1769175</v>
      </c>
      <c r="O82" s="994">
        <v>0</v>
      </c>
      <c r="P82" s="994">
        <v>4112500</v>
      </c>
      <c r="Q82" s="994">
        <v>0</v>
      </c>
      <c r="R82" s="994">
        <v>51457048</v>
      </c>
      <c r="S82" s="994">
        <v>0</v>
      </c>
      <c r="T82" s="994">
        <v>0</v>
      </c>
      <c r="U82" s="1053">
        <v>208067831</v>
      </c>
      <c r="V82"/>
    </row>
    <row r="83" spans="1:22">
      <c r="A83" s="1159"/>
      <c r="B83" s="996"/>
      <c r="C83" s="977"/>
      <c r="D83" s="971" t="s">
        <v>1377</v>
      </c>
      <c r="E83" s="842">
        <v>14391460</v>
      </c>
      <c r="F83" s="832">
        <v>0</v>
      </c>
      <c r="G83" s="832">
        <v>0</v>
      </c>
      <c r="H83" s="1042">
        <v>30316846</v>
      </c>
      <c r="I83" s="1044">
        <v>37688951</v>
      </c>
      <c r="J83" s="832">
        <v>0</v>
      </c>
      <c r="K83" s="1042">
        <v>3812462</v>
      </c>
      <c r="L83" s="832">
        <v>50445959</v>
      </c>
      <c r="M83" s="832">
        <v>0</v>
      </c>
      <c r="N83" s="832">
        <v>1830635</v>
      </c>
      <c r="O83" s="832">
        <v>0</v>
      </c>
      <c r="P83" s="832">
        <v>4112500</v>
      </c>
      <c r="Q83" s="832">
        <v>0</v>
      </c>
      <c r="R83" s="832">
        <v>51457048</v>
      </c>
      <c r="S83" s="832">
        <v>0</v>
      </c>
      <c r="T83" s="832">
        <v>0</v>
      </c>
      <c r="U83" s="840">
        <v>194055861</v>
      </c>
      <c r="V83"/>
    </row>
    <row r="84" spans="1:22" ht="13.5" thickBot="1">
      <c r="A84" s="1159"/>
      <c r="B84" s="996"/>
      <c r="C84" s="977"/>
      <c r="D84" s="999" t="s">
        <v>1917</v>
      </c>
      <c r="E84" s="842">
        <v>0</v>
      </c>
      <c r="F84" s="832">
        <v>0</v>
      </c>
      <c r="G84" s="832">
        <v>0</v>
      </c>
      <c r="H84" s="1043">
        <v>0</v>
      </c>
      <c r="I84" s="1045">
        <v>0</v>
      </c>
      <c r="J84" s="832">
        <v>0</v>
      </c>
      <c r="K84" s="1043">
        <v>0</v>
      </c>
      <c r="L84" s="832">
        <v>0</v>
      </c>
      <c r="M84" s="832">
        <v>0</v>
      </c>
      <c r="N84" s="832">
        <v>0</v>
      </c>
      <c r="O84" s="832">
        <v>0</v>
      </c>
      <c r="P84" s="832">
        <v>0</v>
      </c>
      <c r="Q84" s="832">
        <v>0</v>
      </c>
      <c r="R84" s="832">
        <v>0</v>
      </c>
      <c r="S84" s="832">
        <v>0</v>
      </c>
      <c r="T84" s="832">
        <v>0</v>
      </c>
      <c r="U84" s="840">
        <v>0</v>
      </c>
      <c r="V84"/>
    </row>
    <row r="85" spans="1:22">
      <c r="A85" s="1159"/>
      <c r="B85" s="994" t="s">
        <v>1345</v>
      </c>
      <c r="C85" s="970" t="s">
        <v>1800</v>
      </c>
      <c r="D85" s="974" t="s">
        <v>1375</v>
      </c>
      <c r="E85" s="1085">
        <v>0</v>
      </c>
      <c r="F85" s="994">
        <v>0</v>
      </c>
      <c r="G85" s="994">
        <v>0</v>
      </c>
      <c r="H85" s="1052">
        <v>0</v>
      </c>
      <c r="I85" s="994">
        <v>0</v>
      </c>
      <c r="J85" s="994">
        <v>0</v>
      </c>
      <c r="K85" s="1052">
        <v>0</v>
      </c>
      <c r="L85" s="994">
        <v>0</v>
      </c>
      <c r="M85" s="994">
        <v>0</v>
      </c>
      <c r="N85" s="994">
        <v>0</v>
      </c>
      <c r="O85" s="994">
        <v>0</v>
      </c>
      <c r="P85" s="994">
        <v>0</v>
      </c>
      <c r="Q85" s="994">
        <v>0</v>
      </c>
      <c r="R85" s="994">
        <v>0</v>
      </c>
      <c r="S85" s="994">
        <v>0</v>
      </c>
      <c r="T85" s="994">
        <v>0</v>
      </c>
      <c r="U85" s="1053">
        <v>0</v>
      </c>
      <c r="V85"/>
    </row>
    <row r="86" spans="1:22">
      <c r="A86" s="1159"/>
      <c r="B86" s="996"/>
      <c r="C86" s="977"/>
      <c r="D86" s="971" t="s">
        <v>1377</v>
      </c>
      <c r="E86" s="842">
        <v>0</v>
      </c>
      <c r="F86" s="832">
        <v>0</v>
      </c>
      <c r="G86" s="832">
        <v>0</v>
      </c>
      <c r="H86" s="833">
        <v>0</v>
      </c>
      <c r="I86" s="832">
        <v>0</v>
      </c>
      <c r="J86" s="832">
        <v>0</v>
      </c>
      <c r="K86" s="833">
        <v>0</v>
      </c>
      <c r="L86" s="832">
        <v>0</v>
      </c>
      <c r="M86" s="832">
        <v>0</v>
      </c>
      <c r="N86" s="832">
        <v>0</v>
      </c>
      <c r="O86" s="832">
        <v>0</v>
      </c>
      <c r="P86" s="832">
        <v>0</v>
      </c>
      <c r="Q86" s="832">
        <v>0</v>
      </c>
      <c r="R86" s="832">
        <v>0</v>
      </c>
      <c r="S86" s="832">
        <v>0</v>
      </c>
      <c r="T86" s="832">
        <v>0</v>
      </c>
      <c r="U86" s="840">
        <v>0</v>
      </c>
      <c r="V86"/>
    </row>
    <row r="87" spans="1:22" ht="13.5" thickBot="1">
      <c r="A87" s="1159"/>
      <c r="B87" s="996"/>
      <c r="C87" s="977"/>
      <c r="D87" s="999" t="s">
        <v>1917</v>
      </c>
      <c r="E87" s="842">
        <v>0</v>
      </c>
      <c r="F87" s="832">
        <v>0</v>
      </c>
      <c r="G87" s="832">
        <v>0</v>
      </c>
      <c r="H87" s="833">
        <v>0</v>
      </c>
      <c r="I87" s="832">
        <v>0</v>
      </c>
      <c r="J87" s="832">
        <v>0</v>
      </c>
      <c r="K87" s="833">
        <v>0</v>
      </c>
      <c r="L87" s="832">
        <v>0</v>
      </c>
      <c r="M87" s="832">
        <v>0</v>
      </c>
      <c r="N87" s="832">
        <v>0</v>
      </c>
      <c r="O87" s="832">
        <v>0</v>
      </c>
      <c r="P87" s="832">
        <v>0</v>
      </c>
      <c r="Q87" s="832">
        <v>0</v>
      </c>
      <c r="R87" s="832">
        <v>0</v>
      </c>
      <c r="S87" s="832">
        <v>0</v>
      </c>
      <c r="T87" s="832">
        <v>0</v>
      </c>
      <c r="U87" s="840">
        <v>0</v>
      </c>
      <c r="V87"/>
    </row>
    <row r="88" spans="1:22">
      <c r="A88" s="1159"/>
      <c r="B88" s="1000" t="s">
        <v>1594</v>
      </c>
      <c r="C88" s="970" t="s">
        <v>1801</v>
      </c>
      <c r="D88" s="974" t="s">
        <v>1375</v>
      </c>
      <c r="E88" s="1085">
        <v>15000</v>
      </c>
      <c r="F88" s="994">
        <v>327100</v>
      </c>
      <c r="G88" s="994">
        <v>0</v>
      </c>
      <c r="H88" s="1052">
        <v>0</v>
      </c>
      <c r="I88" s="994">
        <v>524000</v>
      </c>
      <c r="J88" s="1054">
        <v>598400</v>
      </c>
      <c r="K88" s="1052">
        <v>0</v>
      </c>
      <c r="L88" s="994">
        <v>0</v>
      </c>
      <c r="M88" s="1054">
        <v>393000</v>
      </c>
      <c r="N88" s="994">
        <v>591400</v>
      </c>
      <c r="O88" s="994">
        <v>0</v>
      </c>
      <c r="P88" s="994">
        <v>458656</v>
      </c>
      <c r="Q88" s="994">
        <v>2542700</v>
      </c>
      <c r="R88" s="994">
        <v>0</v>
      </c>
      <c r="S88" s="994">
        <v>26640</v>
      </c>
      <c r="T88" s="994">
        <v>346986</v>
      </c>
      <c r="U88" s="1053">
        <v>5823882</v>
      </c>
      <c r="V88"/>
    </row>
    <row r="89" spans="1:22">
      <c r="A89" s="1159"/>
      <c r="B89" s="1001"/>
      <c r="C89" s="977"/>
      <c r="D89" s="971" t="s">
        <v>1377</v>
      </c>
      <c r="E89" s="842">
        <v>15000</v>
      </c>
      <c r="F89" s="832">
        <v>340200</v>
      </c>
      <c r="G89" s="832">
        <v>0</v>
      </c>
      <c r="H89" s="833">
        <v>0</v>
      </c>
      <c r="I89" s="832">
        <v>419200</v>
      </c>
      <c r="J89" s="1040">
        <v>491500</v>
      </c>
      <c r="K89" s="833">
        <v>0</v>
      </c>
      <c r="L89" s="832">
        <v>0</v>
      </c>
      <c r="M89" s="1040">
        <v>340600</v>
      </c>
      <c r="N89" s="832">
        <v>191650</v>
      </c>
      <c r="O89" s="832">
        <v>0</v>
      </c>
      <c r="P89" s="832">
        <v>437027</v>
      </c>
      <c r="Q89" s="832">
        <v>2490700</v>
      </c>
      <c r="R89" s="832">
        <v>0</v>
      </c>
      <c r="S89" s="832">
        <v>26640</v>
      </c>
      <c r="T89" s="832">
        <v>296034</v>
      </c>
      <c r="U89" s="840">
        <v>5048551</v>
      </c>
      <c r="V89"/>
    </row>
    <row r="90" spans="1:22" ht="13.5" thickBot="1">
      <c r="A90" s="1159"/>
      <c r="B90" s="1001"/>
      <c r="C90" s="977"/>
      <c r="D90" s="999" t="s">
        <v>1917</v>
      </c>
      <c r="E90" s="842">
        <v>0</v>
      </c>
      <c r="F90" s="832">
        <v>0</v>
      </c>
      <c r="G90" s="832">
        <v>0</v>
      </c>
      <c r="H90" s="833">
        <v>0</v>
      </c>
      <c r="I90" s="832">
        <v>0</v>
      </c>
      <c r="J90" s="1041">
        <v>0</v>
      </c>
      <c r="K90" s="833">
        <v>0</v>
      </c>
      <c r="L90" s="832">
        <v>0</v>
      </c>
      <c r="M90" s="1041">
        <v>0</v>
      </c>
      <c r="N90" s="832">
        <v>0</v>
      </c>
      <c r="O90" s="832">
        <v>0</v>
      </c>
      <c r="P90" s="832">
        <v>0</v>
      </c>
      <c r="Q90" s="832">
        <v>0</v>
      </c>
      <c r="R90" s="832">
        <v>0</v>
      </c>
      <c r="S90" s="832">
        <v>0</v>
      </c>
      <c r="T90" s="832">
        <v>0</v>
      </c>
      <c r="U90" s="840">
        <v>0</v>
      </c>
      <c r="V90"/>
    </row>
    <row r="91" spans="1:22">
      <c r="A91" s="1159"/>
      <c r="B91" s="1000" t="s">
        <v>1595</v>
      </c>
      <c r="C91" s="970" t="s">
        <v>1802</v>
      </c>
      <c r="D91" s="974" t="s">
        <v>1375</v>
      </c>
      <c r="E91" s="1085">
        <v>0</v>
      </c>
      <c r="F91" s="994">
        <v>2290480</v>
      </c>
      <c r="G91" s="994">
        <v>358400</v>
      </c>
      <c r="H91" s="1052">
        <v>0</v>
      </c>
      <c r="I91" s="994">
        <v>104800</v>
      </c>
      <c r="J91" s="994">
        <v>3203600</v>
      </c>
      <c r="K91" s="1052">
        <v>1307100</v>
      </c>
      <c r="L91" s="994">
        <v>0</v>
      </c>
      <c r="M91" s="994">
        <v>78600</v>
      </c>
      <c r="N91" s="994">
        <v>222700</v>
      </c>
      <c r="O91" s="994">
        <v>0</v>
      </c>
      <c r="P91" s="994">
        <v>1925178</v>
      </c>
      <c r="Q91" s="994">
        <v>0</v>
      </c>
      <c r="R91" s="994">
        <v>0</v>
      </c>
      <c r="S91" s="994">
        <v>0</v>
      </c>
      <c r="T91" s="994">
        <v>469452</v>
      </c>
      <c r="U91" s="1053">
        <v>9960310</v>
      </c>
      <c r="V91"/>
    </row>
    <row r="92" spans="1:22">
      <c r="A92" s="1159"/>
      <c r="B92" s="1001"/>
      <c r="C92" s="977"/>
      <c r="D92" s="971" t="s">
        <v>1377</v>
      </c>
      <c r="E92" s="842">
        <v>0</v>
      </c>
      <c r="F92" s="832">
        <v>2297200</v>
      </c>
      <c r="G92" s="832">
        <v>291200</v>
      </c>
      <c r="H92" s="833">
        <v>0</v>
      </c>
      <c r="I92" s="832">
        <v>104800</v>
      </c>
      <c r="J92" s="832">
        <v>3324900</v>
      </c>
      <c r="K92" s="833">
        <v>1312750</v>
      </c>
      <c r="L92" s="832">
        <v>0</v>
      </c>
      <c r="M92" s="832">
        <v>91700</v>
      </c>
      <c r="N92" s="832">
        <v>98250</v>
      </c>
      <c r="O92" s="832">
        <v>0</v>
      </c>
      <c r="P92" s="832">
        <v>1945080</v>
      </c>
      <c r="Q92" s="832">
        <v>0</v>
      </c>
      <c r="R92" s="832">
        <v>0</v>
      </c>
      <c r="S92" s="832">
        <v>0</v>
      </c>
      <c r="T92" s="832">
        <v>510405</v>
      </c>
      <c r="U92" s="840">
        <v>9976285</v>
      </c>
      <c r="V92"/>
    </row>
    <row r="93" spans="1:22" ht="13.5" thickBot="1">
      <c r="A93" s="1159"/>
      <c r="B93" s="1001"/>
      <c r="C93" s="977"/>
      <c r="D93" s="999" t="s">
        <v>1917</v>
      </c>
      <c r="E93" s="842">
        <v>0</v>
      </c>
      <c r="F93" s="832">
        <v>0</v>
      </c>
      <c r="G93" s="832">
        <v>0</v>
      </c>
      <c r="H93" s="833">
        <v>0</v>
      </c>
      <c r="I93" s="832">
        <v>0</v>
      </c>
      <c r="J93" s="832">
        <v>0</v>
      </c>
      <c r="K93" s="833">
        <v>0</v>
      </c>
      <c r="L93" s="832">
        <v>0</v>
      </c>
      <c r="M93" s="832">
        <v>0</v>
      </c>
      <c r="N93" s="832">
        <v>0</v>
      </c>
      <c r="O93" s="832">
        <v>0</v>
      </c>
      <c r="P93" s="832">
        <v>0</v>
      </c>
      <c r="Q93" s="832">
        <v>0</v>
      </c>
      <c r="R93" s="832">
        <v>0</v>
      </c>
      <c r="S93" s="832">
        <v>0</v>
      </c>
      <c r="T93" s="832">
        <v>0</v>
      </c>
      <c r="U93" s="840">
        <v>0</v>
      </c>
      <c r="V93"/>
    </row>
    <row r="94" spans="1:22">
      <c r="A94" s="1159"/>
      <c r="B94" s="1000" t="s">
        <v>954</v>
      </c>
      <c r="C94" s="970" t="s">
        <v>1803</v>
      </c>
      <c r="D94" s="974" t="s">
        <v>1375</v>
      </c>
      <c r="E94" s="1085">
        <v>32161</v>
      </c>
      <c r="F94" s="994">
        <v>377100</v>
      </c>
      <c r="G94" s="994">
        <v>2969200</v>
      </c>
      <c r="H94" s="1056">
        <v>2558233</v>
      </c>
      <c r="I94" s="994">
        <v>3538484</v>
      </c>
      <c r="J94" s="1054">
        <v>222900</v>
      </c>
      <c r="K94" s="1052">
        <v>0</v>
      </c>
      <c r="L94" s="994">
        <v>0</v>
      </c>
      <c r="M94" s="994"/>
      <c r="N94" s="994">
        <v>366800</v>
      </c>
      <c r="O94" s="994">
        <v>0</v>
      </c>
      <c r="P94" s="994">
        <v>304914</v>
      </c>
      <c r="Q94" s="994">
        <v>0</v>
      </c>
      <c r="R94" s="994">
        <v>0</v>
      </c>
      <c r="S94" s="994">
        <v>170000</v>
      </c>
      <c r="T94" s="994">
        <v>204110</v>
      </c>
      <c r="U94" s="1053">
        <v>10743902</v>
      </c>
      <c r="V94"/>
    </row>
    <row r="95" spans="1:22">
      <c r="A95" s="1159"/>
      <c r="B95" s="1001"/>
      <c r="C95" s="977"/>
      <c r="D95" s="971" t="s">
        <v>1377</v>
      </c>
      <c r="E95" s="842">
        <v>52400</v>
      </c>
      <c r="F95" s="832">
        <v>438200</v>
      </c>
      <c r="G95" s="832">
        <v>3199200</v>
      </c>
      <c r="H95" s="1042">
        <v>2304258</v>
      </c>
      <c r="I95" s="832">
        <v>3267424</v>
      </c>
      <c r="J95" s="1040">
        <v>170400</v>
      </c>
      <c r="K95" s="833">
        <v>0</v>
      </c>
      <c r="L95" s="832">
        <v>0</v>
      </c>
      <c r="M95" s="832"/>
      <c r="N95" s="832">
        <v>255450</v>
      </c>
      <c r="O95" s="832">
        <v>0</v>
      </c>
      <c r="P95" s="832">
        <v>300533</v>
      </c>
      <c r="Q95" s="832">
        <v>0</v>
      </c>
      <c r="R95" s="832">
        <v>0</v>
      </c>
      <c r="S95" s="832">
        <v>170000</v>
      </c>
      <c r="T95" s="832">
        <v>214370</v>
      </c>
      <c r="U95" s="840">
        <v>10372235</v>
      </c>
      <c r="V95"/>
    </row>
    <row r="96" spans="1:22" ht="13.5" thickBot="1">
      <c r="A96" s="1159"/>
      <c r="B96" s="1006"/>
      <c r="C96" s="980"/>
      <c r="D96" s="999" t="s">
        <v>1917</v>
      </c>
      <c r="E96" s="1051">
        <v>0</v>
      </c>
      <c r="F96" s="832">
        <v>0</v>
      </c>
      <c r="G96" s="832">
        <v>0</v>
      </c>
      <c r="H96" s="1043">
        <v>0</v>
      </c>
      <c r="I96" s="832">
        <v>0</v>
      </c>
      <c r="J96" s="1041">
        <v>0</v>
      </c>
      <c r="K96" s="833">
        <v>0</v>
      </c>
      <c r="L96" s="832">
        <v>0</v>
      </c>
      <c r="M96" s="832">
        <v>0</v>
      </c>
      <c r="N96" s="832">
        <v>0</v>
      </c>
      <c r="O96" s="832">
        <v>0</v>
      </c>
      <c r="P96" s="832">
        <v>0</v>
      </c>
      <c r="Q96" s="832">
        <v>0</v>
      </c>
      <c r="R96" s="832">
        <v>0</v>
      </c>
      <c r="S96" s="832">
        <v>0</v>
      </c>
      <c r="T96" s="832">
        <v>0</v>
      </c>
      <c r="U96" s="840">
        <v>0</v>
      </c>
      <c r="V96"/>
    </row>
    <row r="97" spans="1:22">
      <c r="A97" s="1160"/>
      <c r="B97" s="1003" t="s">
        <v>1596</v>
      </c>
      <c r="C97" s="970" t="s">
        <v>1804</v>
      </c>
      <c r="D97" s="974" t="s">
        <v>1375</v>
      </c>
      <c r="E97" s="1085">
        <v>0</v>
      </c>
      <c r="F97" s="994">
        <v>0</v>
      </c>
      <c r="G97" s="994">
        <v>0</v>
      </c>
      <c r="H97" s="1052">
        <v>0</v>
      </c>
      <c r="I97" s="994">
        <v>0</v>
      </c>
      <c r="J97" s="994">
        <v>0</v>
      </c>
      <c r="K97" s="1052">
        <v>0</v>
      </c>
      <c r="L97" s="994">
        <v>0</v>
      </c>
      <c r="M97" s="994">
        <v>0</v>
      </c>
      <c r="N97" s="994">
        <v>0</v>
      </c>
      <c r="O97" s="994">
        <v>0</v>
      </c>
      <c r="P97" s="994">
        <v>0</v>
      </c>
      <c r="Q97" s="994">
        <v>0</v>
      </c>
      <c r="R97" s="994">
        <v>0</v>
      </c>
      <c r="S97" s="994">
        <v>0</v>
      </c>
      <c r="T97" s="994">
        <v>0</v>
      </c>
      <c r="U97" s="1053">
        <v>0</v>
      </c>
      <c r="V97"/>
    </row>
    <row r="98" spans="1:22">
      <c r="A98" s="1160"/>
      <c r="B98" s="996"/>
      <c r="C98" s="977"/>
      <c r="D98" s="971" t="s">
        <v>1377</v>
      </c>
      <c r="E98" s="842">
        <v>0</v>
      </c>
      <c r="F98" s="832">
        <v>0</v>
      </c>
      <c r="G98" s="832">
        <v>0</v>
      </c>
      <c r="H98" s="833">
        <v>0</v>
      </c>
      <c r="I98" s="832">
        <v>0</v>
      </c>
      <c r="J98" s="832">
        <v>0</v>
      </c>
      <c r="K98" s="833">
        <v>0</v>
      </c>
      <c r="L98" s="832">
        <v>0</v>
      </c>
      <c r="M98" s="832">
        <v>0</v>
      </c>
      <c r="N98" s="832">
        <v>0</v>
      </c>
      <c r="O98" s="832">
        <v>0</v>
      </c>
      <c r="P98" s="832">
        <v>0</v>
      </c>
      <c r="Q98" s="832">
        <v>0</v>
      </c>
      <c r="R98" s="832">
        <v>0</v>
      </c>
      <c r="S98" s="832">
        <v>0</v>
      </c>
      <c r="T98" s="832">
        <v>0</v>
      </c>
      <c r="U98" s="840">
        <v>0</v>
      </c>
      <c r="V98"/>
    </row>
    <row r="99" spans="1:22" ht="13.5" thickBot="1">
      <c r="A99" s="1160"/>
      <c r="B99" s="996"/>
      <c r="C99" s="977"/>
      <c r="D99" s="999" t="s">
        <v>1917</v>
      </c>
      <c r="E99" s="842">
        <v>0</v>
      </c>
      <c r="F99" s="832">
        <v>0</v>
      </c>
      <c r="G99" s="832">
        <v>0</v>
      </c>
      <c r="H99" s="833">
        <v>0</v>
      </c>
      <c r="I99" s="832">
        <v>0</v>
      </c>
      <c r="J99" s="832">
        <v>0</v>
      </c>
      <c r="K99" s="833">
        <v>0</v>
      </c>
      <c r="L99" s="832">
        <v>0</v>
      </c>
      <c r="M99" s="832">
        <v>0</v>
      </c>
      <c r="N99" s="832">
        <v>0</v>
      </c>
      <c r="O99" s="832">
        <v>0</v>
      </c>
      <c r="P99" s="832">
        <v>0</v>
      </c>
      <c r="Q99" s="832">
        <v>0</v>
      </c>
      <c r="R99" s="832">
        <v>0</v>
      </c>
      <c r="S99" s="832">
        <v>0</v>
      </c>
      <c r="T99" s="832">
        <v>0</v>
      </c>
      <c r="U99" s="840">
        <v>0</v>
      </c>
      <c r="V99"/>
    </row>
    <row r="100" spans="1:22">
      <c r="A100" s="1160"/>
      <c r="B100" s="317" t="s">
        <v>419</v>
      </c>
      <c r="C100" s="970" t="s">
        <v>1805</v>
      </c>
      <c r="D100" s="974" t="s">
        <v>1375</v>
      </c>
      <c r="E100" s="1085">
        <v>0</v>
      </c>
      <c r="F100" s="994">
        <v>0</v>
      </c>
      <c r="G100" s="1054">
        <v>365299.20000000001</v>
      </c>
      <c r="H100" s="1052">
        <v>500000</v>
      </c>
      <c r="I100" s="1054">
        <v>11238887</v>
      </c>
      <c r="J100" s="994">
        <v>0</v>
      </c>
      <c r="K100" s="1052">
        <v>0</v>
      </c>
      <c r="L100" s="994">
        <v>0</v>
      </c>
      <c r="M100" s="994">
        <v>0</v>
      </c>
      <c r="N100" s="994">
        <v>0</v>
      </c>
      <c r="O100" s="994">
        <v>67967556</v>
      </c>
      <c r="P100" s="994">
        <v>1829187</v>
      </c>
      <c r="Q100" s="994">
        <v>0</v>
      </c>
      <c r="R100" s="1054">
        <v>367673804</v>
      </c>
      <c r="S100" s="994">
        <v>0</v>
      </c>
      <c r="T100" s="994">
        <v>0</v>
      </c>
      <c r="U100" s="1053">
        <v>449574733.19999999</v>
      </c>
      <c r="V100"/>
    </row>
    <row r="101" spans="1:22">
      <c r="A101" s="1160"/>
      <c r="B101" s="1001"/>
      <c r="C101" s="977"/>
      <c r="D101" s="971" t="s">
        <v>1377</v>
      </c>
      <c r="E101" s="1061">
        <v>0</v>
      </c>
      <c r="F101" s="832">
        <v>0</v>
      </c>
      <c r="G101" s="1062">
        <v>577408</v>
      </c>
      <c r="H101" s="1063">
        <v>500000</v>
      </c>
      <c r="I101" s="1064">
        <v>11238887</v>
      </c>
      <c r="J101" s="832">
        <v>0</v>
      </c>
      <c r="K101" s="833">
        <v>0</v>
      </c>
      <c r="L101" s="832">
        <v>0</v>
      </c>
      <c r="M101" s="832">
        <v>0</v>
      </c>
      <c r="N101" s="832">
        <v>0</v>
      </c>
      <c r="O101" s="1065">
        <v>73867556</v>
      </c>
      <c r="P101" s="1065">
        <v>109138</v>
      </c>
      <c r="Q101" s="832">
        <v>0</v>
      </c>
      <c r="R101" s="1066">
        <v>357399163</v>
      </c>
      <c r="S101" s="832">
        <v>0</v>
      </c>
      <c r="T101" s="832">
        <v>0</v>
      </c>
      <c r="U101" s="1067">
        <v>443692152</v>
      </c>
      <c r="V101"/>
    </row>
    <row r="102" spans="1:22" ht="13.5" thickBot="1">
      <c r="A102" s="1160"/>
      <c r="B102" s="1001"/>
      <c r="C102" s="977"/>
      <c r="D102" s="999" t="s">
        <v>1917</v>
      </c>
      <c r="E102" s="842">
        <v>0</v>
      </c>
      <c r="F102" s="832">
        <v>0</v>
      </c>
      <c r="G102" s="1041">
        <v>0</v>
      </c>
      <c r="H102" s="833">
        <v>0</v>
      </c>
      <c r="I102" s="1041">
        <v>0</v>
      </c>
      <c r="J102" s="832">
        <v>0</v>
      </c>
      <c r="K102" s="833">
        <v>0</v>
      </c>
      <c r="L102" s="832">
        <v>0</v>
      </c>
      <c r="M102" s="832">
        <v>0</v>
      </c>
      <c r="N102" s="832">
        <v>0</v>
      </c>
      <c r="O102" s="832">
        <v>0</v>
      </c>
      <c r="P102" s="832">
        <v>0</v>
      </c>
      <c r="Q102" s="832">
        <v>0</v>
      </c>
      <c r="R102" s="1041">
        <v>0</v>
      </c>
      <c r="S102" s="832">
        <v>0</v>
      </c>
      <c r="T102" s="832">
        <v>0</v>
      </c>
      <c r="U102" s="840">
        <v>0</v>
      </c>
      <c r="V102"/>
    </row>
    <row r="103" spans="1:22">
      <c r="A103" s="1160"/>
      <c r="B103" s="1000" t="s">
        <v>1883</v>
      </c>
      <c r="C103" s="970" t="s">
        <v>1882</v>
      </c>
      <c r="D103" s="974" t="s">
        <v>1375</v>
      </c>
      <c r="E103" s="1085">
        <v>12750</v>
      </c>
      <c r="F103" s="994">
        <v>0</v>
      </c>
      <c r="G103" s="994">
        <v>0</v>
      </c>
      <c r="H103" s="1056">
        <v>6251267</v>
      </c>
      <c r="I103" s="994"/>
      <c r="J103" s="994"/>
      <c r="K103" s="1052"/>
      <c r="L103" s="994">
        <v>527747</v>
      </c>
      <c r="M103" s="994"/>
      <c r="N103" s="994">
        <v>2413300</v>
      </c>
      <c r="O103" s="994">
        <v>0</v>
      </c>
      <c r="P103" s="994">
        <v>0</v>
      </c>
      <c r="Q103" s="994"/>
      <c r="R103" s="994">
        <v>0</v>
      </c>
      <c r="S103" s="994"/>
      <c r="T103" s="994"/>
      <c r="U103" s="1053">
        <v>9205064</v>
      </c>
      <c r="V103"/>
    </row>
    <row r="104" spans="1:22">
      <c r="A104" s="1160"/>
      <c r="B104" s="1001"/>
      <c r="C104" s="977"/>
      <c r="D104" s="971" t="s">
        <v>1377</v>
      </c>
      <c r="E104" s="1061">
        <v>11844</v>
      </c>
      <c r="F104" s="832">
        <v>0</v>
      </c>
      <c r="G104" s="832">
        <v>0</v>
      </c>
      <c r="H104" s="1066">
        <v>7659861</v>
      </c>
      <c r="I104" s="832"/>
      <c r="J104" s="832"/>
      <c r="L104" s="1068">
        <v>0</v>
      </c>
      <c r="M104" s="832"/>
      <c r="N104" s="1065">
        <v>2413300</v>
      </c>
      <c r="O104" s="832">
        <v>0</v>
      </c>
      <c r="P104" s="832">
        <v>0</v>
      </c>
      <c r="Q104" s="832"/>
      <c r="R104" s="832">
        <v>0</v>
      </c>
      <c r="S104" s="832"/>
      <c r="T104" s="832"/>
      <c r="U104" s="1067">
        <v>10085005</v>
      </c>
      <c r="V104"/>
    </row>
    <row r="105" spans="1:22" ht="13.5" thickBot="1">
      <c r="A105" s="1160"/>
      <c r="B105" s="1001"/>
      <c r="C105" s="977"/>
      <c r="D105" s="999" t="s">
        <v>1917</v>
      </c>
      <c r="E105" s="842">
        <v>0</v>
      </c>
      <c r="F105" s="832">
        <v>0</v>
      </c>
      <c r="G105" s="832">
        <v>0</v>
      </c>
      <c r="H105" s="1043">
        <v>0</v>
      </c>
      <c r="I105" s="832">
        <v>0</v>
      </c>
      <c r="J105" s="832">
        <v>0</v>
      </c>
      <c r="K105" s="833">
        <v>0</v>
      </c>
      <c r="L105" s="832">
        <v>0</v>
      </c>
      <c r="M105" s="832">
        <v>0</v>
      </c>
      <c r="N105" s="832">
        <v>0</v>
      </c>
      <c r="O105" s="832">
        <v>0</v>
      </c>
      <c r="P105" s="832">
        <v>0</v>
      </c>
      <c r="Q105" s="832">
        <v>0</v>
      </c>
      <c r="R105" s="832">
        <v>0</v>
      </c>
      <c r="S105" s="832">
        <v>0</v>
      </c>
      <c r="T105" s="832">
        <v>0</v>
      </c>
      <c r="U105" s="840">
        <v>0</v>
      </c>
      <c r="V105"/>
    </row>
    <row r="106" spans="1:22">
      <c r="A106" s="1160"/>
      <c r="B106" s="1000" t="s">
        <v>1761</v>
      </c>
      <c r="C106" s="970" t="s">
        <v>1763</v>
      </c>
      <c r="D106" s="974" t="s">
        <v>1375</v>
      </c>
      <c r="E106" s="1085">
        <v>2753000</v>
      </c>
      <c r="F106" s="994">
        <v>200000</v>
      </c>
      <c r="G106" s="994">
        <v>0</v>
      </c>
      <c r="H106" s="1058">
        <v>388786563</v>
      </c>
      <c r="I106" s="994"/>
      <c r="J106" s="994"/>
      <c r="K106" s="1052"/>
      <c r="L106" s="994">
        <v>0</v>
      </c>
      <c r="M106" s="994">
        <v>0</v>
      </c>
      <c r="N106" s="994">
        <v>8533775</v>
      </c>
      <c r="O106" s="994">
        <v>0</v>
      </c>
      <c r="P106" s="994">
        <v>1300000</v>
      </c>
      <c r="Q106" s="994"/>
      <c r="R106" s="994">
        <v>0</v>
      </c>
      <c r="S106" s="994"/>
      <c r="T106" s="994"/>
      <c r="U106" s="1053">
        <v>401573338</v>
      </c>
      <c r="V106"/>
    </row>
    <row r="107" spans="1:22">
      <c r="A107" s="1160"/>
      <c r="B107" s="1001"/>
      <c r="C107" s="977"/>
      <c r="D107" s="971" t="s">
        <v>1377</v>
      </c>
      <c r="E107" s="1061">
        <v>1893614</v>
      </c>
      <c r="F107" s="1065">
        <v>200000</v>
      </c>
      <c r="G107" s="832">
        <v>0</v>
      </c>
      <c r="H107" s="1066">
        <v>438172903</v>
      </c>
      <c r="I107" s="832"/>
      <c r="J107" s="832"/>
      <c r="L107" s="832">
        <v>0</v>
      </c>
      <c r="M107" s="832">
        <v>0</v>
      </c>
      <c r="N107" s="1065">
        <v>8533775</v>
      </c>
      <c r="O107" s="832">
        <v>0</v>
      </c>
      <c r="P107" s="832">
        <v>1700000</v>
      </c>
      <c r="Q107" s="832"/>
      <c r="R107" s="832">
        <v>0</v>
      </c>
      <c r="S107" s="832"/>
      <c r="T107" s="832"/>
      <c r="U107" s="1067">
        <v>450500292</v>
      </c>
      <c r="V107"/>
    </row>
    <row r="108" spans="1:22" ht="13.5" thickBot="1">
      <c r="A108" s="1160"/>
      <c r="B108" s="1001"/>
      <c r="C108" s="977"/>
      <c r="D108" s="999" t="s">
        <v>1917</v>
      </c>
      <c r="E108" s="842">
        <v>0</v>
      </c>
      <c r="F108" s="832">
        <v>0</v>
      </c>
      <c r="G108" s="832">
        <v>0</v>
      </c>
      <c r="H108" s="1043">
        <v>0</v>
      </c>
      <c r="I108" s="832">
        <v>0</v>
      </c>
      <c r="J108" s="832">
        <v>0</v>
      </c>
      <c r="K108" s="833">
        <v>0</v>
      </c>
      <c r="L108" s="832">
        <v>0</v>
      </c>
      <c r="M108" s="832">
        <v>0</v>
      </c>
      <c r="N108" s="832">
        <v>0</v>
      </c>
      <c r="O108" s="832">
        <v>0</v>
      </c>
      <c r="P108" s="832">
        <v>0</v>
      </c>
      <c r="Q108" s="832">
        <v>0</v>
      </c>
      <c r="R108" s="832">
        <v>0</v>
      </c>
      <c r="S108" s="832">
        <v>0</v>
      </c>
      <c r="T108" s="832">
        <v>0</v>
      </c>
      <c r="U108" s="840">
        <v>0</v>
      </c>
      <c r="V108"/>
    </row>
    <row r="109" spans="1:22">
      <c r="A109" s="1160"/>
      <c r="B109" s="1000" t="s">
        <v>1762</v>
      </c>
      <c r="C109" s="858" t="s">
        <v>1510</v>
      </c>
      <c r="D109" s="1007" t="s">
        <v>1375</v>
      </c>
      <c r="E109" s="1086">
        <v>0</v>
      </c>
      <c r="F109" s="1052">
        <v>0</v>
      </c>
      <c r="G109" s="1052">
        <v>0</v>
      </c>
      <c r="H109" s="1052">
        <v>0</v>
      </c>
      <c r="I109" s="1052">
        <v>0</v>
      </c>
      <c r="J109" s="1052">
        <v>0</v>
      </c>
      <c r="K109" s="1052">
        <v>0</v>
      </c>
      <c r="L109" s="1052">
        <v>0</v>
      </c>
      <c r="M109" s="1052">
        <v>3512563</v>
      </c>
      <c r="N109" s="1052">
        <v>0</v>
      </c>
      <c r="O109" s="1052">
        <v>0</v>
      </c>
      <c r="P109" s="1052">
        <v>0</v>
      </c>
      <c r="Q109" s="1052">
        <v>0</v>
      </c>
      <c r="R109" s="1052">
        <v>0</v>
      </c>
      <c r="S109" s="1052">
        <v>0</v>
      </c>
      <c r="T109" s="1052">
        <v>0</v>
      </c>
      <c r="U109" s="1069">
        <v>3512563</v>
      </c>
      <c r="V109"/>
    </row>
    <row r="110" spans="1:22">
      <c r="A110" s="1160"/>
      <c r="B110" s="1001"/>
      <c r="C110" s="862"/>
      <c r="D110" s="859" t="s">
        <v>1377</v>
      </c>
      <c r="E110" s="1070">
        <v>0</v>
      </c>
      <c r="F110" s="833">
        <v>0</v>
      </c>
      <c r="G110" s="833">
        <v>0</v>
      </c>
      <c r="H110" s="833">
        <v>0</v>
      </c>
      <c r="I110" s="833">
        <v>0</v>
      </c>
      <c r="J110" s="833">
        <v>0</v>
      </c>
      <c r="K110" s="833">
        <v>0</v>
      </c>
      <c r="L110" s="833">
        <v>0</v>
      </c>
      <c r="M110" s="1063">
        <v>0</v>
      </c>
      <c r="N110" s="833">
        <v>0</v>
      </c>
      <c r="O110" s="833">
        <v>0</v>
      </c>
      <c r="P110" s="1065">
        <v>0</v>
      </c>
      <c r="Q110" s="833">
        <v>0</v>
      </c>
      <c r="R110" s="833">
        <v>0</v>
      </c>
      <c r="S110" s="833">
        <v>0</v>
      </c>
      <c r="T110" s="833">
        <v>0</v>
      </c>
      <c r="U110" s="1067">
        <v>0</v>
      </c>
      <c r="V110"/>
    </row>
    <row r="111" spans="1:22" ht="13.5" thickBot="1">
      <c r="A111" s="1160"/>
      <c r="B111" s="1001"/>
      <c r="C111" s="862"/>
      <c r="D111" s="912" t="s">
        <v>1917</v>
      </c>
      <c r="E111" s="1070">
        <v>0</v>
      </c>
      <c r="F111" s="833">
        <v>0</v>
      </c>
      <c r="G111" s="833">
        <v>0</v>
      </c>
      <c r="H111" s="833">
        <v>0</v>
      </c>
      <c r="I111" s="833">
        <v>0</v>
      </c>
      <c r="J111" s="833">
        <v>0</v>
      </c>
      <c r="K111" s="833">
        <v>0</v>
      </c>
      <c r="L111" s="833">
        <v>0</v>
      </c>
      <c r="M111" s="833">
        <v>0</v>
      </c>
      <c r="N111" s="833">
        <v>0</v>
      </c>
      <c r="O111" s="833">
        <v>0</v>
      </c>
      <c r="P111" s="833">
        <v>0</v>
      </c>
      <c r="Q111" s="833">
        <v>0</v>
      </c>
      <c r="R111" s="833">
        <v>0</v>
      </c>
      <c r="S111" s="833">
        <v>0</v>
      </c>
      <c r="T111" s="833">
        <v>0</v>
      </c>
      <c r="U111" s="1071">
        <v>0</v>
      </c>
      <c r="V111"/>
    </row>
    <row r="112" spans="1:22">
      <c r="A112" s="1160"/>
      <c r="B112" s="1000" t="s">
        <v>1883</v>
      </c>
      <c r="C112" s="858" t="s">
        <v>1511</v>
      </c>
      <c r="D112" s="1007" t="s">
        <v>1375</v>
      </c>
      <c r="E112" s="1086">
        <v>5657283</v>
      </c>
      <c r="F112" s="1052">
        <v>21200045</v>
      </c>
      <c r="G112" s="1052">
        <v>832040</v>
      </c>
      <c r="H112" s="1052">
        <v>0</v>
      </c>
      <c r="I112" s="1056">
        <v>100000</v>
      </c>
      <c r="J112" s="1052">
        <v>46790800</v>
      </c>
      <c r="K112" s="1072">
        <v>14605369</v>
      </c>
      <c r="L112" s="1056">
        <v>75748515</v>
      </c>
      <c r="M112" s="1052">
        <v>4340033</v>
      </c>
      <c r="N112" s="1052">
        <v>0</v>
      </c>
      <c r="O112" s="1052">
        <v>0</v>
      </c>
      <c r="P112" s="1052">
        <v>21793965</v>
      </c>
      <c r="Q112" s="1056">
        <v>87522700</v>
      </c>
      <c r="R112" s="1052">
        <v>0</v>
      </c>
      <c r="S112" s="1052">
        <v>3372105</v>
      </c>
      <c r="T112" s="1052">
        <v>32899390</v>
      </c>
      <c r="U112" s="1069">
        <v>314862245</v>
      </c>
      <c r="V112"/>
    </row>
    <row r="113" spans="1:22">
      <c r="A113" s="1160"/>
      <c r="B113" s="1001"/>
      <c r="C113" s="862"/>
      <c r="D113" s="859" t="s">
        <v>1377</v>
      </c>
      <c r="E113" s="1061">
        <v>4230769</v>
      </c>
      <c r="F113" s="1065">
        <v>23308550</v>
      </c>
      <c r="G113" s="1068">
        <v>875300</v>
      </c>
      <c r="H113" s="833">
        <v>0</v>
      </c>
      <c r="I113" s="1042">
        <v>0</v>
      </c>
      <c r="J113" s="1073">
        <v>45021600</v>
      </c>
      <c r="K113" s="1074">
        <v>22910043.800000001</v>
      </c>
      <c r="L113" s="1062">
        <v>75528895.549999997</v>
      </c>
      <c r="M113" s="1063">
        <v>4185228</v>
      </c>
      <c r="N113" s="833">
        <v>0</v>
      </c>
      <c r="O113" s="833">
        <v>0</v>
      </c>
      <c r="P113" s="1065">
        <v>18554748</v>
      </c>
      <c r="Q113" s="1075">
        <v>98067700</v>
      </c>
      <c r="R113" s="833">
        <v>0</v>
      </c>
      <c r="S113" s="833">
        <v>3372105</v>
      </c>
      <c r="T113" s="833">
        <v>33107099</v>
      </c>
      <c r="U113" s="1067">
        <v>329162038.35000002</v>
      </c>
      <c r="V113"/>
    </row>
    <row r="114" spans="1:22" ht="13.5" thickBot="1">
      <c r="A114" s="1160"/>
      <c r="B114" s="1001"/>
      <c r="C114" s="862"/>
      <c r="D114" s="912" t="s">
        <v>1917</v>
      </c>
      <c r="E114" s="1070">
        <v>0</v>
      </c>
      <c r="F114" s="833">
        <v>0</v>
      </c>
      <c r="G114" s="833">
        <v>0</v>
      </c>
      <c r="H114" s="833">
        <v>0</v>
      </c>
      <c r="I114" s="1043">
        <v>0</v>
      </c>
      <c r="J114" s="833">
        <v>0</v>
      </c>
      <c r="K114" s="1049">
        <v>0</v>
      </c>
      <c r="L114" s="1043">
        <v>0</v>
      </c>
      <c r="M114" s="1089">
        <v>0</v>
      </c>
      <c r="N114" s="833">
        <v>0</v>
      </c>
      <c r="O114" s="833">
        <v>0</v>
      </c>
      <c r="P114" s="833">
        <v>0</v>
      </c>
      <c r="Q114" s="1043">
        <v>0</v>
      </c>
      <c r="R114" s="833">
        <v>0</v>
      </c>
      <c r="S114" s="833">
        <v>0</v>
      </c>
      <c r="T114" s="833">
        <v>0</v>
      </c>
      <c r="U114" s="1071">
        <v>0</v>
      </c>
      <c r="V114"/>
    </row>
    <row r="115" spans="1:22">
      <c r="A115" s="1160"/>
      <c r="B115" s="1000" t="s">
        <v>1761</v>
      </c>
      <c r="C115" s="858" t="s">
        <v>1412</v>
      </c>
      <c r="D115" s="1007" t="s">
        <v>1375</v>
      </c>
      <c r="E115" s="1086">
        <v>24672857</v>
      </c>
      <c r="F115" s="1052">
        <v>9623545</v>
      </c>
      <c r="G115" s="1052">
        <v>1257989</v>
      </c>
      <c r="H115" s="1072">
        <v>0</v>
      </c>
      <c r="I115" s="1058">
        <v>255850</v>
      </c>
      <c r="J115" s="1052">
        <v>71354000</v>
      </c>
      <c r="K115" s="1052">
        <v>106752569</v>
      </c>
      <c r="L115" s="1052">
        <v>12204142</v>
      </c>
      <c r="M115" s="1056">
        <v>13613979</v>
      </c>
      <c r="N115" s="1052"/>
      <c r="O115" s="1052"/>
      <c r="P115" s="1052">
        <v>204597917</v>
      </c>
      <c r="Q115" s="1058">
        <v>135310300</v>
      </c>
      <c r="R115" s="1052">
        <v>0</v>
      </c>
      <c r="S115" s="1052">
        <v>1000000</v>
      </c>
      <c r="T115" s="1052">
        <v>38494948</v>
      </c>
      <c r="U115" s="1069">
        <v>619138096</v>
      </c>
      <c r="V115"/>
    </row>
    <row r="116" spans="1:22">
      <c r="A116" s="1160"/>
      <c r="B116" s="1001"/>
      <c r="C116" s="862"/>
      <c r="D116" s="859" t="s">
        <v>1377</v>
      </c>
      <c r="E116" s="1061">
        <v>23304767</v>
      </c>
      <c r="F116" s="1065">
        <v>10006935</v>
      </c>
      <c r="G116" s="1068">
        <v>1011738</v>
      </c>
      <c r="H116" s="1048">
        <v>0</v>
      </c>
      <c r="I116" s="1064">
        <v>255850</v>
      </c>
      <c r="J116" s="1073">
        <v>71910200</v>
      </c>
      <c r="K116" s="1065">
        <v>108762475</v>
      </c>
      <c r="L116" s="1068">
        <v>13299139</v>
      </c>
      <c r="M116" s="1066">
        <v>13932527.699999999</v>
      </c>
      <c r="P116" s="833">
        <v>212679429</v>
      </c>
      <c r="Q116" s="1075">
        <v>176737500</v>
      </c>
      <c r="R116" s="833">
        <v>0</v>
      </c>
      <c r="S116" s="833">
        <v>1000000</v>
      </c>
      <c r="T116" s="833">
        <v>37997527</v>
      </c>
      <c r="U116" s="1067">
        <v>670898087.70000005</v>
      </c>
      <c r="V116"/>
    </row>
    <row r="117" spans="1:22" ht="13.5" thickBot="1">
      <c r="A117" s="1160"/>
      <c r="B117" s="1001"/>
      <c r="C117" s="862"/>
      <c r="D117" s="912" t="s">
        <v>1917</v>
      </c>
      <c r="E117" s="1070">
        <v>0</v>
      </c>
      <c r="F117" s="833">
        <v>0</v>
      </c>
      <c r="G117" s="833">
        <v>0</v>
      </c>
      <c r="H117" s="1049">
        <v>0</v>
      </c>
      <c r="I117" s="1043">
        <v>0</v>
      </c>
      <c r="J117" s="833">
        <v>0</v>
      </c>
      <c r="K117" s="833">
        <v>0</v>
      </c>
      <c r="L117" s="833">
        <v>0</v>
      </c>
      <c r="M117" s="1043">
        <v>0</v>
      </c>
      <c r="N117" s="833">
        <v>0</v>
      </c>
      <c r="O117" s="833">
        <v>0</v>
      </c>
      <c r="P117" s="833">
        <v>0</v>
      </c>
      <c r="Q117" s="1043">
        <v>0</v>
      </c>
      <c r="R117" s="833">
        <v>0</v>
      </c>
      <c r="S117" s="833">
        <v>0</v>
      </c>
      <c r="T117" s="833">
        <v>0</v>
      </c>
      <c r="U117" s="1071">
        <v>0</v>
      </c>
      <c r="V117"/>
    </row>
    <row r="118" spans="1:22">
      <c r="A118" s="1160"/>
      <c r="B118" s="1000" t="s">
        <v>1586</v>
      </c>
      <c r="C118" s="858" t="s">
        <v>1413</v>
      </c>
      <c r="D118" s="1007" t="s">
        <v>1375</v>
      </c>
      <c r="E118" s="1086">
        <v>0</v>
      </c>
      <c r="F118" s="1052">
        <v>0</v>
      </c>
      <c r="G118" s="1052">
        <v>0</v>
      </c>
      <c r="H118" s="1052">
        <v>0</v>
      </c>
      <c r="I118" s="1052">
        <v>0</v>
      </c>
      <c r="J118" s="1052">
        <v>0</v>
      </c>
      <c r="K118" s="1052">
        <v>0</v>
      </c>
      <c r="L118" s="1052">
        <v>0</v>
      </c>
      <c r="M118" s="1052">
        <v>0</v>
      </c>
      <c r="N118" s="1052">
        <v>0</v>
      </c>
      <c r="O118" s="1052">
        <v>0</v>
      </c>
      <c r="P118" s="1052">
        <v>0</v>
      </c>
      <c r="Q118" s="1052">
        <v>0</v>
      </c>
      <c r="R118" s="1052">
        <v>0</v>
      </c>
      <c r="S118" s="1052">
        <v>0</v>
      </c>
      <c r="T118" s="1052">
        <v>0</v>
      </c>
      <c r="U118" s="1069">
        <v>0</v>
      </c>
      <c r="V118"/>
    </row>
    <row r="119" spans="1:22">
      <c r="A119" s="1160"/>
      <c r="B119" s="1001"/>
      <c r="C119" s="862"/>
      <c r="D119" s="859" t="s">
        <v>1377</v>
      </c>
      <c r="E119" s="1070">
        <v>0</v>
      </c>
      <c r="F119" s="833">
        <v>0</v>
      </c>
      <c r="G119" s="833">
        <v>0</v>
      </c>
      <c r="H119" s="833">
        <v>0</v>
      </c>
      <c r="I119" s="833">
        <v>0</v>
      </c>
      <c r="J119" s="833">
        <v>0</v>
      </c>
      <c r="K119" s="833">
        <v>0</v>
      </c>
      <c r="L119" s="833">
        <v>0</v>
      </c>
      <c r="M119" s="833">
        <v>0</v>
      </c>
      <c r="N119" s="833">
        <v>0</v>
      </c>
      <c r="O119" s="833">
        <v>0</v>
      </c>
      <c r="P119" s="1065">
        <v>0</v>
      </c>
      <c r="Q119" s="833">
        <v>0</v>
      </c>
      <c r="R119" s="833">
        <v>0</v>
      </c>
      <c r="S119" s="833">
        <v>0</v>
      </c>
      <c r="T119" s="833">
        <v>0</v>
      </c>
      <c r="U119" s="1067">
        <v>0</v>
      </c>
      <c r="V119"/>
    </row>
    <row r="120" spans="1:22" ht="13.5" thickBot="1">
      <c r="A120" s="1160"/>
      <c r="B120" s="1001"/>
      <c r="C120" s="862"/>
      <c r="D120" s="912" t="s">
        <v>1917</v>
      </c>
      <c r="E120" s="1070">
        <v>0</v>
      </c>
      <c r="F120" s="833">
        <v>0</v>
      </c>
      <c r="G120" s="833">
        <v>0</v>
      </c>
      <c r="H120" s="833">
        <v>0</v>
      </c>
      <c r="I120" s="833">
        <v>0</v>
      </c>
      <c r="J120" s="833">
        <v>0</v>
      </c>
      <c r="K120" s="833">
        <v>0</v>
      </c>
      <c r="L120" s="833">
        <v>0</v>
      </c>
      <c r="M120" s="833">
        <v>0</v>
      </c>
      <c r="N120" s="833">
        <v>0</v>
      </c>
      <c r="O120" s="833">
        <v>0</v>
      </c>
      <c r="P120" s="833">
        <v>0</v>
      </c>
      <c r="Q120" s="833">
        <v>0</v>
      </c>
      <c r="R120" s="833">
        <v>0</v>
      </c>
      <c r="S120" s="833">
        <v>0</v>
      </c>
      <c r="T120" s="833">
        <v>0</v>
      </c>
      <c r="U120" s="1071">
        <v>0</v>
      </c>
      <c r="V120"/>
    </row>
    <row r="121" spans="1:22">
      <c r="A121" s="1160"/>
      <c r="B121" s="1000" t="s">
        <v>1883</v>
      </c>
      <c r="C121" s="858" t="s">
        <v>1582</v>
      </c>
      <c r="D121" s="1007" t="s">
        <v>1375</v>
      </c>
      <c r="E121" s="1086">
        <v>1181950</v>
      </c>
      <c r="F121" s="1076">
        <v>2485149</v>
      </c>
      <c r="G121" s="1052">
        <v>1635060</v>
      </c>
      <c r="H121" s="1052">
        <v>0</v>
      </c>
      <c r="I121" s="1056">
        <v>520000</v>
      </c>
      <c r="J121" s="1052">
        <v>14426100</v>
      </c>
      <c r="K121" s="1056">
        <v>1453682</v>
      </c>
      <c r="L121" s="1076">
        <v>17589857</v>
      </c>
      <c r="M121" s="1052">
        <v>383369</v>
      </c>
      <c r="N121" s="1052">
        <v>0</v>
      </c>
      <c r="O121" s="1052">
        <v>0</v>
      </c>
      <c r="P121" s="1056">
        <v>5315872</v>
      </c>
      <c r="Q121" s="1076">
        <v>36962500</v>
      </c>
      <c r="R121" s="1052">
        <v>0</v>
      </c>
      <c r="S121" s="1052">
        <v>1041645</v>
      </c>
      <c r="T121" s="1052">
        <v>6140929</v>
      </c>
      <c r="U121" s="1069">
        <v>89136113</v>
      </c>
      <c r="V121"/>
    </row>
    <row r="122" spans="1:22">
      <c r="A122" s="1160"/>
      <c r="B122" s="1001"/>
      <c r="C122" s="862"/>
      <c r="D122" s="859" t="s">
        <v>1377</v>
      </c>
      <c r="E122" s="1061">
        <v>937198</v>
      </c>
      <c r="F122" s="1077">
        <v>2723017</v>
      </c>
      <c r="G122" s="1068">
        <v>1723855</v>
      </c>
      <c r="H122" s="833">
        <v>0</v>
      </c>
      <c r="I122" s="1042">
        <v>0</v>
      </c>
      <c r="J122" s="1073">
        <v>14374800</v>
      </c>
      <c r="K122" s="1075">
        <v>2339789.14</v>
      </c>
      <c r="L122" s="1078">
        <v>16328496</v>
      </c>
      <c r="M122" s="1063">
        <v>346457</v>
      </c>
      <c r="N122" s="833">
        <v>0</v>
      </c>
      <c r="O122" s="833">
        <v>0</v>
      </c>
      <c r="P122" s="1075">
        <v>5076818</v>
      </c>
      <c r="Q122" s="1077">
        <v>39591500</v>
      </c>
      <c r="R122" s="833">
        <v>0</v>
      </c>
      <c r="S122" s="833">
        <v>1041645</v>
      </c>
      <c r="T122" s="833">
        <v>5012410</v>
      </c>
      <c r="U122" s="1067">
        <v>89495985.140000001</v>
      </c>
      <c r="V122"/>
    </row>
    <row r="123" spans="1:22" ht="13.5" thickBot="1">
      <c r="A123" s="1160"/>
      <c r="B123" s="1001"/>
      <c r="C123" s="862"/>
      <c r="D123" s="912" t="s">
        <v>1917</v>
      </c>
      <c r="E123" s="1070">
        <v>0</v>
      </c>
      <c r="F123" s="1050">
        <v>0</v>
      </c>
      <c r="G123" s="833">
        <v>0</v>
      </c>
      <c r="H123" s="833">
        <v>0</v>
      </c>
      <c r="I123" s="1043">
        <v>0</v>
      </c>
      <c r="J123" s="833">
        <v>0</v>
      </c>
      <c r="K123" s="1043">
        <v>0</v>
      </c>
      <c r="L123" s="1050">
        <v>0</v>
      </c>
      <c r="M123" s="833">
        <v>0</v>
      </c>
      <c r="N123" s="833">
        <v>0</v>
      </c>
      <c r="O123" s="833">
        <v>0</v>
      </c>
      <c r="P123" s="1043">
        <v>0</v>
      </c>
      <c r="Q123" s="1050">
        <v>0</v>
      </c>
      <c r="R123" s="833">
        <v>0</v>
      </c>
      <c r="S123" s="833">
        <v>0</v>
      </c>
      <c r="T123" s="833">
        <v>0</v>
      </c>
      <c r="U123" s="1071">
        <v>0</v>
      </c>
      <c r="V123"/>
    </row>
    <row r="124" spans="1:22">
      <c r="A124" s="1160"/>
      <c r="B124" s="1000" t="s">
        <v>1761</v>
      </c>
      <c r="C124" s="858" t="s">
        <v>1583</v>
      </c>
      <c r="D124" s="1007" t="s">
        <v>1375</v>
      </c>
      <c r="E124" s="1086">
        <v>160451</v>
      </c>
      <c r="F124" s="1058">
        <v>2742917</v>
      </c>
      <c r="G124" s="1052">
        <v>606405</v>
      </c>
      <c r="H124" s="1052">
        <v>0</v>
      </c>
      <c r="I124" s="1058">
        <v>760000</v>
      </c>
      <c r="J124" s="1052">
        <v>16635500</v>
      </c>
      <c r="K124" s="1058">
        <v>9140146</v>
      </c>
      <c r="L124" s="1079">
        <v>2617683</v>
      </c>
      <c r="M124" s="1076">
        <v>2926054</v>
      </c>
      <c r="N124" s="1052"/>
      <c r="O124" s="1052"/>
      <c r="P124" s="1052">
        <v>38812721</v>
      </c>
      <c r="Q124" s="1058">
        <v>31170600</v>
      </c>
      <c r="R124" s="1052">
        <v>0</v>
      </c>
      <c r="S124" s="1052">
        <v>0</v>
      </c>
      <c r="T124" s="1052">
        <v>4089575</v>
      </c>
      <c r="U124" s="1069">
        <v>109662052</v>
      </c>
      <c r="V124"/>
    </row>
    <row r="125" spans="1:22">
      <c r="A125" s="1160"/>
      <c r="B125" s="1001"/>
      <c r="C125" s="862"/>
      <c r="D125" s="859" t="s">
        <v>1377</v>
      </c>
      <c r="E125" s="1061">
        <v>160785</v>
      </c>
      <c r="F125" s="1075">
        <v>2999000</v>
      </c>
      <c r="G125" s="1068">
        <v>505450</v>
      </c>
      <c r="H125" s="833">
        <v>0</v>
      </c>
      <c r="I125" s="1064">
        <v>710000</v>
      </c>
      <c r="J125" s="1073">
        <v>16688000</v>
      </c>
      <c r="K125" s="1075">
        <v>9223851</v>
      </c>
      <c r="L125" s="1078">
        <v>2906119</v>
      </c>
      <c r="M125" s="1080">
        <v>3112516</v>
      </c>
      <c r="P125" s="833">
        <v>40962910</v>
      </c>
      <c r="Q125" s="1075">
        <v>38103600</v>
      </c>
      <c r="R125" s="833">
        <v>0</v>
      </c>
      <c r="S125" s="833">
        <v>0</v>
      </c>
      <c r="T125" s="833">
        <v>4008633</v>
      </c>
      <c r="U125" s="1067">
        <v>119380864</v>
      </c>
      <c r="V125"/>
    </row>
    <row r="126" spans="1:22" ht="13.5" thickBot="1">
      <c r="A126" s="1160"/>
      <c r="B126" s="1001"/>
      <c r="C126" s="862"/>
      <c r="D126" s="912" t="s">
        <v>1917</v>
      </c>
      <c r="E126" s="1070">
        <v>0</v>
      </c>
      <c r="F126" s="1043">
        <v>0</v>
      </c>
      <c r="G126" s="833">
        <v>0</v>
      </c>
      <c r="H126" s="833">
        <v>0</v>
      </c>
      <c r="I126" s="1043">
        <v>0</v>
      </c>
      <c r="J126" s="833">
        <v>0</v>
      </c>
      <c r="K126" s="1043">
        <v>0</v>
      </c>
      <c r="L126" s="1050">
        <v>0</v>
      </c>
      <c r="M126" s="1050">
        <v>0</v>
      </c>
      <c r="N126" s="833">
        <v>0</v>
      </c>
      <c r="O126" s="833">
        <v>0</v>
      </c>
      <c r="P126" s="833">
        <v>0</v>
      </c>
      <c r="Q126" s="1043">
        <v>0</v>
      </c>
      <c r="R126" s="833">
        <v>0</v>
      </c>
      <c r="S126" s="833">
        <v>0</v>
      </c>
      <c r="T126" s="833">
        <v>0</v>
      </c>
      <c r="U126" s="1071">
        <v>0</v>
      </c>
      <c r="V126"/>
    </row>
    <row r="127" spans="1:22">
      <c r="A127" s="1160"/>
      <c r="B127" s="317" t="s">
        <v>879</v>
      </c>
      <c r="C127" s="858" t="s">
        <v>1806</v>
      </c>
      <c r="D127" s="1007" t="s">
        <v>1375</v>
      </c>
      <c r="E127" s="1086">
        <v>0</v>
      </c>
      <c r="F127" s="1052">
        <v>0</v>
      </c>
      <c r="G127" s="1052">
        <v>0</v>
      </c>
      <c r="H127" s="1052">
        <v>0</v>
      </c>
      <c r="I127" s="1052">
        <v>0</v>
      </c>
      <c r="J127" s="1052">
        <v>9600</v>
      </c>
      <c r="K127" s="1052">
        <v>0</v>
      </c>
      <c r="L127" s="1052">
        <v>0</v>
      </c>
      <c r="M127" s="1052">
        <v>599893</v>
      </c>
      <c r="N127" s="1052">
        <v>0</v>
      </c>
      <c r="O127" s="1052">
        <v>0</v>
      </c>
      <c r="P127" s="1052">
        <v>0</v>
      </c>
      <c r="Q127" s="1052">
        <v>0</v>
      </c>
      <c r="R127" s="1056">
        <v>0</v>
      </c>
      <c r="S127" s="1052">
        <v>0</v>
      </c>
      <c r="T127" s="1052">
        <v>0</v>
      </c>
      <c r="U127" s="1069">
        <v>609493</v>
      </c>
      <c r="V127"/>
    </row>
    <row r="128" spans="1:22">
      <c r="A128" s="1160"/>
      <c r="B128" s="1001"/>
      <c r="C128" s="862"/>
      <c r="D128" s="859" t="s">
        <v>1377</v>
      </c>
      <c r="E128" s="1070">
        <v>0</v>
      </c>
      <c r="F128" s="833">
        <v>0</v>
      </c>
      <c r="G128" s="833">
        <v>0</v>
      </c>
      <c r="H128" s="833">
        <v>0</v>
      </c>
      <c r="I128" s="833">
        <v>0</v>
      </c>
      <c r="J128" s="1073">
        <v>9600</v>
      </c>
      <c r="K128" s="833">
        <v>0</v>
      </c>
      <c r="L128" s="833">
        <v>0</v>
      </c>
      <c r="M128" s="1063">
        <v>376432</v>
      </c>
      <c r="N128" s="833">
        <v>0</v>
      </c>
      <c r="O128" s="833">
        <v>0</v>
      </c>
      <c r="P128" s="1065">
        <v>0</v>
      </c>
      <c r="Q128" s="833">
        <v>0</v>
      </c>
      <c r="R128" s="1042">
        <v>0</v>
      </c>
      <c r="S128" s="833">
        <v>300000</v>
      </c>
      <c r="T128" s="833">
        <v>0</v>
      </c>
      <c r="U128" s="1071">
        <v>686032</v>
      </c>
      <c r="V128"/>
    </row>
    <row r="129" spans="1:22" ht="13.5" thickBot="1">
      <c r="A129" s="1160"/>
      <c r="B129" s="1001"/>
      <c r="C129" s="862"/>
      <c r="D129" s="912" t="s">
        <v>1917</v>
      </c>
      <c r="E129" s="1070">
        <v>0</v>
      </c>
      <c r="F129" s="833">
        <v>0</v>
      </c>
      <c r="G129" s="833">
        <v>0</v>
      </c>
      <c r="H129" s="833">
        <v>0</v>
      </c>
      <c r="I129" s="833">
        <v>0</v>
      </c>
      <c r="J129" s="833">
        <v>0</v>
      </c>
      <c r="K129" s="833">
        <v>0</v>
      </c>
      <c r="L129" s="833">
        <v>0</v>
      </c>
      <c r="M129" s="833">
        <v>0</v>
      </c>
      <c r="N129" s="833">
        <v>0</v>
      </c>
      <c r="O129" s="833">
        <v>0</v>
      </c>
      <c r="P129" s="833">
        <v>0</v>
      </c>
      <c r="Q129" s="833">
        <v>0</v>
      </c>
      <c r="R129" s="1043">
        <v>0</v>
      </c>
      <c r="S129" s="833">
        <v>0</v>
      </c>
      <c r="T129" s="833">
        <v>0</v>
      </c>
      <c r="U129" s="1071">
        <v>0</v>
      </c>
      <c r="V129"/>
    </row>
    <row r="130" spans="1:22">
      <c r="A130" s="1160"/>
      <c r="B130" s="1000" t="s">
        <v>1883</v>
      </c>
      <c r="C130" s="858" t="s">
        <v>1764</v>
      </c>
      <c r="D130" s="1007" t="s">
        <v>1375</v>
      </c>
      <c r="E130" s="1086">
        <v>0</v>
      </c>
      <c r="F130" s="1052">
        <v>0</v>
      </c>
      <c r="G130" s="1052">
        <v>0</v>
      </c>
      <c r="H130" s="1052">
        <v>100705360</v>
      </c>
      <c r="I130" s="1052">
        <v>0</v>
      </c>
      <c r="J130" s="1052">
        <v>0</v>
      </c>
      <c r="K130" s="1052">
        <v>0</v>
      </c>
      <c r="L130" s="1052">
        <v>0</v>
      </c>
      <c r="M130" s="1052">
        <v>0</v>
      </c>
      <c r="N130" s="1052">
        <v>104851951</v>
      </c>
      <c r="O130" s="1052">
        <v>0</v>
      </c>
      <c r="P130" s="1052"/>
      <c r="Q130" s="1052">
        <v>0</v>
      </c>
      <c r="R130" s="1052">
        <v>0</v>
      </c>
      <c r="S130" s="1052">
        <v>113704799</v>
      </c>
      <c r="T130" s="1052">
        <v>0</v>
      </c>
      <c r="U130" s="1069">
        <v>319262110</v>
      </c>
      <c r="V130"/>
    </row>
    <row r="131" spans="1:22">
      <c r="A131" s="1160"/>
      <c r="B131" s="1001"/>
      <c r="C131" s="862"/>
      <c r="D131" s="859" t="s">
        <v>1377</v>
      </c>
      <c r="E131" s="1070">
        <v>0</v>
      </c>
      <c r="F131" s="833">
        <v>0</v>
      </c>
      <c r="G131" s="833">
        <v>0</v>
      </c>
      <c r="H131" s="1063">
        <v>98546590</v>
      </c>
      <c r="I131" s="833">
        <v>0</v>
      </c>
      <c r="J131" s="833">
        <v>0</v>
      </c>
      <c r="K131" s="833">
        <v>0</v>
      </c>
      <c r="L131" s="833">
        <v>0</v>
      </c>
      <c r="M131" s="833">
        <v>0</v>
      </c>
      <c r="N131" s="1065">
        <v>142536195</v>
      </c>
      <c r="O131" s="833">
        <v>0</v>
      </c>
      <c r="Q131" s="833">
        <v>0</v>
      </c>
      <c r="R131" s="833">
        <v>0</v>
      </c>
      <c r="S131" s="833">
        <v>122968040</v>
      </c>
      <c r="T131" s="833">
        <v>0</v>
      </c>
      <c r="U131" s="1067">
        <v>364050825</v>
      </c>
      <c r="V131"/>
    </row>
    <row r="132" spans="1:22" ht="13.5" thickBot="1">
      <c r="A132" s="1160"/>
      <c r="B132" s="1001"/>
      <c r="C132" s="862"/>
      <c r="D132" s="912" t="s">
        <v>1917</v>
      </c>
      <c r="E132" s="1070">
        <v>0</v>
      </c>
      <c r="F132" s="833">
        <v>0</v>
      </c>
      <c r="G132" s="833">
        <v>0</v>
      </c>
      <c r="H132" s="833">
        <v>0</v>
      </c>
      <c r="I132" s="833">
        <v>0</v>
      </c>
      <c r="J132" s="833">
        <v>0</v>
      </c>
      <c r="K132" s="833">
        <v>0</v>
      </c>
      <c r="L132" s="833">
        <v>0</v>
      </c>
      <c r="M132" s="833">
        <v>0</v>
      </c>
      <c r="N132" s="833">
        <v>0</v>
      </c>
      <c r="O132" s="833">
        <v>0</v>
      </c>
      <c r="P132" s="833">
        <v>0</v>
      </c>
      <c r="Q132" s="833">
        <v>0</v>
      </c>
      <c r="R132" s="833">
        <v>0</v>
      </c>
      <c r="S132" s="833">
        <v>0</v>
      </c>
      <c r="T132" s="833">
        <v>0</v>
      </c>
      <c r="U132" s="1071">
        <v>0</v>
      </c>
      <c r="V132"/>
    </row>
    <row r="133" spans="1:22">
      <c r="A133" s="1160"/>
      <c r="B133" s="1000" t="s">
        <v>1761</v>
      </c>
      <c r="C133" s="858" t="s">
        <v>1765</v>
      </c>
      <c r="D133" s="1007" t="s">
        <v>1375</v>
      </c>
      <c r="E133" s="1086">
        <v>112500</v>
      </c>
      <c r="F133" s="1052">
        <v>147755</v>
      </c>
      <c r="G133" s="1052">
        <v>0</v>
      </c>
      <c r="H133" s="1056">
        <v>5685864</v>
      </c>
      <c r="I133" s="1052">
        <v>338950936</v>
      </c>
      <c r="J133" s="1052">
        <v>0</v>
      </c>
      <c r="K133" s="1052">
        <v>3539600</v>
      </c>
      <c r="L133" s="1052">
        <v>0</v>
      </c>
      <c r="M133" s="1052">
        <v>6216309</v>
      </c>
      <c r="N133" s="1052">
        <v>3620000</v>
      </c>
      <c r="O133" s="1052">
        <v>0</v>
      </c>
      <c r="P133" s="1052"/>
      <c r="Q133" s="1052">
        <v>0</v>
      </c>
      <c r="R133" s="1052">
        <v>0</v>
      </c>
      <c r="S133" s="1052">
        <v>12359822</v>
      </c>
      <c r="T133" s="1052">
        <v>0</v>
      </c>
      <c r="U133" s="1081">
        <v>370632786</v>
      </c>
      <c r="V133"/>
    </row>
    <row r="134" spans="1:22">
      <c r="A134" s="1160"/>
      <c r="B134" s="1001"/>
      <c r="C134" s="862"/>
      <c r="D134" s="859" t="s">
        <v>1377</v>
      </c>
      <c r="E134" s="1070">
        <v>102375</v>
      </c>
      <c r="F134" s="1065">
        <v>146000</v>
      </c>
      <c r="G134" s="833">
        <v>0</v>
      </c>
      <c r="H134" s="1066">
        <v>5592988</v>
      </c>
      <c r="I134" s="1082">
        <v>355086391</v>
      </c>
      <c r="J134" s="833">
        <v>0</v>
      </c>
      <c r="K134" s="1065">
        <v>4031800</v>
      </c>
      <c r="L134" s="833">
        <v>0</v>
      </c>
      <c r="M134" s="1063">
        <v>5630743</v>
      </c>
      <c r="N134" s="1065">
        <v>3620000</v>
      </c>
      <c r="O134" s="833">
        <v>0</v>
      </c>
      <c r="Q134" s="833">
        <v>0</v>
      </c>
      <c r="R134" s="833">
        <v>0</v>
      </c>
      <c r="S134" s="833">
        <v>12359822</v>
      </c>
      <c r="T134" s="833">
        <v>0</v>
      </c>
      <c r="U134" s="1067">
        <v>386570119</v>
      </c>
      <c r="V134"/>
    </row>
    <row r="135" spans="1:22" ht="13.5" thickBot="1">
      <c r="A135" s="1160"/>
      <c r="B135" s="1001"/>
      <c r="C135" s="862"/>
      <c r="D135" s="912" t="s">
        <v>1917</v>
      </c>
      <c r="E135" s="1070">
        <v>0</v>
      </c>
      <c r="F135" s="833">
        <v>0</v>
      </c>
      <c r="G135" s="833">
        <v>0</v>
      </c>
      <c r="H135" s="1043">
        <v>0</v>
      </c>
      <c r="I135" s="833">
        <v>0</v>
      </c>
      <c r="J135" s="833">
        <v>0</v>
      </c>
      <c r="K135" s="833">
        <v>0</v>
      </c>
      <c r="L135" s="833">
        <v>0</v>
      </c>
      <c r="M135" s="833">
        <v>0</v>
      </c>
      <c r="N135" s="833">
        <v>0</v>
      </c>
      <c r="O135" s="833">
        <v>0</v>
      </c>
      <c r="P135" s="833">
        <v>0</v>
      </c>
      <c r="Q135" s="833">
        <v>0</v>
      </c>
      <c r="R135" s="833">
        <v>0</v>
      </c>
      <c r="S135" s="833">
        <v>0</v>
      </c>
      <c r="T135" s="833">
        <v>0</v>
      </c>
      <c r="U135" s="1071">
        <v>0</v>
      </c>
      <c r="V135"/>
    </row>
    <row r="136" spans="1:22">
      <c r="A136" s="1160"/>
      <c r="B136" s="317" t="s">
        <v>567</v>
      </c>
      <c r="C136" s="858" t="s">
        <v>1807</v>
      </c>
      <c r="D136" s="1007" t="s">
        <v>1375</v>
      </c>
      <c r="E136" s="1086">
        <v>0</v>
      </c>
      <c r="F136" s="1052"/>
      <c r="G136" s="1052">
        <v>0</v>
      </c>
      <c r="H136" s="1052">
        <v>0</v>
      </c>
      <c r="I136" s="1052">
        <v>0</v>
      </c>
      <c r="J136" s="1052">
        <v>0</v>
      </c>
      <c r="K136" s="1052">
        <v>0</v>
      </c>
      <c r="L136" s="1052">
        <v>0</v>
      </c>
      <c r="M136" s="1052"/>
      <c r="N136" s="1052">
        <v>0</v>
      </c>
      <c r="O136" s="1052">
        <v>3828751</v>
      </c>
      <c r="P136" s="1052">
        <v>0</v>
      </c>
      <c r="Q136" s="1052">
        <v>0</v>
      </c>
      <c r="R136" s="1052">
        <v>0</v>
      </c>
      <c r="S136" s="1052">
        <v>0</v>
      </c>
      <c r="T136" s="1052"/>
      <c r="U136" s="1069">
        <v>3828751</v>
      </c>
      <c r="V136"/>
    </row>
    <row r="137" spans="1:22">
      <c r="A137" s="1160"/>
      <c r="B137" s="1001"/>
      <c r="C137" s="977"/>
      <c r="D137" s="971" t="s">
        <v>1377</v>
      </c>
      <c r="E137" s="842">
        <v>0</v>
      </c>
      <c r="F137" s="832"/>
      <c r="G137" s="832">
        <v>0</v>
      </c>
      <c r="H137" s="833">
        <v>0</v>
      </c>
      <c r="I137" s="832">
        <v>0</v>
      </c>
      <c r="J137" s="832">
        <v>0</v>
      </c>
      <c r="K137" s="833">
        <v>0</v>
      </c>
      <c r="L137" s="832">
        <v>0</v>
      </c>
      <c r="M137" s="832"/>
      <c r="N137" s="832">
        <v>0</v>
      </c>
      <c r="O137" s="1065">
        <v>3828751</v>
      </c>
      <c r="P137" s="1065">
        <v>0</v>
      </c>
      <c r="Q137" s="832">
        <v>0</v>
      </c>
      <c r="R137" s="832">
        <v>0</v>
      </c>
      <c r="S137" s="832">
        <v>0</v>
      </c>
      <c r="T137" s="832"/>
      <c r="U137" s="840">
        <v>3828751</v>
      </c>
      <c r="V137"/>
    </row>
    <row r="138" spans="1:22" ht="13.5" thickBot="1">
      <c r="A138" s="1160"/>
      <c r="B138" s="1001"/>
      <c r="C138" s="977"/>
      <c r="D138" s="999" t="s">
        <v>1917</v>
      </c>
      <c r="E138" s="842">
        <v>0</v>
      </c>
      <c r="F138" s="832">
        <v>0</v>
      </c>
      <c r="G138" s="832">
        <v>0</v>
      </c>
      <c r="H138" s="833">
        <v>0</v>
      </c>
      <c r="I138" s="832">
        <v>0</v>
      </c>
      <c r="J138" s="832">
        <v>0</v>
      </c>
      <c r="K138" s="833">
        <v>0</v>
      </c>
      <c r="L138" s="832">
        <v>0</v>
      </c>
      <c r="M138" s="832">
        <v>0</v>
      </c>
      <c r="N138" s="832">
        <v>0</v>
      </c>
      <c r="O138" s="832">
        <v>0</v>
      </c>
      <c r="P138" s="832">
        <v>0</v>
      </c>
      <c r="Q138" s="832">
        <v>0</v>
      </c>
      <c r="R138" s="832">
        <v>0</v>
      </c>
      <c r="S138" s="832">
        <v>0</v>
      </c>
      <c r="T138" s="832">
        <v>0</v>
      </c>
      <c r="U138" s="840">
        <v>0</v>
      </c>
      <c r="V138"/>
    </row>
    <row r="139" spans="1:22">
      <c r="A139" s="1160"/>
      <c r="B139" s="1000" t="s">
        <v>1883</v>
      </c>
      <c r="C139" s="970" t="s">
        <v>1766</v>
      </c>
      <c r="D139" s="974" t="s">
        <v>1375</v>
      </c>
      <c r="E139" s="1085">
        <v>0</v>
      </c>
      <c r="F139" s="994"/>
      <c r="G139" s="994">
        <v>0</v>
      </c>
      <c r="H139" s="1056">
        <v>28209829</v>
      </c>
      <c r="I139" s="994">
        <v>0</v>
      </c>
      <c r="J139" s="994">
        <v>32038200</v>
      </c>
      <c r="K139" s="1052">
        <v>0</v>
      </c>
      <c r="L139" s="994">
        <v>0</v>
      </c>
      <c r="M139" s="994"/>
      <c r="N139" s="994">
        <v>45158375</v>
      </c>
      <c r="O139" s="994">
        <v>0</v>
      </c>
      <c r="P139" s="994">
        <v>29955053</v>
      </c>
      <c r="Q139" s="994">
        <v>0</v>
      </c>
      <c r="R139" s="994">
        <v>0</v>
      </c>
      <c r="S139" s="994">
        <v>0</v>
      </c>
      <c r="T139" s="994"/>
      <c r="U139" s="1053">
        <v>135361457</v>
      </c>
      <c r="V139"/>
    </row>
    <row r="140" spans="1:22">
      <c r="A140" s="1160"/>
      <c r="B140" s="1001"/>
      <c r="C140" s="977"/>
      <c r="D140" s="971" t="s">
        <v>1377</v>
      </c>
      <c r="E140" s="842">
        <v>0</v>
      </c>
      <c r="F140" s="832"/>
      <c r="G140" s="832">
        <v>0</v>
      </c>
      <c r="H140" s="1066">
        <v>27606096</v>
      </c>
      <c r="I140" s="832">
        <v>0</v>
      </c>
      <c r="J140" s="1073">
        <v>32764600</v>
      </c>
      <c r="K140" s="833">
        <v>0</v>
      </c>
      <c r="L140" s="832">
        <v>0</v>
      </c>
      <c r="M140" s="832"/>
      <c r="N140" s="1065">
        <v>44058375</v>
      </c>
      <c r="O140" s="832">
        <v>0</v>
      </c>
      <c r="P140" s="832">
        <v>29844497</v>
      </c>
      <c r="Q140" s="832">
        <v>0</v>
      </c>
      <c r="R140" s="832">
        <v>0</v>
      </c>
      <c r="S140" s="832">
        <v>0</v>
      </c>
      <c r="T140" s="832"/>
      <c r="U140" s="840">
        <v>134273568</v>
      </c>
      <c r="V140"/>
    </row>
    <row r="141" spans="1:22" ht="13.5" thickBot="1">
      <c r="A141" s="1160"/>
      <c r="B141" s="1001"/>
      <c r="C141" s="977"/>
      <c r="D141" s="999" t="s">
        <v>1917</v>
      </c>
      <c r="E141" s="842">
        <v>0</v>
      </c>
      <c r="F141" s="832">
        <v>0</v>
      </c>
      <c r="G141" s="832">
        <v>0</v>
      </c>
      <c r="H141" s="1043">
        <v>0</v>
      </c>
      <c r="I141" s="832">
        <v>0</v>
      </c>
      <c r="J141" s="832">
        <v>0</v>
      </c>
      <c r="K141" s="833">
        <v>0</v>
      </c>
      <c r="L141" s="832">
        <v>0</v>
      </c>
      <c r="M141" s="832">
        <v>0</v>
      </c>
      <c r="N141" s="832">
        <v>0</v>
      </c>
      <c r="O141" s="832">
        <v>0</v>
      </c>
      <c r="P141" s="832">
        <v>0</v>
      </c>
      <c r="Q141" s="832">
        <v>0</v>
      </c>
      <c r="R141" s="832">
        <v>0</v>
      </c>
      <c r="S141" s="832">
        <v>0</v>
      </c>
      <c r="T141" s="832">
        <v>0</v>
      </c>
      <c r="U141" s="840">
        <v>0</v>
      </c>
      <c r="V141"/>
    </row>
    <row r="142" spans="1:22">
      <c r="A142" s="1160"/>
      <c r="B142" s="1000" t="s">
        <v>1761</v>
      </c>
      <c r="C142" s="970" t="s">
        <v>1767</v>
      </c>
      <c r="D142" s="974" t="s">
        <v>1375</v>
      </c>
      <c r="E142" s="1085">
        <v>3526701</v>
      </c>
      <c r="F142" s="994"/>
      <c r="G142" s="994">
        <v>0</v>
      </c>
      <c r="H142" s="1058">
        <v>107131750</v>
      </c>
      <c r="I142" s="994">
        <v>46880440</v>
      </c>
      <c r="J142" s="1054">
        <v>1024300</v>
      </c>
      <c r="K142" s="1052">
        <v>0</v>
      </c>
      <c r="L142" s="994">
        <v>0</v>
      </c>
      <c r="M142" s="994"/>
      <c r="N142" s="994">
        <v>60822305</v>
      </c>
      <c r="O142" s="994">
        <v>0</v>
      </c>
      <c r="P142" s="994">
        <v>0</v>
      </c>
      <c r="Q142" s="994">
        <v>0</v>
      </c>
      <c r="R142" s="994">
        <v>0</v>
      </c>
      <c r="S142" s="994">
        <v>64030818</v>
      </c>
      <c r="T142" s="994"/>
      <c r="U142" s="1053">
        <v>283416314</v>
      </c>
      <c r="V142"/>
    </row>
    <row r="143" spans="1:22">
      <c r="A143" s="1160"/>
      <c r="B143" s="1001"/>
      <c r="C143" s="977"/>
      <c r="D143" s="971" t="s">
        <v>1377</v>
      </c>
      <c r="E143" s="842">
        <v>2549945</v>
      </c>
      <c r="F143" s="832"/>
      <c r="G143" s="832">
        <v>0</v>
      </c>
      <c r="H143" s="1066">
        <v>101481987</v>
      </c>
      <c r="I143" s="1082">
        <v>43551802</v>
      </c>
      <c r="J143" s="1083">
        <v>854400</v>
      </c>
      <c r="K143" s="833">
        <v>0</v>
      </c>
      <c r="L143" s="832">
        <v>0</v>
      </c>
      <c r="M143" s="832"/>
      <c r="N143" s="1065">
        <v>60935305</v>
      </c>
      <c r="O143" s="832">
        <v>0</v>
      </c>
      <c r="P143" s="832">
        <v>0</v>
      </c>
      <c r="Q143" s="832">
        <v>0</v>
      </c>
      <c r="R143" s="832">
        <v>0</v>
      </c>
      <c r="S143" s="832">
        <v>64554614</v>
      </c>
      <c r="T143" s="832"/>
      <c r="U143" s="1067">
        <v>273928053</v>
      </c>
      <c r="V143"/>
    </row>
    <row r="144" spans="1:22" ht="13.5" thickBot="1">
      <c r="A144" s="1161"/>
      <c r="B144" s="1008"/>
      <c r="C144" s="980"/>
      <c r="D144" s="999" t="s">
        <v>1917</v>
      </c>
      <c r="E144" s="1051">
        <v>0</v>
      </c>
      <c r="F144" s="832">
        <v>0</v>
      </c>
      <c r="G144" s="832">
        <v>0</v>
      </c>
      <c r="H144" s="1043">
        <v>0</v>
      </c>
      <c r="I144" s="832">
        <v>0</v>
      </c>
      <c r="J144" s="1041">
        <v>0</v>
      </c>
      <c r="K144" s="833">
        <v>0</v>
      </c>
      <c r="L144" s="832">
        <v>0</v>
      </c>
      <c r="M144" s="832">
        <v>0</v>
      </c>
      <c r="N144" s="832">
        <v>0</v>
      </c>
      <c r="O144" s="832">
        <v>0</v>
      </c>
      <c r="P144" s="832">
        <v>0</v>
      </c>
      <c r="Q144" s="832">
        <v>0</v>
      </c>
      <c r="R144" s="832">
        <v>0</v>
      </c>
      <c r="S144" s="832">
        <v>0</v>
      </c>
      <c r="T144" s="832">
        <v>0</v>
      </c>
      <c r="U144" s="840">
        <v>0</v>
      </c>
      <c r="V144"/>
    </row>
    <row r="145" spans="1:22">
      <c r="B145" s="1009"/>
      <c r="C145" s="970" t="s">
        <v>2057</v>
      </c>
      <c r="D145" s="970" t="s">
        <v>1375</v>
      </c>
      <c r="E145" s="1038"/>
      <c r="F145" s="1033"/>
      <c r="G145" s="1033"/>
      <c r="H145" s="1034"/>
      <c r="I145" s="1033"/>
      <c r="J145" s="1033"/>
      <c r="K145" s="1034"/>
      <c r="L145" s="1033"/>
      <c r="M145" s="1033"/>
      <c r="N145" s="1033"/>
      <c r="O145" s="1033"/>
      <c r="P145" s="1033"/>
      <c r="Q145" s="1033"/>
      <c r="R145" s="1033"/>
      <c r="S145" s="1033"/>
      <c r="T145" s="1033">
        <v>59500</v>
      </c>
      <c r="U145" s="1035">
        <v>59500</v>
      </c>
      <c r="V145"/>
    </row>
    <row r="146" spans="1:22">
      <c r="A146" s="834"/>
      <c r="B146" s="1011"/>
      <c r="C146" s="977"/>
      <c r="D146" s="971" t="s">
        <v>1377</v>
      </c>
      <c r="E146" s="842"/>
      <c r="F146" s="832"/>
      <c r="G146" s="832"/>
      <c r="I146" s="832"/>
      <c r="J146" s="832"/>
      <c r="L146" s="832"/>
      <c r="M146" s="832"/>
      <c r="N146" s="832"/>
      <c r="O146" s="832"/>
      <c r="P146" s="832"/>
      <c r="Q146" s="832"/>
      <c r="R146" s="832"/>
      <c r="S146" s="832"/>
      <c r="T146" s="832">
        <v>0</v>
      </c>
      <c r="U146" s="840">
        <v>0</v>
      </c>
      <c r="V146"/>
    </row>
    <row r="147" spans="1:22">
      <c r="A147" s="981"/>
      <c r="B147" s="1012"/>
      <c r="C147" s="977"/>
      <c r="D147" s="971" t="s">
        <v>1917</v>
      </c>
      <c r="E147" s="842">
        <v>0</v>
      </c>
      <c r="F147" s="832">
        <v>0</v>
      </c>
      <c r="G147" s="832">
        <v>0</v>
      </c>
      <c r="H147" s="833">
        <v>0</v>
      </c>
      <c r="I147" s="832">
        <v>0</v>
      </c>
      <c r="J147" s="832">
        <v>0</v>
      </c>
      <c r="K147" s="833">
        <v>0</v>
      </c>
      <c r="L147" s="832">
        <v>0</v>
      </c>
      <c r="M147" s="832">
        <v>0</v>
      </c>
      <c r="N147" s="832">
        <v>0</v>
      </c>
      <c r="O147" s="832">
        <v>0</v>
      </c>
      <c r="P147" s="832">
        <v>0</v>
      </c>
      <c r="Q147" s="832">
        <v>0</v>
      </c>
      <c r="R147" s="832">
        <v>0</v>
      </c>
      <c r="S147" s="832">
        <v>0</v>
      </c>
      <c r="T147" s="832">
        <v>0</v>
      </c>
      <c r="U147" s="840">
        <v>0</v>
      </c>
      <c r="V147"/>
    </row>
    <row r="148" spans="1:22">
      <c r="B148" s="1009"/>
      <c r="C148" s="973" t="s">
        <v>1376</v>
      </c>
      <c r="D148" s="1010"/>
      <c r="E148" s="1085">
        <v>2966636258.2999997</v>
      </c>
      <c r="F148" s="1033">
        <v>1368691434.76</v>
      </c>
      <c r="G148" s="1033">
        <v>611611939.20000005</v>
      </c>
      <c r="H148" s="1034">
        <v>5916090185</v>
      </c>
      <c r="I148" s="1033">
        <v>3976079289.8499999</v>
      </c>
      <c r="J148" s="1033">
        <v>2340013901</v>
      </c>
      <c r="K148" s="1034">
        <v>2185887352</v>
      </c>
      <c r="L148" s="1033">
        <v>3259461351</v>
      </c>
      <c r="M148" s="1033">
        <v>1639537955</v>
      </c>
      <c r="N148" s="1033">
        <v>4959294457</v>
      </c>
      <c r="O148" s="1033">
        <v>1723790522</v>
      </c>
      <c r="P148" s="1033">
        <v>2469379487</v>
      </c>
      <c r="Q148" s="1033">
        <v>2455531651</v>
      </c>
      <c r="R148" s="1033">
        <v>11056900779</v>
      </c>
      <c r="S148" s="1033">
        <v>3551356483</v>
      </c>
      <c r="T148" s="1033">
        <v>1049544549</v>
      </c>
      <c r="U148" s="1038">
        <v>51529807594.109993</v>
      </c>
      <c r="V148"/>
    </row>
    <row r="149" spans="1:22">
      <c r="B149" s="1009"/>
      <c r="C149" s="973" t="s">
        <v>1378</v>
      </c>
      <c r="D149" s="1010"/>
      <c r="E149" s="1038">
        <v>2634219567.8200006</v>
      </c>
      <c r="F149" s="1033">
        <v>1362737301.7</v>
      </c>
      <c r="G149" s="1033">
        <v>648710535</v>
      </c>
      <c r="H149" s="1034">
        <v>5839292923</v>
      </c>
      <c r="I149" s="1033">
        <v>4008293834</v>
      </c>
      <c r="J149" s="1033">
        <v>2351589950</v>
      </c>
      <c r="K149" s="1034">
        <v>2362954188.2199998</v>
      </c>
      <c r="L149" s="1033">
        <v>3424357657.5500002</v>
      </c>
      <c r="M149" s="1033">
        <v>1670674786.5400002</v>
      </c>
      <c r="N149" s="1033">
        <v>5253255702</v>
      </c>
      <c r="O149" s="1033">
        <v>1798690754</v>
      </c>
      <c r="P149" s="1033">
        <v>2330699070</v>
      </c>
      <c r="Q149" s="1033">
        <v>2459758285.0000005</v>
      </c>
      <c r="R149" s="1033">
        <v>11441257994</v>
      </c>
      <c r="S149" s="1033">
        <v>3741156058</v>
      </c>
      <c r="T149" s="1033">
        <v>1031560665</v>
      </c>
      <c r="U149" s="1038">
        <v>52359209271.829994</v>
      </c>
      <c r="V149"/>
    </row>
    <row r="150" spans="1:22">
      <c r="B150" s="1009"/>
      <c r="C150" s="972" t="s">
        <v>1918</v>
      </c>
      <c r="D150" s="978"/>
      <c r="E150" s="1039">
        <v>-0.18713529883992744</v>
      </c>
      <c r="F150" s="1036">
        <v>-6.6491713190850845E-3</v>
      </c>
      <c r="G150" s="1036">
        <v>3.8934724901409257E-2</v>
      </c>
      <c r="H150" s="1037">
        <v>-6.0992407157601174E-2</v>
      </c>
      <c r="I150" s="1036">
        <v>-2.4512256754865552E-2</v>
      </c>
      <c r="J150" s="1036">
        <v>-1.056552680707388E-2</v>
      </c>
      <c r="K150" s="1037">
        <v>6.258998131822781E-4</v>
      </c>
      <c r="L150" s="1036">
        <v>6.0984307414224698E-2</v>
      </c>
      <c r="M150" s="1036">
        <v>1.5657114451298151E-2</v>
      </c>
      <c r="N150" s="1036">
        <v>6.6949369009075527E-2</v>
      </c>
      <c r="O150" s="1036">
        <v>-1.724530994466774E-2</v>
      </c>
      <c r="P150" s="1036">
        <v>-0.18132641770195335</v>
      </c>
      <c r="Q150" s="1036">
        <v>-9.8592753293784266E-2</v>
      </c>
      <c r="R150" s="1036">
        <v>-5.4591453223411274E-2</v>
      </c>
      <c r="S150" s="1036">
        <v>2.1394253291478725E-2</v>
      </c>
      <c r="T150" s="1036">
        <v>6.0666277676686559E-2</v>
      </c>
      <c r="U150" s="1039">
        <v>-2.8901739376756649E-2</v>
      </c>
      <c r="V150"/>
    </row>
    <row r="151" spans="1:22">
      <c r="B151" s="1009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</row>
    <row r="152" spans="1:22">
      <c r="B152" s="1009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</row>
    <row r="153" spans="1:22">
      <c r="B153" s="1009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</row>
  </sheetData>
  <mergeCells count="2">
    <mergeCell ref="A4:A57"/>
    <mergeCell ref="A67:A144"/>
  </mergeCells>
  <phoneticPr fontId="5" type="noConversion"/>
  <conditionalFormatting pivot="1" sqref="E57:U57 E6:U6 E9:U9 E12:U12 E15:U15 E18:U18 E21:U21 E24:U24 E27:U27 E30:U30 E33:U33 E36:U36 E39:U39 E42:U42 E48:U48 E51:U51 E54:U54 E60:U60 E63:U63 E66:U66 E69:U69 E72:U72 E75:U75 E78:U78 E81:U81 E84:U84 E87:U87 E90:U90 E93:U93 E96:U96 E99:U99 E102:U102 E105:U105 E108:U108 E111:U111 E114:U114 E117:U117 E120:U120 E123:U123 E126:U126 E129:U129 E132:U132 E135:U135 E138:U138 E141:U141 E144:U144 E45:U45">
    <cfRule type="cellIs" dxfId="2370" priority="15" stopIfTrue="1" operator="greaterThanOrEqual">
      <formula>0.1</formula>
    </cfRule>
    <cfRule type="cellIs" dxfId="2369" priority="16" stopIfTrue="1" operator="lessThanOrEqual">
      <formula>-0.05</formula>
    </cfRule>
  </conditionalFormatting>
  <conditionalFormatting pivot="1" sqref="E57:U57 E6:U6 E9:U9 E12:U12 E15:U15 E18:U18 E21:U21 E24:U24 E27:U27 E30:U30 E33:U33 E36:U36 E39:U39 E42:U42 E48:U48 E51:U51 E54:U54 E60:U60 E63:U63 E66:U66 E69:U69 E72:U72 E75:U75 E78:U78 E81:U81 E84:U84 E87:U87 E90:U90 E93:U93 E96:U96 E99:U99 E102:U102 E105:U105 E108:U108 E111:U111 E114:U114 E117:U117 E120:U120 E123:U123 E126:U126 E129:U129 E132:U132 E135:U135 E138:U138 E141:U141 E144:U144 E45:U45">
    <cfRule type="cellIs" dxfId="2368" priority="13" stopIfTrue="1" operator="greaterThanOrEqual">
      <formula>0.1</formula>
    </cfRule>
    <cfRule type="cellIs" dxfId="2367" priority="14" stopIfTrue="1" operator="lessThanOrEqual">
      <formula>-0.05</formula>
    </cfRule>
  </conditionalFormatting>
  <conditionalFormatting pivot="1" sqref="E57:U57 E6:U6 E9:U9 E12:U12 E15:U15 E18:U18 E21:U21 E24:U24 E27:U27 E30:U30 E33:U33 E36:U36 E39:U39 E42:U42 E48:U48 E51:U51 E54:U54 E60:U60 E63:U63 E66:U66 E69:U69 E72:U72 E75:U75 E78:U78 E81:U81 E84:U84 E87:U87 E90:U90 E93:U93 E96:U96 E99:U99 E102:U102 E105:U105 E108:U108 E111:U111 E114:U114 E117:U117 E120:U120 E123:U123 E126:U126 E129:U129 E132:U132 E135:U135 E138:U138 E141:U141 E144:U144 E45:U45 E150:U150">
    <cfRule type="cellIs" dxfId="2366" priority="11" stopIfTrue="1" operator="greaterThanOrEqual">
      <formula>0.1</formula>
    </cfRule>
    <cfRule type="cellIs" dxfId="2365" priority="12" stopIfTrue="1" operator="lessThanOrEqual">
      <formula>-0.05</formula>
    </cfRule>
  </conditionalFormatting>
  <conditionalFormatting pivot="1" sqref="E28:U28">
    <cfRule type="cellIs" dxfId="2364" priority="9" stopIfTrue="1" operator="greaterThanOrEqual">
      <formula>0.1</formula>
    </cfRule>
    <cfRule type="cellIs" dxfId="2363" priority="10" stopIfTrue="1" operator="lessThanOrEqual">
      <formula>-0.05</formula>
    </cfRule>
  </conditionalFormatting>
  <conditionalFormatting pivot="1" sqref="E28:U28">
    <cfRule type="cellIs" dxfId="2362" priority="7" stopIfTrue="1" operator="greaterThanOrEqual">
      <formula>0.1</formula>
    </cfRule>
    <cfRule type="cellIs" dxfId="2361" priority="8" stopIfTrue="1" operator="lessThanOrEqual">
      <formula>-0.05</formula>
    </cfRule>
  </conditionalFormatting>
  <conditionalFormatting pivot="1" sqref="E28:U28">
    <cfRule type="cellIs" dxfId="2360" priority="5" stopIfTrue="1" operator="greaterThanOrEqual">
      <formula>0.1</formula>
    </cfRule>
    <cfRule type="cellIs" dxfId="2359" priority="6" stopIfTrue="1" operator="lessThanOrEqual">
      <formula>-0.05</formula>
    </cfRule>
  </conditionalFormatting>
  <conditionalFormatting pivot="1" sqref="E150:U150">
    <cfRule type="cellIs" dxfId="2358" priority="3" stopIfTrue="1" operator="greaterThanOrEqual">
      <formula>0.1</formula>
    </cfRule>
    <cfRule type="cellIs" dxfId="2357" priority="4" stopIfTrue="1" operator="lessThanOrEqual">
      <formula>-0.05</formula>
    </cfRule>
  </conditionalFormatting>
  <conditionalFormatting pivot="1" sqref="E150:U150">
    <cfRule type="cellIs" dxfId="2356" priority="1" stopIfTrue="1" operator="greaterThanOrEqual">
      <formula>0.1</formula>
    </cfRule>
    <cfRule type="cellIs" dxfId="2355" priority="2" stopIfTrue="1" operator="lessThanOrEqual">
      <formula>-0.05</formula>
    </cfRule>
  </conditionalFormatting>
  <pageMargins left="0.75" right="0.75" top="1" bottom="1" header="0.5" footer="0.5"/>
  <pageSetup scale="85" orientation="portrait" verticalDpi="1200" r:id="rId2"/>
  <headerFooter alignWithMargins="0">
    <oddHeader>&amp;LSREB-State Data Exchange&amp;CPreliminary Tables&amp;RPart 5 - Funding by Function</oddHeader>
    <oddFooter>&amp;LFor Agency Review Only&amp;ROctober 2008</oddFooter>
  </headerFooter>
  <rowBreaks count="2" manualBreakCount="2">
    <brk id="57" min="4" max="19" man="1"/>
    <brk id="96" min="4" max="19" man="1"/>
  </rowBreaks>
  <colBreaks count="15" manualBreakCount="15">
    <brk id="5" min="3" max="143" man="1"/>
    <brk id="6" min="3" max="143" man="1"/>
    <brk id="7" min="3" max="143" man="1"/>
    <brk id="8" min="3" max="143" man="1"/>
    <brk id="9" min="3" max="143" man="1"/>
    <brk id="10" min="3" max="143" man="1"/>
    <brk id="11" min="3" max="143" man="1"/>
    <brk id="12" min="3" max="143" man="1"/>
    <brk id="13" min="3" max="143" man="1"/>
    <brk id="14" min="3" max="143" man="1"/>
    <brk id="15" min="3" max="143" man="1"/>
    <brk id="16" min="3" max="143" man="1"/>
    <brk id="17" min="3" max="143" man="1"/>
    <brk id="18" min="3" max="143" man="1"/>
    <brk id="19" min="3" max="143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indexed="17"/>
  </sheetPr>
  <dimension ref="A1:X707"/>
  <sheetViews>
    <sheetView showGridLines="0" showZeros="0" view="pageBreakPreview" topLeftCell="A3" zoomScale="90" zoomScaleNormal="80" zoomScaleSheetLayoutView="90" workbookViewId="0">
      <pane xSplit="2" ySplit="3" topLeftCell="C6" activePane="bottomRight" state="frozen"/>
      <selection sqref="A1:IV65536"/>
      <selection pane="topRight" sqref="A1:IV65536"/>
      <selection pane="bottomLeft" sqref="A1:IV65536"/>
      <selection pane="bottomRight" activeCell="H600" sqref="H600:H601"/>
    </sheetView>
  </sheetViews>
  <sheetFormatPr defaultColWidth="10.25" defaultRowHeight="12.75"/>
  <cols>
    <col min="1" max="1" width="6.125" style="214" customWidth="1"/>
    <col min="2" max="2" width="30.125" style="214" customWidth="1"/>
    <col min="3" max="3" width="12.5" style="229" customWidth="1"/>
    <col min="4" max="4" width="12.25" style="214" customWidth="1"/>
    <col min="5" max="5" width="14.75" style="214" customWidth="1"/>
    <col min="6" max="6" width="12.25" style="214" customWidth="1"/>
    <col min="7" max="7" width="11.375" style="214" bestFit="1" customWidth="1"/>
    <col min="8" max="8" width="10.25" style="214" customWidth="1"/>
    <col min="9" max="9" width="16" style="214" customWidth="1"/>
    <col min="10" max="10" width="10.25" style="214" customWidth="1"/>
    <col min="11" max="11" width="12.25" style="214" customWidth="1"/>
    <col min="12" max="12" width="12.375" style="214" customWidth="1"/>
    <col min="13" max="14" width="11.375" style="214" bestFit="1" customWidth="1"/>
    <col min="15" max="15" width="13.75" style="214" customWidth="1"/>
    <col min="16" max="16" width="13.875" style="214" customWidth="1"/>
    <col min="17" max="18" width="10.25" style="214" customWidth="1"/>
    <col min="19" max="19" width="14.625" style="214" customWidth="1"/>
    <col min="20" max="20" width="1.625" style="214" hidden="1" customWidth="1"/>
    <col min="21" max="21" width="15.75" style="214" customWidth="1"/>
    <col min="22" max="22" width="2" style="230" hidden="1" customWidth="1"/>
    <col min="23" max="23" width="12.375" style="214" customWidth="1"/>
    <col min="24" max="24" width="13.875" style="214" customWidth="1"/>
    <col min="25" max="16384" width="10.25" style="214"/>
  </cols>
  <sheetData>
    <row r="1" spans="1:24">
      <c r="A1" s="226"/>
      <c r="B1" s="7"/>
      <c r="C1" s="214"/>
      <c r="D1" s="233"/>
      <c r="V1" s="214"/>
    </row>
    <row r="2" spans="1:24">
      <c r="C2" s="214"/>
      <c r="V2" s="214"/>
    </row>
    <row r="3" spans="1:24" s="234" customFormat="1">
      <c r="A3" s="850"/>
      <c r="B3" s="851"/>
      <c r="C3" s="316" t="s">
        <v>1341</v>
      </c>
      <c r="D3" s="232" t="s">
        <v>916</v>
      </c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318"/>
      <c r="W3" s="232"/>
      <c r="X3" s="319"/>
    </row>
    <row r="4" spans="1:24" s="234" customFormat="1">
      <c r="A4" s="845"/>
      <c r="B4" s="852"/>
      <c r="C4" s="316" t="s">
        <v>1342</v>
      </c>
      <c r="D4" s="232"/>
      <c r="E4" s="232"/>
      <c r="F4" s="232"/>
      <c r="G4" s="232"/>
      <c r="H4" s="232"/>
      <c r="I4" s="320" t="s">
        <v>672</v>
      </c>
      <c r="J4" s="320" t="s">
        <v>1343</v>
      </c>
      <c r="K4" s="232"/>
      <c r="L4" s="232"/>
      <c r="M4" s="232"/>
      <c r="N4" s="232"/>
      <c r="O4" s="320" t="s">
        <v>1359</v>
      </c>
      <c r="P4" s="316" t="s">
        <v>1324</v>
      </c>
      <c r="Q4" s="232"/>
      <c r="R4" s="232"/>
      <c r="S4" s="321" t="s">
        <v>1360</v>
      </c>
      <c r="T4" s="316" t="s">
        <v>1334</v>
      </c>
      <c r="U4" s="316" t="s">
        <v>1362</v>
      </c>
      <c r="V4" s="320" t="s">
        <v>1808</v>
      </c>
      <c r="W4" s="316" t="s">
        <v>1361</v>
      </c>
      <c r="X4" s="320" t="s">
        <v>1907</v>
      </c>
    </row>
    <row r="5" spans="1:24" s="234" customFormat="1" ht="13.5" thickBot="1">
      <c r="A5" s="843" t="s">
        <v>913</v>
      </c>
      <c r="B5" s="843" t="s">
        <v>908</v>
      </c>
      <c r="C5" s="845">
        <v>1</v>
      </c>
      <c r="D5" s="846">
        <v>2</v>
      </c>
      <c r="E5" s="846">
        <v>3</v>
      </c>
      <c r="F5" s="846">
        <v>4</v>
      </c>
      <c r="G5" s="846">
        <v>5</v>
      </c>
      <c r="H5" s="847">
        <v>6</v>
      </c>
      <c r="I5" s="844"/>
      <c r="J5" s="845">
        <v>7</v>
      </c>
      <c r="K5" s="846">
        <v>8</v>
      </c>
      <c r="L5" s="846">
        <v>9</v>
      </c>
      <c r="M5" s="836">
        <v>10</v>
      </c>
      <c r="N5" s="848">
        <v>11</v>
      </c>
      <c r="O5" s="844"/>
      <c r="P5" s="845">
        <v>12</v>
      </c>
      <c r="Q5" s="836">
        <v>13</v>
      </c>
      <c r="R5" s="848">
        <v>14</v>
      </c>
      <c r="S5" s="849"/>
      <c r="T5" s="843">
        <v>15</v>
      </c>
      <c r="U5" s="844"/>
      <c r="V5" s="843" t="s">
        <v>1335</v>
      </c>
      <c r="W5" s="844"/>
      <c r="X5" s="844"/>
    </row>
    <row r="6" spans="1:24">
      <c r="A6" s="858" t="s">
        <v>1270</v>
      </c>
      <c r="B6" s="858" t="s">
        <v>1347</v>
      </c>
      <c r="C6" s="863">
        <v>457409147</v>
      </c>
      <c r="D6" s="913">
        <v>58100801</v>
      </c>
      <c r="E6" s="913">
        <v>207104425</v>
      </c>
      <c r="F6" s="913">
        <v>76663369</v>
      </c>
      <c r="G6" s="913">
        <v>39636246</v>
      </c>
      <c r="H6" s="923">
        <v>15148593</v>
      </c>
      <c r="I6" s="865">
        <v>854062581</v>
      </c>
      <c r="J6" s="936"/>
      <c r="K6" s="927">
        <v>52279676</v>
      </c>
      <c r="L6" s="927">
        <v>199724874</v>
      </c>
      <c r="M6" s="915">
        <v>81288616</v>
      </c>
      <c r="N6" s="928"/>
      <c r="O6" s="865">
        <v>333293166</v>
      </c>
      <c r="P6" s="867">
        <v>12866608</v>
      </c>
      <c r="Q6" s="868">
        <v>18360427</v>
      </c>
      <c r="R6" s="931"/>
      <c r="S6" s="913">
        <v>31227035</v>
      </c>
      <c r="T6" s="863">
        <v>7403879</v>
      </c>
      <c r="U6" s="932">
        <v>7403879</v>
      </c>
      <c r="V6" s="865"/>
      <c r="W6" s="932"/>
      <c r="X6" s="869">
        <v>1225986661</v>
      </c>
    </row>
    <row r="7" spans="1:24" s="216" customFormat="1">
      <c r="A7" s="862"/>
      <c r="B7" s="859" t="s">
        <v>60</v>
      </c>
      <c r="C7" s="870">
        <v>354504287</v>
      </c>
      <c r="D7" s="914">
        <v>46892043</v>
      </c>
      <c r="E7" s="914">
        <v>160757248</v>
      </c>
      <c r="F7" s="914">
        <v>66478098</v>
      </c>
      <c r="G7" s="914">
        <v>32486093</v>
      </c>
      <c r="H7" s="924">
        <v>12564590</v>
      </c>
      <c r="I7" s="872">
        <v>673682359</v>
      </c>
      <c r="J7" s="872"/>
      <c r="K7" s="914">
        <v>45367821.590000004</v>
      </c>
      <c r="L7" s="914">
        <v>173163151.97999999</v>
      </c>
      <c r="M7" s="916">
        <v>70370781.390000001</v>
      </c>
      <c r="N7" s="929"/>
      <c r="O7" s="872">
        <v>288901754.95999998</v>
      </c>
      <c r="P7" s="875">
        <v>11146721.949999999</v>
      </c>
      <c r="Q7" s="876">
        <v>16084683.16</v>
      </c>
      <c r="R7" s="874"/>
      <c r="S7" s="914">
        <v>27231405.109999999</v>
      </c>
      <c r="T7" s="870">
        <v>6745761.75</v>
      </c>
      <c r="U7" s="929">
        <v>6745761.75</v>
      </c>
      <c r="V7" s="872"/>
      <c r="W7" s="929"/>
      <c r="X7" s="877">
        <v>996561280.82000005</v>
      </c>
    </row>
    <row r="8" spans="1:24" s="215" customFormat="1" ht="13.5" thickBot="1">
      <c r="A8" s="862"/>
      <c r="B8" s="227" t="s">
        <v>906</v>
      </c>
      <c r="C8" s="878">
        <v>-22.497333224514637</v>
      </c>
      <c r="D8" s="311">
        <v>-19.291916474611082</v>
      </c>
      <c r="E8" s="311">
        <v>-22.378651252864344</v>
      </c>
      <c r="F8" s="311">
        <v>-13.285707545672823</v>
      </c>
      <c r="G8" s="311">
        <v>-18.039430373905745</v>
      </c>
      <c r="H8" s="925">
        <v>-17.057709583985787</v>
      </c>
      <c r="I8" s="879">
        <v>-21.120258165250306</v>
      </c>
      <c r="J8" s="879">
        <v>0</v>
      </c>
      <c r="K8" s="311">
        <v>-13.220920516033797</v>
      </c>
      <c r="L8" s="311">
        <v>-13.299155727593556</v>
      </c>
      <c r="M8" s="917">
        <v>-13.430951524626769</v>
      </c>
      <c r="N8" s="243">
        <v>0</v>
      </c>
      <c r="O8" s="879">
        <v>-13.319028281545972</v>
      </c>
      <c r="P8" s="882">
        <v>-13.367050974118436</v>
      </c>
      <c r="Q8" s="883">
        <v>-12.394830686671938</v>
      </c>
      <c r="R8" s="881">
        <v>0</v>
      </c>
      <c r="S8" s="311">
        <v>-12.79541874532757</v>
      </c>
      <c r="T8" s="878">
        <v>-8.8888169296121671</v>
      </c>
      <c r="U8" s="243">
        <v>-8.8888169296121671</v>
      </c>
      <c r="V8" s="879">
        <v>0</v>
      </c>
      <c r="W8" s="243">
        <v>0</v>
      </c>
      <c r="X8" s="884">
        <v>-18.713529883992745</v>
      </c>
    </row>
    <row r="9" spans="1:24">
      <c r="A9" s="862"/>
      <c r="B9" s="859" t="s">
        <v>1370</v>
      </c>
      <c r="C9" s="866">
        <v>89099207</v>
      </c>
      <c r="D9" s="914"/>
      <c r="E9" s="915">
        <v>12170007</v>
      </c>
      <c r="F9" s="920">
        <v>4252083</v>
      </c>
      <c r="G9" s="920">
        <v>1916224</v>
      </c>
      <c r="H9" s="915">
        <v>317602</v>
      </c>
      <c r="I9" s="872">
        <v>107755123</v>
      </c>
      <c r="J9" s="872"/>
      <c r="K9" s="920">
        <v>300000</v>
      </c>
      <c r="L9" s="915">
        <v>7286582</v>
      </c>
      <c r="M9" s="914">
        <v>3123135</v>
      </c>
      <c r="N9" s="929"/>
      <c r="O9" s="872">
        <v>10709717</v>
      </c>
      <c r="P9" s="870">
        <v>100000</v>
      </c>
      <c r="Q9" s="871">
        <v>569000</v>
      </c>
      <c r="R9" s="874"/>
      <c r="S9" s="914">
        <v>669000</v>
      </c>
      <c r="T9" s="866"/>
      <c r="U9" s="929"/>
      <c r="V9" s="872">
        <v>114065737</v>
      </c>
      <c r="W9" s="933">
        <v>114065737</v>
      </c>
      <c r="X9" s="877">
        <v>233199577</v>
      </c>
    </row>
    <row r="10" spans="1:24" s="216" customFormat="1">
      <c r="A10" s="862"/>
      <c r="B10" s="859" t="s">
        <v>1611</v>
      </c>
      <c r="C10" s="873">
        <v>70124253</v>
      </c>
      <c r="D10" s="914"/>
      <c r="E10" s="916">
        <v>10753240</v>
      </c>
      <c r="F10" s="914">
        <v>2793427</v>
      </c>
      <c r="G10" s="914">
        <v>1483504</v>
      </c>
      <c r="H10" s="916">
        <v>289018</v>
      </c>
      <c r="I10" s="872">
        <v>85443442</v>
      </c>
      <c r="J10" s="872"/>
      <c r="K10" s="914">
        <v>267000</v>
      </c>
      <c r="L10" s="916">
        <v>5939921</v>
      </c>
      <c r="M10" s="914">
        <v>3050747</v>
      </c>
      <c r="N10" s="929"/>
      <c r="O10" s="872">
        <v>9257668</v>
      </c>
      <c r="P10" s="870">
        <v>50000</v>
      </c>
      <c r="Q10" s="871">
        <v>125000</v>
      </c>
      <c r="R10" s="874"/>
      <c r="S10" s="914">
        <v>175000</v>
      </c>
      <c r="T10" s="873"/>
      <c r="U10" s="929"/>
      <c r="V10" s="872">
        <v>91602302</v>
      </c>
      <c r="W10" s="929">
        <v>91602302</v>
      </c>
      <c r="X10" s="877">
        <v>186478412</v>
      </c>
    </row>
    <row r="11" spans="1:24" s="215" customFormat="1" ht="13.5" thickBot="1">
      <c r="A11" s="862"/>
      <c r="B11" s="227" t="s">
        <v>1613</v>
      </c>
      <c r="C11" s="880">
        <v>-21.296434209565973</v>
      </c>
      <c r="D11" s="914">
        <v>0</v>
      </c>
      <c r="E11" s="919">
        <v>-11.641464133915452</v>
      </c>
      <c r="F11" s="922">
        <v>-34.304504404076781</v>
      </c>
      <c r="G11" s="922">
        <v>-22.5819110918139</v>
      </c>
      <c r="H11" s="919">
        <v>-8.9999433252939216</v>
      </c>
      <c r="I11" s="879">
        <v>-20.705912052088699</v>
      </c>
      <c r="J11" s="879">
        <v>0</v>
      </c>
      <c r="K11" s="922">
        <v>-11</v>
      </c>
      <c r="L11" s="919">
        <v>-18.481381256671508</v>
      </c>
      <c r="M11" s="914">
        <v>-2.3177992625999195</v>
      </c>
      <c r="N11" s="929">
        <v>0</v>
      </c>
      <c r="O11" s="234">
        <v>-13.558238747111616</v>
      </c>
      <c r="P11" s="878">
        <v>-50</v>
      </c>
      <c r="Q11" s="234">
        <v>-78.031634446397192</v>
      </c>
      <c r="R11" s="881">
        <v>0</v>
      </c>
      <c r="S11" s="914">
        <v>-73.841554559043345</v>
      </c>
      <c r="T11" s="886">
        <v>0</v>
      </c>
      <c r="U11" s="929">
        <v>0</v>
      </c>
      <c r="V11" s="872">
        <v>-19.693411528126102</v>
      </c>
      <c r="W11" s="934">
        <v>-19.693411528126102</v>
      </c>
      <c r="X11" s="877">
        <v>-20.034841229579072</v>
      </c>
    </row>
    <row r="12" spans="1:24">
      <c r="A12" s="862"/>
      <c r="B12" s="859" t="s">
        <v>61</v>
      </c>
      <c r="C12" s="870"/>
      <c r="D12" s="914"/>
      <c r="E12" s="914"/>
      <c r="F12" s="914"/>
      <c r="G12" s="914"/>
      <c r="H12" s="924"/>
      <c r="I12" s="872"/>
      <c r="J12" s="872"/>
      <c r="K12" s="914">
        <v>0</v>
      </c>
      <c r="L12" s="914">
        <v>2208361.83</v>
      </c>
      <c r="M12" s="914">
        <v>201399.78</v>
      </c>
      <c r="N12" s="929"/>
      <c r="O12" s="871">
        <v>2409761.61</v>
      </c>
      <c r="P12" s="890"/>
      <c r="Q12" s="871"/>
      <c r="R12" s="874"/>
      <c r="S12" s="914"/>
      <c r="T12" s="870"/>
      <c r="U12" s="929"/>
      <c r="V12" s="872"/>
      <c r="W12" s="929"/>
      <c r="X12" s="877">
        <v>2409761.61</v>
      </c>
    </row>
    <row r="13" spans="1:24" s="216" customFormat="1">
      <c r="A13" s="862"/>
      <c r="B13" s="859" t="s">
        <v>62</v>
      </c>
      <c r="C13" s="870"/>
      <c r="D13" s="914"/>
      <c r="E13" s="914"/>
      <c r="F13" s="914"/>
      <c r="G13" s="914"/>
      <c r="H13" s="924"/>
      <c r="I13" s="872"/>
      <c r="J13" s="872"/>
      <c r="K13" s="914">
        <v>51650</v>
      </c>
      <c r="L13" s="914">
        <v>1756000</v>
      </c>
      <c r="M13" s="914">
        <v>170000</v>
      </c>
      <c r="N13" s="929"/>
      <c r="O13" s="871">
        <v>1977650</v>
      </c>
      <c r="P13" s="891"/>
      <c r="Q13" s="871"/>
      <c r="R13" s="874"/>
      <c r="S13" s="914"/>
      <c r="T13" s="870"/>
      <c r="U13" s="929"/>
      <c r="V13" s="872"/>
      <c r="W13" s="929"/>
      <c r="X13" s="877">
        <v>1977650</v>
      </c>
    </row>
    <row r="14" spans="1:24" s="215" customFormat="1" ht="13.5" thickBot="1">
      <c r="A14" s="862"/>
      <c r="B14" s="227" t="s">
        <v>1816</v>
      </c>
      <c r="C14" s="878">
        <v>0</v>
      </c>
      <c r="D14" s="914">
        <v>0</v>
      </c>
      <c r="E14" s="914">
        <v>0</v>
      </c>
      <c r="F14" s="914">
        <v>0</v>
      </c>
      <c r="G14" s="914">
        <v>0</v>
      </c>
      <c r="H14" s="924">
        <v>0</v>
      </c>
      <c r="I14" s="872">
        <v>0</v>
      </c>
      <c r="J14" s="879">
        <v>0</v>
      </c>
      <c r="K14" s="914">
        <v>0</v>
      </c>
      <c r="L14" s="914">
        <v>-20.484044953810855</v>
      </c>
      <c r="M14" s="914">
        <v>-15.590771747615612</v>
      </c>
      <c r="N14" s="929">
        <v>0</v>
      </c>
      <c r="O14" s="234">
        <v>-17.931716075433698</v>
      </c>
      <c r="P14" s="892">
        <v>0</v>
      </c>
      <c r="Q14" s="871">
        <v>0</v>
      </c>
      <c r="R14" s="874">
        <v>0</v>
      </c>
      <c r="S14" s="914">
        <v>0</v>
      </c>
      <c r="T14" s="870">
        <v>0</v>
      </c>
      <c r="U14" s="929">
        <v>0</v>
      </c>
      <c r="V14" s="872">
        <v>0</v>
      </c>
      <c r="W14" s="929">
        <v>0</v>
      </c>
      <c r="X14" s="877">
        <v>-17.931716075433698</v>
      </c>
    </row>
    <row r="15" spans="1:24">
      <c r="A15" s="862"/>
      <c r="B15" s="859" t="s">
        <v>1588</v>
      </c>
      <c r="C15" s="867">
        <v>505645176</v>
      </c>
      <c r="D15" s="915">
        <v>41856861</v>
      </c>
      <c r="E15" s="920">
        <v>165871688</v>
      </c>
      <c r="F15" s="920">
        <v>51915900</v>
      </c>
      <c r="G15" s="915">
        <v>25811594</v>
      </c>
      <c r="H15" s="915">
        <v>10511177</v>
      </c>
      <c r="I15" s="872">
        <v>801612396</v>
      </c>
      <c r="J15" s="872"/>
      <c r="K15" s="920">
        <v>31282508.68</v>
      </c>
      <c r="L15" s="920">
        <v>84181611.889999986</v>
      </c>
      <c r="M15" s="915">
        <v>34891476.410000004</v>
      </c>
      <c r="N15" s="929"/>
      <c r="O15" s="871">
        <v>150355596.97999999</v>
      </c>
      <c r="P15" s="867">
        <v>2552385.7000000002</v>
      </c>
      <c r="Q15" s="868">
        <v>4604174.01</v>
      </c>
      <c r="R15" s="874"/>
      <c r="S15" s="914">
        <v>7156559.71</v>
      </c>
      <c r="T15" s="866">
        <v>2333445</v>
      </c>
      <c r="U15" s="929">
        <v>2333445</v>
      </c>
      <c r="V15" s="872"/>
      <c r="W15" s="929"/>
      <c r="X15" s="877">
        <v>961457997.68999994</v>
      </c>
    </row>
    <row r="16" spans="1:24" s="217" customFormat="1">
      <c r="A16" s="862"/>
      <c r="B16" s="859" t="s">
        <v>251</v>
      </c>
      <c r="C16" s="875">
        <v>494742190</v>
      </c>
      <c r="D16" s="916">
        <v>44909000</v>
      </c>
      <c r="E16" s="914">
        <v>182902056</v>
      </c>
      <c r="F16" s="914">
        <v>51107889</v>
      </c>
      <c r="G16" s="916">
        <v>27718871</v>
      </c>
      <c r="H16" s="916">
        <v>10963799</v>
      </c>
      <c r="I16" s="872">
        <v>812343805</v>
      </c>
      <c r="J16" s="872"/>
      <c r="K16" s="914">
        <v>28645165</v>
      </c>
      <c r="L16" s="914">
        <v>80509762</v>
      </c>
      <c r="M16" s="916">
        <v>34513488</v>
      </c>
      <c r="N16" s="929"/>
      <c r="O16" s="871">
        <v>143668415</v>
      </c>
      <c r="P16" s="875">
        <v>2708510</v>
      </c>
      <c r="Q16" s="876">
        <v>4620282</v>
      </c>
      <c r="R16" s="874"/>
      <c r="S16" s="914">
        <v>7328792</v>
      </c>
      <c r="T16" s="873">
        <v>2405583</v>
      </c>
      <c r="U16" s="929">
        <v>2405583</v>
      </c>
      <c r="V16" s="872"/>
      <c r="W16" s="929"/>
      <c r="X16" s="877">
        <v>965746595</v>
      </c>
    </row>
    <row r="17" spans="1:24" s="215" customFormat="1" ht="13.5" thickBot="1">
      <c r="A17" s="862"/>
      <c r="B17" s="227" t="s">
        <v>1759</v>
      </c>
      <c r="C17" s="882">
        <v>-2.1562523519457049</v>
      </c>
      <c r="D17" s="917">
        <v>7.2918487604696391</v>
      </c>
      <c r="E17" s="921">
        <v>10.267194001184819</v>
      </c>
      <c r="F17" s="921">
        <v>-1.5563844602520616</v>
      </c>
      <c r="G17" s="917">
        <v>7.3892259424195199</v>
      </c>
      <c r="H17" s="917">
        <v>4.3061019712635416</v>
      </c>
      <c r="I17" s="872">
        <v>1.3387279255596742</v>
      </c>
      <c r="J17" s="879">
        <v>0</v>
      </c>
      <c r="K17" s="922">
        <v>-8.4307294756259292</v>
      </c>
      <c r="L17" s="922">
        <v>-4.3618194134818751</v>
      </c>
      <c r="M17" s="919">
        <v>-1.0833259262473378</v>
      </c>
      <c r="N17" s="929">
        <v>0</v>
      </c>
      <c r="O17" s="234">
        <v>-4.4475776853784206</v>
      </c>
      <c r="P17" s="889">
        <v>6.1167988834916214</v>
      </c>
      <c r="Q17" s="888">
        <v>0.34985623838314106</v>
      </c>
      <c r="R17" s="874">
        <v>0</v>
      </c>
      <c r="S17" s="914">
        <v>2.4066352686100778</v>
      </c>
      <c r="T17" s="886">
        <v>3.0914806219988042</v>
      </c>
      <c r="U17" s="929">
        <v>3.0914806219988042</v>
      </c>
      <c r="V17" s="872">
        <v>0</v>
      </c>
      <c r="W17" s="929">
        <v>0</v>
      </c>
      <c r="X17" s="877">
        <v>0.4460514468966893</v>
      </c>
    </row>
    <row r="18" spans="1:24">
      <c r="A18" s="862"/>
      <c r="B18" s="859" t="s">
        <v>1590</v>
      </c>
      <c r="C18" s="873">
        <v>23591294</v>
      </c>
      <c r="D18" s="914"/>
      <c r="E18" s="914">
        <v>13784848</v>
      </c>
      <c r="F18" s="914">
        <v>6597799</v>
      </c>
      <c r="G18" s="915">
        <v>378651</v>
      </c>
      <c r="H18" s="924">
        <v>1040000</v>
      </c>
      <c r="I18" s="872">
        <v>45392592</v>
      </c>
      <c r="J18" s="872"/>
      <c r="K18" s="914">
        <v>6996282.4500000002</v>
      </c>
      <c r="L18" s="914">
        <v>16356350.420000002</v>
      </c>
      <c r="M18" s="916">
        <v>4621851.97</v>
      </c>
      <c r="N18" s="929"/>
      <c r="O18" s="871">
        <v>27974484.84</v>
      </c>
      <c r="P18" s="866">
        <v>397982</v>
      </c>
      <c r="Q18" s="876">
        <v>544736.66</v>
      </c>
      <c r="R18" s="874"/>
      <c r="S18" s="914">
        <v>942718.66</v>
      </c>
      <c r="T18" s="873">
        <v>2228138</v>
      </c>
      <c r="U18" s="929">
        <v>2228138</v>
      </c>
      <c r="V18" s="872"/>
      <c r="W18" s="929"/>
      <c r="X18" s="877">
        <v>76537933.5</v>
      </c>
    </row>
    <row r="19" spans="1:24" s="217" customFormat="1">
      <c r="A19" s="862"/>
      <c r="B19" s="859" t="s">
        <v>1319</v>
      </c>
      <c r="C19" s="873">
        <v>25746945</v>
      </c>
      <c r="D19" s="914"/>
      <c r="E19" s="914">
        <v>14141646</v>
      </c>
      <c r="F19" s="914">
        <v>8314845</v>
      </c>
      <c r="G19" s="916"/>
      <c r="H19" s="924">
        <v>1040000</v>
      </c>
      <c r="I19" s="872">
        <v>49243436</v>
      </c>
      <c r="J19" s="872"/>
      <c r="K19" s="914">
        <v>7734315</v>
      </c>
      <c r="L19" s="914">
        <v>14808538</v>
      </c>
      <c r="M19" s="916">
        <v>3961358</v>
      </c>
      <c r="N19" s="929"/>
      <c r="O19" s="871">
        <v>26504211</v>
      </c>
      <c r="P19" s="873">
        <v>394958</v>
      </c>
      <c r="Q19" s="876">
        <v>547791</v>
      </c>
      <c r="R19" s="874"/>
      <c r="S19" s="914">
        <v>942749</v>
      </c>
      <c r="T19" s="873">
        <v>2198532</v>
      </c>
      <c r="U19" s="929">
        <v>2198532</v>
      </c>
      <c r="V19" s="872"/>
      <c r="W19" s="929"/>
      <c r="X19" s="877">
        <v>78888928</v>
      </c>
    </row>
    <row r="20" spans="1:24" s="215" customFormat="1" ht="13.5" thickBot="1">
      <c r="A20" s="862"/>
      <c r="B20" s="227" t="s">
        <v>1330</v>
      </c>
      <c r="C20" s="880">
        <v>9.1374852095862149</v>
      </c>
      <c r="D20" s="914">
        <v>0</v>
      </c>
      <c r="E20" s="914">
        <v>2.5883346700667285</v>
      </c>
      <c r="F20" s="914">
        <v>26.024527270382137</v>
      </c>
      <c r="G20" s="919">
        <v>-100</v>
      </c>
      <c r="H20" s="924">
        <v>0</v>
      </c>
      <c r="I20" s="879">
        <v>8.4834194971725783</v>
      </c>
      <c r="J20" s="879">
        <v>0</v>
      </c>
      <c r="K20" s="922">
        <v>10.548924450584463</v>
      </c>
      <c r="L20" s="922">
        <v>-9.4630671283942913</v>
      </c>
      <c r="M20" s="919">
        <v>-14.290677725881382</v>
      </c>
      <c r="N20" s="929">
        <v>0</v>
      </c>
      <c r="O20" s="234">
        <v>-5.2557673480288596</v>
      </c>
      <c r="P20" s="886">
        <v>-0.75983335929765672</v>
      </c>
      <c r="Q20" s="888">
        <v>0.56070028406018557</v>
      </c>
      <c r="R20" s="874">
        <v>0</v>
      </c>
      <c r="S20" s="914">
        <v>3.218351485687936E-3</v>
      </c>
      <c r="T20" s="886">
        <v>-1.3287327804651239</v>
      </c>
      <c r="U20" s="929">
        <v>-1.3287327804651239</v>
      </c>
      <c r="V20" s="872">
        <v>0</v>
      </c>
      <c r="W20" s="929">
        <v>0</v>
      </c>
      <c r="X20" s="877">
        <v>3.0716722969793593</v>
      </c>
    </row>
    <row r="21" spans="1:24">
      <c r="A21" s="862"/>
      <c r="B21" s="859" t="s">
        <v>1889</v>
      </c>
      <c r="C21" s="870">
        <v>529236470</v>
      </c>
      <c r="D21" s="914">
        <v>41856861</v>
      </c>
      <c r="E21" s="914">
        <v>179656536</v>
      </c>
      <c r="F21" s="914">
        <v>58513699</v>
      </c>
      <c r="G21" s="914">
        <v>26190245</v>
      </c>
      <c r="H21" s="924">
        <v>11551177</v>
      </c>
      <c r="I21" s="872">
        <v>847004988</v>
      </c>
      <c r="J21" s="872"/>
      <c r="K21" s="914">
        <v>38278791.129999995</v>
      </c>
      <c r="L21" s="914">
        <v>100537962.30999999</v>
      </c>
      <c r="M21" s="914">
        <v>39513328.380000003</v>
      </c>
      <c r="N21" s="929"/>
      <c r="O21" s="871">
        <v>178330081.81999999</v>
      </c>
      <c r="P21" s="870">
        <v>2950367.7</v>
      </c>
      <c r="Q21" s="871">
        <v>5148910.67</v>
      </c>
      <c r="R21" s="874"/>
      <c r="S21" s="914">
        <v>8099278.3700000001</v>
      </c>
      <c r="T21" s="870">
        <v>4561583</v>
      </c>
      <c r="U21" s="929">
        <v>4561583</v>
      </c>
      <c r="V21" s="872">
        <v>0</v>
      </c>
      <c r="W21" s="929">
        <v>0</v>
      </c>
      <c r="X21" s="877">
        <v>1037995931.1899999</v>
      </c>
    </row>
    <row r="22" spans="1:24" s="216" customFormat="1">
      <c r="A22" s="862"/>
      <c r="B22" s="859" t="s">
        <v>626</v>
      </c>
      <c r="C22" s="870">
        <v>520489135</v>
      </c>
      <c r="D22" s="914">
        <v>44909000</v>
      </c>
      <c r="E22" s="914">
        <v>197043702</v>
      </c>
      <c r="F22" s="914">
        <v>59422734</v>
      </c>
      <c r="G22" s="914">
        <v>27718871</v>
      </c>
      <c r="H22" s="924">
        <v>12003799</v>
      </c>
      <c r="I22" s="872">
        <v>861587241</v>
      </c>
      <c r="J22" s="872"/>
      <c r="K22" s="914">
        <v>36379480</v>
      </c>
      <c r="L22" s="914">
        <v>95318300</v>
      </c>
      <c r="M22" s="914">
        <v>38474846</v>
      </c>
      <c r="N22" s="929"/>
      <c r="O22" s="871">
        <v>170172626</v>
      </c>
      <c r="P22" s="870">
        <v>3103468</v>
      </c>
      <c r="Q22" s="871">
        <v>5168073</v>
      </c>
      <c r="R22" s="874"/>
      <c r="S22" s="914">
        <v>8271541</v>
      </c>
      <c r="T22" s="870">
        <v>4604115</v>
      </c>
      <c r="U22" s="929">
        <v>4604115</v>
      </c>
      <c r="V22" s="872">
        <v>0</v>
      </c>
      <c r="W22" s="929">
        <v>0</v>
      </c>
      <c r="X22" s="877">
        <v>1044635523</v>
      </c>
    </row>
    <row r="23" spans="1:24" s="215" customFormat="1" ht="13.5" thickBot="1">
      <c r="A23" s="862"/>
      <c r="B23" s="227" t="s">
        <v>456</v>
      </c>
      <c r="C23" s="878">
        <v>-1.6528216583411193</v>
      </c>
      <c r="D23" s="311">
        <v>7.2918487604696391</v>
      </c>
      <c r="E23" s="311">
        <v>9.6780035879128832</v>
      </c>
      <c r="F23" s="311">
        <v>1.5535421884711136</v>
      </c>
      <c r="G23" s="311">
        <v>5.8366235214676303</v>
      </c>
      <c r="H23" s="925">
        <v>3.918405890585869</v>
      </c>
      <c r="I23" s="879">
        <v>1.7216253985035563</v>
      </c>
      <c r="J23" s="879">
        <v>0</v>
      </c>
      <c r="K23" s="914">
        <v>-4.9617845128642539</v>
      </c>
      <c r="L23" s="914">
        <v>-5.1917327445981218</v>
      </c>
      <c r="M23" s="914">
        <v>-2.6281824958224451</v>
      </c>
      <c r="N23" s="929">
        <v>0</v>
      </c>
      <c r="O23" s="879">
        <v>-4.5743576948693585</v>
      </c>
      <c r="P23" s="870">
        <v>5.1891938757328386</v>
      </c>
      <c r="Q23" s="871">
        <v>0.37216279768940086</v>
      </c>
      <c r="R23" s="874">
        <v>0</v>
      </c>
      <c r="S23" s="914">
        <v>2.1268886205722533</v>
      </c>
      <c r="T23" s="870">
        <v>0.93239561792474235</v>
      </c>
      <c r="U23" s="929">
        <v>0.93239561792474235</v>
      </c>
      <c r="V23" s="872">
        <v>0</v>
      </c>
      <c r="W23" s="929">
        <v>0</v>
      </c>
      <c r="X23" s="877">
        <v>0.63965489752817906</v>
      </c>
    </row>
    <row r="24" spans="1:24">
      <c r="A24" s="862"/>
      <c r="B24" s="859" t="s">
        <v>628</v>
      </c>
      <c r="C24" s="870"/>
      <c r="D24" s="914"/>
      <c r="E24" s="914"/>
      <c r="F24" s="914"/>
      <c r="G24" s="914"/>
      <c r="H24" s="924"/>
      <c r="I24" s="872"/>
      <c r="J24" s="872"/>
      <c r="K24" s="914"/>
      <c r="L24" s="914"/>
      <c r="M24" s="914"/>
      <c r="N24" s="929"/>
      <c r="O24" s="872"/>
      <c r="P24" s="870"/>
      <c r="Q24" s="871"/>
      <c r="R24" s="874"/>
      <c r="S24" s="914"/>
      <c r="T24" s="870"/>
      <c r="U24" s="929"/>
      <c r="V24" s="872">
        <v>65177134</v>
      </c>
      <c r="W24" s="933">
        <v>65177134</v>
      </c>
      <c r="X24" s="877">
        <v>65177134</v>
      </c>
    </row>
    <row r="25" spans="1:24" s="216" customFormat="1">
      <c r="A25" s="862"/>
      <c r="B25" s="859" t="s">
        <v>630</v>
      </c>
      <c r="C25" s="870"/>
      <c r="D25" s="914"/>
      <c r="E25" s="914"/>
      <c r="F25" s="914"/>
      <c r="G25" s="914"/>
      <c r="H25" s="924"/>
      <c r="I25" s="872"/>
      <c r="J25" s="872"/>
      <c r="K25" s="914"/>
      <c r="L25" s="914"/>
      <c r="M25" s="914"/>
      <c r="N25" s="929"/>
      <c r="O25" s="872"/>
      <c r="P25" s="870"/>
      <c r="Q25" s="871"/>
      <c r="R25" s="874"/>
      <c r="S25" s="914"/>
      <c r="T25" s="870"/>
      <c r="U25" s="929"/>
      <c r="V25" s="872">
        <v>56838138</v>
      </c>
      <c r="W25" s="929">
        <v>56838138</v>
      </c>
      <c r="X25" s="877">
        <v>56838138</v>
      </c>
    </row>
    <row r="26" spans="1:24" s="215" customFormat="1" ht="13.5" thickBot="1">
      <c r="A26" s="862"/>
      <c r="B26" s="227" t="s">
        <v>632</v>
      </c>
      <c r="C26" s="878">
        <v>0</v>
      </c>
      <c r="D26" s="311">
        <v>0</v>
      </c>
      <c r="E26" s="311">
        <v>0</v>
      </c>
      <c r="F26" s="311">
        <v>0</v>
      </c>
      <c r="G26" s="311">
        <v>0</v>
      </c>
      <c r="H26" s="925">
        <v>0</v>
      </c>
      <c r="I26" s="879">
        <v>0</v>
      </c>
      <c r="J26" s="879">
        <v>0</v>
      </c>
      <c r="K26" s="311">
        <v>0</v>
      </c>
      <c r="L26" s="311">
        <v>0</v>
      </c>
      <c r="M26" s="311">
        <v>0</v>
      </c>
      <c r="N26" s="243">
        <v>0</v>
      </c>
      <c r="O26" s="879">
        <v>0</v>
      </c>
      <c r="P26" s="878">
        <v>0</v>
      </c>
      <c r="Q26" s="234">
        <v>0</v>
      </c>
      <c r="R26" s="881">
        <v>0</v>
      </c>
      <c r="S26" s="311">
        <v>0</v>
      </c>
      <c r="T26" s="878">
        <v>0</v>
      </c>
      <c r="U26" s="243">
        <v>0</v>
      </c>
      <c r="V26" s="879">
        <v>-12.794358217714821</v>
      </c>
      <c r="W26" s="935">
        <v>-12.794358217714821</v>
      </c>
      <c r="X26" s="884">
        <v>-12.794358217714821</v>
      </c>
    </row>
    <row r="27" spans="1:24">
      <c r="A27" s="862"/>
      <c r="B27" s="859" t="s">
        <v>1608</v>
      </c>
      <c r="C27" s="870"/>
      <c r="D27" s="914"/>
      <c r="E27" s="914"/>
      <c r="F27" s="914"/>
      <c r="G27" s="914"/>
      <c r="H27" s="924"/>
      <c r="I27" s="872"/>
      <c r="J27" s="872"/>
      <c r="K27" s="914"/>
      <c r="L27" s="914"/>
      <c r="M27" s="914"/>
      <c r="N27" s="929"/>
      <c r="O27" s="872"/>
      <c r="P27" s="870"/>
      <c r="Q27" s="871"/>
      <c r="R27" s="874"/>
      <c r="S27" s="914"/>
      <c r="T27" s="870"/>
      <c r="U27" s="929"/>
      <c r="V27" s="872"/>
      <c r="W27" s="929"/>
      <c r="X27" s="877"/>
    </row>
    <row r="28" spans="1:24" s="216" customFormat="1">
      <c r="A28" s="862"/>
      <c r="B28" s="859" t="s">
        <v>1291</v>
      </c>
      <c r="C28" s="870"/>
      <c r="D28" s="914"/>
      <c r="E28" s="914"/>
      <c r="F28" s="914"/>
      <c r="G28" s="914"/>
      <c r="H28" s="924"/>
      <c r="I28" s="872"/>
      <c r="J28" s="872"/>
      <c r="K28" s="914"/>
      <c r="L28" s="914"/>
      <c r="M28" s="914"/>
      <c r="N28" s="929"/>
      <c r="O28" s="872"/>
      <c r="P28" s="870"/>
      <c r="Q28" s="871"/>
      <c r="R28" s="874"/>
      <c r="S28" s="914"/>
      <c r="T28" s="870"/>
      <c r="U28" s="929"/>
      <c r="V28" s="872"/>
      <c r="W28" s="929"/>
      <c r="X28" s="877"/>
    </row>
    <row r="29" spans="1:24" s="215" customFormat="1">
      <c r="A29" s="862"/>
      <c r="B29" s="227" t="s">
        <v>458</v>
      </c>
      <c r="C29" s="878">
        <v>0</v>
      </c>
      <c r="D29" s="914">
        <v>0</v>
      </c>
      <c r="E29" s="914">
        <v>0</v>
      </c>
      <c r="F29" s="914">
        <v>0</v>
      </c>
      <c r="G29" s="914">
        <v>0</v>
      </c>
      <c r="H29" s="924">
        <v>0</v>
      </c>
      <c r="I29" s="872">
        <v>0</v>
      </c>
      <c r="J29" s="879">
        <v>0</v>
      </c>
      <c r="K29" s="914">
        <v>0</v>
      </c>
      <c r="L29" s="914">
        <v>0</v>
      </c>
      <c r="M29" s="914">
        <v>0</v>
      </c>
      <c r="N29" s="929">
        <v>0</v>
      </c>
      <c r="O29" s="879">
        <v>0</v>
      </c>
      <c r="P29" s="870">
        <v>0</v>
      </c>
      <c r="Q29" s="871">
        <v>0</v>
      </c>
      <c r="R29" s="874">
        <v>0</v>
      </c>
      <c r="S29" s="914">
        <v>0</v>
      </c>
      <c r="T29" s="870">
        <v>0</v>
      </c>
      <c r="U29" s="929">
        <v>0</v>
      </c>
      <c r="V29" s="872">
        <v>0</v>
      </c>
      <c r="W29" s="929">
        <v>0</v>
      </c>
      <c r="X29" s="877">
        <v>0</v>
      </c>
    </row>
    <row r="30" spans="1:24">
      <c r="A30" s="862"/>
      <c r="B30" s="859" t="s">
        <v>1287</v>
      </c>
      <c r="C30" s="870"/>
      <c r="D30" s="914"/>
      <c r="E30" s="914"/>
      <c r="F30" s="914"/>
      <c r="G30" s="914"/>
      <c r="H30" s="924"/>
      <c r="I30" s="872"/>
      <c r="J30" s="872"/>
      <c r="K30" s="914"/>
      <c r="L30" s="914"/>
      <c r="M30" s="914"/>
      <c r="N30" s="929"/>
      <c r="O30" s="872"/>
      <c r="P30" s="870"/>
      <c r="Q30" s="871"/>
      <c r="R30" s="874"/>
      <c r="S30" s="914"/>
      <c r="T30" s="870"/>
      <c r="U30" s="929"/>
      <c r="V30" s="872"/>
      <c r="W30" s="929"/>
      <c r="X30" s="877"/>
    </row>
    <row r="31" spans="1:24" s="216" customFormat="1">
      <c r="A31" s="862"/>
      <c r="B31" s="859" t="s">
        <v>673</v>
      </c>
      <c r="C31" s="870"/>
      <c r="D31" s="914"/>
      <c r="E31" s="914"/>
      <c r="F31" s="914"/>
      <c r="G31" s="914"/>
      <c r="H31" s="924"/>
      <c r="I31" s="872"/>
      <c r="J31" s="872"/>
      <c r="K31" s="914"/>
      <c r="L31" s="914"/>
      <c r="M31" s="914"/>
      <c r="N31" s="929"/>
      <c r="O31" s="872"/>
      <c r="P31" s="870"/>
      <c r="Q31" s="871"/>
      <c r="R31" s="874"/>
      <c r="S31" s="914"/>
      <c r="T31" s="870"/>
      <c r="U31" s="929"/>
      <c r="V31" s="872"/>
      <c r="W31" s="929"/>
      <c r="X31" s="877"/>
    </row>
    <row r="32" spans="1:24" s="215" customFormat="1">
      <c r="A32" s="862"/>
      <c r="B32" s="227" t="s">
        <v>877</v>
      </c>
      <c r="C32" s="878">
        <v>0</v>
      </c>
      <c r="D32" s="914">
        <v>0</v>
      </c>
      <c r="E32" s="914">
        <v>0</v>
      </c>
      <c r="F32" s="914">
        <v>0</v>
      </c>
      <c r="G32" s="914">
        <v>0</v>
      </c>
      <c r="H32" s="924">
        <v>0</v>
      </c>
      <c r="I32" s="872">
        <v>0</v>
      </c>
      <c r="J32" s="879">
        <v>0</v>
      </c>
      <c r="K32" s="914">
        <v>0</v>
      </c>
      <c r="L32" s="914">
        <v>0</v>
      </c>
      <c r="M32" s="914">
        <v>0</v>
      </c>
      <c r="N32" s="929">
        <v>0</v>
      </c>
      <c r="O32" s="879">
        <v>0</v>
      </c>
      <c r="P32" s="870">
        <v>0</v>
      </c>
      <c r="Q32" s="871">
        <v>0</v>
      </c>
      <c r="R32" s="874">
        <v>0</v>
      </c>
      <c r="S32" s="914">
        <v>0</v>
      </c>
      <c r="T32" s="870">
        <v>0</v>
      </c>
      <c r="U32" s="929">
        <v>0</v>
      </c>
      <c r="V32" s="872">
        <v>0</v>
      </c>
      <c r="W32" s="929">
        <v>0</v>
      </c>
      <c r="X32" s="877">
        <v>0</v>
      </c>
    </row>
    <row r="33" spans="1:24">
      <c r="A33" s="862"/>
      <c r="B33" s="859" t="s">
        <v>1289</v>
      </c>
      <c r="C33" s="870">
        <v>0</v>
      </c>
      <c r="D33" s="914">
        <v>0</v>
      </c>
      <c r="E33" s="914">
        <v>0</v>
      </c>
      <c r="F33" s="914">
        <v>0</v>
      </c>
      <c r="G33" s="914">
        <v>0</v>
      </c>
      <c r="H33" s="924">
        <v>0</v>
      </c>
      <c r="I33" s="872">
        <v>0</v>
      </c>
      <c r="J33" s="872"/>
      <c r="K33" s="914">
        <v>0</v>
      </c>
      <c r="L33" s="914">
        <v>0</v>
      </c>
      <c r="M33" s="914">
        <v>0</v>
      </c>
      <c r="N33" s="929"/>
      <c r="O33" s="872">
        <v>0</v>
      </c>
      <c r="P33" s="870">
        <v>0</v>
      </c>
      <c r="Q33" s="871">
        <v>0</v>
      </c>
      <c r="R33" s="874"/>
      <c r="S33" s="914">
        <v>0</v>
      </c>
      <c r="T33" s="870">
        <v>0</v>
      </c>
      <c r="U33" s="929">
        <v>0</v>
      </c>
      <c r="V33" s="872">
        <v>0</v>
      </c>
      <c r="W33" s="929">
        <v>0</v>
      </c>
      <c r="X33" s="877">
        <v>0</v>
      </c>
    </row>
    <row r="34" spans="1:24" s="216" customFormat="1">
      <c r="A34" s="862"/>
      <c r="B34" s="859" t="s">
        <v>675</v>
      </c>
      <c r="C34" s="870">
        <v>0</v>
      </c>
      <c r="D34" s="914">
        <v>0</v>
      </c>
      <c r="E34" s="914">
        <v>0</v>
      </c>
      <c r="F34" s="914">
        <v>0</v>
      </c>
      <c r="G34" s="914">
        <v>0</v>
      </c>
      <c r="H34" s="924">
        <v>0</v>
      </c>
      <c r="I34" s="872">
        <v>0</v>
      </c>
      <c r="J34" s="872"/>
      <c r="K34" s="914">
        <v>0</v>
      </c>
      <c r="L34" s="914">
        <v>0</v>
      </c>
      <c r="M34" s="914">
        <v>0</v>
      </c>
      <c r="N34" s="929"/>
      <c r="O34" s="872">
        <v>0</v>
      </c>
      <c r="P34" s="870">
        <v>0</v>
      </c>
      <c r="Q34" s="871">
        <v>0</v>
      </c>
      <c r="R34" s="874"/>
      <c r="S34" s="914">
        <v>0</v>
      </c>
      <c r="T34" s="870">
        <v>0</v>
      </c>
      <c r="U34" s="929">
        <v>0</v>
      </c>
      <c r="V34" s="872">
        <v>0</v>
      </c>
      <c r="W34" s="929">
        <v>0</v>
      </c>
      <c r="X34" s="877">
        <v>0</v>
      </c>
    </row>
    <row r="35" spans="1:24" s="215" customFormat="1" ht="13.5" thickBot="1">
      <c r="A35" s="862"/>
      <c r="B35" s="227" t="s">
        <v>1339</v>
      </c>
      <c r="C35" s="878">
        <v>0</v>
      </c>
      <c r="D35" s="914">
        <v>0</v>
      </c>
      <c r="E35" s="914">
        <v>0</v>
      </c>
      <c r="F35" s="914">
        <v>0</v>
      </c>
      <c r="G35" s="914">
        <v>0</v>
      </c>
      <c r="H35" s="924">
        <v>0</v>
      </c>
      <c r="I35" s="872">
        <v>0</v>
      </c>
      <c r="J35" s="879">
        <v>0</v>
      </c>
      <c r="K35" s="914">
        <v>0</v>
      </c>
      <c r="L35" s="914">
        <v>0</v>
      </c>
      <c r="M35" s="914">
        <v>0</v>
      </c>
      <c r="N35" s="929">
        <v>0</v>
      </c>
      <c r="O35" s="879">
        <v>0</v>
      </c>
      <c r="P35" s="870">
        <v>0</v>
      </c>
      <c r="Q35" s="871">
        <v>0</v>
      </c>
      <c r="R35" s="874">
        <v>0</v>
      </c>
      <c r="S35" s="914">
        <v>0</v>
      </c>
      <c r="T35" s="870">
        <v>0</v>
      </c>
      <c r="U35" s="929">
        <v>0</v>
      </c>
      <c r="V35" s="872">
        <v>0</v>
      </c>
      <c r="W35" s="929">
        <v>0</v>
      </c>
      <c r="X35" s="877">
        <v>0</v>
      </c>
    </row>
    <row r="36" spans="1:24">
      <c r="A36" s="862"/>
      <c r="B36" s="859" t="s">
        <v>634</v>
      </c>
      <c r="C36" s="866">
        <v>317579766</v>
      </c>
      <c r="D36" s="914"/>
      <c r="E36" s="915">
        <v>85958678</v>
      </c>
      <c r="F36" s="914"/>
      <c r="G36" s="914"/>
      <c r="H36" s="924"/>
      <c r="I36" s="872">
        <v>403538444</v>
      </c>
      <c r="J36" s="872"/>
      <c r="K36" s="914"/>
      <c r="L36" s="914"/>
      <c r="M36" s="914"/>
      <c r="N36" s="929"/>
      <c r="O36" s="872"/>
      <c r="P36" s="870"/>
      <c r="Q36" s="871"/>
      <c r="R36" s="874"/>
      <c r="S36" s="914"/>
      <c r="T36" s="870"/>
      <c r="U36" s="929"/>
      <c r="V36" s="872"/>
      <c r="W36" s="929"/>
      <c r="X36" s="877">
        <v>403538444</v>
      </c>
    </row>
    <row r="37" spans="1:24" s="216" customFormat="1">
      <c r="A37" s="862"/>
      <c r="B37" s="859" t="s">
        <v>636</v>
      </c>
      <c r="C37" s="873">
        <v>269548604</v>
      </c>
      <c r="D37" s="914"/>
      <c r="E37" s="916">
        <v>74234061</v>
      </c>
      <c r="F37" s="914"/>
      <c r="G37" s="914"/>
      <c r="H37" s="924"/>
      <c r="I37" s="872">
        <v>343782665</v>
      </c>
      <c r="J37" s="872"/>
      <c r="K37" s="914"/>
      <c r="L37" s="914"/>
      <c r="M37" s="914"/>
      <c r="N37" s="929"/>
      <c r="O37" s="872"/>
      <c r="P37" s="870"/>
      <c r="Q37" s="871"/>
      <c r="R37" s="874"/>
      <c r="S37" s="914"/>
      <c r="T37" s="870"/>
      <c r="U37" s="929"/>
      <c r="V37" s="872"/>
      <c r="W37" s="929"/>
      <c r="X37" s="877">
        <v>343782665</v>
      </c>
    </row>
    <row r="38" spans="1:24" s="215" customFormat="1" ht="13.5" thickBot="1">
      <c r="A38" s="862"/>
      <c r="B38" s="227" t="s">
        <v>1540</v>
      </c>
      <c r="C38" s="880">
        <v>-15.124125382723532</v>
      </c>
      <c r="D38" s="914">
        <v>0</v>
      </c>
      <c r="E38" s="919">
        <v>-13.639829360800546</v>
      </c>
      <c r="F38" s="914">
        <v>0</v>
      </c>
      <c r="G38" s="914">
        <v>0</v>
      </c>
      <c r="H38" s="924">
        <v>0</v>
      </c>
      <c r="I38" s="872">
        <v>-14.807951977928527</v>
      </c>
      <c r="J38" s="879">
        <v>0</v>
      </c>
      <c r="K38" s="914">
        <v>0</v>
      </c>
      <c r="L38" s="914">
        <v>0</v>
      </c>
      <c r="M38" s="914">
        <v>0</v>
      </c>
      <c r="N38" s="929">
        <v>0</v>
      </c>
      <c r="O38" s="879">
        <v>0</v>
      </c>
      <c r="P38" s="870">
        <v>0</v>
      </c>
      <c r="Q38" s="871">
        <v>0</v>
      </c>
      <c r="R38" s="874">
        <v>0</v>
      </c>
      <c r="S38" s="914">
        <v>0</v>
      </c>
      <c r="T38" s="870">
        <v>0</v>
      </c>
      <c r="U38" s="929">
        <v>0</v>
      </c>
      <c r="V38" s="872">
        <v>0</v>
      </c>
      <c r="W38" s="929">
        <v>0</v>
      </c>
      <c r="X38" s="877">
        <v>-14.807951977928527</v>
      </c>
    </row>
    <row r="39" spans="1:24">
      <c r="A39" s="862"/>
      <c r="B39" s="859" t="s">
        <v>637</v>
      </c>
      <c r="C39" s="866">
        <v>53304785</v>
      </c>
      <c r="D39" s="914"/>
      <c r="E39" s="915">
        <v>21561898</v>
      </c>
      <c r="F39" s="914"/>
      <c r="G39" s="914"/>
      <c r="H39" s="924"/>
      <c r="I39" s="872">
        <v>74866683</v>
      </c>
      <c r="J39" s="872"/>
      <c r="K39" s="914"/>
      <c r="L39" s="914"/>
      <c r="M39" s="914"/>
      <c r="N39" s="929"/>
      <c r="O39" s="872"/>
      <c r="P39" s="870"/>
      <c r="Q39" s="871"/>
      <c r="R39" s="874"/>
      <c r="S39" s="914"/>
      <c r="T39" s="870"/>
      <c r="U39" s="929"/>
      <c r="V39" s="872"/>
      <c r="W39" s="929"/>
      <c r="X39" s="877">
        <v>74866683</v>
      </c>
    </row>
    <row r="40" spans="1:24" s="216" customFormat="1">
      <c r="A40" s="862"/>
      <c r="B40" s="859" t="s">
        <v>1890</v>
      </c>
      <c r="C40" s="873">
        <v>59047544</v>
      </c>
      <c r="D40" s="914"/>
      <c r="E40" s="916">
        <v>23787283</v>
      </c>
      <c r="F40" s="914"/>
      <c r="G40" s="914"/>
      <c r="H40" s="924"/>
      <c r="I40" s="872">
        <v>82834827</v>
      </c>
      <c r="J40" s="872"/>
      <c r="K40" s="914"/>
      <c r="L40" s="914"/>
      <c r="M40" s="914"/>
      <c r="N40" s="929"/>
      <c r="O40" s="872"/>
      <c r="P40" s="870"/>
      <c r="Q40" s="871"/>
      <c r="R40" s="874"/>
      <c r="S40" s="914"/>
      <c r="T40" s="870"/>
      <c r="U40" s="929"/>
      <c r="V40" s="872"/>
      <c r="W40" s="929"/>
      <c r="X40" s="877">
        <v>82834827</v>
      </c>
    </row>
    <row r="41" spans="1:24" s="215" customFormat="1" ht="13.5" thickBot="1">
      <c r="A41" s="862"/>
      <c r="B41" s="227" t="s">
        <v>1603</v>
      </c>
      <c r="C41" s="880">
        <v>10.773439945400774</v>
      </c>
      <c r="D41" s="914">
        <v>0</v>
      </c>
      <c r="E41" s="919">
        <v>10.320914234915683</v>
      </c>
      <c r="F41" s="914">
        <v>0</v>
      </c>
      <c r="G41" s="914">
        <v>0</v>
      </c>
      <c r="H41" s="924">
        <v>0</v>
      </c>
      <c r="I41" s="872">
        <v>10.643110767976726</v>
      </c>
      <c r="J41" s="879">
        <v>0</v>
      </c>
      <c r="K41" s="914">
        <v>0</v>
      </c>
      <c r="L41" s="914">
        <v>0</v>
      </c>
      <c r="M41" s="914">
        <v>0</v>
      </c>
      <c r="N41" s="929">
        <v>0</v>
      </c>
      <c r="O41" s="879">
        <v>0</v>
      </c>
      <c r="P41" s="870">
        <v>0</v>
      </c>
      <c r="Q41" s="871">
        <v>0</v>
      </c>
      <c r="R41" s="874">
        <v>0</v>
      </c>
      <c r="S41" s="914">
        <v>0</v>
      </c>
      <c r="T41" s="870">
        <v>0</v>
      </c>
      <c r="U41" s="929">
        <v>0</v>
      </c>
      <c r="V41" s="872">
        <v>0</v>
      </c>
      <c r="W41" s="929">
        <v>0</v>
      </c>
      <c r="X41" s="877">
        <v>10.643110767976726</v>
      </c>
    </row>
    <row r="42" spans="1:24">
      <c r="A42" s="862"/>
      <c r="B42" s="859" t="s">
        <v>377</v>
      </c>
      <c r="C42" s="870">
        <v>1052153530</v>
      </c>
      <c r="D42" s="914">
        <v>99957662</v>
      </c>
      <c r="E42" s="914">
        <v>385146120</v>
      </c>
      <c r="F42" s="914">
        <v>132831352</v>
      </c>
      <c r="G42" s="914">
        <v>67364064</v>
      </c>
      <c r="H42" s="924">
        <v>25977372</v>
      </c>
      <c r="I42" s="872">
        <v>1763430100</v>
      </c>
      <c r="J42" s="872"/>
      <c r="K42" s="914">
        <v>83862184.679999992</v>
      </c>
      <c r="L42" s="914">
        <v>293401429.72000003</v>
      </c>
      <c r="M42" s="914">
        <v>119504627.19000001</v>
      </c>
      <c r="N42" s="929"/>
      <c r="O42" s="872">
        <v>496768241.59000003</v>
      </c>
      <c r="P42" s="870">
        <v>15518993.699999999</v>
      </c>
      <c r="Q42" s="871">
        <v>23533601.009999998</v>
      </c>
      <c r="R42" s="874"/>
      <c r="S42" s="914">
        <v>39052594.709999993</v>
      </c>
      <c r="T42" s="870">
        <v>9737324</v>
      </c>
      <c r="U42" s="929">
        <v>9737324</v>
      </c>
      <c r="V42" s="872">
        <v>114065737</v>
      </c>
      <c r="W42" s="929">
        <v>114065737</v>
      </c>
      <c r="X42" s="877">
        <v>2423053997.3000002</v>
      </c>
    </row>
    <row r="43" spans="1:24" s="216" customFormat="1">
      <c r="A43" s="862"/>
      <c r="B43" s="859" t="s">
        <v>379</v>
      </c>
      <c r="C43" s="870">
        <v>919370730</v>
      </c>
      <c r="D43" s="914">
        <v>91801043</v>
      </c>
      <c r="E43" s="914">
        <v>354412544</v>
      </c>
      <c r="F43" s="914">
        <v>120379414</v>
      </c>
      <c r="G43" s="914">
        <v>61688468</v>
      </c>
      <c r="H43" s="924">
        <v>23817407</v>
      </c>
      <c r="I43" s="872">
        <v>1571469606</v>
      </c>
      <c r="J43" s="872"/>
      <c r="K43" s="914">
        <v>74331636.590000004</v>
      </c>
      <c r="L43" s="914">
        <v>261368834.98000002</v>
      </c>
      <c r="M43" s="914">
        <v>108105016.39000002</v>
      </c>
      <c r="N43" s="929"/>
      <c r="O43" s="872">
        <v>443805487.96000004</v>
      </c>
      <c r="P43" s="870">
        <v>13905231.949999999</v>
      </c>
      <c r="Q43" s="871">
        <v>20829965.16</v>
      </c>
      <c r="R43" s="874"/>
      <c r="S43" s="914">
        <v>34735197.109999999</v>
      </c>
      <c r="T43" s="870">
        <v>9151344.75</v>
      </c>
      <c r="U43" s="929">
        <v>9151344.75</v>
      </c>
      <c r="V43" s="872">
        <v>91602302</v>
      </c>
      <c r="W43" s="929">
        <v>91602302</v>
      </c>
      <c r="X43" s="877">
        <v>2150763937.8200002</v>
      </c>
    </row>
    <row r="44" spans="1:24" s="235" customFormat="1" ht="13.5" thickBot="1">
      <c r="A44" s="897"/>
      <c r="B44" s="912" t="s">
        <v>381</v>
      </c>
      <c r="C44" s="909">
        <v>-12.620097373051632</v>
      </c>
      <c r="D44" s="918">
        <v>-8.1600738120505465</v>
      </c>
      <c r="E44" s="918">
        <v>-7.9797184507531842</v>
      </c>
      <c r="F44" s="918">
        <v>-9.3742462246413023</v>
      </c>
      <c r="G44" s="918">
        <v>-8.4252577160427844</v>
      </c>
      <c r="H44" s="926">
        <v>-8.3147941215916674</v>
      </c>
      <c r="I44" s="910">
        <v>-10.885631021042457</v>
      </c>
      <c r="J44" s="910">
        <v>0</v>
      </c>
      <c r="K44" s="918">
        <v>-11.364535906578757</v>
      </c>
      <c r="L44" s="918">
        <v>-10.917668250822594</v>
      </c>
      <c r="M44" s="918">
        <v>-9.5390538994576275</v>
      </c>
      <c r="N44" s="930">
        <v>0</v>
      </c>
      <c r="O44" s="910">
        <v>-10.661461260180982</v>
      </c>
      <c r="P44" s="893">
        <v>-10.39862365560468</v>
      </c>
      <c r="Q44" s="894">
        <v>-11.488406932926063</v>
      </c>
      <c r="R44" s="895">
        <v>0</v>
      </c>
      <c r="S44" s="918">
        <v>-11.055341218837036</v>
      </c>
      <c r="T44" s="893">
        <v>-6.0178674346257761</v>
      </c>
      <c r="U44" s="930">
        <v>-6.0178674346257761</v>
      </c>
      <c r="V44" s="910">
        <v>-19.693411528126102</v>
      </c>
      <c r="W44" s="930">
        <v>-19.693411528126102</v>
      </c>
      <c r="X44" s="911">
        <v>-11.23747385668711</v>
      </c>
    </row>
    <row r="45" spans="1:24">
      <c r="A45" s="858" t="s">
        <v>1271</v>
      </c>
      <c r="B45" s="858" t="s">
        <v>1347</v>
      </c>
      <c r="C45" s="863">
        <v>120756585</v>
      </c>
      <c r="D45" s="864"/>
      <c r="E45" s="864">
        <v>177212116</v>
      </c>
      <c r="F45" s="866">
        <v>51138670</v>
      </c>
      <c r="G45" s="864">
        <v>30429951</v>
      </c>
      <c r="H45" s="864">
        <v>49817975</v>
      </c>
      <c r="I45" s="865">
        <v>429355297</v>
      </c>
      <c r="J45" s="865"/>
      <c r="K45" s="864">
        <v>16622008</v>
      </c>
      <c r="L45" s="866">
        <v>24641875</v>
      </c>
      <c r="M45" s="864">
        <v>120569227</v>
      </c>
      <c r="N45" s="864"/>
      <c r="O45" s="865">
        <v>161833110</v>
      </c>
      <c r="P45" s="863"/>
      <c r="Q45" s="864"/>
      <c r="R45" s="864"/>
      <c r="S45" s="913"/>
      <c r="T45" s="863"/>
      <c r="U45" s="863"/>
      <c r="V45" s="865"/>
      <c r="W45" s="863"/>
      <c r="X45" s="869">
        <v>591188407</v>
      </c>
    </row>
    <row r="46" spans="1:24" s="216" customFormat="1">
      <c r="A46" s="862"/>
      <c r="B46" s="859" t="s">
        <v>60</v>
      </c>
      <c r="C46" s="870">
        <v>119808304</v>
      </c>
      <c r="D46" s="896"/>
      <c r="E46" s="896">
        <v>174091069</v>
      </c>
      <c r="F46" s="873">
        <v>50939609</v>
      </c>
      <c r="G46" s="896">
        <v>30395967</v>
      </c>
      <c r="H46" s="896">
        <v>49797908</v>
      </c>
      <c r="I46" s="872">
        <v>425032857</v>
      </c>
      <c r="J46" s="872"/>
      <c r="K46" s="896">
        <v>15140211</v>
      </c>
      <c r="L46" s="873">
        <v>24407547</v>
      </c>
      <c r="M46" s="896">
        <v>122676879</v>
      </c>
      <c r="N46" s="896"/>
      <c r="O46" s="872">
        <v>162224637</v>
      </c>
      <c r="P46" s="870"/>
      <c r="Q46" s="896"/>
      <c r="R46" s="896"/>
      <c r="S46" s="914"/>
      <c r="T46" s="870"/>
      <c r="U46" s="870"/>
      <c r="V46" s="872"/>
      <c r="W46" s="870"/>
      <c r="X46" s="877">
        <v>587257494</v>
      </c>
    </row>
    <row r="47" spans="1:24" s="215" customFormat="1" ht="13.5" thickBot="1">
      <c r="A47" s="862"/>
      <c r="B47" s="859" t="s">
        <v>906</v>
      </c>
      <c r="C47" s="870">
        <v>-0.78528305516423813</v>
      </c>
      <c r="D47" s="896">
        <v>0</v>
      </c>
      <c r="E47" s="896">
        <v>-1.7611927843579271</v>
      </c>
      <c r="F47" s="886">
        <v>-0.38925728807573601</v>
      </c>
      <c r="G47" s="896">
        <v>-0.11167944371648841</v>
      </c>
      <c r="H47" s="896">
        <v>-4.0280641676021557E-2</v>
      </c>
      <c r="I47" s="872">
        <v>-1.0067280013084361</v>
      </c>
      <c r="J47" s="872">
        <v>0</v>
      </c>
      <c r="K47" s="896">
        <v>-8.9146690339699042</v>
      </c>
      <c r="L47" s="886">
        <v>-0.9509341314327745</v>
      </c>
      <c r="M47" s="896">
        <v>1.7480845257471875</v>
      </c>
      <c r="N47" s="896">
        <v>0</v>
      </c>
      <c r="O47" s="872">
        <v>0.2419325686814027</v>
      </c>
      <c r="P47" s="870">
        <v>0</v>
      </c>
      <c r="Q47" s="896">
        <v>0</v>
      </c>
      <c r="R47" s="896">
        <v>0</v>
      </c>
      <c r="S47" s="914">
        <v>0</v>
      </c>
      <c r="T47" s="870">
        <v>0</v>
      </c>
      <c r="U47" s="870">
        <v>0</v>
      </c>
      <c r="V47" s="872">
        <v>0</v>
      </c>
      <c r="W47" s="870">
        <v>0</v>
      </c>
      <c r="X47" s="877">
        <v>-0.66491713190850843</v>
      </c>
    </row>
    <row r="48" spans="1:24">
      <c r="A48" s="862"/>
      <c r="B48" s="859" t="s">
        <v>1370</v>
      </c>
      <c r="C48" s="870">
        <v>82485673</v>
      </c>
      <c r="D48" s="896"/>
      <c r="E48" s="896">
        <v>6511381</v>
      </c>
      <c r="F48" s="873">
        <v>3277469</v>
      </c>
      <c r="G48" s="896">
        <v>3951818</v>
      </c>
      <c r="H48" s="896"/>
      <c r="I48" s="872">
        <v>96226341</v>
      </c>
      <c r="J48" s="872"/>
      <c r="K48" s="896"/>
      <c r="L48" s="896"/>
      <c r="M48" s="896">
        <v>2261749</v>
      </c>
      <c r="N48" s="896"/>
      <c r="O48" s="872">
        <v>2261749</v>
      </c>
      <c r="P48" s="870"/>
      <c r="Q48" s="896"/>
      <c r="R48" s="896"/>
      <c r="S48" s="914"/>
      <c r="T48" s="870"/>
      <c r="U48" s="870"/>
      <c r="V48" s="872">
        <v>425000</v>
      </c>
      <c r="W48" s="870">
        <v>425000</v>
      </c>
      <c r="X48" s="877">
        <v>98913090</v>
      </c>
    </row>
    <row r="49" spans="1:24" s="216" customFormat="1">
      <c r="A49" s="862"/>
      <c r="B49" s="859" t="s">
        <v>1611</v>
      </c>
      <c r="C49" s="870">
        <v>81839965</v>
      </c>
      <c r="D49" s="896"/>
      <c r="E49" s="896">
        <v>3556157</v>
      </c>
      <c r="F49" s="873">
        <v>3263673</v>
      </c>
      <c r="G49" s="896">
        <v>3943279</v>
      </c>
      <c r="H49" s="896"/>
      <c r="I49" s="872">
        <v>92603074</v>
      </c>
      <c r="J49" s="872"/>
      <c r="K49" s="896"/>
      <c r="L49" s="896"/>
      <c r="M49" s="896">
        <v>2033949</v>
      </c>
      <c r="N49" s="896"/>
      <c r="O49" s="872">
        <v>2033949</v>
      </c>
      <c r="P49" s="870"/>
      <c r="Q49" s="896"/>
      <c r="R49" s="896"/>
      <c r="S49" s="914"/>
      <c r="T49" s="870"/>
      <c r="U49" s="870"/>
      <c r="V49" s="872">
        <v>425000</v>
      </c>
      <c r="W49" s="870">
        <v>425000</v>
      </c>
      <c r="X49" s="877">
        <v>95062023</v>
      </c>
    </row>
    <row r="50" spans="1:24" s="215" customFormat="1" ht="13.5" thickBot="1">
      <c r="A50" s="862"/>
      <c r="B50" s="859" t="s">
        <v>1613</v>
      </c>
      <c r="C50" s="870">
        <v>-0.78281230729608031</v>
      </c>
      <c r="D50" s="896">
        <v>0</v>
      </c>
      <c r="E50" s="896">
        <v>-45.385518064447467</v>
      </c>
      <c r="F50" s="886">
        <v>-0.42093456871750734</v>
      </c>
      <c r="G50" s="896">
        <v>-0.216077764714873</v>
      </c>
      <c r="H50" s="896">
        <v>0</v>
      </c>
      <c r="I50" s="872">
        <v>-3.7653588012870616</v>
      </c>
      <c r="J50" s="872">
        <v>0</v>
      </c>
      <c r="K50" s="896">
        <v>0</v>
      </c>
      <c r="L50" s="896">
        <v>0</v>
      </c>
      <c r="M50" s="896">
        <v>-10.071851474235205</v>
      </c>
      <c r="N50" s="896">
        <v>0</v>
      </c>
      <c r="O50" s="872">
        <v>-10.071851474235205</v>
      </c>
      <c r="P50" s="870">
        <v>0</v>
      </c>
      <c r="Q50" s="896">
        <v>0</v>
      </c>
      <c r="R50" s="896">
        <v>0</v>
      </c>
      <c r="S50" s="914">
        <v>0</v>
      </c>
      <c r="T50" s="870">
        <v>0</v>
      </c>
      <c r="U50" s="870">
        <v>0</v>
      </c>
      <c r="V50" s="872">
        <v>0</v>
      </c>
      <c r="W50" s="870">
        <v>0</v>
      </c>
      <c r="X50" s="877">
        <v>-3.8933845864081289</v>
      </c>
    </row>
    <row r="51" spans="1:24">
      <c r="A51" s="862"/>
      <c r="B51" s="859" t="s">
        <v>61</v>
      </c>
      <c r="C51" s="870"/>
      <c r="D51" s="896"/>
      <c r="E51" s="896"/>
      <c r="F51" s="896"/>
      <c r="G51" s="896"/>
      <c r="H51" s="896">
        <v>5700152</v>
      </c>
      <c r="I51" s="872">
        <v>5700152</v>
      </c>
      <c r="J51" s="898"/>
      <c r="K51" s="896"/>
      <c r="L51" s="867">
        <v>6291858</v>
      </c>
      <c r="M51" s="868">
        <v>7120079</v>
      </c>
      <c r="N51" s="896"/>
      <c r="O51" s="872">
        <v>13411937</v>
      </c>
      <c r="P51" s="870"/>
      <c r="Q51" s="896"/>
      <c r="R51" s="896"/>
      <c r="S51" s="914"/>
      <c r="T51" s="870"/>
      <c r="U51" s="870"/>
      <c r="V51" s="872"/>
      <c r="W51" s="870"/>
      <c r="X51" s="877">
        <v>19112089</v>
      </c>
    </row>
    <row r="52" spans="1:24" s="216" customFormat="1">
      <c r="A52" s="862"/>
      <c r="B52" s="859" t="s">
        <v>62</v>
      </c>
      <c r="C52" s="870"/>
      <c r="D52" s="896"/>
      <c r="E52" s="896"/>
      <c r="F52" s="896"/>
      <c r="G52" s="896"/>
      <c r="H52" s="896">
        <v>5700000</v>
      </c>
      <c r="I52" s="872">
        <v>5700000</v>
      </c>
      <c r="J52" s="899"/>
      <c r="K52" s="896"/>
      <c r="L52" s="875">
        <v>6300000</v>
      </c>
      <c r="M52" s="876">
        <v>7108000</v>
      </c>
      <c r="N52" s="896"/>
      <c r="O52" s="872">
        <v>13408000</v>
      </c>
      <c r="P52" s="870"/>
      <c r="Q52" s="896"/>
      <c r="R52" s="896"/>
      <c r="S52" s="914"/>
      <c r="T52" s="870"/>
      <c r="U52" s="870"/>
      <c r="V52" s="872"/>
      <c r="W52" s="870"/>
      <c r="X52" s="877">
        <v>19108000</v>
      </c>
    </row>
    <row r="53" spans="1:24" s="215" customFormat="1" ht="13.5" thickBot="1">
      <c r="A53" s="862"/>
      <c r="B53" s="859" t="s">
        <v>1816</v>
      </c>
      <c r="C53" s="870">
        <v>0</v>
      </c>
      <c r="D53" s="896">
        <v>0</v>
      </c>
      <c r="E53" s="896">
        <v>0</v>
      </c>
      <c r="F53" s="896">
        <v>0</v>
      </c>
      <c r="G53" s="896">
        <v>0</v>
      </c>
      <c r="H53" s="896">
        <v>-2.6665955574518012E-3</v>
      </c>
      <c r="I53" s="872">
        <v>-2.6665955574518012E-3</v>
      </c>
      <c r="J53" s="900">
        <v>0</v>
      </c>
      <c r="K53" s="896">
        <v>0</v>
      </c>
      <c r="L53" s="889">
        <v>0.12940533622977504</v>
      </c>
      <c r="M53" s="888">
        <v>-0.16964699408531844</v>
      </c>
      <c r="N53" s="896">
        <v>0</v>
      </c>
      <c r="O53" s="872">
        <v>-2.9354447459751711E-2</v>
      </c>
      <c r="P53" s="870">
        <v>0</v>
      </c>
      <c r="Q53" s="896">
        <v>0</v>
      </c>
      <c r="R53" s="896">
        <v>0</v>
      </c>
      <c r="S53" s="914">
        <v>0</v>
      </c>
      <c r="T53" s="870">
        <v>0</v>
      </c>
      <c r="U53" s="870">
        <v>0</v>
      </c>
      <c r="V53" s="872">
        <v>0</v>
      </c>
      <c r="W53" s="870">
        <v>0</v>
      </c>
      <c r="X53" s="877">
        <v>-2.1394835488679442E-2</v>
      </c>
    </row>
    <row r="54" spans="1:24">
      <c r="A54" s="862"/>
      <c r="B54" s="859" t="s">
        <v>1588</v>
      </c>
      <c r="C54" s="867">
        <v>109923156</v>
      </c>
      <c r="D54" s="885"/>
      <c r="E54" s="885">
        <v>175521325.41999999</v>
      </c>
      <c r="F54" s="885">
        <v>50519873</v>
      </c>
      <c r="G54" s="885">
        <v>25947920</v>
      </c>
      <c r="H54" s="868">
        <v>33960069</v>
      </c>
      <c r="I54" s="872">
        <v>395872343.41999996</v>
      </c>
      <c r="J54" s="872"/>
      <c r="K54" s="896">
        <v>17377259</v>
      </c>
      <c r="L54" s="896">
        <v>22042010</v>
      </c>
      <c r="M54" s="896">
        <v>51998660.340000004</v>
      </c>
      <c r="N54" s="896"/>
      <c r="O54" s="872">
        <v>91417929.340000004</v>
      </c>
      <c r="P54" s="870"/>
      <c r="Q54" s="896"/>
      <c r="R54" s="896"/>
      <c r="S54" s="914"/>
      <c r="T54" s="870"/>
      <c r="U54" s="870"/>
      <c r="V54" s="872"/>
      <c r="W54" s="870"/>
      <c r="X54" s="877">
        <v>487290272.75999999</v>
      </c>
    </row>
    <row r="55" spans="1:24" s="216" customFormat="1">
      <c r="A55" s="862"/>
      <c r="B55" s="859" t="s">
        <v>251</v>
      </c>
      <c r="C55" s="875">
        <v>96392154</v>
      </c>
      <c r="D55" s="871"/>
      <c r="E55" s="871">
        <v>176605377</v>
      </c>
      <c r="F55" s="871">
        <v>50627341</v>
      </c>
      <c r="G55" s="871">
        <v>27718763</v>
      </c>
      <c r="H55" s="876">
        <v>36235783</v>
      </c>
      <c r="I55" s="872">
        <v>387579418</v>
      </c>
      <c r="J55" s="872"/>
      <c r="K55" s="896">
        <v>19757881</v>
      </c>
      <c r="L55" s="896">
        <v>23975672</v>
      </c>
      <c r="M55" s="896">
        <v>52260353.700000003</v>
      </c>
      <c r="N55" s="896"/>
      <c r="O55" s="872">
        <v>95993906.700000003</v>
      </c>
      <c r="P55" s="870"/>
      <c r="Q55" s="896"/>
      <c r="R55" s="896"/>
      <c r="S55" s="914"/>
      <c r="T55" s="870"/>
      <c r="U55" s="870"/>
      <c r="V55" s="872"/>
      <c r="W55" s="870"/>
      <c r="X55" s="877">
        <v>483573324.69999999</v>
      </c>
    </row>
    <row r="56" spans="1:24" s="215" customFormat="1" ht="13.5" thickBot="1">
      <c r="A56" s="862"/>
      <c r="B56" s="859" t="s">
        <v>1759</v>
      </c>
      <c r="C56" s="889">
        <v>-12.309510109043813</v>
      </c>
      <c r="D56" s="887">
        <v>0</v>
      </c>
      <c r="E56" s="887">
        <v>0.61761815973416156</v>
      </c>
      <c r="F56" s="887">
        <v>0.21272420855056387</v>
      </c>
      <c r="G56" s="887">
        <v>6.8246048238163217</v>
      </c>
      <c r="H56" s="888">
        <v>6.7011465730531929</v>
      </c>
      <c r="I56" s="872">
        <v>-2.0948483918720369</v>
      </c>
      <c r="J56" s="872">
        <v>0</v>
      </c>
      <c r="K56" s="896">
        <v>13.699640432360477</v>
      </c>
      <c r="L56" s="896">
        <v>8.7726210087011118</v>
      </c>
      <c r="M56" s="896">
        <v>0.50326942711385902</v>
      </c>
      <c r="N56" s="896">
        <v>0</v>
      </c>
      <c r="O56" s="872">
        <v>5.0055578736432569</v>
      </c>
      <c r="P56" s="870">
        <v>0</v>
      </c>
      <c r="Q56" s="896">
        <v>0</v>
      </c>
      <c r="R56" s="896">
        <v>0</v>
      </c>
      <c r="S56" s="914">
        <v>0</v>
      </c>
      <c r="T56" s="870">
        <v>0</v>
      </c>
      <c r="U56" s="870">
        <v>0</v>
      </c>
      <c r="V56" s="872">
        <v>0</v>
      </c>
      <c r="W56" s="870">
        <v>0</v>
      </c>
      <c r="X56" s="877">
        <v>-0.76277903906174038</v>
      </c>
    </row>
    <row r="57" spans="1:24">
      <c r="A57" s="862"/>
      <c r="B57" s="859" t="s">
        <v>1590</v>
      </c>
      <c r="C57" s="870"/>
      <c r="D57" s="896"/>
      <c r="E57" s="896"/>
      <c r="F57" s="896"/>
      <c r="G57" s="896"/>
      <c r="H57" s="896"/>
      <c r="I57" s="872"/>
      <c r="J57" s="872"/>
      <c r="K57" s="896"/>
      <c r="L57" s="896"/>
      <c r="M57" s="896"/>
      <c r="N57" s="896"/>
      <c r="O57" s="872"/>
      <c r="P57" s="870"/>
      <c r="Q57" s="896"/>
      <c r="R57" s="896"/>
      <c r="S57" s="914"/>
      <c r="T57" s="870"/>
      <c r="U57" s="870"/>
      <c r="V57" s="872"/>
      <c r="W57" s="870"/>
      <c r="X57" s="877"/>
    </row>
    <row r="58" spans="1:24" s="216" customFormat="1">
      <c r="A58" s="862"/>
      <c r="B58" s="859" t="s">
        <v>1319</v>
      </c>
      <c r="C58" s="870"/>
      <c r="D58" s="896"/>
      <c r="E58" s="896"/>
      <c r="F58" s="896"/>
      <c r="G58" s="896"/>
      <c r="H58" s="896"/>
      <c r="I58" s="872"/>
      <c r="J58" s="872"/>
      <c r="K58" s="896"/>
      <c r="L58" s="896"/>
      <c r="M58" s="896"/>
      <c r="N58" s="896"/>
      <c r="O58" s="872"/>
      <c r="P58" s="870"/>
      <c r="Q58" s="896"/>
      <c r="R58" s="896"/>
      <c r="S58" s="914"/>
      <c r="T58" s="870"/>
      <c r="U58" s="870"/>
      <c r="V58" s="872"/>
      <c r="W58" s="870"/>
      <c r="X58" s="877"/>
    </row>
    <row r="59" spans="1:24" s="215" customFormat="1" ht="13.5" thickBot="1">
      <c r="A59" s="862"/>
      <c r="B59" s="859" t="s">
        <v>1330</v>
      </c>
      <c r="C59" s="870">
        <v>0</v>
      </c>
      <c r="D59" s="896">
        <v>0</v>
      </c>
      <c r="E59" s="896">
        <v>0</v>
      </c>
      <c r="F59" s="896">
        <v>0</v>
      </c>
      <c r="G59" s="896">
        <v>0</v>
      </c>
      <c r="H59" s="896">
        <v>0</v>
      </c>
      <c r="I59" s="872">
        <v>0</v>
      </c>
      <c r="J59" s="872">
        <v>0</v>
      </c>
      <c r="K59" s="896">
        <v>0</v>
      </c>
      <c r="L59" s="896">
        <v>0</v>
      </c>
      <c r="M59" s="896">
        <v>0</v>
      </c>
      <c r="N59" s="896">
        <v>0</v>
      </c>
      <c r="O59" s="872">
        <v>0</v>
      </c>
      <c r="P59" s="870">
        <v>0</v>
      </c>
      <c r="Q59" s="896">
        <v>0</v>
      </c>
      <c r="R59" s="896">
        <v>0</v>
      </c>
      <c r="S59" s="914">
        <v>0</v>
      </c>
      <c r="T59" s="870">
        <v>0</v>
      </c>
      <c r="U59" s="870">
        <v>0</v>
      </c>
      <c r="V59" s="872">
        <v>0</v>
      </c>
      <c r="W59" s="870">
        <v>0</v>
      </c>
      <c r="X59" s="877">
        <v>0</v>
      </c>
    </row>
    <row r="60" spans="1:24">
      <c r="A60" s="862"/>
      <c r="B60" s="859" t="s">
        <v>1889</v>
      </c>
      <c r="C60" s="866">
        <v>109923156</v>
      </c>
      <c r="D60" s="896"/>
      <c r="E60" s="896">
        <v>175521325.41999999</v>
      </c>
      <c r="F60" s="896">
        <v>50519873</v>
      </c>
      <c r="G60" s="896">
        <v>25947920</v>
      </c>
      <c r="H60" s="896">
        <v>33960069</v>
      </c>
      <c r="I60" s="872">
        <v>395872343.41999996</v>
      </c>
      <c r="J60" s="872"/>
      <c r="K60" s="896">
        <v>17377259</v>
      </c>
      <c r="L60" s="896">
        <v>22042010</v>
      </c>
      <c r="M60" s="896">
        <v>51998660.340000004</v>
      </c>
      <c r="N60" s="896"/>
      <c r="O60" s="872">
        <v>91417929.340000004</v>
      </c>
      <c r="P60" s="870"/>
      <c r="Q60" s="896"/>
      <c r="R60" s="896"/>
      <c r="S60" s="914"/>
      <c r="T60" s="870">
        <v>0</v>
      </c>
      <c r="U60" s="870">
        <v>0</v>
      </c>
      <c r="V60" s="872">
        <v>0</v>
      </c>
      <c r="W60" s="870">
        <v>0</v>
      </c>
      <c r="X60" s="877">
        <v>487290272.75999999</v>
      </c>
    </row>
    <row r="61" spans="1:24" s="216" customFormat="1">
      <c r="A61" s="862"/>
      <c r="B61" s="859" t="s">
        <v>626</v>
      </c>
      <c r="C61" s="873">
        <v>96392154</v>
      </c>
      <c r="D61" s="896"/>
      <c r="E61" s="896">
        <v>176605377</v>
      </c>
      <c r="F61" s="896">
        <v>50627341</v>
      </c>
      <c r="G61" s="896">
        <v>27718763</v>
      </c>
      <c r="H61" s="896">
        <v>36235783</v>
      </c>
      <c r="I61" s="872">
        <v>387579418</v>
      </c>
      <c r="J61" s="872"/>
      <c r="K61" s="896">
        <v>19757881</v>
      </c>
      <c r="L61" s="896">
        <v>23975672</v>
      </c>
      <c r="M61" s="896">
        <v>52260353.700000003</v>
      </c>
      <c r="N61" s="896"/>
      <c r="O61" s="872">
        <v>95993906.700000003</v>
      </c>
      <c r="P61" s="870"/>
      <c r="Q61" s="896"/>
      <c r="R61" s="896"/>
      <c r="S61" s="914"/>
      <c r="T61" s="870">
        <v>0</v>
      </c>
      <c r="U61" s="870">
        <v>0</v>
      </c>
      <c r="V61" s="872">
        <v>0</v>
      </c>
      <c r="W61" s="870">
        <v>0</v>
      </c>
      <c r="X61" s="877">
        <v>483573324.69999999</v>
      </c>
    </row>
    <row r="62" spans="1:24" s="215" customFormat="1" ht="13.5" thickBot="1">
      <c r="A62" s="862"/>
      <c r="B62" s="859" t="s">
        <v>456</v>
      </c>
      <c r="C62" s="886">
        <v>-12.309510109043813</v>
      </c>
      <c r="D62" s="896">
        <v>0</v>
      </c>
      <c r="E62" s="896">
        <v>0.61761815973416156</v>
      </c>
      <c r="F62" s="896">
        <v>0.21272420855056387</v>
      </c>
      <c r="G62" s="896">
        <v>6.8246048238163217</v>
      </c>
      <c r="H62" s="896">
        <v>6.7011465730531929</v>
      </c>
      <c r="I62" s="872">
        <v>-2.0948483918720369</v>
      </c>
      <c r="J62" s="872">
        <v>0</v>
      </c>
      <c r="K62" s="896">
        <v>13.699640432360477</v>
      </c>
      <c r="L62" s="896">
        <v>8.7726210087011118</v>
      </c>
      <c r="M62" s="896">
        <v>0.50326942711385902</v>
      </c>
      <c r="N62" s="896">
        <v>0</v>
      </c>
      <c r="O62" s="872">
        <v>5.0055578736432569</v>
      </c>
      <c r="P62" s="870">
        <v>0</v>
      </c>
      <c r="Q62" s="896">
        <v>0</v>
      </c>
      <c r="R62" s="896">
        <v>0</v>
      </c>
      <c r="S62" s="914">
        <v>0</v>
      </c>
      <c r="T62" s="870">
        <v>0</v>
      </c>
      <c r="U62" s="870">
        <v>0</v>
      </c>
      <c r="V62" s="872">
        <v>0</v>
      </c>
      <c r="W62" s="870">
        <v>0</v>
      </c>
      <c r="X62" s="877">
        <v>-0.76277903906174038</v>
      </c>
    </row>
    <row r="63" spans="1:24">
      <c r="A63" s="862"/>
      <c r="B63" s="859" t="s">
        <v>628</v>
      </c>
      <c r="C63" s="870"/>
      <c r="D63" s="896"/>
      <c r="E63" s="896"/>
      <c r="F63" s="896"/>
      <c r="G63" s="896"/>
      <c r="H63" s="896"/>
      <c r="I63" s="872"/>
      <c r="J63" s="872"/>
      <c r="K63" s="896"/>
      <c r="L63" s="896"/>
      <c r="M63" s="896"/>
      <c r="N63" s="896"/>
      <c r="O63" s="872"/>
      <c r="P63" s="870"/>
      <c r="Q63" s="896"/>
      <c r="R63" s="896"/>
      <c r="S63" s="914"/>
      <c r="T63" s="870"/>
      <c r="U63" s="870"/>
      <c r="V63" s="872">
        <v>49503093</v>
      </c>
      <c r="W63" s="870">
        <v>49503093</v>
      </c>
      <c r="X63" s="877">
        <v>49503093</v>
      </c>
    </row>
    <row r="64" spans="1:24" s="216" customFormat="1">
      <c r="A64" s="862"/>
      <c r="B64" s="859" t="s">
        <v>630</v>
      </c>
      <c r="C64" s="870"/>
      <c r="D64" s="896"/>
      <c r="E64" s="896"/>
      <c r="F64" s="896"/>
      <c r="G64" s="896"/>
      <c r="H64" s="896"/>
      <c r="I64" s="872"/>
      <c r="J64" s="872"/>
      <c r="K64" s="896"/>
      <c r="L64" s="896"/>
      <c r="M64" s="896"/>
      <c r="N64" s="896"/>
      <c r="O64" s="872"/>
      <c r="P64" s="870"/>
      <c r="Q64" s="896"/>
      <c r="R64" s="896"/>
      <c r="S64" s="914"/>
      <c r="T64" s="870"/>
      <c r="U64" s="870"/>
      <c r="V64" s="872">
        <v>52418214</v>
      </c>
      <c r="W64" s="870">
        <v>52418214</v>
      </c>
      <c r="X64" s="877">
        <v>52418214</v>
      </c>
    </row>
    <row r="65" spans="1:24" s="215" customFormat="1">
      <c r="A65" s="862"/>
      <c r="B65" s="859" t="s">
        <v>632</v>
      </c>
      <c r="C65" s="870">
        <v>0</v>
      </c>
      <c r="D65" s="896">
        <v>0</v>
      </c>
      <c r="E65" s="896">
        <v>0</v>
      </c>
      <c r="F65" s="896">
        <v>0</v>
      </c>
      <c r="G65" s="896">
        <v>0</v>
      </c>
      <c r="H65" s="896">
        <v>0</v>
      </c>
      <c r="I65" s="872">
        <v>0</v>
      </c>
      <c r="J65" s="872">
        <v>0</v>
      </c>
      <c r="K65" s="896">
        <v>0</v>
      </c>
      <c r="L65" s="896">
        <v>0</v>
      </c>
      <c r="M65" s="896">
        <v>0</v>
      </c>
      <c r="N65" s="896">
        <v>0</v>
      </c>
      <c r="O65" s="872">
        <v>0</v>
      </c>
      <c r="P65" s="870">
        <v>0</v>
      </c>
      <c r="Q65" s="896">
        <v>0</v>
      </c>
      <c r="R65" s="896">
        <v>0</v>
      </c>
      <c r="S65" s="914">
        <v>0</v>
      </c>
      <c r="T65" s="870">
        <v>0</v>
      </c>
      <c r="U65" s="870">
        <v>0</v>
      </c>
      <c r="V65" s="872">
        <v>5.8887653747211308</v>
      </c>
      <c r="W65" s="870">
        <v>5.8887653747211308</v>
      </c>
      <c r="X65" s="877">
        <v>5.8887653747211308</v>
      </c>
    </row>
    <row r="66" spans="1:24">
      <c r="A66" s="862"/>
      <c r="B66" s="859" t="s">
        <v>1608</v>
      </c>
      <c r="C66" s="870"/>
      <c r="D66" s="896"/>
      <c r="E66" s="896"/>
      <c r="F66" s="896"/>
      <c r="G66" s="896"/>
      <c r="H66" s="896"/>
      <c r="I66" s="872"/>
      <c r="J66" s="872"/>
      <c r="K66" s="896"/>
      <c r="L66" s="896"/>
      <c r="M66" s="896"/>
      <c r="N66" s="896"/>
      <c r="O66" s="872"/>
      <c r="P66" s="870"/>
      <c r="Q66" s="896"/>
      <c r="R66" s="896"/>
      <c r="S66" s="914"/>
      <c r="T66" s="870"/>
      <c r="U66" s="870"/>
      <c r="V66" s="872"/>
      <c r="W66" s="870"/>
      <c r="X66" s="877"/>
    </row>
    <row r="67" spans="1:24" s="216" customFormat="1">
      <c r="A67" s="862"/>
      <c r="B67" s="859" t="s">
        <v>1291</v>
      </c>
      <c r="C67" s="870"/>
      <c r="D67" s="896"/>
      <c r="E67" s="896"/>
      <c r="F67" s="896"/>
      <c r="G67" s="896"/>
      <c r="H67" s="896"/>
      <c r="I67" s="872"/>
      <c r="J67" s="872"/>
      <c r="K67" s="896"/>
      <c r="L67" s="896"/>
      <c r="M67" s="896"/>
      <c r="N67" s="896"/>
      <c r="O67" s="872"/>
      <c r="P67" s="870"/>
      <c r="Q67" s="896"/>
      <c r="R67" s="896"/>
      <c r="S67" s="914"/>
      <c r="T67" s="870"/>
      <c r="U67" s="870"/>
      <c r="V67" s="872"/>
      <c r="W67" s="870"/>
      <c r="X67" s="877"/>
    </row>
    <row r="68" spans="1:24" s="215" customFormat="1">
      <c r="A68" s="862"/>
      <c r="B68" s="859" t="s">
        <v>458</v>
      </c>
      <c r="C68" s="870">
        <v>0</v>
      </c>
      <c r="D68" s="896">
        <v>0</v>
      </c>
      <c r="E68" s="896">
        <v>0</v>
      </c>
      <c r="F68" s="896">
        <v>0</v>
      </c>
      <c r="G68" s="896">
        <v>0</v>
      </c>
      <c r="H68" s="896">
        <v>0</v>
      </c>
      <c r="I68" s="872">
        <v>0</v>
      </c>
      <c r="J68" s="872">
        <v>0</v>
      </c>
      <c r="K68" s="896">
        <v>0</v>
      </c>
      <c r="L68" s="896">
        <v>0</v>
      </c>
      <c r="M68" s="896">
        <v>0</v>
      </c>
      <c r="N68" s="896">
        <v>0</v>
      </c>
      <c r="O68" s="872">
        <v>0</v>
      </c>
      <c r="P68" s="870">
        <v>0</v>
      </c>
      <c r="Q68" s="896">
        <v>0</v>
      </c>
      <c r="R68" s="896">
        <v>0</v>
      </c>
      <c r="S68" s="914">
        <v>0</v>
      </c>
      <c r="T68" s="870">
        <v>0</v>
      </c>
      <c r="U68" s="870">
        <v>0</v>
      </c>
      <c r="V68" s="872">
        <v>0</v>
      </c>
      <c r="W68" s="870">
        <v>0</v>
      </c>
      <c r="X68" s="877">
        <v>0</v>
      </c>
    </row>
    <row r="69" spans="1:24">
      <c r="A69" s="862"/>
      <c r="B69" s="859" t="s">
        <v>1287</v>
      </c>
      <c r="C69" s="870"/>
      <c r="D69" s="896"/>
      <c r="E69" s="896"/>
      <c r="F69" s="896"/>
      <c r="G69" s="896"/>
      <c r="H69" s="896"/>
      <c r="I69" s="872"/>
      <c r="J69" s="872"/>
      <c r="K69" s="896"/>
      <c r="L69" s="896"/>
      <c r="M69" s="896"/>
      <c r="N69" s="896"/>
      <c r="O69" s="872"/>
      <c r="P69" s="870"/>
      <c r="Q69" s="896"/>
      <c r="R69" s="896"/>
      <c r="S69" s="914"/>
      <c r="T69" s="870"/>
      <c r="U69" s="870"/>
      <c r="V69" s="872"/>
      <c r="W69" s="870"/>
      <c r="X69" s="877"/>
    </row>
    <row r="70" spans="1:24" s="216" customFormat="1">
      <c r="A70" s="862"/>
      <c r="B70" s="859" t="s">
        <v>673</v>
      </c>
      <c r="C70" s="870"/>
      <c r="D70" s="896"/>
      <c r="E70" s="896"/>
      <c r="F70" s="896"/>
      <c r="G70" s="896"/>
      <c r="H70" s="896"/>
      <c r="I70" s="872"/>
      <c r="J70" s="872"/>
      <c r="K70" s="896"/>
      <c r="L70" s="896"/>
      <c r="M70" s="896"/>
      <c r="N70" s="896"/>
      <c r="O70" s="872"/>
      <c r="P70" s="870"/>
      <c r="Q70" s="896"/>
      <c r="R70" s="896"/>
      <c r="S70" s="914"/>
      <c r="T70" s="870"/>
      <c r="U70" s="870"/>
      <c r="V70" s="872"/>
      <c r="W70" s="870"/>
      <c r="X70" s="877"/>
    </row>
    <row r="71" spans="1:24" s="215" customFormat="1">
      <c r="A71" s="862"/>
      <c r="B71" s="859" t="s">
        <v>877</v>
      </c>
      <c r="C71" s="870">
        <v>0</v>
      </c>
      <c r="D71" s="896">
        <v>0</v>
      </c>
      <c r="E71" s="896">
        <v>0</v>
      </c>
      <c r="F71" s="896">
        <v>0</v>
      </c>
      <c r="G71" s="896">
        <v>0</v>
      </c>
      <c r="H71" s="896">
        <v>0</v>
      </c>
      <c r="I71" s="872">
        <v>0</v>
      </c>
      <c r="J71" s="872">
        <v>0</v>
      </c>
      <c r="K71" s="896">
        <v>0</v>
      </c>
      <c r="L71" s="896">
        <v>0</v>
      </c>
      <c r="M71" s="896">
        <v>0</v>
      </c>
      <c r="N71" s="896">
        <v>0</v>
      </c>
      <c r="O71" s="872">
        <v>0</v>
      </c>
      <c r="P71" s="870">
        <v>0</v>
      </c>
      <c r="Q71" s="896">
        <v>0</v>
      </c>
      <c r="R71" s="896">
        <v>0</v>
      </c>
      <c r="S71" s="914">
        <v>0</v>
      </c>
      <c r="T71" s="870">
        <v>0</v>
      </c>
      <c r="U71" s="870">
        <v>0</v>
      </c>
      <c r="V71" s="872">
        <v>0</v>
      </c>
      <c r="W71" s="870">
        <v>0</v>
      </c>
      <c r="X71" s="877">
        <v>0</v>
      </c>
    </row>
    <row r="72" spans="1:24">
      <c r="A72" s="862"/>
      <c r="B72" s="859" t="s">
        <v>1289</v>
      </c>
      <c r="C72" s="870">
        <v>0</v>
      </c>
      <c r="D72" s="896"/>
      <c r="E72" s="896">
        <v>0</v>
      </c>
      <c r="F72" s="896">
        <v>0</v>
      </c>
      <c r="G72" s="896">
        <v>0</v>
      </c>
      <c r="H72" s="896">
        <v>0</v>
      </c>
      <c r="I72" s="872">
        <v>0</v>
      </c>
      <c r="J72" s="872"/>
      <c r="K72" s="896">
        <v>0</v>
      </c>
      <c r="L72" s="896">
        <v>0</v>
      </c>
      <c r="M72" s="896">
        <v>0</v>
      </c>
      <c r="N72" s="896"/>
      <c r="O72" s="872">
        <v>0</v>
      </c>
      <c r="P72" s="870"/>
      <c r="Q72" s="896"/>
      <c r="R72" s="896"/>
      <c r="S72" s="914"/>
      <c r="T72" s="870">
        <v>0</v>
      </c>
      <c r="U72" s="870">
        <v>0</v>
      </c>
      <c r="V72" s="872">
        <v>0</v>
      </c>
      <c r="W72" s="870">
        <v>0</v>
      </c>
      <c r="X72" s="877">
        <v>0</v>
      </c>
    </row>
    <row r="73" spans="1:24" s="216" customFormat="1">
      <c r="A73" s="862"/>
      <c r="B73" s="859" t="s">
        <v>675</v>
      </c>
      <c r="C73" s="870">
        <v>0</v>
      </c>
      <c r="D73" s="896"/>
      <c r="E73" s="896">
        <v>0</v>
      </c>
      <c r="F73" s="896">
        <v>0</v>
      </c>
      <c r="G73" s="896">
        <v>0</v>
      </c>
      <c r="H73" s="896">
        <v>0</v>
      </c>
      <c r="I73" s="872">
        <v>0</v>
      </c>
      <c r="J73" s="872"/>
      <c r="K73" s="896">
        <v>0</v>
      </c>
      <c r="L73" s="896">
        <v>0</v>
      </c>
      <c r="M73" s="896">
        <v>0</v>
      </c>
      <c r="N73" s="896"/>
      <c r="O73" s="872">
        <v>0</v>
      </c>
      <c r="P73" s="870"/>
      <c r="Q73" s="896"/>
      <c r="R73" s="896"/>
      <c r="S73" s="914"/>
      <c r="T73" s="870">
        <v>0</v>
      </c>
      <c r="U73" s="870">
        <v>0</v>
      </c>
      <c r="V73" s="872">
        <v>0</v>
      </c>
      <c r="W73" s="870">
        <v>0</v>
      </c>
      <c r="X73" s="877">
        <v>0</v>
      </c>
    </row>
    <row r="74" spans="1:24" s="215" customFormat="1">
      <c r="A74" s="862"/>
      <c r="B74" s="859" t="s">
        <v>1339</v>
      </c>
      <c r="C74" s="870">
        <v>0</v>
      </c>
      <c r="D74" s="896">
        <v>0</v>
      </c>
      <c r="E74" s="896">
        <v>0</v>
      </c>
      <c r="F74" s="896">
        <v>0</v>
      </c>
      <c r="G74" s="896">
        <v>0</v>
      </c>
      <c r="H74" s="896">
        <v>0</v>
      </c>
      <c r="I74" s="872">
        <v>0</v>
      </c>
      <c r="J74" s="872">
        <v>0</v>
      </c>
      <c r="K74" s="896">
        <v>0</v>
      </c>
      <c r="L74" s="896">
        <v>0</v>
      </c>
      <c r="M74" s="896">
        <v>0</v>
      </c>
      <c r="N74" s="896">
        <v>0</v>
      </c>
      <c r="O74" s="872">
        <v>0</v>
      </c>
      <c r="P74" s="870">
        <v>0</v>
      </c>
      <c r="Q74" s="896">
        <v>0</v>
      </c>
      <c r="R74" s="896">
        <v>0</v>
      </c>
      <c r="S74" s="914">
        <v>0</v>
      </c>
      <c r="T74" s="870">
        <v>0</v>
      </c>
      <c r="U74" s="870">
        <v>0</v>
      </c>
      <c r="V74" s="872">
        <v>0</v>
      </c>
      <c r="W74" s="870">
        <v>0</v>
      </c>
      <c r="X74" s="877">
        <v>0</v>
      </c>
    </row>
    <row r="75" spans="1:24">
      <c r="A75" s="862"/>
      <c r="B75" s="859" t="s">
        <v>634</v>
      </c>
      <c r="C75" s="870"/>
      <c r="D75" s="896"/>
      <c r="E75" s="896"/>
      <c r="F75" s="896"/>
      <c r="G75" s="896"/>
      <c r="H75" s="896"/>
      <c r="I75" s="872"/>
      <c r="J75" s="872"/>
      <c r="K75" s="896"/>
      <c r="L75" s="896"/>
      <c r="M75" s="896"/>
      <c r="N75" s="896"/>
      <c r="O75" s="872"/>
      <c r="P75" s="870"/>
      <c r="Q75" s="896"/>
      <c r="R75" s="896"/>
      <c r="S75" s="914"/>
      <c r="T75" s="870">
        <v>104006516</v>
      </c>
      <c r="U75" s="870">
        <v>104006516</v>
      </c>
      <c r="V75" s="872"/>
      <c r="W75" s="870"/>
      <c r="X75" s="877">
        <v>104006516</v>
      </c>
    </row>
    <row r="76" spans="1:24" s="216" customFormat="1">
      <c r="A76" s="862"/>
      <c r="B76" s="859" t="s">
        <v>636</v>
      </c>
      <c r="C76" s="870"/>
      <c r="D76" s="896"/>
      <c r="E76" s="896"/>
      <c r="F76" s="896"/>
      <c r="G76" s="896"/>
      <c r="H76" s="896"/>
      <c r="I76" s="872"/>
      <c r="J76" s="872"/>
      <c r="K76" s="896"/>
      <c r="L76" s="896"/>
      <c r="M76" s="896"/>
      <c r="N76" s="896"/>
      <c r="O76" s="872"/>
      <c r="P76" s="870"/>
      <c r="Q76" s="896"/>
      <c r="R76" s="896"/>
      <c r="S76" s="914"/>
      <c r="T76" s="870">
        <v>102272246</v>
      </c>
      <c r="U76" s="870">
        <v>102272246</v>
      </c>
      <c r="V76" s="872"/>
      <c r="W76" s="870"/>
      <c r="X76" s="877">
        <v>102272246</v>
      </c>
    </row>
    <row r="77" spans="1:24" s="215" customFormat="1" ht="13.5" thickBot="1">
      <c r="A77" s="862"/>
      <c r="B77" s="859" t="s">
        <v>1540</v>
      </c>
      <c r="C77" s="870">
        <v>0</v>
      </c>
      <c r="D77" s="896">
        <v>0</v>
      </c>
      <c r="E77" s="896">
        <v>0</v>
      </c>
      <c r="F77" s="896">
        <v>0</v>
      </c>
      <c r="G77" s="896">
        <v>0</v>
      </c>
      <c r="H77" s="896">
        <v>0</v>
      </c>
      <c r="I77" s="872">
        <v>0</v>
      </c>
      <c r="J77" s="872">
        <v>0</v>
      </c>
      <c r="K77" s="896">
        <v>0</v>
      </c>
      <c r="L77" s="896">
        <v>0</v>
      </c>
      <c r="M77" s="896">
        <v>0</v>
      </c>
      <c r="N77" s="896">
        <v>0</v>
      </c>
      <c r="O77" s="872">
        <v>0</v>
      </c>
      <c r="P77" s="870">
        <v>0</v>
      </c>
      <c r="Q77" s="896">
        <v>0</v>
      </c>
      <c r="R77" s="896">
        <v>0</v>
      </c>
      <c r="S77" s="914">
        <v>0</v>
      </c>
      <c r="T77" s="870">
        <v>-1.667462834732393</v>
      </c>
      <c r="U77" s="870">
        <v>-1.667462834732393</v>
      </c>
      <c r="V77" s="872">
        <v>0</v>
      </c>
      <c r="W77" s="870">
        <v>0</v>
      </c>
      <c r="X77" s="877">
        <v>-1.667462834732393</v>
      </c>
    </row>
    <row r="78" spans="1:24">
      <c r="A78" s="862"/>
      <c r="B78" s="859" t="s">
        <v>637</v>
      </c>
      <c r="C78" s="870"/>
      <c r="D78" s="896"/>
      <c r="E78" s="896"/>
      <c r="F78" s="896"/>
      <c r="G78" s="896"/>
      <c r="H78" s="896"/>
      <c r="I78" s="872"/>
      <c r="J78" s="872"/>
      <c r="K78" s="896"/>
      <c r="L78" s="896"/>
      <c r="M78" s="896"/>
      <c r="N78" s="896"/>
      <c r="O78" s="872"/>
      <c r="P78" s="870"/>
      <c r="Q78" s="896"/>
      <c r="R78" s="896"/>
      <c r="S78" s="914"/>
      <c r="T78" s="866">
        <v>18677967</v>
      </c>
      <c r="U78" s="870">
        <v>18677967</v>
      </c>
      <c r="V78" s="872"/>
      <c r="W78" s="870"/>
      <c r="X78" s="877">
        <v>18677967</v>
      </c>
    </row>
    <row r="79" spans="1:24" s="216" customFormat="1">
      <c r="A79" s="862"/>
      <c r="B79" s="859" t="s">
        <v>1890</v>
      </c>
      <c r="C79" s="870"/>
      <c r="D79" s="896"/>
      <c r="E79" s="896"/>
      <c r="F79" s="896"/>
      <c r="G79" s="896"/>
      <c r="H79" s="896"/>
      <c r="I79" s="872"/>
      <c r="J79" s="872"/>
      <c r="K79" s="896"/>
      <c r="L79" s="896"/>
      <c r="M79" s="896"/>
      <c r="N79" s="896"/>
      <c r="O79" s="872"/>
      <c r="P79" s="870"/>
      <c r="Q79" s="896"/>
      <c r="R79" s="896"/>
      <c r="S79" s="914"/>
      <c r="T79" s="873">
        <v>23046000</v>
      </c>
      <c r="U79" s="870">
        <v>23046000</v>
      </c>
      <c r="V79" s="872"/>
      <c r="W79" s="870"/>
      <c r="X79" s="877">
        <v>23046000</v>
      </c>
    </row>
    <row r="80" spans="1:24" s="215" customFormat="1" ht="13.5" thickBot="1">
      <c r="A80" s="862"/>
      <c r="B80" s="859" t="s">
        <v>1603</v>
      </c>
      <c r="C80" s="870">
        <v>0</v>
      </c>
      <c r="D80" s="896">
        <v>0</v>
      </c>
      <c r="E80" s="896">
        <v>0</v>
      </c>
      <c r="F80" s="896">
        <v>0</v>
      </c>
      <c r="G80" s="896">
        <v>0</v>
      </c>
      <c r="H80" s="896">
        <v>0</v>
      </c>
      <c r="I80" s="872">
        <v>0</v>
      </c>
      <c r="J80" s="872">
        <v>0</v>
      </c>
      <c r="K80" s="896">
        <v>0</v>
      </c>
      <c r="L80" s="896">
        <v>0</v>
      </c>
      <c r="M80" s="896">
        <v>0</v>
      </c>
      <c r="N80" s="896">
        <v>0</v>
      </c>
      <c r="O80" s="872">
        <v>0</v>
      </c>
      <c r="P80" s="870">
        <v>0</v>
      </c>
      <c r="Q80" s="896">
        <v>0</v>
      </c>
      <c r="R80" s="896">
        <v>0</v>
      </c>
      <c r="S80" s="914">
        <v>0</v>
      </c>
      <c r="T80" s="886">
        <v>23.386019474175107</v>
      </c>
      <c r="U80" s="870">
        <v>23.386019474175107</v>
      </c>
      <c r="V80" s="872">
        <v>0</v>
      </c>
      <c r="W80" s="870">
        <v>0</v>
      </c>
      <c r="X80" s="877">
        <v>23.386019474175107</v>
      </c>
    </row>
    <row r="81" spans="1:24">
      <c r="A81" s="862"/>
      <c r="B81" s="859" t="s">
        <v>377</v>
      </c>
      <c r="C81" s="870">
        <v>313165414</v>
      </c>
      <c r="D81" s="896"/>
      <c r="E81" s="896">
        <v>359244822.41999996</v>
      </c>
      <c r="F81" s="896">
        <v>104936012</v>
      </c>
      <c r="G81" s="896">
        <v>60329689</v>
      </c>
      <c r="H81" s="896">
        <v>89478196</v>
      </c>
      <c r="I81" s="872">
        <v>927154133.41999996</v>
      </c>
      <c r="J81" s="872"/>
      <c r="K81" s="896">
        <v>33999267</v>
      </c>
      <c r="L81" s="896">
        <v>52975743</v>
      </c>
      <c r="M81" s="896">
        <v>181949715.33999997</v>
      </c>
      <c r="N81" s="896"/>
      <c r="O81" s="872">
        <v>268924725.33999997</v>
      </c>
      <c r="P81" s="870"/>
      <c r="Q81" s="896"/>
      <c r="R81" s="896"/>
      <c r="S81" s="914"/>
      <c r="T81" s="870">
        <v>0</v>
      </c>
      <c r="U81" s="870">
        <v>0</v>
      </c>
      <c r="V81" s="872">
        <v>425000</v>
      </c>
      <c r="W81" s="870">
        <v>425000</v>
      </c>
      <c r="X81" s="877">
        <v>1196503858.76</v>
      </c>
    </row>
    <row r="82" spans="1:24" s="216" customFormat="1">
      <c r="A82" s="862"/>
      <c r="B82" s="859" t="s">
        <v>379</v>
      </c>
      <c r="C82" s="870">
        <v>298040423</v>
      </c>
      <c r="D82" s="896"/>
      <c r="E82" s="896">
        <v>354252603</v>
      </c>
      <c r="F82" s="896">
        <v>104830623</v>
      </c>
      <c r="G82" s="896">
        <v>62058009</v>
      </c>
      <c r="H82" s="896">
        <v>91733691</v>
      </c>
      <c r="I82" s="872">
        <v>910915349</v>
      </c>
      <c r="J82" s="872"/>
      <c r="K82" s="896">
        <v>34898092</v>
      </c>
      <c r="L82" s="896">
        <v>54683219</v>
      </c>
      <c r="M82" s="896">
        <v>184079181.69999999</v>
      </c>
      <c r="N82" s="896"/>
      <c r="O82" s="872">
        <v>273660492.69999999</v>
      </c>
      <c r="P82" s="870"/>
      <c r="Q82" s="896"/>
      <c r="R82" s="896"/>
      <c r="S82" s="914"/>
      <c r="T82" s="870">
        <v>0</v>
      </c>
      <c r="U82" s="870">
        <v>0</v>
      </c>
      <c r="V82" s="872">
        <v>425000</v>
      </c>
      <c r="W82" s="870">
        <v>425000</v>
      </c>
      <c r="X82" s="877">
        <v>1185000841.7</v>
      </c>
    </row>
    <row r="83" spans="1:24" s="228" customFormat="1">
      <c r="A83" s="897"/>
      <c r="B83" s="859" t="s">
        <v>381</v>
      </c>
      <c r="C83" s="870">
        <v>-4.8297130921360303</v>
      </c>
      <c r="D83" s="896">
        <v>0</v>
      </c>
      <c r="E83" s="896">
        <v>-1.3896426916804547</v>
      </c>
      <c r="F83" s="896">
        <v>-0.10043168021289012</v>
      </c>
      <c r="G83" s="896">
        <v>2.8647918274533124</v>
      </c>
      <c r="H83" s="896">
        <v>2.5207202433987383</v>
      </c>
      <c r="I83" s="872">
        <v>-1.7514654613143938</v>
      </c>
      <c r="J83" s="872">
        <v>0</v>
      </c>
      <c r="K83" s="896">
        <v>2.6436599353744894</v>
      </c>
      <c r="L83" s="896">
        <v>3.2231279889741233</v>
      </c>
      <c r="M83" s="896">
        <v>1.1703598194813283</v>
      </c>
      <c r="N83" s="896">
        <v>0</v>
      </c>
      <c r="O83" s="872">
        <v>1.7610010957573912</v>
      </c>
      <c r="P83" s="870">
        <v>0</v>
      </c>
      <c r="Q83" s="896">
        <v>0</v>
      </c>
      <c r="R83" s="896">
        <v>0</v>
      </c>
      <c r="S83" s="914">
        <v>0</v>
      </c>
      <c r="T83" s="870">
        <v>0</v>
      </c>
      <c r="U83" s="870">
        <v>0</v>
      </c>
      <c r="V83" s="872">
        <v>0</v>
      </c>
      <c r="W83" s="870">
        <v>0</v>
      </c>
      <c r="X83" s="877">
        <v>-0.96138570517617272</v>
      </c>
    </row>
    <row r="84" spans="1:24">
      <c r="A84" s="858" t="s">
        <v>1276</v>
      </c>
      <c r="B84" s="858" t="s">
        <v>1347</v>
      </c>
      <c r="C84" s="863">
        <v>122142600</v>
      </c>
      <c r="D84" s="864"/>
      <c r="E84" s="864"/>
      <c r="F84" s="864">
        <v>35357200</v>
      </c>
      <c r="G84" s="864"/>
      <c r="H84" s="864"/>
      <c r="I84" s="865">
        <v>157499800</v>
      </c>
      <c r="J84" s="865"/>
      <c r="K84" s="864"/>
      <c r="L84" s="864">
        <v>47297900</v>
      </c>
      <c r="M84" s="864">
        <v>11323000</v>
      </c>
      <c r="N84" s="864"/>
      <c r="O84" s="865">
        <v>58620900</v>
      </c>
      <c r="P84" s="863"/>
      <c r="Q84" s="864"/>
      <c r="R84" s="864"/>
      <c r="S84" s="913"/>
      <c r="T84" s="863"/>
      <c r="U84" s="863"/>
      <c r="V84" s="865"/>
      <c r="W84" s="863"/>
      <c r="X84" s="869">
        <v>216120700</v>
      </c>
    </row>
    <row r="85" spans="1:24" s="216" customFormat="1">
      <c r="A85" s="862"/>
      <c r="B85" s="859" t="s">
        <v>60</v>
      </c>
      <c r="C85" s="870">
        <v>124927700</v>
      </c>
      <c r="D85" s="896"/>
      <c r="E85" s="896"/>
      <c r="F85" s="896">
        <v>38787500</v>
      </c>
      <c r="G85" s="896"/>
      <c r="H85" s="896"/>
      <c r="I85" s="872">
        <v>163715200</v>
      </c>
      <c r="J85" s="872"/>
      <c r="K85" s="896"/>
      <c r="L85" s="896">
        <v>49186200</v>
      </c>
      <c r="M85" s="896">
        <v>11633900</v>
      </c>
      <c r="N85" s="896"/>
      <c r="O85" s="872">
        <v>60820100</v>
      </c>
      <c r="P85" s="870"/>
      <c r="Q85" s="896"/>
      <c r="R85" s="896"/>
      <c r="S85" s="914"/>
      <c r="T85" s="870"/>
      <c r="U85" s="870"/>
      <c r="V85" s="872"/>
      <c r="W85" s="870"/>
      <c r="X85" s="877">
        <v>224535300</v>
      </c>
    </row>
    <row r="86" spans="1:24" s="215" customFormat="1" ht="13.5" thickBot="1">
      <c r="A86" s="862"/>
      <c r="B86" s="859" t="s">
        <v>906</v>
      </c>
      <c r="C86" s="870">
        <v>2.2802036308380531</v>
      </c>
      <c r="D86" s="896">
        <v>0</v>
      </c>
      <c r="E86" s="896">
        <v>0</v>
      </c>
      <c r="F86" s="896">
        <v>9.7018429061124749</v>
      </c>
      <c r="G86" s="896">
        <v>0</v>
      </c>
      <c r="H86" s="896">
        <v>0</v>
      </c>
      <c r="I86" s="872">
        <v>3.9462907254485402</v>
      </c>
      <c r="J86" s="872">
        <v>0</v>
      </c>
      <c r="K86" s="896">
        <v>0</v>
      </c>
      <c r="L86" s="896">
        <v>3.9923548402783213</v>
      </c>
      <c r="M86" s="896">
        <v>2.7457387618122406</v>
      </c>
      <c r="N86" s="896">
        <v>0</v>
      </c>
      <c r="O86" s="872">
        <v>3.7515630090974383</v>
      </c>
      <c r="P86" s="870">
        <v>0</v>
      </c>
      <c r="Q86" s="896">
        <v>0</v>
      </c>
      <c r="R86" s="896">
        <v>0</v>
      </c>
      <c r="S86" s="914">
        <v>0</v>
      </c>
      <c r="T86" s="870">
        <v>0</v>
      </c>
      <c r="U86" s="870">
        <v>0</v>
      </c>
      <c r="V86" s="872">
        <v>0</v>
      </c>
      <c r="W86" s="870">
        <v>0</v>
      </c>
      <c r="X86" s="877">
        <v>3.8934724901409257</v>
      </c>
    </row>
    <row r="87" spans="1:24">
      <c r="A87" s="862"/>
      <c r="B87" s="859" t="s">
        <v>1370</v>
      </c>
      <c r="C87" s="866">
        <v>9052900</v>
      </c>
      <c r="D87" s="896"/>
      <c r="E87" s="896"/>
      <c r="F87" s="866">
        <v>592900</v>
      </c>
      <c r="G87" s="896"/>
      <c r="H87" s="896"/>
      <c r="I87" s="872">
        <v>9645800</v>
      </c>
      <c r="J87" s="872"/>
      <c r="K87" s="896"/>
      <c r="L87" s="896"/>
      <c r="M87" s="896"/>
      <c r="N87" s="896"/>
      <c r="O87" s="872"/>
      <c r="P87" s="870"/>
      <c r="Q87" s="896"/>
      <c r="R87" s="896"/>
      <c r="S87" s="914"/>
      <c r="T87" s="870"/>
      <c r="U87" s="870"/>
      <c r="V87" s="898">
        <v>2349200</v>
      </c>
      <c r="W87" s="870">
        <v>2349200</v>
      </c>
      <c r="X87" s="877">
        <v>11995000</v>
      </c>
    </row>
    <row r="88" spans="1:24" s="216" customFormat="1">
      <c r="A88" s="862"/>
      <c r="B88" s="859" t="s">
        <v>1611</v>
      </c>
      <c r="C88" s="873">
        <v>9592100</v>
      </c>
      <c r="D88" s="896"/>
      <c r="E88" s="896"/>
      <c r="F88" s="873"/>
      <c r="G88" s="896"/>
      <c r="H88" s="896"/>
      <c r="I88" s="872">
        <v>9592100</v>
      </c>
      <c r="J88" s="872"/>
      <c r="K88" s="896"/>
      <c r="L88" s="896"/>
      <c r="M88" s="896"/>
      <c r="N88" s="896"/>
      <c r="O88" s="872"/>
      <c r="P88" s="870"/>
      <c r="Q88" s="896"/>
      <c r="R88" s="896"/>
      <c r="S88" s="914"/>
      <c r="T88" s="870"/>
      <c r="U88" s="870"/>
      <c r="V88" s="899">
        <v>2278900</v>
      </c>
      <c r="W88" s="870">
        <v>2278900</v>
      </c>
      <c r="X88" s="877">
        <v>11871000</v>
      </c>
    </row>
    <row r="89" spans="1:24" s="215" customFormat="1" ht="13.5" thickBot="1">
      <c r="A89" s="862"/>
      <c r="B89" s="859" t="s">
        <v>1613</v>
      </c>
      <c r="C89" s="886">
        <v>5.9561024644036715</v>
      </c>
      <c r="D89" s="896">
        <v>0</v>
      </c>
      <c r="E89" s="896">
        <v>0</v>
      </c>
      <c r="F89" s="886">
        <v>-100</v>
      </c>
      <c r="G89" s="896">
        <v>0</v>
      </c>
      <c r="H89" s="896">
        <v>0</v>
      </c>
      <c r="I89" s="872">
        <v>-0.55671898650189722</v>
      </c>
      <c r="J89" s="872">
        <v>0</v>
      </c>
      <c r="K89" s="896">
        <v>0</v>
      </c>
      <c r="L89" s="896">
        <v>0</v>
      </c>
      <c r="M89" s="896">
        <v>0</v>
      </c>
      <c r="N89" s="896">
        <v>0</v>
      </c>
      <c r="O89" s="872">
        <v>0</v>
      </c>
      <c r="P89" s="870">
        <v>0</v>
      </c>
      <c r="Q89" s="896">
        <v>0</v>
      </c>
      <c r="R89" s="896">
        <v>0</v>
      </c>
      <c r="S89" s="914">
        <v>0</v>
      </c>
      <c r="T89" s="870">
        <v>0</v>
      </c>
      <c r="U89" s="870">
        <v>0</v>
      </c>
      <c r="V89" s="900">
        <v>-2.9925080878596968</v>
      </c>
      <c r="W89" s="870">
        <v>-2.9925080878596968</v>
      </c>
      <c r="X89" s="877">
        <v>-1.0337640683618174</v>
      </c>
    </row>
    <row r="90" spans="1:24">
      <c r="A90" s="862"/>
      <c r="B90" s="859" t="s">
        <v>61</v>
      </c>
      <c r="C90" s="870"/>
      <c r="D90" s="896"/>
      <c r="E90" s="896"/>
      <c r="F90" s="896"/>
      <c r="G90" s="896"/>
      <c r="H90" s="896"/>
      <c r="I90" s="872"/>
      <c r="J90" s="872"/>
      <c r="K90" s="896"/>
      <c r="L90" s="896"/>
      <c r="M90" s="896"/>
      <c r="N90" s="896"/>
      <c r="O90" s="872"/>
      <c r="P90" s="870"/>
      <c r="Q90" s="896"/>
      <c r="R90" s="896"/>
      <c r="S90" s="914"/>
      <c r="T90" s="870"/>
      <c r="U90" s="870"/>
      <c r="V90" s="872"/>
      <c r="W90" s="870"/>
      <c r="X90" s="877"/>
    </row>
    <row r="91" spans="1:24" s="216" customFormat="1">
      <c r="A91" s="862"/>
      <c r="B91" s="859" t="s">
        <v>62</v>
      </c>
      <c r="C91" s="870"/>
      <c r="D91" s="896"/>
      <c r="E91" s="896"/>
      <c r="F91" s="896"/>
      <c r="G91" s="896"/>
      <c r="H91" s="896"/>
      <c r="I91" s="872"/>
      <c r="J91" s="872"/>
      <c r="K91" s="896"/>
      <c r="L91" s="896"/>
      <c r="M91" s="896"/>
      <c r="N91" s="896"/>
      <c r="O91" s="872"/>
      <c r="P91" s="870"/>
      <c r="Q91" s="896"/>
      <c r="R91" s="896"/>
      <c r="S91" s="914"/>
      <c r="T91" s="870"/>
      <c r="U91" s="870"/>
      <c r="V91" s="872"/>
      <c r="W91" s="870"/>
      <c r="X91" s="877"/>
    </row>
    <row r="92" spans="1:24" s="215" customFormat="1" ht="13.5" thickBot="1">
      <c r="A92" s="862"/>
      <c r="B92" s="859" t="s">
        <v>1816</v>
      </c>
      <c r="C92" s="870">
        <v>0</v>
      </c>
      <c r="D92" s="896">
        <v>0</v>
      </c>
      <c r="E92" s="896">
        <v>0</v>
      </c>
      <c r="F92" s="896">
        <v>0</v>
      </c>
      <c r="G92" s="896">
        <v>0</v>
      </c>
      <c r="H92" s="896">
        <v>0</v>
      </c>
      <c r="I92" s="872">
        <v>0</v>
      </c>
      <c r="J92" s="872">
        <v>0</v>
      </c>
      <c r="K92" s="896">
        <v>0</v>
      </c>
      <c r="L92" s="896">
        <v>0</v>
      </c>
      <c r="M92" s="896">
        <v>0</v>
      </c>
      <c r="N92" s="896">
        <v>0</v>
      </c>
      <c r="O92" s="872">
        <v>0</v>
      </c>
      <c r="P92" s="870">
        <v>0</v>
      </c>
      <c r="Q92" s="896">
        <v>0</v>
      </c>
      <c r="R92" s="896">
        <v>0</v>
      </c>
      <c r="S92" s="914">
        <v>0</v>
      </c>
      <c r="T92" s="870">
        <v>0</v>
      </c>
      <c r="U92" s="870">
        <v>0</v>
      </c>
      <c r="V92" s="872">
        <v>0</v>
      </c>
      <c r="W92" s="870">
        <v>0</v>
      </c>
      <c r="X92" s="877">
        <v>0</v>
      </c>
    </row>
    <row r="93" spans="1:24">
      <c r="A93" s="862"/>
      <c r="B93" s="859" t="s">
        <v>1588</v>
      </c>
      <c r="C93" s="873">
        <v>297872000</v>
      </c>
      <c r="D93" s="896"/>
      <c r="E93" s="896"/>
      <c r="F93" s="866">
        <v>34455846</v>
      </c>
      <c r="G93" s="896"/>
      <c r="H93" s="896"/>
      <c r="I93" s="872">
        <v>332327846</v>
      </c>
      <c r="J93" s="872"/>
      <c r="K93" s="896"/>
      <c r="L93" s="867">
        <v>26134200</v>
      </c>
      <c r="M93" s="868">
        <v>6480100</v>
      </c>
      <c r="N93" s="896"/>
      <c r="O93" s="872">
        <v>32614300</v>
      </c>
      <c r="P93" s="870"/>
      <c r="Q93" s="896"/>
      <c r="R93" s="896"/>
      <c r="S93" s="914"/>
      <c r="T93" s="870"/>
      <c r="U93" s="870"/>
      <c r="V93" s="872"/>
      <c r="W93" s="870"/>
      <c r="X93" s="877">
        <v>364942146</v>
      </c>
    </row>
    <row r="94" spans="1:24" s="216" customFormat="1">
      <c r="A94" s="862"/>
      <c r="B94" s="859" t="s">
        <v>251</v>
      </c>
      <c r="C94" s="873">
        <v>327814100</v>
      </c>
      <c r="D94" s="896"/>
      <c r="E94" s="896"/>
      <c r="F94" s="873">
        <v>28275584</v>
      </c>
      <c r="G94" s="896"/>
      <c r="H94" s="896"/>
      <c r="I94" s="872">
        <v>356089684</v>
      </c>
      <c r="J94" s="872"/>
      <c r="K94" s="896"/>
      <c r="L94" s="875">
        <v>29482700</v>
      </c>
      <c r="M94" s="876">
        <v>7931300</v>
      </c>
      <c r="N94" s="896"/>
      <c r="O94" s="872">
        <v>37414000</v>
      </c>
      <c r="P94" s="870"/>
      <c r="Q94" s="896"/>
      <c r="R94" s="896"/>
      <c r="S94" s="914"/>
      <c r="T94" s="870"/>
      <c r="U94" s="870"/>
      <c r="V94" s="872"/>
      <c r="W94" s="870"/>
      <c r="X94" s="877">
        <v>393503684</v>
      </c>
    </row>
    <row r="95" spans="1:24" s="215" customFormat="1" ht="13.5" thickBot="1">
      <c r="A95" s="862"/>
      <c r="B95" s="859" t="s">
        <v>1759</v>
      </c>
      <c r="C95" s="886">
        <v>10.05200220228823</v>
      </c>
      <c r="D95" s="896">
        <v>0</v>
      </c>
      <c r="E95" s="896">
        <v>0</v>
      </c>
      <c r="F95" s="886">
        <v>-17.93675883041734</v>
      </c>
      <c r="G95" s="896">
        <v>0</v>
      </c>
      <c r="H95" s="896">
        <v>0</v>
      </c>
      <c r="I95" s="872">
        <v>7.1501194636575836</v>
      </c>
      <c r="J95" s="872">
        <v>0</v>
      </c>
      <c r="K95" s="896">
        <v>0</v>
      </c>
      <c r="L95" s="889">
        <v>12.812712843706715</v>
      </c>
      <c r="M95" s="888">
        <v>22.394716130923907</v>
      </c>
      <c r="N95" s="896">
        <v>0</v>
      </c>
      <c r="O95" s="872">
        <v>14.716550715483697</v>
      </c>
      <c r="P95" s="870">
        <v>0</v>
      </c>
      <c r="Q95" s="896">
        <v>0</v>
      </c>
      <c r="R95" s="896">
        <v>0</v>
      </c>
      <c r="S95" s="914">
        <v>0</v>
      </c>
      <c r="T95" s="870">
        <v>0</v>
      </c>
      <c r="U95" s="870">
        <v>0</v>
      </c>
      <c r="V95" s="872">
        <v>0</v>
      </c>
      <c r="W95" s="870">
        <v>0</v>
      </c>
      <c r="X95" s="877">
        <v>7.8263194078986977</v>
      </c>
    </row>
    <row r="96" spans="1:24">
      <c r="A96" s="862"/>
      <c r="B96" s="859" t="s">
        <v>1590</v>
      </c>
      <c r="C96" s="873">
        <v>0</v>
      </c>
      <c r="D96" s="896"/>
      <c r="E96" s="896"/>
      <c r="F96" s="873">
        <v>1630932</v>
      </c>
      <c r="G96" s="896"/>
      <c r="H96" s="896"/>
      <c r="I96" s="866">
        <v>1630932</v>
      </c>
      <c r="J96" s="872"/>
      <c r="K96" s="896"/>
      <c r="L96" s="896">
        <v>0</v>
      </c>
      <c r="M96" s="896">
        <v>0</v>
      </c>
      <c r="N96" s="896"/>
      <c r="O96" s="872">
        <v>0</v>
      </c>
      <c r="P96" s="870"/>
      <c r="Q96" s="896"/>
      <c r="R96" s="896"/>
      <c r="S96" s="914"/>
      <c r="T96" s="870"/>
      <c r="U96" s="870"/>
      <c r="V96" s="872"/>
      <c r="W96" s="870"/>
      <c r="X96" s="877">
        <v>1630932</v>
      </c>
    </row>
    <row r="97" spans="1:24" s="216" customFormat="1">
      <c r="A97" s="862"/>
      <c r="B97" s="859" t="s">
        <v>1319</v>
      </c>
      <c r="C97" s="873"/>
      <c r="D97" s="896"/>
      <c r="E97" s="896"/>
      <c r="F97" s="873">
        <v>3369319</v>
      </c>
      <c r="G97" s="896"/>
      <c r="H97" s="896"/>
      <c r="I97" s="873">
        <v>3369319</v>
      </c>
      <c r="J97" s="872"/>
      <c r="K97" s="896"/>
      <c r="L97" s="896"/>
      <c r="M97" s="896">
        <v>0</v>
      </c>
      <c r="N97" s="896"/>
      <c r="O97" s="872">
        <v>0</v>
      </c>
      <c r="P97" s="870"/>
      <c r="Q97" s="896"/>
      <c r="R97" s="896"/>
      <c r="S97" s="914"/>
      <c r="T97" s="870"/>
      <c r="U97" s="870"/>
      <c r="V97" s="872"/>
      <c r="W97" s="870"/>
      <c r="X97" s="877">
        <v>3369319</v>
      </c>
    </row>
    <row r="98" spans="1:24" s="215" customFormat="1" ht="13.5" thickBot="1">
      <c r="A98" s="862"/>
      <c r="B98" s="859" t="s">
        <v>1330</v>
      </c>
      <c r="C98" s="886">
        <v>0</v>
      </c>
      <c r="D98" s="896">
        <v>0</v>
      </c>
      <c r="E98" s="896">
        <v>0</v>
      </c>
      <c r="F98" s="886">
        <v>106.58856408483001</v>
      </c>
      <c r="G98" s="896">
        <v>0</v>
      </c>
      <c r="H98" s="896">
        <v>0</v>
      </c>
      <c r="I98" s="886">
        <v>106.58856408483001</v>
      </c>
      <c r="J98" s="872">
        <v>0</v>
      </c>
      <c r="K98" s="896">
        <v>0</v>
      </c>
      <c r="L98" s="896">
        <v>0</v>
      </c>
      <c r="M98" s="896">
        <v>0</v>
      </c>
      <c r="N98" s="896">
        <v>0</v>
      </c>
      <c r="O98" s="872">
        <v>0</v>
      </c>
      <c r="P98" s="870">
        <v>0</v>
      </c>
      <c r="Q98" s="896">
        <v>0</v>
      </c>
      <c r="R98" s="896">
        <v>0</v>
      </c>
      <c r="S98" s="914">
        <v>0</v>
      </c>
      <c r="T98" s="870">
        <v>0</v>
      </c>
      <c r="U98" s="870">
        <v>0</v>
      </c>
      <c r="V98" s="872">
        <v>0</v>
      </c>
      <c r="W98" s="870">
        <v>0</v>
      </c>
      <c r="X98" s="877">
        <v>106.58856408483001</v>
      </c>
    </row>
    <row r="99" spans="1:24">
      <c r="A99" s="862"/>
      <c r="B99" s="859" t="s">
        <v>1889</v>
      </c>
      <c r="C99" s="870">
        <v>297872000</v>
      </c>
      <c r="D99" s="896"/>
      <c r="E99" s="896"/>
      <c r="F99" s="873">
        <v>36086778</v>
      </c>
      <c r="G99" s="896"/>
      <c r="H99" s="896"/>
      <c r="I99" s="872">
        <v>333958778</v>
      </c>
      <c r="J99" s="872"/>
      <c r="K99" s="896"/>
      <c r="L99" s="896">
        <v>26134200</v>
      </c>
      <c r="M99" s="896">
        <v>6480100</v>
      </c>
      <c r="N99" s="896"/>
      <c r="O99" s="872">
        <v>32614300</v>
      </c>
      <c r="P99" s="870"/>
      <c r="Q99" s="896"/>
      <c r="R99" s="896"/>
      <c r="S99" s="914"/>
      <c r="T99" s="870"/>
      <c r="U99" s="870"/>
      <c r="V99" s="872">
        <v>0</v>
      </c>
      <c r="W99" s="870">
        <v>0</v>
      </c>
      <c r="X99" s="877">
        <v>366573078</v>
      </c>
    </row>
    <row r="100" spans="1:24" s="216" customFormat="1">
      <c r="A100" s="862"/>
      <c r="B100" s="859" t="s">
        <v>626</v>
      </c>
      <c r="C100" s="870">
        <v>327814100</v>
      </c>
      <c r="D100" s="896"/>
      <c r="E100" s="896"/>
      <c r="F100" s="873">
        <v>31644903</v>
      </c>
      <c r="G100" s="896"/>
      <c r="H100" s="896"/>
      <c r="I100" s="872">
        <v>359459003</v>
      </c>
      <c r="J100" s="872"/>
      <c r="K100" s="896"/>
      <c r="L100" s="896">
        <v>29482700</v>
      </c>
      <c r="M100" s="896">
        <v>7931300</v>
      </c>
      <c r="N100" s="896"/>
      <c r="O100" s="872">
        <v>37414000</v>
      </c>
      <c r="P100" s="870"/>
      <c r="Q100" s="896"/>
      <c r="R100" s="896"/>
      <c r="S100" s="914"/>
      <c r="T100" s="870"/>
      <c r="U100" s="870"/>
      <c r="V100" s="872">
        <v>0</v>
      </c>
      <c r="W100" s="870">
        <v>0</v>
      </c>
      <c r="X100" s="877">
        <v>396873003</v>
      </c>
    </row>
    <row r="101" spans="1:24" s="215" customFormat="1" ht="13.5" thickBot="1">
      <c r="A101" s="862"/>
      <c r="B101" s="859" t="s">
        <v>456</v>
      </c>
      <c r="C101" s="870">
        <v>10.05200220228823</v>
      </c>
      <c r="D101" s="896">
        <v>0</v>
      </c>
      <c r="E101" s="896">
        <v>0</v>
      </c>
      <c r="F101" s="886">
        <v>-12.30887113280105</v>
      </c>
      <c r="G101" s="896">
        <v>0</v>
      </c>
      <c r="H101" s="896">
        <v>0</v>
      </c>
      <c r="I101" s="872">
        <v>7.6357403008583287</v>
      </c>
      <c r="J101" s="872">
        <v>0</v>
      </c>
      <c r="K101" s="896">
        <v>0</v>
      </c>
      <c r="L101" s="896">
        <v>12.812712843706715</v>
      </c>
      <c r="M101" s="896">
        <v>22.394716130923907</v>
      </c>
      <c r="N101" s="896">
        <v>0</v>
      </c>
      <c r="O101" s="872">
        <v>14.716550715483697</v>
      </c>
      <c r="P101" s="870">
        <v>0</v>
      </c>
      <c r="Q101" s="896">
        <v>0</v>
      </c>
      <c r="R101" s="896">
        <v>0</v>
      </c>
      <c r="S101" s="914">
        <v>0</v>
      </c>
      <c r="T101" s="870">
        <v>0</v>
      </c>
      <c r="U101" s="870">
        <v>0</v>
      </c>
      <c r="V101" s="872">
        <v>0</v>
      </c>
      <c r="W101" s="870">
        <v>0</v>
      </c>
      <c r="X101" s="877">
        <v>8.2657256679389857</v>
      </c>
    </row>
    <row r="102" spans="1:24">
      <c r="A102" s="862"/>
      <c r="B102" s="859" t="s">
        <v>628</v>
      </c>
      <c r="C102" s="870"/>
      <c r="D102" s="896"/>
      <c r="E102" s="896"/>
      <c r="F102" s="896"/>
      <c r="G102" s="896"/>
      <c r="H102" s="896"/>
      <c r="I102" s="872"/>
      <c r="J102" s="872"/>
      <c r="K102" s="896"/>
      <c r="L102" s="896"/>
      <c r="M102" s="896"/>
      <c r="N102" s="896"/>
      <c r="O102" s="872"/>
      <c r="P102" s="870"/>
      <c r="Q102" s="896"/>
      <c r="R102" s="896"/>
      <c r="S102" s="914"/>
      <c r="T102" s="870"/>
      <c r="U102" s="870"/>
      <c r="V102" s="872">
        <v>18554093.199999999</v>
      </c>
      <c r="W102" s="866">
        <v>18554093.199999999</v>
      </c>
      <c r="X102" s="877">
        <v>18554093.199999999</v>
      </c>
    </row>
    <row r="103" spans="1:24" s="216" customFormat="1">
      <c r="A103" s="862"/>
      <c r="B103" s="859" t="s">
        <v>630</v>
      </c>
      <c r="C103" s="870"/>
      <c r="D103" s="896"/>
      <c r="E103" s="896"/>
      <c r="F103" s="896"/>
      <c r="G103" s="896"/>
      <c r="H103" s="896"/>
      <c r="I103" s="872"/>
      <c r="J103" s="872"/>
      <c r="K103" s="896"/>
      <c r="L103" s="896"/>
      <c r="M103" s="896"/>
      <c r="N103" s="896"/>
      <c r="O103" s="872"/>
      <c r="P103" s="870"/>
      <c r="Q103" s="896"/>
      <c r="R103" s="896"/>
      <c r="S103" s="914"/>
      <c r="T103" s="870"/>
      <c r="U103" s="870"/>
      <c r="V103" s="872">
        <v>18800551</v>
      </c>
      <c r="W103" s="873">
        <v>18800551</v>
      </c>
      <c r="X103" s="877">
        <v>18800551</v>
      </c>
    </row>
    <row r="104" spans="1:24" s="215" customFormat="1" ht="13.5" thickBot="1">
      <c r="A104" s="862"/>
      <c r="B104" s="859" t="s">
        <v>632</v>
      </c>
      <c r="C104" s="870">
        <v>0</v>
      </c>
      <c r="D104" s="896">
        <v>0</v>
      </c>
      <c r="E104" s="896">
        <v>0</v>
      </c>
      <c r="F104" s="896">
        <v>0</v>
      </c>
      <c r="G104" s="896">
        <v>0</v>
      </c>
      <c r="H104" s="896">
        <v>0</v>
      </c>
      <c r="I104" s="872">
        <v>0</v>
      </c>
      <c r="J104" s="872">
        <v>0</v>
      </c>
      <c r="K104" s="896">
        <v>0</v>
      </c>
      <c r="L104" s="896">
        <v>0</v>
      </c>
      <c r="M104" s="896">
        <v>0</v>
      </c>
      <c r="N104" s="896">
        <v>0</v>
      </c>
      <c r="O104" s="872">
        <v>0</v>
      </c>
      <c r="P104" s="870">
        <v>0</v>
      </c>
      <c r="Q104" s="896">
        <v>0</v>
      </c>
      <c r="R104" s="896">
        <v>0</v>
      </c>
      <c r="S104" s="914">
        <v>0</v>
      </c>
      <c r="T104" s="870">
        <v>0</v>
      </c>
      <c r="U104" s="870">
        <v>0</v>
      </c>
      <c r="V104" s="872">
        <v>1.3283203729945732</v>
      </c>
      <c r="W104" s="886">
        <v>1.3283203729945732</v>
      </c>
      <c r="X104" s="877">
        <v>1.3283203729945732</v>
      </c>
    </row>
    <row r="105" spans="1:24">
      <c r="A105" s="862"/>
      <c r="B105" s="859" t="s">
        <v>1608</v>
      </c>
      <c r="C105" s="870"/>
      <c r="D105" s="896"/>
      <c r="E105" s="896"/>
      <c r="F105" s="896"/>
      <c r="G105" s="896"/>
      <c r="H105" s="896"/>
      <c r="I105" s="872"/>
      <c r="J105" s="872"/>
      <c r="K105" s="896"/>
      <c r="L105" s="896"/>
      <c r="M105" s="896"/>
      <c r="N105" s="896"/>
      <c r="O105" s="872"/>
      <c r="P105" s="870"/>
      <c r="Q105" s="896"/>
      <c r="R105" s="896"/>
      <c r="S105" s="914"/>
      <c r="T105" s="870"/>
      <c r="U105" s="870"/>
      <c r="V105" s="872">
        <v>0</v>
      </c>
      <c r="W105" s="870">
        <v>0</v>
      </c>
      <c r="X105" s="877">
        <v>0</v>
      </c>
    </row>
    <row r="106" spans="1:24" s="216" customFormat="1">
      <c r="A106" s="862"/>
      <c r="B106" s="859" t="s">
        <v>1291</v>
      </c>
      <c r="C106" s="870"/>
      <c r="D106" s="896"/>
      <c r="E106" s="896"/>
      <c r="F106" s="896"/>
      <c r="G106" s="896"/>
      <c r="H106" s="896"/>
      <c r="I106" s="872"/>
      <c r="J106" s="872"/>
      <c r="K106" s="896"/>
      <c r="L106" s="896"/>
      <c r="M106" s="896"/>
      <c r="N106" s="896"/>
      <c r="O106" s="872"/>
      <c r="P106" s="870"/>
      <c r="Q106" s="896"/>
      <c r="R106" s="896"/>
      <c r="S106" s="914"/>
      <c r="T106" s="870"/>
      <c r="U106" s="870"/>
      <c r="V106" s="872"/>
      <c r="W106" s="870"/>
      <c r="X106" s="877"/>
    </row>
    <row r="107" spans="1:24" s="215" customFormat="1">
      <c r="A107" s="862"/>
      <c r="B107" s="859" t="s">
        <v>458</v>
      </c>
      <c r="C107" s="870">
        <v>0</v>
      </c>
      <c r="D107" s="896">
        <v>0</v>
      </c>
      <c r="E107" s="896">
        <v>0</v>
      </c>
      <c r="F107" s="896">
        <v>0</v>
      </c>
      <c r="G107" s="896">
        <v>0</v>
      </c>
      <c r="H107" s="896">
        <v>0</v>
      </c>
      <c r="I107" s="872">
        <v>0</v>
      </c>
      <c r="J107" s="872">
        <v>0</v>
      </c>
      <c r="K107" s="896">
        <v>0</v>
      </c>
      <c r="L107" s="896">
        <v>0</v>
      </c>
      <c r="M107" s="896">
        <v>0</v>
      </c>
      <c r="N107" s="896">
        <v>0</v>
      </c>
      <c r="O107" s="872">
        <v>0</v>
      </c>
      <c r="P107" s="870">
        <v>0</v>
      </c>
      <c r="Q107" s="896">
        <v>0</v>
      </c>
      <c r="R107" s="896">
        <v>0</v>
      </c>
      <c r="S107" s="914">
        <v>0</v>
      </c>
      <c r="T107" s="870">
        <v>0</v>
      </c>
      <c r="U107" s="870">
        <v>0</v>
      </c>
      <c r="V107" s="872">
        <v>0</v>
      </c>
      <c r="W107" s="870">
        <v>0</v>
      </c>
      <c r="X107" s="877">
        <v>0</v>
      </c>
    </row>
    <row r="108" spans="1:24">
      <c r="A108" s="862"/>
      <c r="B108" s="859" t="s">
        <v>1287</v>
      </c>
      <c r="C108" s="870"/>
      <c r="D108" s="896"/>
      <c r="E108" s="896"/>
      <c r="F108" s="896"/>
      <c r="G108" s="896"/>
      <c r="H108" s="896"/>
      <c r="I108" s="872"/>
      <c r="J108" s="872"/>
      <c r="K108" s="896"/>
      <c r="L108" s="896"/>
      <c r="M108" s="896"/>
      <c r="N108" s="896"/>
      <c r="O108" s="872"/>
      <c r="P108" s="870"/>
      <c r="Q108" s="896"/>
      <c r="R108" s="896"/>
      <c r="S108" s="914"/>
      <c r="T108" s="870"/>
      <c r="U108" s="870"/>
      <c r="V108" s="872"/>
      <c r="W108" s="870"/>
      <c r="X108" s="877"/>
    </row>
    <row r="109" spans="1:24" s="216" customFormat="1">
      <c r="A109" s="862"/>
      <c r="B109" s="859" t="s">
        <v>673</v>
      </c>
      <c r="C109" s="870"/>
      <c r="D109" s="896"/>
      <c r="E109" s="896"/>
      <c r="F109" s="896"/>
      <c r="G109" s="896"/>
      <c r="H109" s="896"/>
      <c r="I109" s="872"/>
      <c r="J109" s="872"/>
      <c r="K109" s="896"/>
      <c r="L109" s="896"/>
      <c r="M109" s="896"/>
      <c r="N109" s="896"/>
      <c r="O109" s="872"/>
      <c r="P109" s="870"/>
      <c r="Q109" s="896"/>
      <c r="R109" s="896"/>
      <c r="S109" s="914"/>
      <c r="T109" s="870"/>
      <c r="U109" s="870"/>
      <c r="V109" s="872"/>
      <c r="W109" s="870"/>
      <c r="X109" s="877"/>
    </row>
    <row r="110" spans="1:24" s="215" customFormat="1">
      <c r="A110" s="862"/>
      <c r="B110" s="859" t="s">
        <v>877</v>
      </c>
      <c r="C110" s="870">
        <v>0</v>
      </c>
      <c r="D110" s="896">
        <v>0</v>
      </c>
      <c r="E110" s="896">
        <v>0</v>
      </c>
      <c r="F110" s="896">
        <v>0</v>
      </c>
      <c r="G110" s="896">
        <v>0</v>
      </c>
      <c r="H110" s="896">
        <v>0</v>
      </c>
      <c r="I110" s="872">
        <v>0</v>
      </c>
      <c r="J110" s="872">
        <v>0</v>
      </c>
      <c r="K110" s="896">
        <v>0</v>
      </c>
      <c r="L110" s="896">
        <v>0</v>
      </c>
      <c r="M110" s="896">
        <v>0</v>
      </c>
      <c r="N110" s="896">
        <v>0</v>
      </c>
      <c r="O110" s="872">
        <v>0</v>
      </c>
      <c r="P110" s="870">
        <v>0</v>
      </c>
      <c r="Q110" s="896">
        <v>0</v>
      </c>
      <c r="R110" s="896">
        <v>0</v>
      </c>
      <c r="S110" s="914">
        <v>0</v>
      </c>
      <c r="T110" s="870">
        <v>0</v>
      </c>
      <c r="U110" s="870">
        <v>0</v>
      </c>
      <c r="V110" s="872">
        <v>0</v>
      </c>
      <c r="W110" s="870">
        <v>0</v>
      </c>
      <c r="X110" s="877">
        <v>0</v>
      </c>
    </row>
    <row r="111" spans="1:24">
      <c r="A111" s="862"/>
      <c r="B111" s="859" t="s">
        <v>1289</v>
      </c>
      <c r="C111" s="870">
        <v>0</v>
      </c>
      <c r="D111" s="896"/>
      <c r="E111" s="896"/>
      <c r="F111" s="896">
        <v>0</v>
      </c>
      <c r="G111" s="896"/>
      <c r="H111" s="896"/>
      <c r="I111" s="872">
        <v>0</v>
      </c>
      <c r="J111" s="872"/>
      <c r="K111" s="896"/>
      <c r="L111" s="896">
        <v>0</v>
      </c>
      <c r="M111" s="896">
        <v>0</v>
      </c>
      <c r="N111" s="896"/>
      <c r="O111" s="872">
        <v>0</v>
      </c>
      <c r="P111" s="870"/>
      <c r="Q111" s="896"/>
      <c r="R111" s="896"/>
      <c r="S111" s="914"/>
      <c r="T111" s="870"/>
      <c r="U111" s="870"/>
      <c r="V111" s="872">
        <v>0</v>
      </c>
      <c r="W111" s="870">
        <v>0</v>
      </c>
      <c r="X111" s="877">
        <v>0</v>
      </c>
    </row>
    <row r="112" spans="1:24" s="216" customFormat="1">
      <c r="A112" s="862"/>
      <c r="B112" s="859" t="s">
        <v>675</v>
      </c>
      <c r="C112" s="870">
        <v>0</v>
      </c>
      <c r="D112" s="896"/>
      <c r="E112" s="896"/>
      <c r="F112" s="896">
        <v>0</v>
      </c>
      <c r="G112" s="896"/>
      <c r="H112" s="896"/>
      <c r="I112" s="872">
        <v>0</v>
      </c>
      <c r="J112" s="872"/>
      <c r="K112" s="896"/>
      <c r="L112" s="896">
        <v>0</v>
      </c>
      <c r="M112" s="896">
        <v>0</v>
      </c>
      <c r="N112" s="896"/>
      <c r="O112" s="872">
        <v>0</v>
      </c>
      <c r="P112" s="870"/>
      <c r="Q112" s="896"/>
      <c r="R112" s="896"/>
      <c r="S112" s="914"/>
      <c r="T112" s="870"/>
      <c r="U112" s="870"/>
      <c r="V112" s="872">
        <v>0</v>
      </c>
      <c r="W112" s="870">
        <v>0</v>
      </c>
      <c r="X112" s="877">
        <v>0</v>
      </c>
    </row>
    <row r="113" spans="1:24" s="215" customFormat="1">
      <c r="A113" s="862"/>
      <c r="B113" s="859" t="s">
        <v>1339</v>
      </c>
      <c r="C113" s="870">
        <v>0</v>
      </c>
      <c r="D113" s="896">
        <v>0</v>
      </c>
      <c r="E113" s="896">
        <v>0</v>
      </c>
      <c r="F113" s="896">
        <v>0</v>
      </c>
      <c r="G113" s="896">
        <v>0</v>
      </c>
      <c r="H113" s="896">
        <v>0</v>
      </c>
      <c r="I113" s="872">
        <v>0</v>
      </c>
      <c r="J113" s="872">
        <v>0</v>
      </c>
      <c r="K113" s="896">
        <v>0</v>
      </c>
      <c r="L113" s="896">
        <v>0</v>
      </c>
      <c r="M113" s="896">
        <v>0</v>
      </c>
      <c r="N113" s="896">
        <v>0</v>
      </c>
      <c r="O113" s="872">
        <v>0</v>
      </c>
      <c r="P113" s="870">
        <v>0</v>
      </c>
      <c r="Q113" s="896">
        <v>0</v>
      </c>
      <c r="R113" s="896">
        <v>0</v>
      </c>
      <c r="S113" s="914">
        <v>0</v>
      </c>
      <c r="T113" s="870">
        <v>0</v>
      </c>
      <c r="U113" s="870">
        <v>0</v>
      </c>
      <c r="V113" s="872">
        <v>0</v>
      </c>
      <c r="W113" s="870">
        <v>0</v>
      </c>
      <c r="X113" s="877">
        <v>0</v>
      </c>
    </row>
    <row r="114" spans="1:24">
      <c r="A114" s="862"/>
      <c r="B114" s="859" t="s">
        <v>634</v>
      </c>
      <c r="C114" s="870"/>
      <c r="D114" s="896"/>
      <c r="E114" s="896"/>
      <c r="F114" s="896"/>
      <c r="G114" s="896"/>
      <c r="H114" s="896"/>
      <c r="I114" s="872"/>
      <c r="J114" s="872"/>
      <c r="K114" s="896"/>
      <c r="L114" s="896"/>
      <c r="M114" s="896"/>
      <c r="N114" s="896"/>
      <c r="O114" s="872"/>
      <c r="P114" s="870"/>
      <c r="Q114" s="896"/>
      <c r="R114" s="896"/>
      <c r="S114" s="914"/>
      <c r="T114" s="870"/>
      <c r="U114" s="870"/>
      <c r="V114" s="872"/>
      <c r="W114" s="870"/>
      <c r="X114" s="877"/>
    </row>
    <row r="115" spans="1:24" s="216" customFormat="1">
      <c r="A115" s="862"/>
      <c r="B115" s="859" t="s">
        <v>636</v>
      </c>
      <c r="C115" s="870"/>
      <c r="D115" s="896"/>
      <c r="E115" s="896"/>
      <c r="F115" s="896"/>
      <c r="G115" s="896"/>
      <c r="H115" s="896"/>
      <c r="I115" s="872"/>
      <c r="J115" s="872"/>
      <c r="K115" s="896"/>
      <c r="L115" s="896"/>
      <c r="M115" s="896"/>
      <c r="N115" s="896"/>
      <c r="O115" s="872"/>
      <c r="P115" s="870"/>
      <c r="Q115" s="896"/>
      <c r="R115" s="896"/>
      <c r="S115" s="914"/>
      <c r="T115" s="870"/>
      <c r="U115" s="870"/>
      <c r="V115" s="872"/>
      <c r="W115" s="870"/>
      <c r="X115" s="877"/>
    </row>
    <row r="116" spans="1:24" s="215" customFormat="1">
      <c r="A116" s="862"/>
      <c r="B116" s="859" t="s">
        <v>1540</v>
      </c>
      <c r="C116" s="870">
        <v>0</v>
      </c>
      <c r="D116" s="896">
        <v>0</v>
      </c>
      <c r="E116" s="896">
        <v>0</v>
      </c>
      <c r="F116" s="896">
        <v>0</v>
      </c>
      <c r="G116" s="896">
        <v>0</v>
      </c>
      <c r="H116" s="896">
        <v>0</v>
      </c>
      <c r="I116" s="872">
        <v>0</v>
      </c>
      <c r="J116" s="872">
        <v>0</v>
      </c>
      <c r="K116" s="896">
        <v>0</v>
      </c>
      <c r="L116" s="896">
        <v>0</v>
      </c>
      <c r="M116" s="896">
        <v>0</v>
      </c>
      <c r="N116" s="896">
        <v>0</v>
      </c>
      <c r="O116" s="872">
        <v>0</v>
      </c>
      <c r="P116" s="870">
        <v>0</v>
      </c>
      <c r="Q116" s="896">
        <v>0</v>
      </c>
      <c r="R116" s="896">
        <v>0</v>
      </c>
      <c r="S116" s="914">
        <v>0</v>
      </c>
      <c r="T116" s="870">
        <v>0</v>
      </c>
      <c r="U116" s="870">
        <v>0</v>
      </c>
      <c r="V116" s="872">
        <v>0</v>
      </c>
      <c r="W116" s="870">
        <v>0</v>
      </c>
      <c r="X116" s="877">
        <v>0</v>
      </c>
    </row>
    <row r="117" spans="1:24">
      <c r="A117" s="862"/>
      <c r="B117" s="859" t="s">
        <v>637</v>
      </c>
      <c r="C117" s="870"/>
      <c r="D117" s="896"/>
      <c r="E117" s="896"/>
      <c r="F117" s="896"/>
      <c r="G117" s="896"/>
      <c r="H117" s="896"/>
      <c r="I117" s="872"/>
      <c r="J117" s="872"/>
      <c r="K117" s="896"/>
      <c r="L117" s="896"/>
      <c r="M117" s="896"/>
      <c r="N117" s="896"/>
      <c r="O117" s="872"/>
      <c r="P117" s="870"/>
      <c r="Q117" s="896"/>
      <c r="R117" s="896"/>
      <c r="S117" s="914"/>
      <c r="T117" s="870"/>
      <c r="U117" s="870"/>
      <c r="V117" s="872"/>
      <c r="W117" s="870"/>
      <c r="X117" s="877"/>
    </row>
    <row r="118" spans="1:24" s="216" customFormat="1">
      <c r="A118" s="862"/>
      <c r="B118" s="859" t="s">
        <v>1890</v>
      </c>
      <c r="C118" s="870"/>
      <c r="D118" s="896"/>
      <c r="E118" s="896"/>
      <c r="F118" s="896"/>
      <c r="G118" s="896"/>
      <c r="H118" s="896"/>
      <c r="I118" s="872"/>
      <c r="J118" s="872"/>
      <c r="K118" s="896"/>
      <c r="L118" s="896"/>
      <c r="M118" s="896"/>
      <c r="N118" s="896"/>
      <c r="O118" s="872"/>
      <c r="P118" s="870"/>
      <c r="Q118" s="896"/>
      <c r="R118" s="896"/>
      <c r="S118" s="914"/>
      <c r="T118" s="870"/>
      <c r="U118" s="870"/>
      <c r="V118" s="872"/>
      <c r="W118" s="870"/>
      <c r="X118" s="877"/>
    </row>
    <row r="119" spans="1:24" s="215" customFormat="1">
      <c r="A119" s="862"/>
      <c r="B119" s="859" t="s">
        <v>1603</v>
      </c>
      <c r="C119" s="870">
        <v>0</v>
      </c>
      <c r="D119" s="896">
        <v>0</v>
      </c>
      <c r="E119" s="896">
        <v>0</v>
      </c>
      <c r="F119" s="896">
        <v>0</v>
      </c>
      <c r="G119" s="896">
        <v>0</v>
      </c>
      <c r="H119" s="896">
        <v>0</v>
      </c>
      <c r="I119" s="872">
        <v>0</v>
      </c>
      <c r="J119" s="872">
        <v>0</v>
      </c>
      <c r="K119" s="896">
        <v>0</v>
      </c>
      <c r="L119" s="896">
        <v>0</v>
      </c>
      <c r="M119" s="896">
        <v>0</v>
      </c>
      <c r="N119" s="896">
        <v>0</v>
      </c>
      <c r="O119" s="872">
        <v>0</v>
      </c>
      <c r="P119" s="870">
        <v>0</v>
      </c>
      <c r="Q119" s="896">
        <v>0</v>
      </c>
      <c r="R119" s="896">
        <v>0</v>
      </c>
      <c r="S119" s="914">
        <v>0</v>
      </c>
      <c r="T119" s="870">
        <v>0</v>
      </c>
      <c r="U119" s="870">
        <v>0</v>
      </c>
      <c r="V119" s="872">
        <v>0</v>
      </c>
      <c r="W119" s="870">
        <v>0</v>
      </c>
      <c r="X119" s="877">
        <v>0</v>
      </c>
    </row>
    <row r="120" spans="1:24">
      <c r="A120" s="862"/>
      <c r="B120" s="859" t="s">
        <v>377</v>
      </c>
      <c r="C120" s="870">
        <v>429067500</v>
      </c>
      <c r="D120" s="896"/>
      <c r="E120" s="896"/>
      <c r="F120" s="896">
        <v>70405946</v>
      </c>
      <c r="G120" s="896"/>
      <c r="H120" s="896"/>
      <c r="I120" s="872">
        <v>499473446</v>
      </c>
      <c r="J120" s="872"/>
      <c r="K120" s="896"/>
      <c r="L120" s="896">
        <v>73432100</v>
      </c>
      <c r="M120" s="896">
        <v>17803100</v>
      </c>
      <c r="N120" s="896"/>
      <c r="O120" s="872">
        <v>91235200</v>
      </c>
      <c r="P120" s="870"/>
      <c r="Q120" s="896"/>
      <c r="R120" s="896"/>
      <c r="S120" s="914"/>
      <c r="T120" s="870"/>
      <c r="U120" s="870"/>
      <c r="V120" s="872">
        <v>2349200</v>
      </c>
      <c r="W120" s="870">
        <v>2349200</v>
      </c>
      <c r="X120" s="877">
        <v>593057846</v>
      </c>
    </row>
    <row r="121" spans="1:24" s="216" customFormat="1">
      <c r="A121" s="862"/>
      <c r="B121" s="859" t="s">
        <v>379</v>
      </c>
      <c r="C121" s="870">
        <v>462333900</v>
      </c>
      <c r="D121" s="896"/>
      <c r="E121" s="896"/>
      <c r="F121" s="896">
        <v>67063084</v>
      </c>
      <c r="G121" s="896"/>
      <c r="H121" s="896"/>
      <c r="I121" s="872">
        <v>529396984</v>
      </c>
      <c r="J121" s="872"/>
      <c r="K121" s="896"/>
      <c r="L121" s="896">
        <v>78668900</v>
      </c>
      <c r="M121" s="896">
        <v>19565200</v>
      </c>
      <c r="N121" s="896"/>
      <c r="O121" s="872">
        <v>98234100</v>
      </c>
      <c r="P121" s="870"/>
      <c r="Q121" s="896"/>
      <c r="R121" s="896"/>
      <c r="S121" s="914"/>
      <c r="T121" s="870"/>
      <c r="U121" s="870"/>
      <c r="V121" s="872">
        <v>2278900</v>
      </c>
      <c r="W121" s="870">
        <v>2278900</v>
      </c>
      <c r="X121" s="877">
        <v>629909984</v>
      </c>
    </row>
    <row r="122" spans="1:24" s="228" customFormat="1" ht="13.5" thickBot="1">
      <c r="A122" s="897"/>
      <c r="B122" s="859" t="s">
        <v>381</v>
      </c>
      <c r="C122" s="870">
        <v>7.7531856875666412</v>
      </c>
      <c r="D122" s="896">
        <v>0</v>
      </c>
      <c r="E122" s="896">
        <v>0</v>
      </c>
      <c r="F122" s="896">
        <v>-4.7479825070456405</v>
      </c>
      <c r="G122" s="896">
        <v>0</v>
      </c>
      <c r="H122" s="896">
        <v>0</v>
      </c>
      <c r="I122" s="872">
        <v>5.9910167877072684</v>
      </c>
      <c r="J122" s="872">
        <v>0</v>
      </c>
      <c r="K122" s="896">
        <v>0</v>
      </c>
      <c r="L122" s="896">
        <v>7.1314860939561857</v>
      </c>
      <c r="M122" s="896">
        <v>9.8977144429902655</v>
      </c>
      <c r="N122" s="896">
        <v>0</v>
      </c>
      <c r="O122" s="872">
        <v>7.671271614464592</v>
      </c>
      <c r="P122" s="870">
        <v>0</v>
      </c>
      <c r="Q122" s="896">
        <v>0</v>
      </c>
      <c r="R122" s="896">
        <v>0</v>
      </c>
      <c r="S122" s="914">
        <v>0</v>
      </c>
      <c r="T122" s="870">
        <v>0</v>
      </c>
      <c r="U122" s="870">
        <v>0</v>
      </c>
      <c r="V122" s="872">
        <v>-2.9925080878596968</v>
      </c>
      <c r="W122" s="870">
        <v>-2.9925080878596968</v>
      </c>
      <c r="X122" s="877">
        <v>6.2139196452010177</v>
      </c>
    </row>
    <row r="123" spans="1:24">
      <c r="A123" s="858" t="s">
        <v>1277</v>
      </c>
      <c r="B123" s="858" t="s">
        <v>1347</v>
      </c>
      <c r="C123" s="863">
        <v>1311217834</v>
      </c>
      <c r="D123" s="864">
        <v>416601847</v>
      </c>
      <c r="E123" s="864">
        <v>286096968</v>
      </c>
      <c r="F123" s="864">
        <v>55761691</v>
      </c>
      <c r="G123" s="866"/>
      <c r="H123" s="864">
        <v>18147875</v>
      </c>
      <c r="I123" s="865">
        <v>2087826215</v>
      </c>
      <c r="J123" s="865">
        <v>277821313</v>
      </c>
      <c r="K123" s="864">
        <v>698647472</v>
      </c>
      <c r="L123" s="864">
        <v>118071637</v>
      </c>
      <c r="M123" s="864">
        <v>13257574</v>
      </c>
      <c r="N123" s="864"/>
      <c r="O123" s="865">
        <v>1107797996</v>
      </c>
      <c r="P123" s="863"/>
      <c r="Q123" s="864"/>
      <c r="R123" s="864"/>
      <c r="S123" s="913"/>
      <c r="T123" s="863"/>
      <c r="U123" s="863"/>
      <c r="V123" s="865"/>
      <c r="W123" s="863"/>
      <c r="X123" s="869">
        <v>3195624211</v>
      </c>
    </row>
    <row r="124" spans="1:24" s="216" customFormat="1">
      <c r="A124" s="862"/>
      <c r="B124" s="859" t="s">
        <v>60</v>
      </c>
      <c r="C124" s="870">
        <v>1248916770</v>
      </c>
      <c r="D124" s="896">
        <v>390557075</v>
      </c>
      <c r="E124" s="896">
        <v>269371849</v>
      </c>
      <c r="F124" s="896">
        <v>53098988</v>
      </c>
      <c r="G124" s="873"/>
      <c r="H124" s="896">
        <v>17184380</v>
      </c>
      <c r="I124" s="872">
        <v>1979129062</v>
      </c>
      <c r="J124" s="872">
        <v>255343607</v>
      </c>
      <c r="K124" s="896">
        <v>644045922</v>
      </c>
      <c r="L124" s="896">
        <v>109964195</v>
      </c>
      <c r="M124" s="896">
        <v>12232612</v>
      </c>
      <c r="N124" s="896"/>
      <c r="O124" s="872">
        <v>1021586336</v>
      </c>
      <c r="P124" s="870"/>
      <c r="Q124" s="896"/>
      <c r="R124" s="896"/>
      <c r="S124" s="914"/>
      <c r="T124" s="870"/>
      <c r="U124" s="870"/>
      <c r="V124" s="872"/>
      <c r="W124" s="870"/>
      <c r="X124" s="877">
        <v>3000715398</v>
      </c>
    </row>
    <row r="125" spans="1:24" s="215" customFormat="1" ht="13.5" thickBot="1">
      <c r="A125" s="862"/>
      <c r="B125" s="859" t="s">
        <v>906</v>
      </c>
      <c r="C125" s="870">
        <v>-4.7513893103439901</v>
      </c>
      <c r="D125" s="896">
        <v>-6.2517178422399065</v>
      </c>
      <c r="E125" s="896">
        <v>-5.8459616391320868</v>
      </c>
      <c r="F125" s="896">
        <v>-4.7751475112187682</v>
      </c>
      <c r="G125" s="886">
        <v>0</v>
      </c>
      <c r="H125" s="896">
        <v>-5.3091339895166794</v>
      </c>
      <c r="I125" s="872">
        <v>-5.2062356636325688</v>
      </c>
      <c r="J125" s="872">
        <v>-8.0907061295185798</v>
      </c>
      <c r="K125" s="896">
        <v>-7.8153220598785769</v>
      </c>
      <c r="L125" s="896">
        <v>-6.8665449264500324</v>
      </c>
      <c r="M125" s="896">
        <v>-7.7311429677858108</v>
      </c>
      <c r="N125" s="896">
        <v>0</v>
      </c>
      <c r="O125" s="872">
        <v>-7.7822545546471638</v>
      </c>
      <c r="P125" s="870">
        <v>0</v>
      </c>
      <c r="Q125" s="896">
        <v>0</v>
      </c>
      <c r="R125" s="896">
        <v>0</v>
      </c>
      <c r="S125" s="914">
        <v>0</v>
      </c>
      <c r="T125" s="870">
        <v>0</v>
      </c>
      <c r="U125" s="870">
        <v>0</v>
      </c>
      <c r="V125" s="872">
        <v>0</v>
      </c>
      <c r="W125" s="870">
        <v>0</v>
      </c>
      <c r="X125" s="877">
        <v>-6.0992407157601169</v>
      </c>
    </row>
    <row r="126" spans="1:24">
      <c r="A126" s="862"/>
      <c r="B126" s="859" t="s">
        <v>1370</v>
      </c>
      <c r="C126" s="866">
        <v>193571132</v>
      </c>
      <c r="D126" s="866">
        <v>10495391</v>
      </c>
      <c r="E126" s="896">
        <v>8906818</v>
      </c>
      <c r="F126" s="896">
        <v>487930</v>
      </c>
      <c r="G126" s="896"/>
      <c r="H126" s="896">
        <v>654388</v>
      </c>
      <c r="I126" s="872">
        <v>214115659</v>
      </c>
      <c r="J126" s="872"/>
      <c r="K126" s="896"/>
      <c r="L126" s="896"/>
      <c r="M126" s="896"/>
      <c r="N126" s="896"/>
      <c r="O126" s="872"/>
      <c r="P126" s="870"/>
      <c r="Q126" s="896"/>
      <c r="R126" s="896"/>
      <c r="S126" s="914"/>
      <c r="T126" s="870"/>
      <c r="U126" s="870"/>
      <c r="V126" s="898">
        <v>96156488</v>
      </c>
      <c r="W126" s="866">
        <v>96156488</v>
      </c>
      <c r="X126" s="877">
        <v>310272147</v>
      </c>
    </row>
    <row r="127" spans="1:24" s="216" customFormat="1">
      <c r="A127" s="862"/>
      <c r="B127" s="859" t="s">
        <v>1611</v>
      </c>
      <c r="C127" s="873">
        <v>219981073</v>
      </c>
      <c r="D127" s="873">
        <v>28590819</v>
      </c>
      <c r="E127" s="896">
        <v>8102146</v>
      </c>
      <c r="F127" s="896">
        <v>731759</v>
      </c>
      <c r="G127" s="896"/>
      <c r="H127" s="896">
        <v>655619</v>
      </c>
      <c r="I127" s="872">
        <v>258061416</v>
      </c>
      <c r="J127" s="872"/>
      <c r="K127" s="896"/>
      <c r="L127" s="896"/>
      <c r="M127" s="896"/>
      <c r="N127" s="896"/>
      <c r="O127" s="872"/>
      <c r="P127" s="870"/>
      <c r="Q127" s="896"/>
      <c r="R127" s="896"/>
      <c r="S127" s="914"/>
      <c r="T127" s="870"/>
      <c r="U127" s="870"/>
      <c r="V127" s="899">
        <v>36972896</v>
      </c>
      <c r="W127" s="873">
        <v>36972896</v>
      </c>
      <c r="X127" s="877">
        <v>295034312</v>
      </c>
    </row>
    <row r="128" spans="1:24" s="215" customFormat="1" ht="13.5" thickBot="1">
      <c r="A128" s="862"/>
      <c r="B128" s="859" t="s">
        <v>1613</v>
      </c>
      <c r="C128" s="886">
        <v>13.643532859021562</v>
      </c>
      <c r="D128" s="886">
        <v>172.41309066046227</v>
      </c>
      <c r="E128" s="896">
        <v>-9.0343375153730552</v>
      </c>
      <c r="F128" s="896">
        <v>49.972127149386182</v>
      </c>
      <c r="G128" s="896">
        <v>0</v>
      </c>
      <c r="H128" s="896">
        <v>0.18811469647976431</v>
      </c>
      <c r="I128" s="872">
        <v>20.524307846162714</v>
      </c>
      <c r="J128" s="872">
        <v>0</v>
      </c>
      <c r="K128" s="896">
        <v>0</v>
      </c>
      <c r="L128" s="896">
        <v>0</v>
      </c>
      <c r="M128" s="896">
        <v>0</v>
      </c>
      <c r="N128" s="896">
        <v>0</v>
      </c>
      <c r="O128" s="872">
        <v>0</v>
      </c>
      <c r="P128" s="870">
        <v>0</v>
      </c>
      <c r="Q128" s="896">
        <v>0</v>
      </c>
      <c r="R128" s="896">
        <v>0</v>
      </c>
      <c r="S128" s="914">
        <v>0</v>
      </c>
      <c r="T128" s="870">
        <v>0</v>
      </c>
      <c r="U128" s="870">
        <v>0</v>
      </c>
      <c r="V128" s="900">
        <v>-61.549244602194705</v>
      </c>
      <c r="W128" s="886">
        <v>-61.549244602194705</v>
      </c>
      <c r="X128" s="877">
        <v>-4.9111192052956012</v>
      </c>
    </row>
    <row r="129" spans="1:24">
      <c r="A129" s="862"/>
      <c r="B129" s="859" t="s">
        <v>61</v>
      </c>
      <c r="C129" s="870"/>
      <c r="D129" s="896"/>
      <c r="E129" s="896"/>
      <c r="F129" s="896"/>
      <c r="G129" s="896"/>
      <c r="H129" s="896"/>
      <c r="I129" s="872"/>
      <c r="J129" s="872"/>
      <c r="K129" s="896"/>
      <c r="L129" s="896"/>
      <c r="M129" s="896"/>
      <c r="N129" s="896"/>
      <c r="O129" s="872"/>
      <c r="P129" s="870"/>
      <c r="Q129" s="896"/>
      <c r="R129" s="896"/>
      <c r="S129" s="914"/>
      <c r="T129" s="870"/>
      <c r="U129" s="870"/>
      <c r="V129" s="872"/>
      <c r="W129" s="870"/>
      <c r="X129" s="877"/>
    </row>
    <row r="130" spans="1:24" s="216" customFormat="1">
      <c r="A130" s="862"/>
      <c r="B130" s="859" t="s">
        <v>62</v>
      </c>
      <c r="C130" s="870"/>
      <c r="D130" s="896"/>
      <c r="E130" s="896"/>
      <c r="F130" s="896"/>
      <c r="G130" s="896"/>
      <c r="H130" s="896"/>
      <c r="I130" s="872"/>
      <c r="J130" s="872"/>
      <c r="K130" s="896"/>
      <c r="L130" s="896"/>
      <c r="M130" s="896"/>
      <c r="N130" s="896"/>
      <c r="O130" s="872"/>
      <c r="P130" s="870"/>
      <c r="Q130" s="896"/>
      <c r="R130" s="896"/>
      <c r="S130" s="914"/>
      <c r="T130" s="870"/>
      <c r="U130" s="870"/>
      <c r="V130" s="872"/>
      <c r="W130" s="870"/>
      <c r="X130" s="877"/>
    </row>
    <row r="131" spans="1:24" s="215" customFormat="1" ht="13.5" thickBot="1">
      <c r="A131" s="862"/>
      <c r="B131" s="859" t="s">
        <v>1816</v>
      </c>
      <c r="C131" s="870">
        <v>0</v>
      </c>
      <c r="D131" s="896">
        <v>0</v>
      </c>
      <c r="E131" s="896">
        <v>0</v>
      </c>
      <c r="F131" s="896">
        <v>0</v>
      </c>
      <c r="G131" s="896">
        <v>0</v>
      </c>
      <c r="H131" s="896">
        <v>0</v>
      </c>
      <c r="I131" s="872">
        <v>0</v>
      </c>
      <c r="J131" s="872">
        <v>0</v>
      </c>
      <c r="K131" s="896">
        <v>0</v>
      </c>
      <c r="L131" s="896">
        <v>0</v>
      </c>
      <c r="M131" s="896">
        <v>0</v>
      </c>
      <c r="N131" s="896">
        <v>0</v>
      </c>
      <c r="O131" s="872">
        <v>0</v>
      </c>
      <c r="P131" s="870">
        <v>0</v>
      </c>
      <c r="Q131" s="896">
        <v>0</v>
      </c>
      <c r="R131" s="896">
        <v>0</v>
      </c>
      <c r="S131" s="914">
        <v>0</v>
      </c>
      <c r="T131" s="870">
        <v>0</v>
      </c>
      <c r="U131" s="870">
        <v>0</v>
      </c>
      <c r="V131" s="872">
        <v>0</v>
      </c>
      <c r="W131" s="870">
        <v>0</v>
      </c>
      <c r="X131" s="877">
        <v>0</v>
      </c>
    </row>
    <row r="132" spans="1:24">
      <c r="A132" s="862"/>
      <c r="B132" s="859" t="s">
        <v>1588</v>
      </c>
      <c r="C132" s="866">
        <v>568807629</v>
      </c>
      <c r="D132" s="868">
        <v>190753289</v>
      </c>
      <c r="E132" s="896">
        <v>122373426</v>
      </c>
      <c r="F132" s="896">
        <v>27343150</v>
      </c>
      <c r="G132" s="866"/>
      <c r="H132" s="896">
        <v>4025929</v>
      </c>
      <c r="I132" s="872">
        <v>913303423</v>
      </c>
      <c r="J132" s="872">
        <v>135703022</v>
      </c>
      <c r="K132" s="896">
        <v>362606101</v>
      </c>
      <c r="L132" s="896">
        <v>43688850</v>
      </c>
      <c r="M132" s="896">
        <v>3206446</v>
      </c>
      <c r="N132" s="896"/>
      <c r="O132" s="872">
        <v>545204419</v>
      </c>
      <c r="P132" s="870"/>
      <c r="Q132" s="896"/>
      <c r="R132" s="896"/>
      <c r="S132" s="914"/>
      <c r="T132" s="870"/>
      <c r="U132" s="870"/>
      <c r="V132" s="872"/>
      <c r="W132" s="870"/>
      <c r="X132" s="877">
        <v>1458507842</v>
      </c>
    </row>
    <row r="133" spans="1:24" s="216" customFormat="1">
      <c r="A133" s="862"/>
      <c r="B133" s="859" t="s">
        <v>251</v>
      </c>
      <c r="C133" s="873">
        <v>606171410</v>
      </c>
      <c r="D133" s="876">
        <v>203284323</v>
      </c>
      <c r="E133" s="896">
        <v>128529904</v>
      </c>
      <c r="F133" s="896">
        <v>29356128</v>
      </c>
      <c r="G133" s="873"/>
      <c r="H133" s="896">
        <v>4461102</v>
      </c>
      <c r="I133" s="872">
        <v>971802867</v>
      </c>
      <c r="J133" s="872">
        <v>142488173</v>
      </c>
      <c r="K133" s="896">
        <v>380736407</v>
      </c>
      <c r="L133" s="896">
        <v>45873292</v>
      </c>
      <c r="M133" s="896">
        <v>3366768</v>
      </c>
      <c r="N133" s="896"/>
      <c r="O133" s="872">
        <v>572464640</v>
      </c>
      <c r="P133" s="870"/>
      <c r="Q133" s="896"/>
      <c r="R133" s="896"/>
      <c r="S133" s="914"/>
      <c r="T133" s="870"/>
      <c r="U133" s="870"/>
      <c r="V133" s="872"/>
      <c r="W133" s="870"/>
      <c r="X133" s="877">
        <v>1544267507</v>
      </c>
    </row>
    <row r="134" spans="1:24" s="215" customFormat="1" ht="13.5" thickBot="1">
      <c r="A134" s="862"/>
      <c r="B134" s="859" t="s">
        <v>1759</v>
      </c>
      <c r="C134" s="886">
        <v>6.5687904126194478</v>
      </c>
      <c r="D134" s="888">
        <v>6.5692361404054207</v>
      </c>
      <c r="E134" s="896">
        <v>5.03089453424308</v>
      </c>
      <c r="F134" s="896">
        <v>7.3619096556175867</v>
      </c>
      <c r="G134" s="886">
        <v>0</v>
      </c>
      <c r="H134" s="896">
        <v>10.809256695783755</v>
      </c>
      <c r="I134" s="872">
        <v>6.4052583759997574</v>
      </c>
      <c r="J134" s="872">
        <v>4.9999999263096733</v>
      </c>
      <c r="K134" s="896">
        <v>5.0000002619922821</v>
      </c>
      <c r="L134" s="896">
        <v>4.9999988555432333</v>
      </c>
      <c r="M134" s="896">
        <v>4.9999906438468011</v>
      </c>
      <c r="N134" s="896">
        <v>0</v>
      </c>
      <c r="O134" s="872">
        <v>5.0000000091708721</v>
      </c>
      <c r="P134" s="870">
        <v>0</v>
      </c>
      <c r="Q134" s="896">
        <v>0</v>
      </c>
      <c r="R134" s="896">
        <v>0</v>
      </c>
      <c r="S134" s="914">
        <v>0</v>
      </c>
      <c r="T134" s="870">
        <v>0</v>
      </c>
      <c r="U134" s="870">
        <v>0</v>
      </c>
      <c r="V134" s="872">
        <v>0</v>
      </c>
      <c r="W134" s="870">
        <v>0</v>
      </c>
      <c r="X134" s="877">
        <v>5.8799591288039164</v>
      </c>
    </row>
    <row r="135" spans="1:24">
      <c r="A135" s="862"/>
      <c r="B135" s="859" t="s">
        <v>1590</v>
      </c>
      <c r="C135" s="870">
        <v>14492112</v>
      </c>
      <c r="D135" s="896">
        <v>4953499</v>
      </c>
      <c r="E135" s="896">
        <v>3192666</v>
      </c>
      <c r="F135" s="896">
        <v>442525</v>
      </c>
      <c r="G135" s="896"/>
      <c r="H135" s="896">
        <v>88042</v>
      </c>
      <c r="I135" s="872">
        <v>23168844</v>
      </c>
      <c r="J135" s="872"/>
      <c r="K135" s="896"/>
      <c r="L135" s="896"/>
      <c r="M135" s="896"/>
      <c r="N135" s="896"/>
      <c r="O135" s="872"/>
      <c r="P135" s="870"/>
      <c r="Q135" s="896"/>
      <c r="R135" s="896"/>
      <c r="S135" s="914"/>
      <c r="T135" s="870"/>
      <c r="U135" s="870"/>
      <c r="V135" s="872"/>
      <c r="W135" s="870"/>
      <c r="X135" s="877">
        <v>23168844</v>
      </c>
    </row>
    <row r="136" spans="1:24" s="216" customFormat="1">
      <c r="A136" s="862"/>
      <c r="B136" s="859" t="s">
        <v>1319</v>
      </c>
      <c r="C136" s="870">
        <v>16072180</v>
      </c>
      <c r="D136" s="896">
        <v>5352262</v>
      </c>
      <c r="E136" s="896">
        <v>3358633</v>
      </c>
      <c r="F136" s="896">
        <v>782569</v>
      </c>
      <c r="G136" s="896"/>
      <c r="H136" s="896">
        <v>92369</v>
      </c>
      <c r="I136" s="872">
        <v>25658013</v>
      </c>
      <c r="J136" s="872"/>
      <c r="K136" s="896"/>
      <c r="L136" s="896"/>
      <c r="M136" s="896"/>
      <c r="N136" s="896"/>
      <c r="O136" s="872"/>
      <c r="P136" s="870"/>
      <c r="Q136" s="896"/>
      <c r="R136" s="896"/>
      <c r="S136" s="914"/>
      <c r="T136" s="870"/>
      <c r="U136" s="870"/>
      <c r="V136" s="872"/>
      <c r="W136" s="870"/>
      <c r="X136" s="877">
        <v>25658013</v>
      </c>
    </row>
    <row r="137" spans="1:24" s="215" customFormat="1">
      <c r="A137" s="862"/>
      <c r="B137" s="859" t="s">
        <v>1330</v>
      </c>
      <c r="C137" s="870">
        <v>10.902951895486316</v>
      </c>
      <c r="D137" s="896">
        <v>8.0501277985520936</v>
      </c>
      <c r="E137" s="896">
        <v>5.1983827935650018</v>
      </c>
      <c r="F137" s="896">
        <v>76.841760352522456</v>
      </c>
      <c r="G137" s="896">
        <v>0</v>
      </c>
      <c r="H137" s="896">
        <v>4.9146998023670525</v>
      </c>
      <c r="I137" s="872">
        <v>10.743604644236889</v>
      </c>
      <c r="J137" s="872">
        <v>0</v>
      </c>
      <c r="K137" s="896">
        <v>0</v>
      </c>
      <c r="L137" s="896">
        <v>0</v>
      </c>
      <c r="M137" s="896">
        <v>0</v>
      </c>
      <c r="N137" s="896">
        <v>0</v>
      </c>
      <c r="O137" s="872">
        <v>0</v>
      </c>
      <c r="P137" s="870">
        <v>0</v>
      </c>
      <c r="Q137" s="896">
        <v>0</v>
      </c>
      <c r="R137" s="896">
        <v>0</v>
      </c>
      <c r="S137" s="914">
        <v>0</v>
      </c>
      <c r="T137" s="870">
        <v>0</v>
      </c>
      <c r="U137" s="870">
        <v>0</v>
      </c>
      <c r="V137" s="872">
        <v>0</v>
      </c>
      <c r="W137" s="870">
        <v>0</v>
      </c>
      <c r="X137" s="877">
        <v>10.743604644236889</v>
      </c>
    </row>
    <row r="138" spans="1:24">
      <c r="A138" s="862"/>
      <c r="B138" s="859" t="s">
        <v>1889</v>
      </c>
      <c r="C138" s="870">
        <v>583299741</v>
      </c>
      <c r="D138" s="896">
        <v>195706788</v>
      </c>
      <c r="E138" s="896">
        <v>125566092</v>
      </c>
      <c r="F138" s="896">
        <v>27785675</v>
      </c>
      <c r="G138" s="896"/>
      <c r="H138" s="896">
        <v>4113971</v>
      </c>
      <c r="I138" s="872">
        <v>936472267</v>
      </c>
      <c r="J138" s="872">
        <v>135703022</v>
      </c>
      <c r="K138" s="896">
        <v>362606101</v>
      </c>
      <c r="L138" s="896">
        <v>43688850</v>
      </c>
      <c r="M138" s="896">
        <v>3206446</v>
      </c>
      <c r="N138" s="896"/>
      <c r="O138" s="872">
        <v>545204419</v>
      </c>
      <c r="P138" s="870"/>
      <c r="Q138" s="896"/>
      <c r="R138" s="896">
        <v>0</v>
      </c>
      <c r="S138" s="914">
        <v>0</v>
      </c>
      <c r="T138" s="870"/>
      <c r="U138" s="870"/>
      <c r="V138" s="872">
        <v>0</v>
      </c>
      <c r="W138" s="870">
        <v>0</v>
      </c>
      <c r="X138" s="877">
        <v>1481676686</v>
      </c>
    </row>
    <row r="139" spans="1:24" s="216" customFormat="1">
      <c r="A139" s="862"/>
      <c r="B139" s="859" t="s">
        <v>626</v>
      </c>
      <c r="C139" s="870">
        <v>622243590</v>
      </c>
      <c r="D139" s="896">
        <v>208636585</v>
      </c>
      <c r="E139" s="896">
        <v>131888537</v>
      </c>
      <c r="F139" s="896">
        <v>30138697</v>
      </c>
      <c r="G139" s="896"/>
      <c r="H139" s="896">
        <v>4553471</v>
      </c>
      <c r="I139" s="872">
        <v>997460880</v>
      </c>
      <c r="J139" s="872">
        <v>142488173</v>
      </c>
      <c r="K139" s="896">
        <v>380736407</v>
      </c>
      <c r="L139" s="896">
        <v>45873292</v>
      </c>
      <c r="M139" s="896">
        <v>3366768</v>
      </c>
      <c r="N139" s="896"/>
      <c r="O139" s="872">
        <v>572464640</v>
      </c>
      <c r="P139" s="870"/>
      <c r="Q139" s="896"/>
      <c r="R139" s="896">
        <v>0</v>
      </c>
      <c r="S139" s="914">
        <v>0</v>
      </c>
      <c r="T139" s="870"/>
      <c r="U139" s="870"/>
      <c r="V139" s="872">
        <v>0</v>
      </c>
      <c r="W139" s="870">
        <v>0</v>
      </c>
      <c r="X139" s="877">
        <v>1569925520</v>
      </c>
    </row>
    <row r="140" spans="1:24" s="215" customFormat="1" ht="13.5" thickBot="1">
      <c r="A140" s="862"/>
      <c r="B140" s="859" t="s">
        <v>456</v>
      </c>
      <c r="C140" s="870">
        <v>6.6764728770897914</v>
      </c>
      <c r="D140" s="896">
        <v>6.606718720456441</v>
      </c>
      <c r="E140" s="896">
        <v>5.0351531207963376</v>
      </c>
      <c r="F140" s="896">
        <v>8.4684716135202756</v>
      </c>
      <c r="G140" s="896">
        <v>0</v>
      </c>
      <c r="H140" s="896">
        <v>10.683108850305459</v>
      </c>
      <c r="I140" s="872">
        <v>6.5125914721829128</v>
      </c>
      <c r="J140" s="872">
        <v>4.9999999263096733</v>
      </c>
      <c r="K140" s="896">
        <v>5.0000002619922821</v>
      </c>
      <c r="L140" s="896">
        <v>4.9999988555432333</v>
      </c>
      <c r="M140" s="896">
        <v>4.9999906438468011</v>
      </c>
      <c r="N140" s="896">
        <v>0</v>
      </c>
      <c r="O140" s="872">
        <v>5.0000000091708721</v>
      </c>
      <c r="P140" s="870">
        <v>0</v>
      </c>
      <c r="Q140" s="896">
        <v>0</v>
      </c>
      <c r="R140" s="896">
        <v>0</v>
      </c>
      <c r="S140" s="914">
        <v>0</v>
      </c>
      <c r="T140" s="870">
        <v>0</v>
      </c>
      <c r="U140" s="870">
        <v>0</v>
      </c>
      <c r="V140" s="872">
        <v>0</v>
      </c>
      <c r="W140" s="870">
        <v>0</v>
      </c>
      <c r="X140" s="877">
        <v>5.9560115127572439</v>
      </c>
    </row>
    <row r="141" spans="1:24">
      <c r="A141" s="862"/>
      <c r="B141" s="859" t="s">
        <v>628</v>
      </c>
      <c r="C141" s="870"/>
      <c r="D141" s="896"/>
      <c r="E141" s="896"/>
      <c r="F141" s="896"/>
      <c r="G141" s="896"/>
      <c r="H141" s="896"/>
      <c r="I141" s="872"/>
      <c r="J141" s="872"/>
      <c r="K141" s="896"/>
      <c r="L141" s="896"/>
      <c r="M141" s="896"/>
      <c r="N141" s="896"/>
      <c r="O141" s="872"/>
      <c r="P141" s="870"/>
      <c r="Q141" s="896"/>
      <c r="R141" s="896"/>
      <c r="S141" s="914"/>
      <c r="T141" s="870"/>
      <c r="U141" s="870"/>
      <c r="V141" s="872">
        <v>684515690</v>
      </c>
      <c r="W141" s="866">
        <v>684515690</v>
      </c>
      <c r="X141" s="877">
        <v>684515690</v>
      </c>
    </row>
    <row r="142" spans="1:24" s="216" customFormat="1">
      <c r="A142" s="862"/>
      <c r="B142" s="859" t="s">
        <v>630</v>
      </c>
      <c r="C142" s="870"/>
      <c r="D142" s="896"/>
      <c r="E142" s="896"/>
      <c r="F142" s="896"/>
      <c r="G142" s="896"/>
      <c r="H142" s="896"/>
      <c r="I142" s="872"/>
      <c r="J142" s="872"/>
      <c r="K142" s="896"/>
      <c r="L142" s="896"/>
      <c r="M142" s="896"/>
      <c r="N142" s="896"/>
      <c r="O142" s="872"/>
      <c r="P142" s="870"/>
      <c r="Q142" s="896"/>
      <c r="R142" s="896"/>
      <c r="S142" s="914"/>
      <c r="T142" s="870"/>
      <c r="U142" s="870"/>
      <c r="V142" s="872">
        <v>720901494</v>
      </c>
      <c r="W142" s="873">
        <v>720901494</v>
      </c>
      <c r="X142" s="877">
        <v>720901494</v>
      </c>
    </row>
    <row r="143" spans="1:24" s="215" customFormat="1" ht="13.5" thickBot="1">
      <c r="A143" s="862"/>
      <c r="B143" s="859" t="s">
        <v>632</v>
      </c>
      <c r="C143" s="870">
        <v>0</v>
      </c>
      <c r="D143" s="896">
        <v>0</v>
      </c>
      <c r="E143" s="896">
        <v>0</v>
      </c>
      <c r="F143" s="896">
        <v>0</v>
      </c>
      <c r="G143" s="896">
        <v>0</v>
      </c>
      <c r="H143" s="896">
        <v>0</v>
      </c>
      <c r="I143" s="872">
        <v>0</v>
      </c>
      <c r="J143" s="872">
        <v>0</v>
      </c>
      <c r="K143" s="896">
        <v>0</v>
      </c>
      <c r="L143" s="896">
        <v>0</v>
      </c>
      <c r="M143" s="896">
        <v>0</v>
      </c>
      <c r="N143" s="896">
        <v>0</v>
      </c>
      <c r="O143" s="872">
        <v>0</v>
      </c>
      <c r="P143" s="870">
        <v>0</v>
      </c>
      <c r="Q143" s="896">
        <v>0</v>
      </c>
      <c r="R143" s="896">
        <v>0</v>
      </c>
      <c r="S143" s="914">
        <v>0</v>
      </c>
      <c r="T143" s="870">
        <v>0</v>
      </c>
      <c r="U143" s="870">
        <v>0</v>
      </c>
      <c r="V143" s="872">
        <v>5.3155544177519145</v>
      </c>
      <c r="W143" s="886">
        <v>5.3155544177519145</v>
      </c>
      <c r="X143" s="877">
        <v>5.3155544177519145</v>
      </c>
    </row>
    <row r="144" spans="1:24">
      <c r="A144" s="862"/>
      <c r="B144" s="859" t="s">
        <v>1608</v>
      </c>
      <c r="C144" s="870"/>
      <c r="D144" s="896"/>
      <c r="E144" s="896"/>
      <c r="F144" s="896"/>
      <c r="G144" s="896"/>
      <c r="H144" s="896"/>
      <c r="I144" s="872"/>
      <c r="J144" s="872"/>
      <c r="K144" s="896"/>
      <c r="L144" s="896"/>
      <c r="M144" s="896"/>
      <c r="N144" s="896"/>
      <c r="O144" s="872"/>
      <c r="P144" s="870"/>
      <c r="Q144" s="896"/>
      <c r="R144" s="896"/>
      <c r="S144" s="914"/>
      <c r="T144" s="870"/>
      <c r="U144" s="870"/>
      <c r="V144" s="872"/>
      <c r="W144" s="870"/>
      <c r="X144" s="877"/>
    </row>
    <row r="145" spans="1:24" s="216" customFormat="1">
      <c r="A145" s="862"/>
      <c r="B145" s="859" t="s">
        <v>1291</v>
      </c>
      <c r="C145" s="870"/>
      <c r="D145" s="896"/>
      <c r="E145" s="896"/>
      <c r="F145" s="896"/>
      <c r="G145" s="896"/>
      <c r="H145" s="896"/>
      <c r="I145" s="872"/>
      <c r="J145" s="872"/>
      <c r="K145" s="896"/>
      <c r="L145" s="896"/>
      <c r="M145" s="896"/>
      <c r="N145" s="896"/>
      <c r="O145" s="872"/>
      <c r="P145" s="870"/>
      <c r="Q145" s="896"/>
      <c r="R145" s="896"/>
      <c r="S145" s="914"/>
      <c r="T145" s="870"/>
      <c r="U145" s="870"/>
      <c r="V145" s="872"/>
      <c r="W145" s="870"/>
      <c r="X145" s="877"/>
    </row>
    <row r="146" spans="1:24" s="215" customFormat="1">
      <c r="A146" s="862"/>
      <c r="B146" s="859" t="s">
        <v>458</v>
      </c>
      <c r="C146" s="870">
        <v>0</v>
      </c>
      <c r="D146" s="896">
        <v>0</v>
      </c>
      <c r="E146" s="896">
        <v>0</v>
      </c>
      <c r="F146" s="896">
        <v>0</v>
      </c>
      <c r="G146" s="896">
        <v>0</v>
      </c>
      <c r="H146" s="896">
        <v>0</v>
      </c>
      <c r="I146" s="872">
        <v>0</v>
      </c>
      <c r="J146" s="872">
        <v>0</v>
      </c>
      <c r="K146" s="896">
        <v>0</v>
      </c>
      <c r="L146" s="896">
        <v>0</v>
      </c>
      <c r="M146" s="896">
        <v>0</v>
      </c>
      <c r="N146" s="896">
        <v>0</v>
      </c>
      <c r="O146" s="872">
        <v>0</v>
      </c>
      <c r="P146" s="870">
        <v>0</v>
      </c>
      <c r="Q146" s="896">
        <v>0</v>
      </c>
      <c r="R146" s="896">
        <v>0</v>
      </c>
      <c r="S146" s="914">
        <v>0</v>
      </c>
      <c r="T146" s="870">
        <v>0</v>
      </c>
      <c r="U146" s="870">
        <v>0</v>
      </c>
      <c r="V146" s="872">
        <v>0</v>
      </c>
      <c r="W146" s="870">
        <v>0</v>
      </c>
      <c r="X146" s="877">
        <v>0</v>
      </c>
    </row>
    <row r="147" spans="1:24">
      <c r="A147" s="862"/>
      <c r="B147" s="859" t="s">
        <v>1287</v>
      </c>
      <c r="C147" s="870"/>
      <c r="D147" s="896"/>
      <c r="E147" s="896"/>
      <c r="F147" s="896"/>
      <c r="G147" s="896"/>
      <c r="H147" s="896"/>
      <c r="I147" s="872"/>
      <c r="J147" s="872"/>
      <c r="K147" s="896"/>
      <c r="L147" s="896"/>
      <c r="M147" s="896"/>
      <c r="N147" s="896"/>
      <c r="O147" s="872"/>
      <c r="P147" s="870"/>
      <c r="Q147" s="896"/>
      <c r="R147" s="896"/>
      <c r="S147" s="914"/>
      <c r="T147" s="870"/>
      <c r="U147" s="870"/>
      <c r="V147" s="872"/>
      <c r="W147" s="870"/>
      <c r="X147" s="877"/>
    </row>
    <row r="148" spans="1:24" s="216" customFormat="1">
      <c r="A148" s="862"/>
      <c r="B148" s="859" t="s">
        <v>673</v>
      </c>
      <c r="C148" s="870"/>
      <c r="D148" s="896"/>
      <c r="E148" s="896"/>
      <c r="F148" s="896"/>
      <c r="G148" s="896"/>
      <c r="H148" s="896"/>
      <c r="I148" s="872"/>
      <c r="J148" s="872"/>
      <c r="K148" s="896"/>
      <c r="L148" s="896"/>
      <c r="M148" s="896"/>
      <c r="N148" s="896"/>
      <c r="O148" s="872"/>
      <c r="P148" s="870"/>
      <c r="Q148" s="896"/>
      <c r="R148" s="896"/>
      <c r="S148" s="914"/>
      <c r="T148" s="870"/>
      <c r="U148" s="870"/>
      <c r="V148" s="872"/>
      <c r="W148" s="870"/>
      <c r="X148" s="877"/>
    </row>
    <row r="149" spans="1:24" s="215" customFormat="1">
      <c r="A149" s="862"/>
      <c r="B149" s="859" t="s">
        <v>877</v>
      </c>
      <c r="C149" s="870">
        <v>0</v>
      </c>
      <c r="D149" s="896">
        <v>0</v>
      </c>
      <c r="E149" s="896">
        <v>0</v>
      </c>
      <c r="F149" s="896">
        <v>0</v>
      </c>
      <c r="G149" s="896">
        <v>0</v>
      </c>
      <c r="H149" s="896">
        <v>0</v>
      </c>
      <c r="I149" s="872">
        <v>0</v>
      </c>
      <c r="J149" s="872">
        <v>0</v>
      </c>
      <c r="K149" s="896">
        <v>0</v>
      </c>
      <c r="L149" s="896">
        <v>0</v>
      </c>
      <c r="M149" s="896">
        <v>0</v>
      </c>
      <c r="N149" s="896">
        <v>0</v>
      </c>
      <c r="O149" s="872">
        <v>0</v>
      </c>
      <c r="P149" s="870">
        <v>0</v>
      </c>
      <c r="Q149" s="896">
        <v>0</v>
      </c>
      <c r="R149" s="896">
        <v>0</v>
      </c>
      <c r="S149" s="914">
        <v>0</v>
      </c>
      <c r="T149" s="870">
        <v>0</v>
      </c>
      <c r="U149" s="870">
        <v>0</v>
      </c>
      <c r="V149" s="872">
        <v>0</v>
      </c>
      <c r="W149" s="870">
        <v>0</v>
      </c>
      <c r="X149" s="877">
        <v>0</v>
      </c>
    </row>
    <row r="150" spans="1:24">
      <c r="A150" s="862"/>
      <c r="B150" s="859" t="s">
        <v>1289</v>
      </c>
      <c r="C150" s="870">
        <v>0</v>
      </c>
      <c r="D150" s="896">
        <v>0</v>
      </c>
      <c r="E150" s="896">
        <v>0</v>
      </c>
      <c r="F150" s="896">
        <v>0</v>
      </c>
      <c r="G150" s="896"/>
      <c r="H150" s="896">
        <v>0</v>
      </c>
      <c r="I150" s="872">
        <v>0</v>
      </c>
      <c r="J150" s="872">
        <v>0</v>
      </c>
      <c r="K150" s="896">
        <v>0</v>
      </c>
      <c r="L150" s="896">
        <v>0</v>
      </c>
      <c r="M150" s="896">
        <v>0</v>
      </c>
      <c r="N150" s="896"/>
      <c r="O150" s="872">
        <v>0</v>
      </c>
      <c r="P150" s="870"/>
      <c r="Q150" s="896"/>
      <c r="R150" s="896">
        <v>0</v>
      </c>
      <c r="S150" s="914">
        <v>0</v>
      </c>
      <c r="T150" s="870"/>
      <c r="U150" s="870"/>
      <c r="V150" s="872">
        <v>0</v>
      </c>
      <c r="W150" s="870">
        <v>0</v>
      </c>
      <c r="X150" s="877">
        <v>0</v>
      </c>
    </row>
    <row r="151" spans="1:24" s="216" customFormat="1">
      <c r="A151" s="862"/>
      <c r="B151" s="859" t="s">
        <v>675</v>
      </c>
      <c r="C151" s="870">
        <v>0</v>
      </c>
      <c r="D151" s="896">
        <v>0</v>
      </c>
      <c r="E151" s="896">
        <v>0</v>
      </c>
      <c r="F151" s="896">
        <v>0</v>
      </c>
      <c r="G151" s="896"/>
      <c r="H151" s="896">
        <v>0</v>
      </c>
      <c r="I151" s="872">
        <v>0</v>
      </c>
      <c r="J151" s="872">
        <v>0</v>
      </c>
      <c r="K151" s="896">
        <v>0</v>
      </c>
      <c r="L151" s="896">
        <v>0</v>
      </c>
      <c r="M151" s="896">
        <v>0</v>
      </c>
      <c r="N151" s="896"/>
      <c r="O151" s="872">
        <v>0</v>
      </c>
      <c r="P151" s="870"/>
      <c r="Q151" s="896"/>
      <c r="R151" s="896">
        <v>0</v>
      </c>
      <c r="S151" s="914">
        <v>0</v>
      </c>
      <c r="T151" s="870"/>
      <c r="U151" s="870"/>
      <c r="V151" s="872">
        <v>0</v>
      </c>
      <c r="W151" s="870">
        <v>0</v>
      </c>
      <c r="X151" s="877">
        <v>0</v>
      </c>
    </row>
    <row r="152" spans="1:24" s="215" customFormat="1">
      <c r="A152" s="862"/>
      <c r="B152" s="859" t="s">
        <v>1339</v>
      </c>
      <c r="C152" s="870">
        <v>0</v>
      </c>
      <c r="D152" s="896">
        <v>0</v>
      </c>
      <c r="E152" s="896">
        <v>0</v>
      </c>
      <c r="F152" s="896">
        <v>0</v>
      </c>
      <c r="G152" s="896">
        <v>0</v>
      </c>
      <c r="H152" s="896">
        <v>0</v>
      </c>
      <c r="I152" s="872">
        <v>0</v>
      </c>
      <c r="J152" s="872">
        <v>0</v>
      </c>
      <c r="K152" s="896">
        <v>0</v>
      </c>
      <c r="L152" s="896">
        <v>0</v>
      </c>
      <c r="M152" s="896">
        <v>0</v>
      </c>
      <c r="N152" s="896">
        <v>0</v>
      </c>
      <c r="O152" s="872">
        <v>0</v>
      </c>
      <c r="P152" s="870">
        <v>0</v>
      </c>
      <c r="Q152" s="896">
        <v>0</v>
      </c>
      <c r="R152" s="896">
        <v>0</v>
      </c>
      <c r="S152" s="914">
        <v>0</v>
      </c>
      <c r="T152" s="870">
        <v>0</v>
      </c>
      <c r="U152" s="870">
        <v>0</v>
      </c>
      <c r="V152" s="872">
        <v>0</v>
      </c>
      <c r="W152" s="870">
        <v>0</v>
      </c>
      <c r="X152" s="877">
        <v>0</v>
      </c>
    </row>
    <row r="153" spans="1:24">
      <c r="A153" s="862"/>
      <c r="B153" s="859" t="s">
        <v>634</v>
      </c>
      <c r="C153" s="870">
        <v>212534337</v>
      </c>
      <c r="D153" s="896">
        <v>5272250</v>
      </c>
      <c r="E153" s="896"/>
      <c r="F153" s="896"/>
      <c r="G153" s="896"/>
      <c r="H153" s="896"/>
      <c r="I153" s="872">
        <v>217806587</v>
      </c>
      <c r="J153" s="872"/>
      <c r="K153" s="896"/>
      <c r="L153" s="896"/>
      <c r="M153" s="896"/>
      <c r="N153" s="896"/>
      <c r="O153" s="872"/>
      <c r="P153" s="870"/>
      <c r="Q153" s="896"/>
      <c r="R153" s="896"/>
      <c r="S153" s="914"/>
      <c r="T153" s="870"/>
      <c r="U153" s="870"/>
      <c r="V153" s="872"/>
      <c r="W153" s="870"/>
      <c r="X153" s="877">
        <v>217806587</v>
      </c>
    </row>
    <row r="154" spans="1:24" s="216" customFormat="1">
      <c r="A154" s="862"/>
      <c r="B154" s="859" t="s">
        <v>636</v>
      </c>
      <c r="C154" s="870">
        <v>216574010</v>
      </c>
      <c r="D154" s="896">
        <v>11459863</v>
      </c>
      <c r="E154" s="896"/>
      <c r="F154" s="896"/>
      <c r="G154" s="896"/>
      <c r="H154" s="896"/>
      <c r="I154" s="872">
        <v>228033873</v>
      </c>
      <c r="J154" s="872"/>
      <c r="K154" s="896"/>
      <c r="L154" s="896"/>
      <c r="M154" s="896"/>
      <c r="N154" s="896"/>
      <c r="O154" s="872"/>
      <c r="P154" s="870"/>
      <c r="Q154" s="896"/>
      <c r="R154" s="896"/>
      <c r="S154" s="914"/>
      <c r="T154" s="870"/>
      <c r="U154" s="870"/>
      <c r="V154" s="872"/>
      <c r="W154" s="870"/>
      <c r="X154" s="877">
        <v>228033873</v>
      </c>
    </row>
    <row r="155" spans="1:24" s="215" customFormat="1" ht="13.5" thickBot="1">
      <c r="A155" s="862"/>
      <c r="B155" s="859" t="s">
        <v>1540</v>
      </c>
      <c r="C155" s="870">
        <v>1.9007154594506768</v>
      </c>
      <c r="D155" s="896">
        <v>117.36190431030396</v>
      </c>
      <c r="E155" s="896">
        <v>0</v>
      </c>
      <c r="F155" s="896">
        <v>0</v>
      </c>
      <c r="G155" s="896">
        <v>0</v>
      </c>
      <c r="H155" s="896">
        <v>0</v>
      </c>
      <c r="I155" s="872">
        <v>4.6955815895503656</v>
      </c>
      <c r="J155" s="872">
        <v>0</v>
      </c>
      <c r="K155" s="896">
        <v>0</v>
      </c>
      <c r="L155" s="896">
        <v>0</v>
      </c>
      <c r="M155" s="896">
        <v>0</v>
      </c>
      <c r="N155" s="896">
        <v>0</v>
      </c>
      <c r="O155" s="872">
        <v>0</v>
      </c>
      <c r="P155" s="870">
        <v>0</v>
      </c>
      <c r="Q155" s="896">
        <v>0</v>
      </c>
      <c r="R155" s="896">
        <v>0</v>
      </c>
      <c r="S155" s="914">
        <v>0</v>
      </c>
      <c r="T155" s="870">
        <v>0</v>
      </c>
      <c r="U155" s="870">
        <v>0</v>
      </c>
      <c r="V155" s="872">
        <v>0</v>
      </c>
      <c r="W155" s="870">
        <v>0</v>
      </c>
      <c r="X155" s="877">
        <v>4.6955815895503656</v>
      </c>
    </row>
    <row r="156" spans="1:24">
      <c r="A156" s="862"/>
      <c r="B156" s="859" t="s">
        <v>637</v>
      </c>
      <c r="C156" s="866">
        <v>49363708</v>
      </c>
      <c r="D156" s="896">
        <v>0</v>
      </c>
      <c r="E156" s="896"/>
      <c r="F156" s="896"/>
      <c r="G156" s="896"/>
      <c r="H156" s="896"/>
      <c r="I156" s="872">
        <v>49363708</v>
      </c>
      <c r="J156" s="872"/>
      <c r="K156" s="896"/>
      <c r="L156" s="896"/>
      <c r="M156" s="896"/>
      <c r="N156" s="896"/>
      <c r="O156" s="872"/>
      <c r="P156" s="870"/>
      <c r="Q156" s="896"/>
      <c r="R156" s="896"/>
      <c r="S156" s="914"/>
      <c r="T156" s="870"/>
      <c r="U156" s="870"/>
      <c r="V156" s="872"/>
      <c r="W156" s="870"/>
      <c r="X156" s="877">
        <v>49363708</v>
      </c>
    </row>
    <row r="157" spans="1:24" s="216" customFormat="1">
      <c r="A157" s="862"/>
      <c r="B157" s="859" t="s">
        <v>1890</v>
      </c>
      <c r="C157" s="873">
        <v>50340339</v>
      </c>
      <c r="D157" s="896">
        <v>0</v>
      </c>
      <c r="E157" s="896"/>
      <c r="F157" s="896"/>
      <c r="G157" s="896"/>
      <c r="H157" s="896"/>
      <c r="I157" s="872">
        <v>50340339</v>
      </c>
      <c r="J157" s="872"/>
      <c r="K157" s="896"/>
      <c r="L157" s="896"/>
      <c r="M157" s="896"/>
      <c r="N157" s="896"/>
      <c r="O157" s="872"/>
      <c r="P157" s="870"/>
      <c r="Q157" s="896"/>
      <c r="R157" s="896"/>
      <c r="S157" s="914"/>
      <c r="T157" s="870"/>
      <c r="U157" s="870"/>
      <c r="V157" s="872"/>
      <c r="W157" s="870"/>
      <c r="X157" s="877">
        <v>50340339</v>
      </c>
    </row>
    <row r="158" spans="1:24" s="215" customFormat="1" ht="13.5" thickBot="1">
      <c r="A158" s="862"/>
      <c r="B158" s="859" t="s">
        <v>1603</v>
      </c>
      <c r="C158" s="886">
        <v>1.9784393020070532</v>
      </c>
      <c r="D158" s="896">
        <v>0</v>
      </c>
      <c r="E158" s="896">
        <v>0</v>
      </c>
      <c r="F158" s="896">
        <v>0</v>
      </c>
      <c r="G158" s="896">
        <v>0</v>
      </c>
      <c r="H158" s="896">
        <v>0</v>
      </c>
      <c r="I158" s="872">
        <v>1.9784393020070532</v>
      </c>
      <c r="J158" s="872">
        <v>0</v>
      </c>
      <c r="K158" s="896">
        <v>0</v>
      </c>
      <c r="L158" s="896">
        <v>0</v>
      </c>
      <c r="M158" s="896">
        <v>0</v>
      </c>
      <c r="N158" s="896">
        <v>0</v>
      </c>
      <c r="O158" s="872">
        <v>0</v>
      </c>
      <c r="P158" s="870">
        <v>0</v>
      </c>
      <c r="Q158" s="896">
        <v>0</v>
      </c>
      <c r="R158" s="896">
        <v>0</v>
      </c>
      <c r="S158" s="914">
        <v>0</v>
      </c>
      <c r="T158" s="870">
        <v>0</v>
      </c>
      <c r="U158" s="870">
        <v>0</v>
      </c>
      <c r="V158" s="872">
        <v>0</v>
      </c>
      <c r="W158" s="870">
        <v>0</v>
      </c>
      <c r="X158" s="877">
        <v>1.9784393020070532</v>
      </c>
    </row>
    <row r="159" spans="1:24">
      <c r="A159" s="862"/>
      <c r="B159" s="859" t="s">
        <v>377</v>
      </c>
      <c r="C159" s="870">
        <v>2073596595</v>
      </c>
      <c r="D159" s="896">
        <v>617850527</v>
      </c>
      <c r="E159" s="896">
        <v>417377212</v>
      </c>
      <c r="F159" s="896">
        <v>83592771</v>
      </c>
      <c r="G159" s="896"/>
      <c r="H159" s="896">
        <v>22828192</v>
      </c>
      <c r="I159" s="872">
        <v>3215245297</v>
      </c>
      <c r="J159" s="872">
        <v>413524335</v>
      </c>
      <c r="K159" s="896">
        <v>1061253573</v>
      </c>
      <c r="L159" s="896">
        <v>161760487</v>
      </c>
      <c r="M159" s="896">
        <v>16464020</v>
      </c>
      <c r="N159" s="896"/>
      <c r="O159" s="872">
        <v>1653002415</v>
      </c>
      <c r="P159" s="870"/>
      <c r="Q159" s="896"/>
      <c r="R159" s="896">
        <v>0</v>
      </c>
      <c r="S159" s="914">
        <v>0</v>
      </c>
      <c r="T159" s="870"/>
      <c r="U159" s="870"/>
      <c r="V159" s="872">
        <v>96156488</v>
      </c>
      <c r="W159" s="870">
        <v>96156488</v>
      </c>
      <c r="X159" s="877">
        <v>4964404200</v>
      </c>
    </row>
    <row r="160" spans="1:24" s="216" customFormat="1">
      <c r="A160" s="862"/>
      <c r="B160" s="859" t="s">
        <v>379</v>
      </c>
      <c r="C160" s="870">
        <v>2075069253</v>
      </c>
      <c r="D160" s="896">
        <v>622432217</v>
      </c>
      <c r="E160" s="896">
        <v>406003899</v>
      </c>
      <c r="F160" s="896">
        <v>83186875</v>
      </c>
      <c r="G160" s="896"/>
      <c r="H160" s="896">
        <v>22301101</v>
      </c>
      <c r="I160" s="872">
        <v>3208993345</v>
      </c>
      <c r="J160" s="872">
        <v>397831780</v>
      </c>
      <c r="K160" s="896">
        <v>1024782329</v>
      </c>
      <c r="L160" s="896">
        <v>155837487</v>
      </c>
      <c r="M160" s="896">
        <v>15599380</v>
      </c>
      <c r="N160" s="896"/>
      <c r="O160" s="872">
        <v>1594050976</v>
      </c>
      <c r="P160" s="870"/>
      <c r="Q160" s="896"/>
      <c r="R160" s="896">
        <v>0</v>
      </c>
      <c r="S160" s="914">
        <v>0</v>
      </c>
      <c r="T160" s="870"/>
      <c r="U160" s="870"/>
      <c r="V160" s="872">
        <v>36972896</v>
      </c>
      <c r="W160" s="870">
        <v>36972896</v>
      </c>
      <c r="X160" s="877">
        <v>4840017217</v>
      </c>
    </row>
    <row r="161" spans="1:24" s="228" customFormat="1" ht="13.5" thickBot="1">
      <c r="A161" s="897"/>
      <c r="B161" s="859" t="s">
        <v>381</v>
      </c>
      <c r="C161" s="870">
        <v>7.1019503193194625E-2</v>
      </c>
      <c r="D161" s="896">
        <v>0.74155314267458738</v>
      </c>
      <c r="E161" s="896">
        <v>-2.7249482417837414</v>
      </c>
      <c r="F161" s="896">
        <v>-0.48556351840519801</v>
      </c>
      <c r="G161" s="896">
        <v>0</v>
      </c>
      <c r="H161" s="896">
        <v>-2.30894763807839</v>
      </c>
      <c r="I161" s="872">
        <v>-0.19444712370261186</v>
      </c>
      <c r="J161" s="872">
        <v>-3.7948322920342767</v>
      </c>
      <c r="K161" s="896">
        <v>-3.436619195250521</v>
      </c>
      <c r="L161" s="896">
        <v>-3.6615864045958268</v>
      </c>
      <c r="M161" s="896">
        <v>-5.2516943006628996</v>
      </c>
      <c r="N161" s="896">
        <v>0</v>
      </c>
      <c r="O161" s="872">
        <v>-3.5663250377041948</v>
      </c>
      <c r="P161" s="870">
        <v>0</v>
      </c>
      <c r="Q161" s="896">
        <v>0</v>
      </c>
      <c r="R161" s="896">
        <v>0</v>
      </c>
      <c r="S161" s="914">
        <v>0</v>
      </c>
      <c r="T161" s="870">
        <v>0</v>
      </c>
      <c r="U161" s="870">
        <v>0</v>
      </c>
      <c r="V161" s="872">
        <v>-61.549244602194705</v>
      </c>
      <c r="W161" s="870">
        <v>-61.549244602194705</v>
      </c>
      <c r="X161" s="877">
        <v>-2.5055772654450656</v>
      </c>
    </row>
    <row r="162" spans="1:24">
      <c r="A162" s="858" t="s">
        <v>1272</v>
      </c>
      <c r="B162" s="858" t="s">
        <v>1347</v>
      </c>
      <c r="C162" s="863">
        <v>593678686</v>
      </c>
      <c r="D162" s="864">
        <v>243569467</v>
      </c>
      <c r="E162" s="866">
        <v>194243510</v>
      </c>
      <c r="F162" s="866">
        <v>210869765</v>
      </c>
      <c r="G162" s="866">
        <v>111987380</v>
      </c>
      <c r="H162" s="868">
        <v>48736717</v>
      </c>
      <c r="I162" s="865">
        <v>1403085525</v>
      </c>
      <c r="J162" s="865">
        <v>14438736</v>
      </c>
      <c r="K162" s="866">
        <v>63949069</v>
      </c>
      <c r="L162" s="864">
        <v>120341320</v>
      </c>
      <c r="M162" s="864">
        <v>27097639</v>
      </c>
      <c r="N162" s="864"/>
      <c r="O162" s="865">
        <v>225826764</v>
      </c>
      <c r="P162" s="863">
        <v>285221682.85000002</v>
      </c>
      <c r="Q162" s="866">
        <v>30811450</v>
      </c>
      <c r="R162" s="864"/>
      <c r="S162" s="913">
        <v>316033132.85000002</v>
      </c>
      <c r="T162" s="863">
        <v>22769315</v>
      </c>
      <c r="U162" s="866">
        <v>22769315</v>
      </c>
      <c r="V162" s="865"/>
      <c r="W162" s="863"/>
      <c r="X162" s="869">
        <v>1967714736.8499999</v>
      </c>
    </row>
    <row r="163" spans="1:24" s="216" customFormat="1">
      <c r="A163" s="862"/>
      <c r="B163" s="859" t="s">
        <v>60</v>
      </c>
      <c r="C163" s="870">
        <v>571993218</v>
      </c>
      <c r="D163" s="896">
        <v>240221884</v>
      </c>
      <c r="E163" s="873">
        <v>188441679</v>
      </c>
      <c r="F163" s="873">
        <v>205488727</v>
      </c>
      <c r="G163" s="873">
        <v>107222133</v>
      </c>
      <c r="H163" s="876">
        <v>53529541</v>
      </c>
      <c r="I163" s="872">
        <v>1366897182</v>
      </c>
      <c r="J163" s="872">
        <v>14076889</v>
      </c>
      <c r="K163" s="873">
        <v>60228625</v>
      </c>
      <c r="L163" s="896">
        <v>114019607</v>
      </c>
      <c r="M163" s="896">
        <v>26434125</v>
      </c>
      <c r="N163" s="896"/>
      <c r="O163" s="872">
        <v>214759246</v>
      </c>
      <c r="P163" s="870">
        <v>280837500</v>
      </c>
      <c r="Q163" s="873">
        <v>30038790</v>
      </c>
      <c r="R163" s="896"/>
      <c r="S163" s="914">
        <v>310876290</v>
      </c>
      <c r="T163" s="870">
        <v>26948890</v>
      </c>
      <c r="U163" s="873">
        <v>26948890</v>
      </c>
      <c r="V163" s="872"/>
      <c r="W163" s="870"/>
      <c r="X163" s="877">
        <v>1919481608</v>
      </c>
    </row>
    <row r="164" spans="1:24" s="215" customFormat="1" ht="13.5" thickBot="1">
      <c r="A164" s="862"/>
      <c r="B164" s="859" t="s">
        <v>906</v>
      </c>
      <c r="C164" s="870">
        <v>-3.6527280684622729</v>
      </c>
      <c r="D164" s="896">
        <v>-1.3743853206362684</v>
      </c>
      <c r="E164" s="886">
        <v>-2.9868853790790748</v>
      </c>
      <c r="F164" s="886">
        <v>-2.5518300359465949</v>
      </c>
      <c r="G164" s="886">
        <v>-4.2551642872616542</v>
      </c>
      <c r="H164" s="888">
        <v>9.834113364673291</v>
      </c>
      <c r="I164" s="872">
        <v>-2.5791972303327695</v>
      </c>
      <c r="J164" s="872">
        <v>-2.5060850201845923</v>
      </c>
      <c r="K164" s="886">
        <v>-5.8178235558050106</v>
      </c>
      <c r="L164" s="896">
        <v>-5.2531524500479136</v>
      </c>
      <c r="M164" s="896">
        <v>-2.4486044706699355</v>
      </c>
      <c r="N164" s="896">
        <v>0</v>
      </c>
      <c r="O164" s="872">
        <v>-4.9008885412713967</v>
      </c>
      <c r="P164" s="870">
        <v>-1.5371141514180375</v>
      </c>
      <c r="Q164" s="886">
        <v>-2.5077041164891622</v>
      </c>
      <c r="R164" s="896">
        <v>0</v>
      </c>
      <c r="S164" s="914">
        <v>-1.6317412049475317</v>
      </c>
      <c r="T164" s="870">
        <v>18.356173648614373</v>
      </c>
      <c r="U164" s="886">
        <v>18.356173648614373</v>
      </c>
      <c r="V164" s="872">
        <v>0</v>
      </c>
      <c r="W164" s="870">
        <v>0</v>
      </c>
      <c r="X164" s="877">
        <v>-2.4512256754865551</v>
      </c>
    </row>
    <row r="165" spans="1:24">
      <c r="A165" s="862"/>
      <c r="B165" s="859" t="s">
        <v>1370</v>
      </c>
      <c r="C165" s="870">
        <v>88759561</v>
      </c>
      <c r="D165" s="866">
        <v>22968139</v>
      </c>
      <c r="E165" s="896"/>
      <c r="F165" s="896">
        <v>91931</v>
      </c>
      <c r="G165" s="896">
        <v>153218</v>
      </c>
      <c r="H165" s="896"/>
      <c r="I165" s="872">
        <v>111972849</v>
      </c>
      <c r="J165" s="872"/>
      <c r="K165" s="896"/>
      <c r="L165" s="896"/>
      <c r="M165" s="896">
        <v>158955</v>
      </c>
      <c r="N165" s="896"/>
      <c r="O165" s="872">
        <v>158955</v>
      </c>
      <c r="P165" s="870"/>
      <c r="Q165" s="896"/>
      <c r="R165" s="896"/>
      <c r="S165" s="914"/>
      <c r="T165" s="870"/>
      <c r="U165" s="870"/>
      <c r="V165" s="872">
        <v>81553181</v>
      </c>
      <c r="W165" s="866">
        <v>81553181</v>
      </c>
      <c r="X165" s="877">
        <v>193684985</v>
      </c>
    </row>
    <row r="166" spans="1:24" s="216" customFormat="1">
      <c r="A166" s="862"/>
      <c r="B166" s="859" t="s">
        <v>1611</v>
      </c>
      <c r="C166" s="870">
        <v>85254233</v>
      </c>
      <c r="D166" s="873">
        <v>18927744</v>
      </c>
      <c r="E166" s="896"/>
      <c r="F166" s="896">
        <v>83734</v>
      </c>
      <c r="G166" s="896">
        <v>139557</v>
      </c>
      <c r="H166" s="896"/>
      <c r="I166" s="872">
        <v>104405268</v>
      </c>
      <c r="J166" s="872"/>
      <c r="K166" s="896"/>
      <c r="L166" s="896"/>
      <c r="M166" s="896">
        <v>146442</v>
      </c>
      <c r="N166" s="896"/>
      <c r="O166" s="872">
        <v>146442</v>
      </c>
      <c r="P166" s="870"/>
      <c r="Q166" s="896"/>
      <c r="R166" s="896"/>
      <c r="S166" s="914"/>
      <c r="T166" s="870"/>
      <c r="U166" s="870"/>
      <c r="V166" s="872">
        <v>47658837</v>
      </c>
      <c r="W166" s="873">
        <v>47658837</v>
      </c>
      <c r="X166" s="877">
        <v>152210547</v>
      </c>
    </row>
    <row r="167" spans="1:24" s="215" customFormat="1" ht="13.5" thickBot="1">
      <c r="A167" s="862"/>
      <c r="B167" s="859" t="s">
        <v>1613</v>
      </c>
      <c r="C167" s="870">
        <v>-3.9492399021667084</v>
      </c>
      <c r="D167" s="886">
        <v>-17.591303326751898</v>
      </c>
      <c r="E167" s="896">
        <v>0</v>
      </c>
      <c r="F167" s="896">
        <v>-8.916469961166527</v>
      </c>
      <c r="G167" s="896">
        <v>-8.9160542495007107</v>
      </c>
      <c r="H167" s="896">
        <v>0</v>
      </c>
      <c r="I167" s="872">
        <v>-6.7584071206404692</v>
      </c>
      <c r="J167" s="872">
        <v>0</v>
      </c>
      <c r="K167" s="896">
        <v>0</v>
      </c>
      <c r="L167" s="896">
        <v>0</v>
      </c>
      <c r="M167" s="896">
        <v>-7.872039256393319</v>
      </c>
      <c r="N167" s="896">
        <v>0</v>
      </c>
      <c r="O167" s="872">
        <v>-7.872039256393319</v>
      </c>
      <c r="P167" s="870">
        <v>0</v>
      </c>
      <c r="Q167" s="896">
        <v>0</v>
      </c>
      <c r="R167" s="896">
        <v>0</v>
      </c>
      <c r="S167" s="914">
        <v>0</v>
      </c>
      <c r="T167" s="870">
        <v>0</v>
      </c>
      <c r="U167" s="870">
        <v>0</v>
      </c>
      <c r="V167" s="872">
        <v>-41.561032426190707</v>
      </c>
      <c r="W167" s="886">
        <v>-41.561032426190707</v>
      </c>
      <c r="X167" s="877">
        <v>-21.413347038749546</v>
      </c>
    </row>
    <row r="168" spans="1:24">
      <c r="A168" s="862"/>
      <c r="B168" s="859" t="s">
        <v>61</v>
      </c>
      <c r="C168" s="870"/>
      <c r="D168" s="896"/>
      <c r="E168" s="896"/>
      <c r="F168" s="896"/>
      <c r="G168" s="896"/>
      <c r="H168" s="896"/>
      <c r="I168" s="872"/>
      <c r="J168" s="872"/>
      <c r="K168" s="896"/>
      <c r="L168" s="896"/>
      <c r="M168" s="896"/>
      <c r="N168" s="896"/>
      <c r="O168" s="872"/>
      <c r="P168" s="870"/>
      <c r="Q168" s="896"/>
      <c r="R168" s="896"/>
      <c r="S168" s="914"/>
      <c r="T168" s="870"/>
      <c r="U168" s="870"/>
      <c r="V168" s="872"/>
      <c r="W168" s="870"/>
      <c r="X168" s="877"/>
    </row>
    <row r="169" spans="1:24" s="216" customFormat="1">
      <c r="A169" s="862"/>
      <c r="B169" s="859" t="s">
        <v>62</v>
      </c>
      <c r="C169" s="870"/>
      <c r="D169" s="896"/>
      <c r="E169" s="896"/>
      <c r="F169" s="896"/>
      <c r="G169" s="896"/>
      <c r="H169" s="896"/>
      <c r="I169" s="872"/>
      <c r="J169" s="872"/>
      <c r="K169" s="896"/>
      <c r="L169" s="896"/>
      <c r="M169" s="896"/>
      <c r="N169" s="896"/>
      <c r="O169" s="872"/>
      <c r="P169" s="870"/>
      <c r="Q169" s="896"/>
      <c r="R169" s="896"/>
      <c r="S169" s="914"/>
      <c r="T169" s="870"/>
      <c r="U169" s="870"/>
      <c r="V169" s="872"/>
      <c r="W169" s="870"/>
      <c r="X169" s="877"/>
    </row>
    <row r="170" spans="1:24" s="215" customFormat="1" ht="13.5" thickBot="1">
      <c r="A170" s="862"/>
      <c r="B170" s="859" t="s">
        <v>1816</v>
      </c>
      <c r="C170" s="870">
        <v>0</v>
      </c>
      <c r="D170" s="896">
        <v>0</v>
      </c>
      <c r="E170" s="896">
        <v>0</v>
      </c>
      <c r="F170" s="896">
        <v>0</v>
      </c>
      <c r="G170" s="896">
        <v>0</v>
      </c>
      <c r="H170" s="896">
        <v>0</v>
      </c>
      <c r="I170" s="872">
        <v>0</v>
      </c>
      <c r="J170" s="872">
        <v>0</v>
      </c>
      <c r="K170" s="896">
        <v>0</v>
      </c>
      <c r="L170" s="896">
        <v>0</v>
      </c>
      <c r="M170" s="896">
        <v>0</v>
      </c>
      <c r="N170" s="896">
        <v>0</v>
      </c>
      <c r="O170" s="872">
        <v>0</v>
      </c>
      <c r="P170" s="870">
        <v>0</v>
      </c>
      <c r="Q170" s="896">
        <v>0</v>
      </c>
      <c r="R170" s="896">
        <v>0</v>
      </c>
      <c r="S170" s="914">
        <v>0</v>
      </c>
      <c r="T170" s="870">
        <v>0</v>
      </c>
      <c r="U170" s="870">
        <v>0</v>
      </c>
      <c r="V170" s="872">
        <v>0</v>
      </c>
      <c r="W170" s="870">
        <v>0</v>
      </c>
      <c r="X170" s="877">
        <v>0</v>
      </c>
    </row>
    <row r="171" spans="1:24">
      <c r="A171" s="862"/>
      <c r="B171" s="859" t="s">
        <v>1588</v>
      </c>
      <c r="C171" s="870">
        <v>309771630</v>
      </c>
      <c r="D171" s="866">
        <v>155714494</v>
      </c>
      <c r="E171" s="896">
        <v>114942960</v>
      </c>
      <c r="F171" s="896">
        <v>141540970</v>
      </c>
      <c r="G171" s="896">
        <v>58126659</v>
      </c>
      <c r="H171" s="866">
        <v>27846912</v>
      </c>
      <c r="I171" s="872">
        <v>807943625</v>
      </c>
      <c r="J171" s="872">
        <v>7134758</v>
      </c>
      <c r="K171" s="896">
        <v>41707341</v>
      </c>
      <c r="L171" s="866">
        <v>54593081</v>
      </c>
      <c r="M171" s="896">
        <v>11895567</v>
      </c>
      <c r="N171" s="896"/>
      <c r="O171" s="872">
        <v>115330747</v>
      </c>
      <c r="P171" s="867">
        <v>129844575</v>
      </c>
      <c r="Q171" s="868">
        <v>8552468</v>
      </c>
      <c r="R171" s="896"/>
      <c r="S171" s="914">
        <v>138397043</v>
      </c>
      <c r="T171" s="870">
        <v>1715737</v>
      </c>
      <c r="U171" s="866">
        <v>1715737</v>
      </c>
      <c r="V171" s="872"/>
      <c r="W171" s="870"/>
      <c r="X171" s="877">
        <v>1063387152</v>
      </c>
    </row>
    <row r="172" spans="1:24" s="216" customFormat="1">
      <c r="A172" s="862"/>
      <c r="B172" s="859" t="s">
        <v>251</v>
      </c>
      <c r="C172" s="870">
        <v>340574362</v>
      </c>
      <c r="D172" s="873">
        <v>172742220</v>
      </c>
      <c r="E172" s="896">
        <v>132241633</v>
      </c>
      <c r="F172" s="896">
        <v>161720811</v>
      </c>
      <c r="G172" s="896">
        <v>65338448</v>
      </c>
      <c r="H172" s="873">
        <v>30522316</v>
      </c>
      <c r="I172" s="872">
        <v>903139790</v>
      </c>
      <c r="J172" s="872">
        <v>8609130</v>
      </c>
      <c r="K172" s="896">
        <v>43897341</v>
      </c>
      <c r="L172" s="873">
        <v>61746261</v>
      </c>
      <c r="M172" s="896">
        <v>14326289</v>
      </c>
      <c r="N172" s="896"/>
      <c r="O172" s="872">
        <v>128579021</v>
      </c>
      <c r="P172" s="875">
        <v>129980000</v>
      </c>
      <c r="Q172" s="876">
        <v>8580000</v>
      </c>
      <c r="R172" s="896"/>
      <c r="S172" s="914">
        <v>138560000</v>
      </c>
      <c r="T172" s="870">
        <v>3787798</v>
      </c>
      <c r="U172" s="873">
        <v>3787798</v>
      </c>
      <c r="V172" s="872"/>
      <c r="W172" s="870"/>
      <c r="X172" s="877">
        <v>1174066609</v>
      </c>
    </row>
    <row r="173" spans="1:24" s="215" customFormat="1" ht="13.5" thickBot="1">
      <c r="A173" s="862"/>
      <c r="B173" s="859" t="s">
        <v>1759</v>
      </c>
      <c r="C173" s="870">
        <v>9.9436904535124793</v>
      </c>
      <c r="D173" s="886">
        <v>10.935222253620141</v>
      </c>
      <c r="E173" s="896">
        <v>15.049789043191511</v>
      </c>
      <c r="F173" s="896">
        <v>14.257243680045431</v>
      </c>
      <c r="G173" s="896">
        <v>12.407024804229675</v>
      </c>
      <c r="H173" s="886">
        <v>9.6075428399385903</v>
      </c>
      <c r="I173" s="872">
        <v>11.782525668173941</v>
      </c>
      <c r="J173" s="872">
        <v>20.664639221120044</v>
      </c>
      <c r="K173" s="896">
        <v>5.2508741806388475</v>
      </c>
      <c r="L173" s="886">
        <v>13.102722669196854</v>
      </c>
      <c r="M173" s="896">
        <v>20.433847331531148</v>
      </c>
      <c r="N173" s="896">
        <v>0</v>
      </c>
      <c r="O173" s="872">
        <v>11.487200373374847</v>
      </c>
      <c r="P173" s="889">
        <v>0.10429777293352457</v>
      </c>
      <c r="Q173" s="888">
        <v>0.32191877245258327</v>
      </c>
      <c r="R173" s="896">
        <v>0</v>
      </c>
      <c r="S173" s="914">
        <v>0.11774601282485493</v>
      </c>
      <c r="T173" s="870">
        <v>120.76798483683689</v>
      </c>
      <c r="U173" s="886">
        <v>120.76798483683689</v>
      </c>
      <c r="V173" s="872">
        <v>0</v>
      </c>
      <c r="W173" s="870">
        <v>0</v>
      </c>
      <c r="X173" s="877">
        <v>10.408199571702179</v>
      </c>
    </row>
    <row r="174" spans="1:24">
      <c r="A174" s="862"/>
      <c r="B174" s="859" t="s">
        <v>1590</v>
      </c>
      <c r="C174" s="870"/>
      <c r="D174" s="896"/>
      <c r="E174" s="896"/>
      <c r="F174" s="896"/>
      <c r="G174" s="896"/>
      <c r="H174" s="896"/>
      <c r="I174" s="872"/>
      <c r="J174" s="872"/>
      <c r="K174" s="896"/>
      <c r="L174" s="896"/>
      <c r="M174" s="896"/>
      <c r="N174" s="896"/>
      <c r="O174" s="872"/>
      <c r="P174" s="870"/>
      <c r="Q174" s="896"/>
      <c r="R174" s="896"/>
      <c r="S174" s="914"/>
      <c r="T174" s="870"/>
      <c r="U174" s="870"/>
      <c r="V174" s="872"/>
      <c r="W174" s="870"/>
      <c r="X174" s="877"/>
    </row>
    <row r="175" spans="1:24" s="216" customFormat="1">
      <c r="A175" s="862"/>
      <c r="B175" s="859" t="s">
        <v>1319</v>
      </c>
      <c r="C175" s="870"/>
      <c r="D175" s="896"/>
      <c r="E175" s="896"/>
      <c r="F175" s="896"/>
      <c r="G175" s="896"/>
      <c r="H175" s="896"/>
      <c r="I175" s="872"/>
      <c r="J175" s="872"/>
      <c r="K175" s="896"/>
      <c r="L175" s="896"/>
      <c r="M175" s="896"/>
      <c r="N175" s="896"/>
      <c r="O175" s="872"/>
      <c r="P175" s="870"/>
      <c r="Q175" s="896"/>
      <c r="R175" s="896"/>
      <c r="S175" s="914"/>
      <c r="T175" s="870"/>
      <c r="U175" s="870"/>
      <c r="V175" s="872"/>
      <c r="W175" s="870"/>
      <c r="X175" s="877"/>
    </row>
    <row r="176" spans="1:24" s="215" customFormat="1">
      <c r="A176" s="862"/>
      <c r="B176" s="859" t="s">
        <v>1330</v>
      </c>
      <c r="C176" s="870">
        <v>0</v>
      </c>
      <c r="D176" s="896">
        <v>0</v>
      </c>
      <c r="E176" s="896">
        <v>0</v>
      </c>
      <c r="F176" s="896">
        <v>0</v>
      </c>
      <c r="G176" s="896">
        <v>0</v>
      </c>
      <c r="H176" s="896">
        <v>0</v>
      </c>
      <c r="I176" s="872">
        <v>0</v>
      </c>
      <c r="J176" s="872">
        <v>0</v>
      </c>
      <c r="K176" s="896">
        <v>0</v>
      </c>
      <c r="L176" s="896">
        <v>0</v>
      </c>
      <c r="M176" s="896">
        <v>0</v>
      </c>
      <c r="N176" s="896">
        <v>0</v>
      </c>
      <c r="O176" s="872">
        <v>0</v>
      </c>
      <c r="P176" s="870">
        <v>0</v>
      </c>
      <c r="Q176" s="896">
        <v>0</v>
      </c>
      <c r="R176" s="896">
        <v>0</v>
      </c>
      <c r="S176" s="914">
        <v>0</v>
      </c>
      <c r="T176" s="870">
        <v>0</v>
      </c>
      <c r="U176" s="870">
        <v>0</v>
      </c>
      <c r="V176" s="872">
        <v>0</v>
      </c>
      <c r="W176" s="870">
        <v>0</v>
      </c>
      <c r="X176" s="877">
        <v>0</v>
      </c>
    </row>
    <row r="177" spans="1:24">
      <c r="A177" s="862"/>
      <c r="B177" s="859" t="s">
        <v>1889</v>
      </c>
      <c r="C177" s="870">
        <v>309771630</v>
      </c>
      <c r="D177" s="896">
        <v>155714494</v>
      </c>
      <c r="E177" s="896">
        <v>114942960</v>
      </c>
      <c r="F177" s="896">
        <v>141540970</v>
      </c>
      <c r="G177" s="896">
        <v>58126659</v>
      </c>
      <c r="H177" s="896">
        <v>27846912</v>
      </c>
      <c r="I177" s="872">
        <v>807943625</v>
      </c>
      <c r="J177" s="872">
        <v>7134758</v>
      </c>
      <c r="K177" s="896">
        <v>41707341</v>
      </c>
      <c r="L177" s="896">
        <v>54593081</v>
      </c>
      <c r="M177" s="896">
        <v>11895567</v>
      </c>
      <c r="N177" s="896"/>
      <c r="O177" s="872">
        <v>115330747</v>
      </c>
      <c r="P177" s="870">
        <v>129844575</v>
      </c>
      <c r="Q177" s="896">
        <v>8552468</v>
      </c>
      <c r="R177" s="896"/>
      <c r="S177" s="914">
        <v>138397043</v>
      </c>
      <c r="T177" s="870">
        <v>1715737</v>
      </c>
      <c r="U177" s="870">
        <v>1715737</v>
      </c>
      <c r="V177" s="872">
        <v>0</v>
      </c>
      <c r="W177" s="870">
        <v>0</v>
      </c>
      <c r="X177" s="877">
        <v>1063387152</v>
      </c>
    </row>
    <row r="178" spans="1:24" s="216" customFormat="1">
      <c r="A178" s="862"/>
      <c r="B178" s="859" t="s">
        <v>626</v>
      </c>
      <c r="C178" s="870">
        <v>340574362</v>
      </c>
      <c r="D178" s="896">
        <v>172742220</v>
      </c>
      <c r="E178" s="896">
        <v>132241633</v>
      </c>
      <c r="F178" s="896">
        <v>161720811</v>
      </c>
      <c r="G178" s="896">
        <v>65338448</v>
      </c>
      <c r="H178" s="896">
        <v>30522316</v>
      </c>
      <c r="I178" s="872">
        <v>903139790</v>
      </c>
      <c r="J178" s="872">
        <v>8609130</v>
      </c>
      <c r="K178" s="896">
        <v>43897341</v>
      </c>
      <c r="L178" s="896">
        <v>61746261</v>
      </c>
      <c r="M178" s="896">
        <v>14326289</v>
      </c>
      <c r="N178" s="896"/>
      <c r="O178" s="872">
        <v>128579021</v>
      </c>
      <c r="P178" s="870">
        <v>129980000</v>
      </c>
      <c r="Q178" s="896">
        <v>8580000</v>
      </c>
      <c r="R178" s="896"/>
      <c r="S178" s="914">
        <v>138560000</v>
      </c>
      <c r="T178" s="870">
        <v>3787798</v>
      </c>
      <c r="U178" s="870">
        <v>3787798</v>
      </c>
      <c r="V178" s="872">
        <v>0</v>
      </c>
      <c r="W178" s="870">
        <v>0</v>
      </c>
      <c r="X178" s="877">
        <v>1174066609</v>
      </c>
    </row>
    <row r="179" spans="1:24" s="215" customFormat="1" ht="13.5" thickBot="1">
      <c r="A179" s="862"/>
      <c r="B179" s="859" t="s">
        <v>456</v>
      </c>
      <c r="C179" s="870">
        <v>9.9436904535124793</v>
      </c>
      <c r="D179" s="896">
        <v>10.935222253620141</v>
      </c>
      <c r="E179" s="896">
        <v>15.049789043191511</v>
      </c>
      <c r="F179" s="896">
        <v>14.257243680045431</v>
      </c>
      <c r="G179" s="896">
        <v>12.407024804229675</v>
      </c>
      <c r="H179" s="896">
        <v>9.6075428399385903</v>
      </c>
      <c r="I179" s="872">
        <v>11.782525668173941</v>
      </c>
      <c r="J179" s="872">
        <v>20.664639221120044</v>
      </c>
      <c r="K179" s="896">
        <v>5.2508741806388475</v>
      </c>
      <c r="L179" s="896">
        <v>13.102722669196854</v>
      </c>
      <c r="M179" s="896">
        <v>20.433847331531148</v>
      </c>
      <c r="N179" s="896">
        <v>0</v>
      </c>
      <c r="O179" s="872">
        <v>11.487200373374847</v>
      </c>
      <c r="P179" s="870">
        <v>0.10429777293352457</v>
      </c>
      <c r="Q179" s="896">
        <v>0.32191877245258327</v>
      </c>
      <c r="R179" s="896">
        <v>0</v>
      </c>
      <c r="S179" s="914">
        <v>0.11774601282485493</v>
      </c>
      <c r="T179" s="870">
        <v>120.76798483683689</v>
      </c>
      <c r="U179" s="870">
        <v>120.76798483683689</v>
      </c>
      <c r="V179" s="872">
        <v>0</v>
      </c>
      <c r="W179" s="870">
        <v>0</v>
      </c>
      <c r="X179" s="877">
        <v>10.408199571702179</v>
      </c>
    </row>
    <row r="180" spans="1:24">
      <c r="A180" s="862"/>
      <c r="B180" s="859" t="s">
        <v>628</v>
      </c>
      <c r="C180" s="870"/>
      <c r="D180" s="896"/>
      <c r="E180" s="896"/>
      <c r="F180" s="896"/>
      <c r="G180" s="896"/>
      <c r="H180" s="896"/>
      <c r="I180" s="872"/>
      <c r="J180" s="872"/>
      <c r="K180" s="896"/>
      <c r="L180" s="896"/>
      <c r="M180" s="896"/>
      <c r="N180" s="896"/>
      <c r="O180" s="872"/>
      <c r="P180" s="870"/>
      <c r="Q180" s="896"/>
      <c r="R180" s="896"/>
      <c r="S180" s="914"/>
      <c r="T180" s="870">
        <v>22658134</v>
      </c>
      <c r="U180" s="870">
        <v>22658134</v>
      </c>
      <c r="V180" s="872">
        <v>478402932</v>
      </c>
      <c r="W180" s="866">
        <v>478402932</v>
      </c>
      <c r="X180" s="877">
        <v>501061066</v>
      </c>
    </row>
    <row r="181" spans="1:24" s="216" customFormat="1">
      <c r="A181" s="862"/>
      <c r="B181" s="859" t="s">
        <v>630</v>
      </c>
      <c r="C181" s="870"/>
      <c r="D181" s="896"/>
      <c r="E181" s="896"/>
      <c r="F181" s="896"/>
      <c r="G181" s="896"/>
      <c r="H181" s="896"/>
      <c r="I181" s="872"/>
      <c r="J181" s="872"/>
      <c r="K181" s="896"/>
      <c r="L181" s="896"/>
      <c r="M181" s="896"/>
      <c r="N181" s="896"/>
      <c r="O181" s="872"/>
      <c r="P181" s="870"/>
      <c r="Q181" s="896"/>
      <c r="R181" s="896"/>
      <c r="S181" s="914"/>
      <c r="T181" s="870">
        <v>22051710</v>
      </c>
      <c r="U181" s="870">
        <v>22051710</v>
      </c>
      <c r="V181" s="872">
        <v>490914201</v>
      </c>
      <c r="W181" s="873">
        <v>490914201</v>
      </c>
      <c r="X181" s="877">
        <v>512965911</v>
      </c>
    </row>
    <row r="182" spans="1:24" s="215" customFormat="1" ht="13.5" thickBot="1">
      <c r="A182" s="862"/>
      <c r="B182" s="859" t="s">
        <v>632</v>
      </c>
      <c r="C182" s="870">
        <v>0</v>
      </c>
      <c r="D182" s="896">
        <v>0</v>
      </c>
      <c r="E182" s="896">
        <v>0</v>
      </c>
      <c r="F182" s="896">
        <v>0</v>
      </c>
      <c r="G182" s="896">
        <v>0</v>
      </c>
      <c r="H182" s="896">
        <v>0</v>
      </c>
      <c r="I182" s="872">
        <v>0</v>
      </c>
      <c r="J182" s="872">
        <v>0</v>
      </c>
      <c r="K182" s="896">
        <v>0</v>
      </c>
      <c r="L182" s="896">
        <v>0</v>
      </c>
      <c r="M182" s="896">
        <v>0</v>
      </c>
      <c r="N182" s="896">
        <v>0</v>
      </c>
      <c r="O182" s="872">
        <v>0</v>
      </c>
      <c r="P182" s="870">
        <v>0</v>
      </c>
      <c r="Q182" s="896">
        <v>0</v>
      </c>
      <c r="R182" s="896">
        <v>0</v>
      </c>
      <c r="S182" s="914">
        <v>0</v>
      </c>
      <c r="T182" s="870">
        <v>-2.6764075099917761</v>
      </c>
      <c r="U182" s="870">
        <v>-2.6764075099917761</v>
      </c>
      <c r="V182" s="872">
        <v>2.615215786344721</v>
      </c>
      <c r="W182" s="886">
        <v>2.615215786344721</v>
      </c>
      <c r="X182" s="877">
        <v>2.3759269693486824</v>
      </c>
    </row>
    <row r="183" spans="1:24">
      <c r="A183" s="862"/>
      <c r="B183" s="859" t="s">
        <v>1608</v>
      </c>
      <c r="C183" s="870"/>
      <c r="D183" s="896"/>
      <c r="E183" s="896"/>
      <c r="F183" s="896"/>
      <c r="G183" s="896"/>
      <c r="H183" s="896"/>
      <c r="I183" s="872"/>
      <c r="J183" s="872"/>
      <c r="K183" s="896"/>
      <c r="L183" s="896"/>
      <c r="M183" s="896"/>
      <c r="N183" s="896"/>
      <c r="O183" s="872"/>
      <c r="P183" s="870"/>
      <c r="Q183" s="896"/>
      <c r="R183" s="896"/>
      <c r="S183" s="914"/>
      <c r="T183" s="870">
        <v>13824991</v>
      </c>
      <c r="U183" s="870">
        <v>13824991</v>
      </c>
      <c r="V183" s="872"/>
      <c r="W183" s="870"/>
      <c r="X183" s="877">
        <v>13824991</v>
      </c>
    </row>
    <row r="184" spans="1:24" s="216" customFormat="1">
      <c r="A184" s="862"/>
      <c r="B184" s="859" t="s">
        <v>1291</v>
      </c>
      <c r="C184" s="870"/>
      <c r="D184" s="896"/>
      <c r="E184" s="896"/>
      <c r="F184" s="896"/>
      <c r="G184" s="896"/>
      <c r="H184" s="896"/>
      <c r="I184" s="872"/>
      <c r="J184" s="872"/>
      <c r="K184" s="896"/>
      <c r="L184" s="896"/>
      <c r="M184" s="896"/>
      <c r="N184" s="896"/>
      <c r="O184" s="872"/>
      <c r="P184" s="870"/>
      <c r="Q184" s="896"/>
      <c r="R184" s="896"/>
      <c r="S184" s="914"/>
      <c r="T184" s="870">
        <v>17597306</v>
      </c>
      <c r="U184" s="870">
        <v>17597306</v>
      </c>
      <c r="V184" s="872"/>
      <c r="W184" s="870"/>
      <c r="X184" s="877">
        <v>17597306</v>
      </c>
    </row>
    <row r="185" spans="1:24" s="215" customFormat="1">
      <c r="A185" s="862"/>
      <c r="B185" s="859" t="s">
        <v>458</v>
      </c>
      <c r="C185" s="870">
        <v>0</v>
      </c>
      <c r="D185" s="896">
        <v>0</v>
      </c>
      <c r="E185" s="896">
        <v>0</v>
      </c>
      <c r="F185" s="896">
        <v>0</v>
      </c>
      <c r="G185" s="896">
        <v>0</v>
      </c>
      <c r="H185" s="896">
        <v>0</v>
      </c>
      <c r="I185" s="872">
        <v>0</v>
      </c>
      <c r="J185" s="872">
        <v>0</v>
      </c>
      <c r="K185" s="896">
        <v>0</v>
      </c>
      <c r="L185" s="896">
        <v>0</v>
      </c>
      <c r="M185" s="896">
        <v>0</v>
      </c>
      <c r="N185" s="896">
        <v>0</v>
      </c>
      <c r="O185" s="872">
        <v>0</v>
      </c>
      <c r="P185" s="870">
        <v>0</v>
      </c>
      <c r="Q185" s="896">
        <v>0</v>
      </c>
      <c r="R185" s="896">
        <v>0</v>
      </c>
      <c r="S185" s="914">
        <v>0</v>
      </c>
      <c r="T185" s="870">
        <v>27.286202211632542</v>
      </c>
      <c r="U185" s="870">
        <v>27.286202211632542</v>
      </c>
      <c r="V185" s="872">
        <v>0</v>
      </c>
      <c r="W185" s="870">
        <v>0</v>
      </c>
      <c r="X185" s="877">
        <v>27.286202211632542</v>
      </c>
    </row>
    <row r="186" spans="1:24">
      <c r="A186" s="862"/>
      <c r="B186" s="859" t="s">
        <v>1287</v>
      </c>
      <c r="C186" s="870"/>
      <c r="D186" s="896"/>
      <c r="E186" s="896"/>
      <c r="F186" s="896"/>
      <c r="G186" s="896"/>
      <c r="H186" s="896"/>
      <c r="I186" s="872"/>
      <c r="J186" s="872"/>
      <c r="K186" s="896"/>
      <c r="L186" s="896"/>
      <c r="M186" s="896"/>
      <c r="N186" s="896"/>
      <c r="O186" s="872"/>
      <c r="P186" s="870"/>
      <c r="Q186" s="896"/>
      <c r="R186" s="896"/>
      <c r="S186" s="914"/>
      <c r="T186" s="870"/>
      <c r="U186" s="870"/>
      <c r="V186" s="872"/>
      <c r="W186" s="870"/>
      <c r="X186" s="877"/>
    </row>
    <row r="187" spans="1:24" s="216" customFormat="1">
      <c r="A187" s="862"/>
      <c r="B187" s="859" t="s">
        <v>673</v>
      </c>
      <c r="C187" s="870"/>
      <c r="D187" s="896"/>
      <c r="E187" s="896"/>
      <c r="F187" s="896"/>
      <c r="G187" s="896"/>
      <c r="H187" s="896"/>
      <c r="I187" s="872"/>
      <c r="J187" s="872"/>
      <c r="K187" s="896"/>
      <c r="L187" s="896"/>
      <c r="M187" s="896"/>
      <c r="N187" s="896"/>
      <c r="O187" s="872"/>
      <c r="P187" s="870"/>
      <c r="Q187" s="896"/>
      <c r="R187" s="896"/>
      <c r="S187" s="914"/>
      <c r="T187" s="870"/>
      <c r="U187" s="870"/>
      <c r="V187" s="872"/>
      <c r="W187" s="870"/>
      <c r="X187" s="877"/>
    </row>
    <row r="188" spans="1:24" s="215" customFormat="1">
      <c r="A188" s="862"/>
      <c r="B188" s="859" t="s">
        <v>877</v>
      </c>
      <c r="C188" s="870">
        <v>0</v>
      </c>
      <c r="D188" s="896">
        <v>0</v>
      </c>
      <c r="E188" s="896">
        <v>0</v>
      </c>
      <c r="F188" s="896">
        <v>0</v>
      </c>
      <c r="G188" s="896">
        <v>0</v>
      </c>
      <c r="H188" s="896">
        <v>0</v>
      </c>
      <c r="I188" s="872">
        <v>0</v>
      </c>
      <c r="J188" s="872">
        <v>0</v>
      </c>
      <c r="K188" s="896">
        <v>0</v>
      </c>
      <c r="L188" s="896">
        <v>0</v>
      </c>
      <c r="M188" s="896">
        <v>0</v>
      </c>
      <c r="N188" s="896">
        <v>0</v>
      </c>
      <c r="O188" s="872">
        <v>0</v>
      </c>
      <c r="P188" s="870">
        <v>0</v>
      </c>
      <c r="Q188" s="896">
        <v>0</v>
      </c>
      <c r="R188" s="896">
        <v>0</v>
      </c>
      <c r="S188" s="914">
        <v>0</v>
      </c>
      <c r="T188" s="870">
        <v>0</v>
      </c>
      <c r="U188" s="870">
        <v>0</v>
      </c>
      <c r="V188" s="872">
        <v>0</v>
      </c>
      <c r="W188" s="870">
        <v>0</v>
      </c>
      <c r="X188" s="877">
        <v>0</v>
      </c>
    </row>
    <row r="189" spans="1:24">
      <c r="A189" s="862"/>
      <c r="B189" s="859" t="s">
        <v>1289</v>
      </c>
      <c r="C189" s="870">
        <v>0</v>
      </c>
      <c r="D189" s="896">
        <v>0</v>
      </c>
      <c r="E189" s="896">
        <v>0</v>
      </c>
      <c r="F189" s="896">
        <v>0</v>
      </c>
      <c r="G189" s="896">
        <v>0</v>
      </c>
      <c r="H189" s="896">
        <v>0</v>
      </c>
      <c r="I189" s="872">
        <v>0</v>
      </c>
      <c r="J189" s="872">
        <v>0</v>
      </c>
      <c r="K189" s="896">
        <v>0</v>
      </c>
      <c r="L189" s="896">
        <v>0</v>
      </c>
      <c r="M189" s="896">
        <v>0</v>
      </c>
      <c r="N189" s="896"/>
      <c r="O189" s="872">
        <v>0</v>
      </c>
      <c r="P189" s="870">
        <v>0</v>
      </c>
      <c r="Q189" s="896">
        <v>0</v>
      </c>
      <c r="R189" s="896"/>
      <c r="S189" s="914">
        <v>0</v>
      </c>
      <c r="T189" s="870">
        <v>13824991</v>
      </c>
      <c r="U189" s="870">
        <v>13824991</v>
      </c>
      <c r="V189" s="872">
        <v>0</v>
      </c>
      <c r="W189" s="870">
        <v>0</v>
      </c>
      <c r="X189" s="877">
        <v>13824991</v>
      </c>
    </row>
    <row r="190" spans="1:24" s="216" customFormat="1">
      <c r="A190" s="862"/>
      <c r="B190" s="859" t="s">
        <v>675</v>
      </c>
      <c r="C190" s="870">
        <v>0</v>
      </c>
      <c r="D190" s="896">
        <v>0</v>
      </c>
      <c r="E190" s="896">
        <v>0</v>
      </c>
      <c r="F190" s="896">
        <v>0</v>
      </c>
      <c r="G190" s="896">
        <v>0</v>
      </c>
      <c r="H190" s="896">
        <v>0</v>
      </c>
      <c r="I190" s="872">
        <v>0</v>
      </c>
      <c r="J190" s="872">
        <v>0</v>
      </c>
      <c r="K190" s="896">
        <v>0</v>
      </c>
      <c r="L190" s="896">
        <v>0</v>
      </c>
      <c r="M190" s="896">
        <v>0</v>
      </c>
      <c r="N190" s="896"/>
      <c r="O190" s="872">
        <v>0</v>
      </c>
      <c r="P190" s="870">
        <v>0</v>
      </c>
      <c r="Q190" s="896">
        <v>0</v>
      </c>
      <c r="R190" s="896"/>
      <c r="S190" s="914">
        <v>0</v>
      </c>
      <c r="T190" s="870">
        <v>17597306</v>
      </c>
      <c r="U190" s="870">
        <v>17597306</v>
      </c>
      <c r="V190" s="872">
        <v>0</v>
      </c>
      <c r="W190" s="870">
        <v>0</v>
      </c>
      <c r="X190" s="877">
        <v>17597306</v>
      </c>
    </row>
    <row r="191" spans="1:24" s="215" customFormat="1">
      <c r="A191" s="862"/>
      <c r="B191" s="859" t="s">
        <v>1339</v>
      </c>
      <c r="C191" s="870">
        <v>0</v>
      </c>
      <c r="D191" s="896">
        <v>0</v>
      </c>
      <c r="E191" s="896">
        <v>0</v>
      </c>
      <c r="F191" s="896">
        <v>0</v>
      </c>
      <c r="G191" s="896">
        <v>0</v>
      </c>
      <c r="H191" s="896">
        <v>0</v>
      </c>
      <c r="I191" s="872">
        <v>0</v>
      </c>
      <c r="J191" s="872">
        <v>0</v>
      </c>
      <c r="K191" s="896">
        <v>0</v>
      </c>
      <c r="L191" s="896">
        <v>0</v>
      </c>
      <c r="M191" s="896">
        <v>0</v>
      </c>
      <c r="N191" s="896">
        <v>0</v>
      </c>
      <c r="O191" s="872">
        <v>0</v>
      </c>
      <c r="P191" s="870">
        <v>0</v>
      </c>
      <c r="Q191" s="896">
        <v>0</v>
      </c>
      <c r="R191" s="896">
        <v>0</v>
      </c>
      <c r="S191" s="914">
        <v>0</v>
      </c>
      <c r="T191" s="870">
        <v>27.286202211632542</v>
      </c>
      <c r="U191" s="870">
        <v>27.286202211632542</v>
      </c>
      <c r="V191" s="872">
        <v>0</v>
      </c>
      <c r="W191" s="870">
        <v>0</v>
      </c>
      <c r="X191" s="877">
        <v>27.286202211632542</v>
      </c>
    </row>
    <row r="192" spans="1:24">
      <c r="A192" s="862"/>
      <c r="B192" s="859" t="s">
        <v>634</v>
      </c>
      <c r="C192" s="870">
        <v>13180165</v>
      </c>
      <c r="D192" s="896"/>
      <c r="E192" s="896"/>
      <c r="F192" s="896"/>
      <c r="G192" s="896"/>
      <c r="H192" s="896"/>
      <c r="I192" s="872">
        <v>13180165</v>
      </c>
      <c r="J192" s="872"/>
      <c r="K192" s="896"/>
      <c r="L192" s="896"/>
      <c r="M192" s="896"/>
      <c r="N192" s="896"/>
      <c r="O192" s="872"/>
      <c r="P192" s="870"/>
      <c r="Q192" s="896"/>
      <c r="R192" s="896"/>
      <c r="S192" s="914"/>
      <c r="T192" s="870">
        <v>194819214</v>
      </c>
      <c r="U192" s="870">
        <v>194819214</v>
      </c>
      <c r="V192" s="872"/>
      <c r="W192" s="870"/>
      <c r="X192" s="877">
        <v>207999379</v>
      </c>
    </row>
    <row r="193" spans="1:24" s="216" customFormat="1">
      <c r="A193" s="862"/>
      <c r="B193" s="859" t="s">
        <v>636</v>
      </c>
      <c r="C193" s="870">
        <v>14286343</v>
      </c>
      <c r="D193" s="896"/>
      <c r="E193" s="896"/>
      <c r="F193" s="896"/>
      <c r="G193" s="896"/>
      <c r="H193" s="896"/>
      <c r="I193" s="872">
        <v>14286343</v>
      </c>
      <c r="J193" s="872"/>
      <c r="K193" s="896"/>
      <c r="L193" s="896"/>
      <c r="M193" s="896"/>
      <c r="N193" s="896"/>
      <c r="O193" s="872"/>
      <c r="P193" s="870"/>
      <c r="Q193" s="896"/>
      <c r="R193" s="896"/>
      <c r="S193" s="914"/>
      <c r="T193" s="870">
        <v>184123786</v>
      </c>
      <c r="U193" s="870">
        <v>184123786</v>
      </c>
      <c r="V193" s="872"/>
      <c r="W193" s="870"/>
      <c r="X193" s="877">
        <v>198410129</v>
      </c>
    </row>
    <row r="194" spans="1:24" s="215" customFormat="1" ht="13.5" thickBot="1">
      <c r="A194" s="862"/>
      <c r="B194" s="859" t="s">
        <v>1540</v>
      </c>
      <c r="C194" s="870">
        <v>8.3927477387422691</v>
      </c>
      <c r="D194" s="896">
        <v>0</v>
      </c>
      <c r="E194" s="896">
        <v>0</v>
      </c>
      <c r="F194" s="896">
        <v>0</v>
      </c>
      <c r="G194" s="896">
        <v>0</v>
      </c>
      <c r="H194" s="896">
        <v>0</v>
      </c>
      <c r="I194" s="872">
        <v>8.3927477387422691</v>
      </c>
      <c r="J194" s="872">
        <v>0</v>
      </c>
      <c r="K194" s="896">
        <v>0</v>
      </c>
      <c r="L194" s="896">
        <v>0</v>
      </c>
      <c r="M194" s="896">
        <v>0</v>
      </c>
      <c r="N194" s="896">
        <v>0</v>
      </c>
      <c r="O194" s="872">
        <v>0</v>
      </c>
      <c r="P194" s="870">
        <v>0</v>
      </c>
      <c r="Q194" s="896">
        <v>0</v>
      </c>
      <c r="R194" s="896">
        <v>0</v>
      </c>
      <c r="S194" s="914">
        <v>0</v>
      </c>
      <c r="T194" s="870">
        <v>-5.4899246231431773</v>
      </c>
      <c r="U194" s="870">
        <v>-5.4899246231431773</v>
      </c>
      <c r="V194" s="872">
        <v>0</v>
      </c>
      <c r="W194" s="870">
        <v>0</v>
      </c>
      <c r="X194" s="877">
        <v>-4.6102301103504741</v>
      </c>
    </row>
    <row r="195" spans="1:24">
      <c r="A195" s="862"/>
      <c r="B195" s="859" t="s">
        <v>637</v>
      </c>
      <c r="C195" s="870">
        <v>5351424</v>
      </c>
      <c r="D195" s="896"/>
      <c r="E195" s="896"/>
      <c r="F195" s="896"/>
      <c r="G195" s="896"/>
      <c r="H195" s="896"/>
      <c r="I195" s="872">
        <v>5351424</v>
      </c>
      <c r="J195" s="872"/>
      <c r="K195" s="896"/>
      <c r="L195" s="896"/>
      <c r="M195" s="896"/>
      <c r="N195" s="896"/>
      <c r="O195" s="872"/>
      <c r="P195" s="870"/>
      <c r="Q195" s="896"/>
      <c r="R195" s="896"/>
      <c r="S195" s="914"/>
      <c r="T195" s="870">
        <v>23055556</v>
      </c>
      <c r="U195" s="866">
        <v>23055556</v>
      </c>
      <c r="V195" s="872"/>
      <c r="W195" s="870"/>
      <c r="X195" s="877">
        <v>28406980</v>
      </c>
    </row>
    <row r="196" spans="1:24" s="216" customFormat="1">
      <c r="A196" s="862"/>
      <c r="B196" s="859" t="s">
        <v>1890</v>
      </c>
      <c r="C196" s="870">
        <v>5711904</v>
      </c>
      <c r="D196" s="896"/>
      <c r="E196" s="896"/>
      <c r="F196" s="896"/>
      <c r="G196" s="896"/>
      <c r="H196" s="896"/>
      <c r="I196" s="872">
        <v>5711904</v>
      </c>
      <c r="J196" s="872"/>
      <c r="K196" s="896"/>
      <c r="L196" s="896"/>
      <c r="M196" s="896"/>
      <c r="N196" s="896"/>
      <c r="O196" s="872"/>
      <c r="P196" s="870"/>
      <c r="Q196" s="896"/>
      <c r="R196" s="896"/>
      <c r="S196" s="914"/>
      <c r="T196" s="870">
        <v>27849820</v>
      </c>
      <c r="U196" s="873">
        <v>27849820</v>
      </c>
      <c r="V196" s="872"/>
      <c r="W196" s="870"/>
      <c r="X196" s="877">
        <v>33561724</v>
      </c>
    </row>
    <row r="197" spans="1:24" s="215" customFormat="1" ht="13.5" thickBot="1">
      <c r="A197" s="862"/>
      <c r="B197" s="859" t="s">
        <v>1603</v>
      </c>
      <c r="C197" s="870">
        <v>6.7361509758897817</v>
      </c>
      <c r="D197" s="896">
        <v>0</v>
      </c>
      <c r="E197" s="896">
        <v>0</v>
      </c>
      <c r="F197" s="896">
        <v>0</v>
      </c>
      <c r="G197" s="896">
        <v>0</v>
      </c>
      <c r="H197" s="896">
        <v>0</v>
      </c>
      <c r="I197" s="872">
        <v>6.7361509758897817</v>
      </c>
      <c r="J197" s="872">
        <v>0</v>
      </c>
      <c r="K197" s="896">
        <v>0</v>
      </c>
      <c r="L197" s="896">
        <v>0</v>
      </c>
      <c r="M197" s="896">
        <v>0</v>
      </c>
      <c r="N197" s="896">
        <v>0</v>
      </c>
      <c r="O197" s="872">
        <v>0</v>
      </c>
      <c r="P197" s="870">
        <v>0</v>
      </c>
      <c r="Q197" s="896">
        <v>0</v>
      </c>
      <c r="R197" s="896">
        <v>0</v>
      </c>
      <c r="S197" s="914">
        <v>0</v>
      </c>
      <c r="T197" s="870">
        <v>20.794397671433298</v>
      </c>
      <c r="U197" s="886">
        <v>20.794397671433298</v>
      </c>
      <c r="V197" s="872">
        <v>0</v>
      </c>
      <c r="W197" s="870">
        <v>0</v>
      </c>
      <c r="X197" s="877">
        <v>18.146047203891438</v>
      </c>
    </row>
    <row r="198" spans="1:24">
      <c r="A198" s="862"/>
      <c r="B198" s="859" t="s">
        <v>377</v>
      </c>
      <c r="C198" s="870">
        <v>992209877</v>
      </c>
      <c r="D198" s="896">
        <v>422252100</v>
      </c>
      <c r="E198" s="896">
        <v>309186470</v>
      </c>
      <c r="F198" s="896">
        <v>352502666</v>
      </c>
      <c r="G198" s="896">
        <v>170267257</v>
      </c>
      <c r="H198" s="896">
        <v>76583629</v>
      </c>
      <c r="I198" s="872">
        <v>2323001999</v>
      </c>
      <c r="J198" s="872">
        <v>21573494</v>
      </c>
      <c r="K198" s="896">
        <v>105656410</v>
      </c>
      <c r="L198" s="896">
        <v>174934401</v>
      </c>
      <c r="M198" s="896">
        <v>39152161</v>
      </c>
      <c r="N198" s="896"/>
      <c r="O198" s="872">
        <v>341316466</v>
      </c>
      <c r="P198" s="870">
        <v>415066257.85000002</v>
      </c>
      <c r="Q198" s="896">
        <v>39363918</v>
      </c>
      <c r="R198" s="896"/>
      <c r="S198" s="914">
        <v>454430175.85000002</v>
      </c>
      <c r="T198" s="870">
        <v>24485052</v>
      </c>
      <c r="U198" s="870">
        <v>24485052</v>
      </c>
      <c r="V198" s="872">
        <v>81553181</v>
      </c>
      <c r="W198" s="870">
        <v>81553181</v>
      </c>
      <c r="X198" s="877">
        <v>3224786873.8499999</v>
      </c>
    </row>
    <row r="199" spans="1:24" s="216" customFormat="1">
      <c r="A199" s="862"/>
      <c r="B199" s="859" t="s">
        <v>379</v>
      </c>
      <c r="C199" s="870">
        <v>997821813</v>
      </c>
      <c r="D199" s="896">
        <v>431891848</v>
      </c>
      <c r="E199" s="896">
        <v>320683312</v>
      </c>
      <c r="F199" s="896">
        <v>367293272</v>
      </c>
      <c r="G199" s="896">
        <v>172700138</v>
      </c>
      <c r="H199" s="896">
        <v>84051857</v>
      </c>
      <c r="I199" s="872">
        <v>2374442240</v>
      </c>
      <c r="J199" s="872">
        <v>22686019</v>
      </c>
      <c r="K199" s="896">
        <v>104125966</v>
      </c>
      <c r="L199" s="896">
        <v>175765868</v>
      </c>
      <c r="M199" s="896">
        <v>40906856</v>
      </c>
      <c r="N199" s="896"/>
      <c r="O199" s="872">
        <v>343484709</v>
      </c>
      <c r="P199" s="870">
        <v>410817500</v>
      </c>
      <c r="Q199" s="896">
        <v>38618790</v>
      </c>
      <c r="R199" s="896"/>
      <c r="S199" s="914">
        <v>449436290</v>
      </c>
      <c r="T199" s="870">
        <v>30736688</v>
      </c>
      <c r="U199" s="870">
        <v>30736688</v>
      </c>
      <c r="V199" s="872">
        <v>47658837</v>
      </c>
      <c r="W199" s="870">
        <v>47658837</v>
      </c>
      <c r="X199" s="877">
        <v>3245758764</v>
      </c>
    </row>
    <row r="200" spans="1:24" s="228" customFormat="1" ht="13.5" thickBot="1">
      <c r="A200" s="897"/>
      <c r="B200" s="859" t="s">
        <v>381</v>
      </c>
      <c r="C200" s="870">
        <v>0.56559969116292108</v>
      </c>
      <c r="D200" s="896">
        <v>2.2829366627187881</v>
      </c>
      <c r="E200" s="896">
        <v>3.7184169152033077</v>
      </c>
      <c r="F200" s="896">
        <v>4.1958848617615851</v>
      </c>
      <c r="G200" s="896">
        <v>1.4288601595314361</v>
      </c>
      <c r="H200" s="896">
        <v>9.7517290542604087</v>
      </c>
      <c r="I200" s="872">
        <v>2.2143864285155099</v>
      </c>
      <c r="J200" s="872">
        <v>5.1569068969541974</v>
      </c>
      <c r="K200" s="896">
        <v>-1.4485103175472269</v>
      </c>
      <c r="L200" s="896">
        <v>0.47530216769656414</v>
      </c>
      <c r="M200" s="896">
        <v>4.4817321833142234</v>
      </c>
      <c r="N200" s="896">
        <v>0</v>
      </c>
      <c r="O200" s="872">
        <v>0.63525883336668554</v>
      </c>
      <c r="P200" s="870">
        <v>-1.0236336415318716</v>
      </c>
      <c r="Q200" s="896">
        <v>-1.8929213296298402</v>
      </c>
      <c r="R200" s="896">
        <v>0</v>
      </c>
      <c r="S200" s="914">
        <v>-1.0989335909876778</v>
      </c>
      <c r="T200" s="870">
        <v>25.532459559407922</v>
      </c>
      <c r="U200" s="870">
        <v>25.532459559407922</v>
      </c>
      <c r="V200" s="872">
        <v>-41.561032426190707</v>
      </c>
      <c r="W200" s="870">
        <v>-41.561032426190707</v>
      </c>
      <c r="X200" s="877">
        <v>0.65033414518219712</v>
      </c>
    </row>
    <row r="201" spans="1:24">
      <c r="A201" s="858" t="s">
        <v>1278</v>
      </c>
      <c r="B201" s="858" t="s">
        <v>1347</v>
      </c>
      <c r="C201" s="866">
        <v>293208800</v>
      </c>
      <c r="D201" s="864"/>
      <c r="E201" s="864">
        <v>202323800</v>
      </c>
      <c r="F201" s="864">
        <v>97479600</v>
      </c>
      <c r="G201" s="866">
        <v>20357400</v>
      </c>
      <c r="H201" s="864"/>
      <c r="I201" s="865">
        <v>613369600</v>
      </c>
      <c r="J201" s="865"/>
      <c r="K201" s="864">
        <v>38753279</v>
      </c>
      <c r="L201" s="864">
        <v>99846575</v>
      </c>
      <c r="M201" s="864">
        <v>26497548</v>
      </c>
      <c r="N201" s="864"/>
      <c r="O201" s="865">
        <v>165097402</v>
      </c>
      <c r="P201" s="863">
        <v>16041701</v>
      </c>
      <c r="Q201" s="864"/>
      <c r="R201" s="866"/>
      <c r="S201" s="913">
        <v>16041701</v>
      </c>
      <c r="T201" s="863"/>
      <c r="U201" s="863"/>
      <c r="V201" s="865"/>
      <c r="W201" s="863"/>
      <c r="X201" s="869">
        <v>794508703</v>
      </c>
    </row>
    <row r="202" spans="1:24" s="216" customFormat="1">
      <c r="A202" s="862"/>
      <c r="B202" s="859" t="s">
        <v>60</v>
      </c>
      <c r="C202" s="873">
        <v>293819200</v>
      </c>
      <c r="D202" s="896"/>
      <c r="E202" s="896">
        <v>199368500</v>
      </c>
      <c r="F202" s="896">
        <v>93274100</v>
      </c>
      <c r="G202" s="873">
        <v>19772500</v>
      </c>
      <c r="H202" s="896"/>
      <c r="I202" s="872">
        <v>606234300</v>
      </c>
      <c r="J202" s="872"/>
      <c r="K202" s="896">
        <v>41823925</v>
      </c>
      <c r="L202" s="896">
        <v>96974514</v>
      </c>
      <c r="M202" s="896">
        <v>24929120</v>
      </c>
      <c r="N202" s="896"/>
      <c r="O202" s="872">
        <v>163727559</v>
      </c>
      <c r="P202" s="870">
        <v>16152441</v>
      </c>
      <c r="Q202" s="896"/>
      <c r="R202" s="873"/>
      <c r="S202" s="914">
        <v>16152441</v>
      </c>
      <c r="T202" s="870"/>
      <c r="U202" s="870"/>
      <c r="V202" s="872"/>
      <c r="W202" s="870"/>
      <c r="X202" s="877">
        <v>786114300</v>
      </c>
    </row>
    <row r="203" spans="1:24" s="215" customFormat="1" ht="13.5" thickBot="1">
      <c r="A203" s="862"/>
      <c r="B203" s="859" t="s">
        <v>906</v>
      </c>
      <c r="C203" s="886">
        <v>0.20817929066249036</v>
      </c>
      <c r="D203" s="896">
        <v>0</v>
      </c>
      <c r="E203" s="896">
        <v>-1.4606783779268677</v>
      </c>
      <c r="F203" s="896">
        <v>-4.3142360042511454</v>
      </c>
      <c r="G203" s="886">
        <v>-2.8731566899505832</v>
      </c>
      <c r="H203" s="896">
        <v>0</v>
      </c>
      <c r="I203" s="872">
        <v>-1.1632953442752951</v>
      </c>
      <c r="J203" s="872">
        <v>0</v>
      </c>
      <c r="K203" s="896">
        <v>7.9235772539402411</v>
      </c>
      <c r="L203" s="896">
        <v>-2.87647423058828</v>
      </c>
      <c r="M203" s="896">
        <v>-5.9191439147501494</v>
      </c>
      <c r="N203" s="896">
        <v>0</v>
      </c>
      <c r="O203" s="872">
        <v>-0.8297180836316248</v>
      </c>
      <c r="P203" s="870">
        <v>0.69032579525076543</v>
      </c>
      <c r="Q203" s="896">
        <v>0</v>
      </c>
      <c r="R203" s="886">
        <v>0</v>
      </c>
      <c r="S203" s="914">
        <v>0.69032579525076543</v>
      </c>
      <c r="T203" s="870">
        <v>0</v>
      </c>
      <c r="U203" s="870">
        <v>0</v>
      </c>
      <c r="V203" s="872">
        <v>0</v>
      </c>
      <c r="W203" s="870">
        <v>0</v>
      </c>
      <c r="X203" s="877">
        <v>-1.0565526807073879</v>
      </c>
    </row>
    <row r="204" spans="1:24">
      <c r="A204" s="862"/>
      <c r="B204" s="859" t="s">
        <v>1370</v>
      </c>
      <c r="C204" s="873">
        <v>81726100</v>
      </c>
      <c r="D204" s="866"/>
      <c r="E204" s="866">
        <v>5494800</v>
      </c>
      <c r="F204" s="896">
        <v>2623800</v>
      </c>
      <c r="G204" s="896">
        <v>5437700</v>
      </c>
      <c r="H204" s="896"/>
      <c r="I204" s="872">
        <v>95282400</v>
      </c>
      <c r="J204" s="872"/>
      <c r="K204" s="896"/>
      <c r="L204" s="896"/>
      <c r="M204" s="896"/>
      <c r="N204" s="896"/>
      <c r="O204" s="872"/>
      <c r="P204" s="870"/>
      <c r="Q204" s="896"/>
      <c r="R204" s="896"/>
      <c r="S204" s="914"/>
      <c r="T204" s="870"/>
      <c r="U204" s="870"/>
      <c r="V204" s="872">
        <v>68724800</v>
      </c>
      <c r="W204" s="870">
        <v>68724800</v>
      </c>
      <c r="X204" s="877">
        <v>164007200</v>
      </c>
    </row>
    <row r="205" spans="1:24" s="216" customFormat="1">
      <c r="A205" s="862"/>
      <c r="B205" s="859" t="s">
        <v>1611</v>
      </c>
      <c r="C205" s="873">
        <v>79841500</v>
      </c>
      <c r="D205" s="873"/>
      <c r="E205" s="873">
        <v>5260600</v>
      </c>
      <c r="F205" s="896">
        <v>2623800</v>
      </c>
      <c r="G205" s="896">
        <v>5724400</v>
      </c>
      <c r="H205" s="896"/>
      <c r="I205" s="872">
        <v>93450300</v>
      </c>
      <c r="J205" s="872"/>
      <c r="K205" s="896"/>
      <c r="L205" s="896"/>
      <c r="M205" s="896"/>
      <c r="N205" s="896"/>
      <c r="O205" s="872"/>
      <c r="P205" s="870"/>
      <c r="Q205" s="896"/>
      <c r="R205" s="896"/>
      <c r="S205" s="914"/>
      <c r="T205" s="870"/>
      <c r="U205" s="870"/>
      <c r="V205" s="872">
        <v>64884000</v>
      </c>
      <c r="W205" s="870">
        <v>64884000</v>
      </c>
      <c r="X205" s="877">
        <v>158334300</v>
      </c>
    </row>
    <row r="206" spans="1:24" s="215" customFormat="1" ht="13.5" thickBot="1">
      <c r="A206" s="862"/>
      <c r="B206" s="859" t="s">
        <v>1613</v>
      </c>
      <c r="C206" s="886">
        <v>-2.3059952695650474</v>
      </c>
      <c r="D206" s="886">
        <v>0</v>
      </c>
      <c r="E206" s="886">
        <v>-4.2622115454611631</v>
      </c>
      <c r="F206" s="896">
        <v>0</v>
      </c>
      <c r="G206" s="896">
        <v>5.2724497489747506</v>
      </c>
      <c r="H206" s="896">
        <v>0</v>
      </c>
      <c r="I206" s="872">
        <v>-1.922810508551422</v>
      </c>
      <c r="J206" s="872">
        <v>0</v>
      </c>
      <c r="K206" s="896">
        <v>0</v>
      </c>
      <c r="L206" s="896">
        <v>0</v>
      </c>
      <c r="M206" s="896">
        <v>0</v>
      </c>
      <c r="N206" s="896">
        <v>0</v>
      </c>
      <c r="O206" s="872">
        <v>0</v>
      </c>
      <c r="P206" s="870">
        <v>0</v>
      </c>
      <c r="Q206" s="896">
        <v>0</v>
      </c>
      <c r="R206" s="896">
        <v>0</v>
      </c>
      <c r="S206" s="914">
        <v>0</v>
      </c>
      <c r="T206" s="870">
        <v>0</v>
      </c>
      <c r="U206" s="870">
        <v>0</v>
      </c>
      <c r="V206" s="872">
        <v>-5.5886666821875073</v>
      </c>
      <c r="W206" s="870">
        <v>-5.5886666821875073</v>
      </c>
      <c r="X206" s="877">
        <v>-3.458933510236136</v>
      </c>
    </row>
    <row r="207" spans="1:24">
      <c r="A207" s="862"/>
      <c r="B207" s="859" t="s">
        <v>61</v>
      </c>
      <c r="C207" s="870"/>
      <c r="D207" s="896"/>
      <c r="E207" s="896"/>
      <c r="F207" s="896"/>
      <c r="G207" s="896"/>
      <c r="H207" s="896"/>
      <c r="I207" s="872"/>
      <c r="J207" s="872"/>
      <c r="K207" s="896"/>
      <c r="L207" s="896"/>
      <c r="M207" s="896"/>
      <c r="N207" s="896"/>
      <c r="O207" s="872"/>
      <c r="P207" s="870"/>
      <c r="Q207" s="896"/>
      <c r="R207" s="896"/>
      <c r="S207" s="914"/>
      <c r="T207" s="870"/>
      <c r="U207" s="870"/>
      <c r="V207" s="872"/>
      <c r="W207" s="870"/>
      <c r="X207" s="877"/>
    </row>
    <row r="208" spans="1:24" s="216" customFormat="1">
      <c r="A208" s="862"/>
      <c r="B208" s="859" t="s">
        <v>62</v>
      </c>
      <c r="C208" s="870"/>
      <c r="D208" s="896"/>
      <c r="E208" s="896"/>
      <c r="F208" s="896"/>
      <c r="G208" s="896"/>
      <c r="H208" s="896"/>
      <c r="I208" s="872"/>
      <c r="J208" s="872"/>
      <c r="K208" s="896"/>
      <c r="L208" s="896"/>
      <c r="M208" s="896"/>
      <c r="N208" s="896"/>
      <c r="O208" s="872"/>
      <c r="P208" s="870"/>
      <c r="Q208" s="896"/>
      <c r="R208" s="896"/>
      <c r="S208" s="914"/>
      <c r="T208" s="870"/>
      <c r="U208" s="870"/>
      <c r="V208" s="872"/>
      <c r="W208" s="870"/>
      <c r="X208" s="877"/>
    </row>
    <row r="209" spans="1:24" s="215" customFormat="1" ht="13.5" thickBot="1">
      <c r="A209" s="862"/>
      <c r="B209" s="859" t="s">
        <v>1816</v>
      </c>
      <c r="C209" s="870">
        <v>0</v>
      </c>
      <c r="D209" s="896">
        <v>0</v>
      </c>
      <c r="E209" s="896">
        <v>0</v>
      </c>
      <c r="F209" s="896">
        <v>0</v>
      </c>
      <c r="G209" s="896">
        <v>0</v>
      </c>
      <c r="H209" s="896">
        <v>0</v>
      </c>
      <c r="I209" s="872">
        <v>0</v>
      </c>
      <c r="J209" s="872">
        <v>0</v>
      </c>
      <c r="K209" s="896">
        <v>0</v>
      </c>
      <c r="L209" s="896">
        <v>0</v>
      </c>
      <c r="M209" s="896">
        <v>0</v>
      </c>
      <c r="N209" s="896">
        <v>0</v>
      </c>
      <c r="O209" s="872">
        <v>0</v>
      </c>
      <c r="P209" s="870">
        <v>0</v>
      </c>
      <c r="Q209" s="896">
        <v>0</v>
      </c>
      <c r="R209" s="896">
        <v>0</v>
      </c>
      <c r="S209" s="914">
        <v>0</v>
      </c>
      <c r="T209" s="870">
        <v>0</v>
      </c>
      <c r="U209" s="870">
        <v>0</v>
      </c>
      <c r="V209" s="872">
        <v>0</v>
      </c>
      <c r="W209" s="870">
        <v>0</v>
      </c>
      <c r="X209" s="877">
        <v>0</v>
      </c>
    </row>
    <row r="210" spans="1:24">
      <c r="A210" s="862"/>
      <c r="B210" s="859" t="s">
        <v>1588</v>
      </c>
      <c r="C210" s="866">
        <v>399919851</v>
      </c>
      <c r="D210" s="896"/>
      <c r="E210" s="866">
        <v>297367400</v>
      </c>
      <c r="F210" s="896">
        <v>144406700</v>
      </c>
      <c r="G210" s="868">
        <v>16736100</v>
      </c>
      <c r="H210" s="896"/>
      <c r="I210" s="872">
        <v>858430051</v>
      </c>
      <c r="J210" s="872"/>
      <c r="K210" s="896">
        <v>55883400</v>
      </c>
      <c r="L210" s="896">
        <v>82322742</v>
      </c>
      <c r="M210" s="896">
        <v>17412676</v>
      </c>
      <c r="N210" s="896"/>
      <c r="O210" s="872">
        <v>155618818</v>
      </c>
      <c r="P210" s="870">
        <v>9271381</v>
      </c>
      <c r="Q210" s="896"/>
      <c r="R210" s="866"/>
      <c r="S210" s="914">
        <v>9271381</v>
      </c>
      <c r="T210" s="870"/>
      <c r="U210" s="870"/>
      <c r="V210" s="872"/>
      <c r="W210" s="870"/>
      <c r="X210" s="877">
        <v>1023320250</v>
      </c>
    </row>
    <row r="211" spans="1:24" s="216" customFormat="1">
      <c r="A211" s="862"/>
      <c r="B211" s="859" t="s">
        <v>251</v>
      </c>
      <c r="C211" s="873">
        <v>406509400</v>
      </c>
      <c r="D211" s="896"/>
      <c r="E211" s="873">
        <v>316837700</v>
      </c>
      <c r="F211" s="896">
        <v>149373500</v>
      </c>
      <c r="G211" s="876">
        <v>18086900</v>
      </c>
      <c r="H211" s="896"/>
      <c r="I211" s="872">
        <v>890807500</v>
      </c>
      <c r="J211" s="872"/>
      <c r="K211" s="896">
        <v>55689500</v>
      </c>
      <c r="L211" s="896">
        <v>87876600</v>
      </c>
      <c r="M211" s="896">
        <v>19322300</v>
      </c>
      <c r="N211" s="896"/>
      <c r="O211" s="872">
        <v>162888400</v>
      </c>
      <c r="P211" s="870">
        <v>10530200</v>
      </c>
      <c r="Q211" s="896"/>
      <c r="R211" s="873"/>
      <c r="S211" s="914">
        <v>10530200</v>
      </c>
      <c r="T211" s="870"/>
      <c r="U211" s="870"/>
      <c r="V211" s="872"/>
      <c r="W211" s="870"/>
      <c r="X211" s="877">
        <v>1064226100</v>
      </c>
    </row>
    <row r="212" spans="1:24" s="215" customFormat="1" ht="13.5" thickBot="1">
      <c r="A212" s="862"/>
      <c r="B212" s="859" t="s">
        <v>1759</v>
      </c>
      <c r="C212" s="886">
        <v>1.6477174072561853</v>
      </c>
      <c r="D212" s="896">
        <v>0</v>
      </c>
      <c r="E212" s="886">
        <v>6.5475569951514521</v>
      </c>
      <c r="F212" s="896">
        <v>3.4394526015759661</v>
      </c>
      <c r="G212" s="888">
        <v>8.0711754829380791</v>
      </c>
      <c r="H212" s="896">
        <v>0</v>
      </c>
      <c r="I212" s="872">
        <v>3.77170498193568</v>
      </c>
      <c r="J212" s="872">
        <v>0</v>
      </c>
      <c r="K212" s="896">
        <v>-0.34697244620048173</v>
      </c>
      <c r="L212" s="896">
        <v>6.7464443786384081</v>
      </c>
      <c r="M212" s="896">
        <v>10.966861153334502</v>
      </c>
      <c r="N212" s="896">
        <v>0</v>
      </c>
      <c r="O212" s="872">
        <v>4.6714029147811678</v>
      </c>
      <c r="P212" s="870">
        <v>13.577470281935344</v>
      </c>
      <c r="Q212" s="896">
        <v>0</v>
      </c>
      <c r="R212" s="886">
        <v>0</v>
      </c>
      <c r="S212" s="914">
        <v>13.577470281935344</v>
      </c>
      <c r="T212" s="870">
        <v>0</v>
      </c>
      <c r="U212" s="870">
        <v>0</v>
      </c>
      <c r="V212" s="872">
        <v>0</v>
      </c>
      <c r="W212" s="870">
        <v>0</v>
      </c>
      <c r="X212" s="877">
        <v>3.9973654386297937</v>
      </c>
    </row>
    <row r="213" spans="1:24">
      <c r="A213" s="862"/>
      <c r="B213" s="859" t="s">
        <v>1590</v>
      </c>
      <c r="C213" s="870"/>
      <c r="D213" s="896"/>
      <c r="E213" s="896"/>
      <c r="F213" s="896"/>
      <c r="G213" s="896"/>
      <c r="H213" s="896"/>
      <c r="I213" s="872"/>
      <c r="J213" s="872"/>
      <c r="K213" s="896"/>
      <c r="L213" s="896"/>
      <c r="M213" s="896"/>
      <c r="N213" s="896"/>
      <c r="O213" s="872"/>
      <c r="P213" s="870"/>
      <c r="Q213" s="896"/>
      <c r="R213" s="896"/>
      <c r="S213" s="914"/>
      <c r="T213" s="870"/>
      <c r="U213" s="870"/>
      <c r="V213" s="872"/>
      <c r="W213" s="870"/>
      <c r="X213" s="877"/>
    </row>
    <row r="214" spans="1:24" s="216" customFormat="1">
      <c r="A214" s="862"/>
      <c r="B214" s="859" t="s">
        <v>1319</v>
      </c>
      <c r="C214" s="870"/>
      <c r="D214" s="896"/>
      <c r="E214" s="896"/>
      <c r="F214" s="896"/>
      <c r="G214" s="896"/>
      <c r="H214" s="896"/>
      <c r="I214" s="872"/>
      <c r="J214" s="872"/>
      <c r="K214" s="896"/>
      <c r="L214" s="896"/>
      <c r="M214" s="896"/>
      <c r="N214" s="896"/>
      <c r="O214" s="872"/>
      <c r="P214" s="870"/>
      <c r="Q214" s="896"/>
      <c r="R214" s="896"/>
      <c r="S214" s="914"/>
      <c r="T214" s="870"/>
      <c r="U214" s="870"/>
      <c r="V214" s="872"/>
      <c r="W214" s="870"/>
      <c r="X214" s="877"/>
    </row>
    <row r="215" spans="1:24" s="215" customFormat="1">
      <c r="A215" s="862"/>
      <c r="B215" s="859" t="s">
        <v>1330</v>
      </c>
      <c r="C215" s="870">
        <v>0</v>
      </c>
      <c r="D215" s="896">
        <v>0</v>
      </c>
      <c r="E215" s="896">
        <v>0</v>
      </c>
      <c r="F215" s="896">
        <v>0</v>
      </c>
      <c r="G215" s="896">
        <v>0</v>
      </c>
      <c r="H215" s="896">
        <v>0</v>
      </c>
      <c r="I215" s="872">
        <v>0</v>
      </c>
      <c r="J215" s="872">
        <v>0</v>
      </c>
      <c r="K215" s="896">
        <v>0</v>
      </c>
      <c r="L215" s="896">
        <v>0</v>
      </c>
      <c r="M215" s="896">
        <v>0</v>
      </c>
      <c r="N215" s="896">
        <v>0</v>
      </c>
      <c r="O215" s="872">
        <v>0</v>
      </c>
      <c r="P215" s="870">
        <v>0</v>
      </c>
      <c r="Q215" s="896">
        <v>0</v>
      </c>
      <c r="R215" s="896">
        <v>0</v>
      </c>
      <c r="S215" s="914">
        <v>0</v>
      </c>
      <c r="T215" s="870">
        <v>0</v>
      </c>
      <c r="U215" s="870">
        <v>0</v>
      </c>
      <c r="V215" s="872">
        <v>0</v>
      </c>
      <c r="W215" s="870">
        <v>0</v>
      </c>
      <c r="X215" s="877">
        <v>0</v>
      </c>
    </row>
    <row r="216" spans="1:24">
      <c r="A216" s="862"/>
      <c r="B216" s="859" t="s">
        <v>1889</v>
      </c>
      <c r="C216" s="870">
        <v>399919851</v>
      </c>
      <c r="D216" s="896"/>
      <c r="E216" s="896">
        <v>297367400</v>
      </c>
      <c r="F216" s="896">
        <v>144406700</v>
      </c>
      <c r="G216" s="896">
        <v>16736100</v>
      </c>
      <c r="H216" s="896"/>
      <c r="I216" s="872">
        <v>858430051</v>
      </c>
      <c r="J216" s="872"/>
      <c r="K216" s="896">
        <v>55883400</v>
      </c>
      <c r="L216" s="896">
        <v>82322742</v>
      </c>
      <c r="M216" s="896">
        <v>17412676</v>
      </c>
      <c r="N216" s="896"/>
      <c r="O216" s="872">
        <v>155618818</v>
      </c>
      <c r="P216" s="870">
        <v>9271381</v>
      </c>
      <c r="Q216" s="896"/>
      <c r="R216" s="896"/>
      <c r="S216" s="914">
        <v>9271381</v>
      </c>
      <c r="T216" s="870"/>
      <c r="U216" s="870"/>
      <c r="V216" s="872">
        <v>0</v>
      </c>
      <c r="W216" s="870">
        <v>0</v>
      </c>
      <c r="X216" s="877">
        <v>1023320250</v>
      </c>
    </row>
    <row r="217" spans="1:24" s="216" customFormat="1">
      <c r="A217" s="862"/>
      <c r="B217" s="859" t="s">
        <v>626</v>
      </c>
      <c r="C217" s="870">
        <v>406509400</v>
      </c>
      <c r="D217" s="896"/>
      <c r="E217" s="896">
        <v>316837700</v>
      </c>
      <c r="F217" s="896">
        <v>149373500</v>
      </c>
      <c r="G217" s="896">
        <v>18086900</v>
      </c>
      <c r="H217" s="896"/>
      <c r="I217" s="872">
        <v>890807500</v>
      </c>
      <c r="J217" s="872"/>
      <c r="K217" s="896">
        <v>55689500</v>
      </c>
      <c r="L217" s="896">
        <v>87876600</v>
      </c>
      <c r="M217" s="896">
        <v>19322300</v>
      </c>
      <c r="N217" s="896"/>
      <c r="O217" s="872">
        <v>162888400</v>
      </c>
      <c r="P217" s="870">
        <v>10530200</v>
      </c>
      <c r="Q217" s="896"/>
      <c r="R217" s="896"/>
      <c r="S217" s="914">
        <v>10530200</v>
      </c>
      <c r="T217" s="870"/>
      <c r="U217" s="870"/>
      <c r="V217" s="872">
        <v>0</v>
      </c>
      <c r="W217" s="870">
        <v>0</v>
      </c>
      <c r="X217" s="877">
        <v>1064226100</v>
      </c>
    </row>
    <row r="218" spans="1:24" s="215" customFormat="1" ht="13.5" thickBot="1">
      <c r="A218" s="862"/>
      <c r="B218" s="859" t="s">
        <v>456</v>
      </c>
      <c r="C218" s="870">
        <v>1.6477174072561853</v>
      </c>
      <c r="D218" s="896">
        <v>0</v>
      </c>
      <c r="E218" s="896">
        <v>6.5475569951514521</v>
      </c>
      <c r="F218" s="896">
        <v>3.4394526015759661</v>
      </c>
      <c r="G218" s="896">
        <v>8.0711754829380791</v>
      </c>
      <c r="H218" s="896">
        <v>0</v>
      </c>
      <c r="I218" s="872">
        <v>3.77170498193568</v>
      </c>
      <c r="J218" s="872">
        <v>0</v>
      </c>
      <c r="K218" s="896">
        <v>-0.34697244620048173</v>
      </c>
      <c r="L218" s="896">
        <v>6.7464443786384081</v>
      </c>
      <c r="M218" s="896">
        <v>10.966861153334502</v>
      </c>
      <c r="N218" s="896">
        <v>0</v>
      </c>
      <c r="O218" s="872">
        <v>4.6714029147811678</v>
      </c>
      <c r="P218" s="870">
        <v>13.577470281935344</v>
      </c>
      <c r="Q218" s="896">
        <v>0</v>
      </c>
      <c r="R218" s="896">
        <v>0</v>
      </c>
      <c r="S218" s="914">
        <v>13.577470281935344</v>
      </c>
      <c r="T218" s="870">
        <v>0</v>
      </c>
      <c r="U218" s="870">
        <v>0</v>
      </c>
      <c r="V218" s="872">
        <v>0</v>
      </c>
      <c r="W218" s="870">
        <v>0</v>
      </c>
      <c r="X218" s="877">
        <v>3.9973654386297937</v>
      </c>
    </row>
    <row r="219" spans="1:24">
      <c r="A219" s="862"/>
      <c r="B219" s="859" t="s">
        <v>628</v>
      </c>
      <c r="C219" s="870"/>
      <c r="D219" s="896"/>
      <c r="E219" s="896"/>
      <c r="F219" s="896"/>
      <c r="G219" s="896"/>
      <c r="H219" s="896"/>
      <c r="I219" s="872"/>
      <c r="J219" s="872"/>
      <c r="K219" s="896"/>
      <c r="L219" s="896"/>
      <c r="M219" s="896"/>
      <c r="N219" s="896"/>
      <c r="O219" s="872"/>
      <c r="P219" s="870"/>
      <c r="Q219" s="896"/>
      <c r="R219" s="896"/>
      <c r="S219" s="914"/>
      <c r="T219" s="870"/>
      <c r="U219" s="870"/>
      <c r="V219" s="872">
        <v>215301299</v>
      </c>
      <c r="W219" s="866">
        <v>215301299</v>
      </c>
      <c r="X219" s="877">
        <v>215301299</v>
      </c>
    </row>
    <row r="220" spans="1:24" s="216" customFormat="1">
      <c r="A220" s="862"/>
      <c r="B220" s="859" t="s">
        <v>630</v>
      </c>
      <c r="C220" s="870"/>
      <c r="D220" s="896"/>
      <c r="E220" s="896"/>
      <c r="F220" s="896"/>
      <c r="G220" s="896"/>
      <c r="H220" s="896"/>
      <c r="I220" s="872"/>
      <c r="J220" s="872"/>
      <c r="K220" s="896"/>
      <c r="L220" s="896"/>
      <c r="M220" s="896"/>
      <c r="N220" s="896"/>
      <c r="O220" s="872"/>
      <c r="P220" s="870"/>
      <c r="Q220" s="896"/>
      <c r="R220" s="896"/>
      <c r="S220" s="914"/>
      <c r="T220" s="870"/>
      <c r="U220" s="870"/>
      <c r="V220" s="872">
        <v>206421250</v>
      </c>
      <c r="W220" s="873">
        <v>206421250</v>
      </c>
      <c r="X220" s="877">
        <v>206421250</v>
      </c>
    </row>
    <row r="221" spans="1:24" s="215" customFormat="1" ht="13.5" thickBot="1">
      <c r="A221" s="862"/>
      <c r="B221" s="859" t="s">
        <v>632</v>
      </c>
      <c r="C221" s="870">
        <v>0</v>
      </c>
      <c r="D221" s="896">
        <v>0</v>
      </c>
      <c r="E221" s="896">
        <v>0</v>
      </c>
      <c r="F221" s="896">
        <v>0</v>
      </c>
      <c r="G221" s="896">
        <v>0</v>
      </c>
      <c r="H221" s="896">
        <v>0</v>
      </c>
      <c r="I221" s="872">
        <v>0</v>
      </c>
      <c r="J221" s="872">
        <v>0</v>
      </c>
      <c r="K221" s="896">
        <v>0</v>
      </c>
      <c r="L221" s="896">
        <v>0</v>
      </c>
      <c r="M221" s="896">
        <v>0</v>
      </c>
      <c r="N221" s="896">
        <v>0</v>
      </c>
      <c r="O221" s="872">
        <v>0</v>
      </c>
      <c r="P221" s="870">
        <v>0</v>
      </c>
      <c r="Q221" s="896">
        <v>0</v>
      </c>
      <c r="R221" s="896">
        <v>0</v>
      </c>
      <c r="S221" s="914">
        <v>0</v>
      </c>
      <c r="T221" s="870">
        <v>0</v>
      </c>
      <c r="U221" s="870">
        <v>0</v>
      </c>
      <c r="V221" s="872">
        <v>-4.1244753474525018</v>
      </c>
      <c r="W221" s="886">
        <v>-4.1244753474525018</v>
      </c>
      <c r="X221" s="877">
        <v>-4.1244753474525018</v>
      </c>
    </row>
    <row r="222" spans="1:24">
      <c r="A222" s="862"/>
      <c r="B222" s="859" t="s">
        <v>1608</v>
      </c>
      <c r="C222" s="870"/>
      <c r="D222" s="896"/>
      <c r="E222" s="896"/>
      <c r="F222" s="896"/>
      <c r="G222" s="896"/>
      <c r="H222" s="896"/>
      <c r="I222" s="872"/>
      <c r="J222" s="872"/>
      <c r="K222" s="896"/>
      <c r="L222" s="896"/>
      <c r="M222" s="896"/>
      <c r="N222" s="896"/>
      <c r="O222" s="872"/>
      <c r="P222" s="870"/>
      <c r="Q222" s="896"/>
      <c r="R222" s="896"/>
      <c r="S222" s="914"/>
      <c r="T222" s="870"/>
      <c r="U222" s="870"/>
      <c r="V222" s="872"/>
      <c r="W222" s="870"/>
      <c r="X222" s="877"/>
    </row>
    <row r="223" spans="1:24" s="216" customFormat="1">
      <c r="A223" s="862"/>
      <c r="B223" s="859" t="s">
        <v>1291</v>
      </c>
      <c r="C223" s="870"/>
      <c r="D223" s="896"/>
      <c r="E223" s="896"/>
      <c r="F223" s="896"/>
      <c r="G223" s="896"/>
      <c r="H223" s="896"/>
      <c r="I223" s="872"/>
      <c r="J223" s="872"/>
      <c r="K223" s="896"/>
      <c r="L223" s="896"/>
      <c r="M223" s="896"/>
      <c r="N223" s="896"/>
      <c r="O223" s="872"/>
      <c r="P223" s="870"/>
      <c r="Q223" s="896"/>
      <c r="R223" s="896"/>
      <c r="S223" s="914"/>
      <c r="T223" s="870"/>
      <c r="U223" s="870"/>
      <c r="V223" s="872"/>
      <c r="W223" s="870"/>
      <c r="X223" s="877"/>
    </row>
    <row r="224" spans="1:24" s="215" customFormat="1">
      <c r="A224" s="862"/>
      <c r="B224" s="859" t="s">
        <v>458</v>
      </c>
      <c r="C224" s="870">
        <v>0</v>
      </c>
      <c r="D224" s="896">
        <v>0</v>
      </c>
      <c r="E224" s="896">
        <v>0</v>
      </c>
      <c r="F224" s="896">
        <v>0</v>
      </c>
      <c r="G224" s="896">
        <v>0</v>
      </c>
      <c r="H224" s="896">
        <v>0</v>
      </c>
      <c r="I224" s="872">
        <v>0</v>
      </c>
      <c r="J224" s="872">
        <v>0</v>
      </c>
      <c r="K224" s="896">
        <v>0</v>
      </c>
      <c r="L224" s="896">
        <v>0</v>
      </c>
      <c r="M224" s="896">
        <v>0</v>
      </c>
      <c r="N224" s="896">
        <v>0</v>
      </c>
      <c r="O224" s="872">
        <v>0</v>
      </c>
      <c r="P224" s="870">
        <v>0</v>
      </c>
      <c r="Q224" s="896">
        <v>0</v>
      </c>
      <c r="R224" s="896">
        <v>0</v>
      </c>
      <c r="S224" s="914">
        <v>0</v>
      </c>
      <c r="T224" s="870">
        <v>0</v>
      </c>
      <c r="U224" s="870">
        <v>0</v>
      </c>
      <c r="V224" s="872">
        <v>0</v>
      </c>
      <c r="W224" s="870">
        <v>0</v>
      </c>
      <c r="X224" s="877">
        <v>0</v>
      </c>
    </row>
    <row r="225" spans="1:24">
      <c r="A225" s="862"/>
      <c r="B225" s="859" t="s">
        <v>1287</v>
      </c>
      <c r="C225" s="870"/>
      <c r="D225" s="896"/>
      <c r="E225" s="896"/>
      <c r="F225" s="896"/>
      <c r="G225" s="896"/>
      <c r="H225" s="896"/>
      <c r="I225" s="872"/>
      <c r="J225" s="872"/>
      <c r="K225" s="896"/>
      <c r="L225" s="896"/>
      <c r="M225" s="896"/>
      <c r="N225" s="896"/>
      <c r="O225" s="872"/>
      <c r="P225" s="870"/>
      <c r="Q225" s="896"/>
      <c r="R225" s="896"/>
      <c r="S225" s="914"/>
      <c r="T225" s="870"/>
      <c r="U225" s="870"/>
      <c r="V225" s="872"/>
      <c r="W225" s="870"/>
      <c r="X225" s="877"/>
    </row>
    <row r="226" spans="1:24" s="216" customFormat="1">
      <c r="A226" s="862"/>
      <c r="B226" s="859" t="s">
        <v>673</v>
      </c>
      <c r="C226" s="870"/>
      <c r="D226" s="896"/>
      <c r="E226" s="896"/>
      <c r="F226" s="896"/>
      <c r="G226" s="896"/>
      <c r="H226" s="896"/>
      <c r="I226" s="872"/>
      <c r="J226" s="872"/>
      <c r="K226" s="896"/>
      <c r="L226" s="896"/>
      <c r="M226" s="896"/>
      <c r="N226" s="896"/>
      <c r="O226" s="872"/>
      <c r="P226" s="870"/>
      <c r="Q226" s="896"/>
      <c r="R226" s="896"/>
      <c r="S226" s="914"/>
      <c r="T226" s="870"/>
      <c r="U226" s="870"/>
      <c r="V226" s="872"/>
      <c r="W226" s="870"/>
      <c r="X226" s="877"/>
    </row>
    <row r="227" spans="1:24" s="215" customFormat="1">
      <c r="A227" s="862"/>
      <c r="B227" s="859" t="s">
        <v>877</v>
      </c>
      <c r="C227" s="870">
        <v>0</v>
      </c>
      <c r="D227" s="896">
        <v>0</v>
      </c>
      <c r="E227" s="896">
        <v>0</v>
      </c>
      <c r="F227" s="896">
        <v>0</v>
      </c>
      <c r="G227" s="896">
        <v>0</v>
      </c>
      <c r="H227" s="896">
        <v>0</v>
      </c>
      <c r="I227" s="872">
        <v>0</v>
      </c>
      <c r="J227" s="872">
        <v>0</v>
      </c>
      <c r="K227" s="896">
        <v>0</v>
      </c>
      <c r="L227" s="896">
        <v>0</v>
      </c>
      <c r="M227" s="896">
        <v>0</v>
      </c>
      <c r="N227" s="896">
        <v>0</v>
      </c>
      <c r="O227" s="872">
        <v>0</v>
      </c>
      <c r="P227" s="870">
        <v>0</v>
      </c>
      <c r="Q227" s="896">
        <v>0</v>
      </c>
      <c r="R227" s="896">
        <v>0</v>
      </c>
      <c r="S227" s="914">
        <v>0</v>
      </c>
      <c r="T227" s="870">
        <v>0</v>
      </c>
      <c r="U227" s="870">
        <v>0</v>
      </c>
      <c r="V227" s="872">
        <v>0</v>
      </c>
      <c r="W227" s="870">
        <v>0</v>
      </c>
      <c r="X227" s="877">
        <v>0</v>
      </c>
    </row>
    <row r="228" spans="1:24">
      <c r="A228" s="862"/>
      <c r="B228" s="859" t="s">
        <v>1289</v>
      </c>
      <c r="C228" s="870">
        <v>0</v>
      </c>
      <c r="D228" s="896"/>
      <c r="E228" s="896">
        <v>0</v>
      </c>
      <c r="F228" s="896">
        <v>0</v>
      </c>
      <c r="G228" s="896">
        <v>0</v>
      </c>
      <c r="H228" s="896"/>
      <c r="I228" s="872">
        <v>0</v>
      </c>
      <c r="J228" s="872"/>
      <c r="K228" s="896">
        <v>0</v>
      </c>
      <c r="L228" s="896">
        <v>0</v>
      </c>
      <c r="M228" s="896">
        <v>0</v>
      </c>
      <c r="N228" s="896"/>
      <c r="O228" s="872">
        <v>0</v>
      </c>
      <c r="P228" s="870">
        <v>0</v>
      </c>
      <c r="Q228" s="896"/>
      <c r="R228" s="896"/>
      <c r="S228" s="914">
        <v>0</v>
      </c>
      <c r="T228" s="870"/>
      <c r="U228" s="870"/>
      <c r="V228" s="872">
        <v>0</v>
      </c>
      <c r="W228" s="870">
        <v>0</v>
      </c>
      <c r="X228" s="877">
        <v>0</v>
      </c>
    </row>
    <row r="229" spans="1:24" s="216" customFormat="1">
      <c r="A229" s="862"/>
      <c r="B229" s="859" t="s">
        <v>675</v>
      </c>
      <c r="C229" s="870">
        <v>0</v>
      </c>
      <c r="D229" s="896"/>
      <c r="E229" s="896">
        <v>0</v>
      </c>
      <c r="F229" s="896">
        <v>0</v>
      </c>
      <c r="G229" s="896">
        <v>0</v>
      </c>
      <c r="H229" s="896"/>
      <c r="I229" s="872">
        <v>0</v>
      </c>
      <c r="J229" s="872"/>
      <c r="K229" s="896">
        <v>0</v>
      </c>
      <c r="L229" s="896">
        <v>0</v>
      </c>
      <c r="M229" s="896">
        <v>0</v>
      </c>
      <c r="N229" s="896"/>
      <c r="O229" s="872">
        <v>0</v>
      </c>
      <c r="P229" s="870">
        <v>0</v>
      </c>
      <c r="Q229" s="896"/>
      <c r="R229" s="896"/>
      <c r="S229" s="914">
        <v>0</v>
      </c>
      <c r="T229" s="870"/>
      <c r="U229" s="870"/>
      <c r="V229" s="872">
        <v>0</v>
      </c>
      <c r="W229" s="870">
        <v>0</v>
      </c>
      <c r="X229" s="877">
        <v>0</v>
      </c>
    </row>
    <row r="230" spans="1:24" s="215" customFormat="1" ht="13.5" thickBot="1">
      <c r="A230" s="862"/>
      <c r="B230" s="859" t="s">
        <v>1339</v>
      </c>
      <c r="C230" s="870">
        <v>0</v>
      </c>
      <c r="D230" s="896">
        <v>0</v>
      </c>
      <c r="E230" s="896">
        <v>0</v>
      </c>
      <c r="F230" s="896">
        <v>0</v>
      </c>
      <c r="G230" s="896">
        <v>0</v>
      </c>
      <c r="H230" s="896">
        <v>0</v>
      </c>
      <c r="I230" s="872">
        <v>0</v>
      </c>
      <c r="J230" s="872">
        <v>0</v>
      </c>
      <c r="K230" s="896">
        <v>0</v>
      </c>
      <c r="L230" s="896">
        <v>0</v>
      </c>
      <c r="M230" s="896">
        <v>0</v>
      </c>
      <c r="N230" s="896">
        <v>0</v>
      </c>
      <c r="O230" s="872">
        <v>0</v>
      </c>
      <c r="P230" s="870">
        <v>0</v>
      </c>
      <c r="Q230" s="896">
        <v>0</v>
      </c>
      <c r="R230" s="896">
        <v>0</v>
      </c>
      <c r="S230" s="914">
        <v>0</v>
      </c>
      <c r="T230" s="870">
        <v>0</v>
      </c>
      <c r="U230" s="870">
        <v>0</v>
      </c>
      <c r="V230" s="872">
        <v>0</v>
      </c>
      <c r="W230" s="870">
        <v>0</v>
      </c>
      <c r="X230" s="877">
        <v>0</v>
      </c>
    </row>
    <row r="231" spans="1:24">
      <c r="A231" s="862"/>
      <c r="B231" s="859" t="s">
        <v>634</v>
      </c>
      <c r="C231" s="870">
        <v>117322400</v>
      </c>
      <c r="D231" s="866"/>
      <c r="E231" s="896"/>
      <c r="F231" s="896"/>
      <c r="G231" s="896"/>
      <c r="H231" s="896"/>
      <c r="I231" s="872">
        <v>117322400</v>
      </c>
      <c r="J231" s="872"/>
      <c r="K231" s="896"/>
      <c r="L231" s="896"/>
      <c r="M231" s="896"/>
      <c r="N231" s="896"/>
      <c r="O231" s="872"/>
      <c r="P231" s="870"/>
      <c r="Q231" s="896"/>
      <c r="R231" s="896"/>
      <c r="S231" s="914"/>
      <c r="T231" s="870"/>
      <c r="U231" s="870"/>
      <c r="V231" s="872"/>
      <c r="W231" s="870"/>
      <c r="X231" s="877">
        <v>117322400</v>
      </c>
    </row>
    <row r="232" spans="1:24" s="216" customFormat="1">
      <c r="A232" s="862"/>
      <c r="B232" s="859" t="s">
        <v>636</v>
      </c>
      <c r="C232" s="870">
        <v>102660000</v>
      </c>
      <c r="D232" s="873"/>
      <c r="E232" s="896"/>
      <c r="F232" s="896"/>
      <c r="G232" s="896"/>
      <c r="H232" s="896"/>
      <c r="I232" s="872">
        <v>102660000</v>
      </c>
      <c r="J232" s="872"/>
      <c r="K232" s="896"/>
      <c r="L232" s="896"/>
      <c r="M232" s="896"/>
      <c r="N232" s="896"/>
      <c r="O232" s="872"/>
      <c r="P232" s="870"/>
      <c r="Q232" s="896"/>
      <c r="R232" s="896"/>
      <c r="S232" s="914"/>
      <c r="T232" s="870"/>
      <c r="U232" s="870"/>
      <c r="V232" s="872"/>
      <c r="W232" s="870"/>
      <c r="X232" s="877">
        <v>102660000</v>
      </c>
    </row>
    <row r="233" spans="1:24" s="215" customFormat="1" ht="13.5" thickBot="1">
      <c r="A233" s="862"/>
      <c r="B233" s="859" t="s">
        <v>1540</v>
      </c>
      <c r="C233" s="870">
        <v>-12.497528178762112</v>
      </c>
      <c r="D233" s="886">
        <v>0</v>
      </c>
      <c r="E233" s="896">
        <v>0</v>
      </c>
      <c r="F233" s="896">
        <v>0</v>
      </c>
      <c r="G233" s="896">
        <v>0</v>
      </c>
      <c r="H233" s="896">
        <v>0</v>
      </c>
      <c r="I233" s="872">
        <v>-12.497528178762112</v>
      </c>
      <c r="J233" s="872">
        <v>0</v>
      </c>
      <c r="K233" s="896">
        <v>0</v>
      </c>
      <c r="L233" s="896">
        <v>0</v>
      </c>
      <c r="M233" s="896">
        <v>0</v>
      </c>
      <c r="N233" s="896">
        <v>0</v>
      </c>
      <c r="O233" s="872">
        <v>0</v>
      </c>
      <c r="P233" s="870">
        <v>0</v>
      </c>
      <c r="Q233" s="896">
        <v>0</v>
      </c>
      <c r="R233" s="896">
        <v>0</v>
      </c>
      <c r="S233" s="914">
        <v>0</v>
      </c>
      <c r="T233" s="870">
        <v>0</v>
      </c>
      <c r="U233" s="870">
        <v>0</v>
      </c>
      <c r="V233" s="872">
        <v>0</v>
      </c>
      <c r="W233" s="870">
        <v>0</v>
      </c>
      <c r="X233" s="877">
        <v>-12.497528178762112</v>
      </c>
    </row>
    <row r="234" spans="1:24">
      <c r="A234" s="862"/>
      <c r="B234" s="859" t="s">
        <v>637</v>
      </c>
      <c r="C234" s="870">
        <v>25554049</v>
      </c>
      <c r="D234" s="896"/>
      <c r="E234" s="896"/>
      <c r="F234" s="896"/>
      <c r="G234" s="896"/>
      <c r="H234" s="896"/>
      <c r="I234" s="872">
        <v>25554049</v>
      </c>
      <c r="J234" s="872"/>
      <c r="K234" s="896"/>
      <c r="L234" s="896"/>
      <c r="M234" s="896"/>
      <c r="N234" s="896"/>
      <c r="O234" s="872"/>
      <c r="P234" s="870"/>
      <c r="Q234" s="896"/>
      <c r="R234" s="896"/>
      <c r="S234" s="914"/>
      <c r="T234" s="870"/>
      <c r="U234" s="870"/>
      <c r="V234" s="872"/>
      <c r="W234" s="870"/>
      <c r="X234" s="877">
        <v>25554049</v>
      </c>
    </row>
    <row r="235" spans="1:24" s="216" customFormat="1">
      <c r="A235" s="862"/>
      <c r="B235" s="859" t="s">
        <v>1890</v>
      </c>
      <c r="C235" s="870">
        <v>33834000</v>
      </c>
      <c r="D235" s="896"/>
      <c r="E235" s="896"/>
      <c r="F235" s="896"/>
      <c r="G235" s="896"/>
      <c r="H235" s="896"/>
      <c r="I235" s="872">
        <v>33834000</v>
      </c>
      <c r="J235" s="872"/>
      <c r="K235" s="896"/>
      <c r="L235" s="896"/>
      <c r="M235" s="896"/>
      <c r="N235" s="896"/>
      <c r="O235" s="872"/>
      <c r="P235" s="870"/>
      <c r="Q235" s="896"/>
      <c r="R235" s="896"/>
      <c r="S235" s="914"/>
      <c r="T235" s="870"/>
      <c r="U235" s="870"/>
      <c r="V235" s="872"/>
      <c r="W235" s="870"/>
      <c r="X235" s="877">
        <v>33834000</v>
      </c>
    </row>
    <row r="236" spans="1:24" s="215" customFormat="1">
      <c r="A236" s="862"/>
      <c r="B236" s="859" t="s">
        <v>1603</v>
      </c>
      <c r="C236" s="870">
        <v>32.401718412608503</v>
      </c>
      <c r="D236" s="896">
        <v>0</v>
      </c>
      <c r="E236" s="896">
        <v>0</v>
      </c>
      <c r="F236" s="896">
        <v>0</v>
      </c>
      <c r="G236" s="896">
        <v>0</v>
      </c>
      <c r="H236" s="896">
        <v>0</v>
      </c>
      <c r="I236" s="872">
        <v>32.401718412608503</v>
      </c>
      <c r="J236" s="872">
        <v>0</v>
      </c>
      <c r="K236" s="896">
        <v>0</v>
      </c>
      <c r="L236" s="896">
        <v>0</v>
      </c>
      <c r="M236" s="896">
        <v>0</v>
      </c>
      <c r="N236" s="896">
        <v>0</v>
      </c>
      <c r="O236" s="872">
        <v>0</v>
      </c>
      <c r="P236" s="870">
        <v>0</v>
      </c>
      <c r="Q236" s="896">
        <v>0</v>
      </c>
      <c r="R236" s="896">
        <v>0</v>
      </c>
      <c r="S236" s="914">
        <v>0</v>
      </c>
      <c r="T236" s="870">
        <v>0</v>
      </c>
      <c r="U236" s="870">
        <v>0</v>
      </c>
      <c r="V236" s="872">
        <v>0</v>
      </c>
      <c r="W236" s="870">
        <v>0</v>
      </c>
      <c r="X236" s="877">
        <v>32.401718412608503</v>
      </c>
    </row>
    <row r="237" spans="1:24">
      <c r="A237" s="862"/>
      <c r="B237" s="859" t="s">
        <v>377</v>
      </c>
      <c r="C237" s="870">
        <v>774854751</v>
      </c>
      <c r="D237" s="896"/>
      <c r="E237" s="896">
        <v>505186000</v>
      </c>
      <c r="F237" s="896">
        <v>244510100</v>
      </c>
      <c r="G237" s="896">
        <v>42531200</v>
      </c>
      <c r="H237" s="896"/>
      <c r="I237" s="872">
        <v>1567082051</v>
      </c>
      <c r="J237" s="872"/>
      <c r="K237" s="896">
        <v>94636679</v>
      </c>
      <c r="L237" s="896">
        <v>182169317</v>
      </c>
      <c r="M237" s="896">
        <v>43910224</v>
      </c>
      <c r="N237" s="896"/>
      <c r="O237" s="872">
        <v>320716220</v>
      </c>
      <c r="P237" s="870">
        <v>25313082</v>
      </c>
      <c r="Q237" s="896"/>
      <c r="R237" s="896"/>
      <c r="S237" s="914">
        <v>25313082</v>
      </c>
      <c r="T237" s="870"/>
      <c r="U237" s="870"/>
      <c r="V237" s="872">
        <v>68724800</v>
      </c>
      <c r="W237" s="870">
        <v>68724800</v>
      </c>
      <c r="X237" s="877">
        <v>1981836153</v>
      </c>
    </row>
    <row r="238" spans="1:24" s="216" customFormat="1">
      <c r="A238" s="862"/>
      <c r="B238" s="859" t="s">
        <v>379</v>
      </c>
      <c r="C238" s="870">
        <v>780170100</v>
      </c>
      <c r="D238" s="896"/>
      <c r="E238" s="896">
        <v>521466800</v>
      </c>
      <c r="F238" s="896">
        <v>245271400</v>
      </c>
      <c r="G238" s="896">
        <v>43583800</v>
      </c>
      <c r="H238" s="896"/>
      <c r="I238" s="872">
        <v>1590492100</v>
      </c>
      <c r="J238" s="872"/>
      <c r="K238" s="896">
        <v>97513425</v>
      </c>
      <c r="L238" s="896">
        <v>184851114</v>
      </c>
      <c r="M238" s="896">
        <v>44251420</v>
      </c>
      <c r="N238" s="896"/>
      <c r="O238" s="872">
        <v>326615959</v>
      </c>
      <c r="P238" s="870">
        <v>26682641</v>
      </c>
      <c r="Q238" s="896"/>
      <c r="R238" s="896"/>
      <c r="S238" s="914">
        <v>26682641</v>
      </c>
      <c r="T238" s="870"/>
      <c r="U238" s="870"/>
      <c r="V238" s="872">
        <v>64884000</v>
      </c>
      <c r="W238" s="870">
        <v>64884000</v>
      </c>
      <c r="X238" s="877">
        <v>2008674700</v>
      </c>
    </row>
    <row r="239" spans="1:24" s="228" customFormat="1" ht="13.5" thickBot="1">
      <c r="A239" s="897"/>
      <c r="B239" s="859" t="s">
        <v>381</v>
      </c>
      <c r="C239" s="870">
        <v>0.68598004892403375</v>
      </c>
      <c r="D239" s="896">
        <v>0</v>
      </c>
      <c r="E239" s="896">
        <v>3.2227338049748013</v>
      </c>
      <c r="F239" s="896">
        <v>0.31135728135565771</v>
      </c>
      <c r="G239" s="896">
        <v>2.474889022646904</v>
      </c>
      <c r="H239" s="896">
        <v>0</v>
      </c>
      <c r="I239" s="872">
        <v>1.4938623657300762</v>
      </c>
      <c r="J239" s="872">
        <v>0</v>
      </c>
      <c r="K239" s="896">
        <v>3.0397791114373316</v>
      </c>
      <c r="L239" s="896">
        <v>1.4721452789988776</v>
      </c>
      <c r="M239" s="896">
        <v>0.77703088009753718</v>
      </c>
      <c r="N239" s="896">
        <v>0</v>
      </c>
      <c r="O239" s="872">
        <v>1.8395511770499164</v>
      </c>
      <c r="P239" s="870">
        <v>5.4104790558494615</v>
      </c>
      <c r="Q239" s="896">
        <v>0</v>
      </c>
      <c r="R239" s="896">
        <v>0</v>
      </c>
      <c r="S239" s="914">
        <v>5.4104790558494615</v>
      </c>
      <c r="T239" s="870">
        <v>0</v>
      </c>
      <c r="U239" s="870">
        <v>0</v>
      </c>
      <c r="V239" s="872">
        <v>-5.5886666821875073</v>
      </c>
      <c r="W239" s="870">
        <v>-5.5886666821875073</v>
      </c>
      <c r="X239" s="877">
        <v>1.3542263299301109</v>
      </c>
    </row>
    <row r="240" spans="1:24">
      <c r="A240" s="858" t="s">
        <v>1273</v>
      </c>
      <c r="B240" s="858" t="s">
        <v>1347</v>
      </c>
      <c r="C240" s="863">
        <v>227869162</v>
      </c>
      <c r="D240" s="866">
        <v>221216393</v>
      </c>
      <c r="E240" s="864">
        <v>193781052</v>
      </c>
      <c r="F240" s="864">
        <v>178432261</v>
      </c>
      <c r="G240" s="866">
        <v>16576070</v>
      </c>
      <c r="H240" s="864"/>
      <c r="I240" s="865">
        <v>837874938</v>
      </c>
      <c r="J240" s="865">
        <v>10964169</v>
      </c>
      <c r="K240" s="866">
        <v>40297923</v>
      </c>
      <c r="L240" s="864">
        <v>42476300</v>
      </c>
      <c r="M240" s="866">
        <v>26861663</v>
      </c>
      <c r="N240" s="864"/>
      <c r="O240" s="865">
        <v>120600055</v>
      </c>
      <c r="P240" s="867">
        <v>8299283</v>
      </c>
      <c r="Q240" s="885">
        <v>4991063</v>
      </c>
      <c r="R240" s="868">
        <v>79775157</v>
      </c>
      <c r="S240" s="913">
        <v>93065503</v>
      </c>
      <c r="T240" s="863"/>
      <c r="U240" s="863"/>
      <c r="V240" s="865"/>
      <c r="W240" s="863"/>
      <c r="X240" s="869">
        <v>1051540496</v>
      </c>
    </row>
    <row r="241" spans="1:24" s="216" customFormat="1">
      <c r="A241" s="862"/>
      <c r="B241" s="859" t="s">
        <v>60</v>
      </c>
      <c r="C241" s="870">
        <v>224870352</v>
      </c>
      <c r="D241" s="873">
        <v>221715655</v>
      </c>
      <c r="E241" s="896">
        <v>192105572</v>
      </c>
      <c r="F241" s="896">
        <v>174315452</v>
      </c>
      <c r="G241" s="873">
        <v>15572008</v>
      </c>
      <c r="H241" s="896"/>
      <c r="I241" s="872">
        <v>828579039</v>
      </c>
      <c r="J241" s="872">
        <v>12421305</v>
      </c>
      <c r="K241" s="873">
        <v>43419869</v>
      </c>
      <c r="L241" s="896">
        <v>45535092</v>
      </c>
      <c r="M241" s="873">
        <v>29306041</v>
      </c>
      <c r="N241" s="896"/>
      <c r="O241" s="872">
        <v>130682307</v>
      </c>
      <c r="P241" s="875">
        <v>8474404</v>
      </c>
      <c r="Q241" s="871">
        <v>4973890</v>
      </c>
      <c r="R241" s="876">
        <v>79489015</v>
      </c>
      <c r="S241" s="914">
        <v>92937309</v>
      </c>
      <c r="T241" s="870"/>
      <c r="U241" s="870"/>
      <c r="V241" s="872"/>
      <c r="W241" s="870"/>
      <c r="X241" s="877">
        <v>1052198655</v>
      </c>
    </row>
    <row r="242" spans="1:24" s="215" customFormat="1" ht="13.5" thickBot="1">
      <c r="A242" s="862"/>
      <c r="B242" s="859" t="s">
        <v>906</v>
      </c>
      <c r="C242" s="870">
        <v>-1.3160227446660815</v>
      </c>
      <c r="D242" s="886">
        <v>0.22568942257366978</v>
      </c>
      <c r="E242" s="896">
        <v>-0.86462529886564976</v>
      </c>
      <c r="F242" s="896">
        <v>-2.3072111382369358</v>
      </c>
      <c r="G242" s="886">
        <v>-6.0572982618919928</v>
      </c>
      <c r="H242" s="896">
        <v>0</v>
      </c>
      <c r="I242" s="872">
        <v>-1.1094613979252355</v>
      </c>
      <c r="J242" s="872">
        <v>13.289981210614322</v>
      </c>
      <c r="K242" s="886">
        <v>7.7471635448804648</v>
      </c>
      <c r="L242" s="896">
        <v>7.20117336020322</v>
      </c>
      <c r="M242" s="886">
        <v>9.0998759086509278</v>
      </c>
      <c r="N242" s="896">
        <v>0</v>
      </c>
      <c r="O242" s="872">
        <v>8.3600724726037647</v>
      </c>
      <c r="P242" s="889">
        <v>2.1100738461382749</v>
      </c>
      <c r="Q242" s="887">
        <v>-0.34407499965438226</v>
      </c>
      <c r="R242" s="888">
        <v>-0.35868559932762023</v>
      </c>
      <c r="S242" s="914">
        <v>-0.13774599165922952</v>
      </c>
      <c r="T242" s="870">
        <v>0</v>
      </c>
      <c r="U242" s="870">
        <v>0</v>
      </c>
      <c r="V242" s="872">
        <v>0</v>
      </c>
      <c r="W242" s="870">
        <v>0</v>
      </c>
      <c r="X242" s="877">
        <v>6.2589981318227808E-2</v>
      </c>
    </row>
    <row r="243" spans="1:24">
      <c r="A243" s="862"/>
      <c r="B243" s="859" t="s">
        <v>1370</v>
      </c>
      <c r="C243" s="870">
        <v>91938555</v>
      </c>
      <c r="D243" s="896"/>
      <c r="E243" s="866">
        <v>5771589</v>
      </c>
      <c r="F243" s="896"/>
      <c r="G243" s="896"/>
      <c r="H243" s="896"/>
      <c r="I243" s="872">
        <v>97710144</v>
      </c>
      <c r="J243" s="872"/>
      <c r="K243" s="896"/>
      <c r="L243" s="896"/>
      <c r="M243" s="896"/>
      <c r="N243" s="896"/>
      <c r="O243" s="872"/>
      <c r="P243" s="870"/>
      <c r="Q243" s="896"/>
      <c r="R243" s="896"/>
      <c r="S243" s="914"/>
      <c r="T243" s="870"/>
      <c r="U243" s="870"/>
      <c r="V243" s="872">
        <v>77435216</v>
      </c>
      <c r="W243" s="866">
        <v>77435216</v>
      </c>
      <c r="X243" s="877">
        <v>175145360</v>
      </c>
    </row>
    <row r="244" spans="1:24" s="216" customFormat="1">
      <c r="A244" s="862"/>
      <c r="B244" s="859" t="s">
        <v>1611</v>
      </c>
      <c r="C244" s="870">
        <v>89770198</v>
      </c>
      <c r="D244" s="896"/>
      <c r="E244" s="873">
        <v>5648740</v>
      </c>
      <c r="F244" s="896"/>
      <c r="G244" s="896"/>
      <c r="H244" s="896"/>
      <c r="I244" s="872">
        <v>95418938</v>
      </c>
      <c r="J244" s="872"/>
      <c r="K244" s="896"/>
      <c r="L244" s="896"/>
      <c r="M244" s="896"/>
      <c r="N244" s="896"/>
      <c r="O244" s="872"/>
      <c r="P244" s="870"/>
      <c r="Q244" s="896"/>
      <c r="R244" s="896"/>
      <c r="S244" s="914"/>
      <c r="T244" s="870"/>
      <c r="U244" s="870"/>
      <c r="V244" s="872">
        <v>67313141.280000001</v>
      </c>
      <c r="W244" s="873">
        <v>67313141.280000001</v>
      </c>
      <c r="X244" s="877">
        <v>162732079.28</v>
      </c>
    </row>
    <row r="245" spans="1:24" s="215" customFormat="1" ht="13.5" thickBot="1">
      <c r="A245" s="862"/>
      <c r="B245" s="859" t="s">
        <v>1613</v>
      </c>
      <c r="C245" s="870">
        <v>-2.3584849685749356</v>
      </c>
      <c r="D245" s="896">
        <v>0</v>
      </c>
      <c r="E245" s="886">
        <v>-2.1285126158498118</v>
      </c>
      <c r="F245" s="896">
        <v>0</v>
      </c>
      <c r="G245" s="896">
        <v>0</v>
      </c>
      <c r="H245" s="896">
        <v>0</v>
      </c>
      <c r="I245" s="872">
        <v>-2.3449008528735766</v>
      </c>
      <c r="J245" s="872">
        <v>0</v>
      </c>
      <c r="K245" s="896">
        <v>0</v>
      </c>
      <c r="L245" s="896">
        <v>0</v>
      </c>
      <c r="M245" s="896">
        <v>0</v>
      </c>
      <c r="N245" s="896">
        <v>0</v>
      </c>
      <c r="O245" s="872">
        <v>0</v>
      </c>
      <c r="P245" s="870">
        <v>0</v>
      </c>
      <c r="Q245" s="896">
        <v>0</v>
      </c>
      <c r="R245" s="896">
        <v>0</v>
      </c>
      <c r="S245" s="914">
        <v>0</v>
      </c>
      <c r="T245" s="870">
        <v>0</v>
      </c>
      <c r="U245" s="870">
        <v>0</v>
      </c>
      <c r="V245" s="872">
        <v>-13.071668477040213</v>
      </c>
      <c r="W245" s="886">
        <v>-13.071668477040213</v>
      </c>
      <c r="X245" s="877">
        <v>-7.0874162581298181</v>
      </c>
    </row>
    <row r="246" spans="1:24">
      <c r="A246" s="862"/>
      <c r="B246" s="859" t="s">
        <v>61</v>
      </c>
      <c r="C246" s="870"/>
      <c r="D246" s="896"/>
      <c r="E246" s="896"/>
      <c r="F246" s="896"/>
      <c r="G246" s="896"/>
      <c r="H246" s="896"/>
      <c r="I246" s="872"/>
      <c r="J246" s="872"/>
      <c r="K246" s="896"/>
      <c r="L246" s="896"/>
      <c r="M246" s="896"/>
      <c r="N246" s="896"/>
      <c r="O246" s="872"/>
      <c r="P246" s="870"/>
      <c r="Q246" s="896"/>
      <c r="R246" s="896"/>
      <c r="S246" s="914"/>
      <c r="T246" s="870"/>
      <c r="U246" s="870"/>
      <c r="V246" s="872"/>
      <c r="W246" s="870"/>
      <c r="X246" s="877"/>
    </row>
    <row r="247" spans="1:24" s="216" customFormat="1">
      <c r="A247" s="862"/>
      <c r="B247" s="859" t="s">
        <v>62</v>
      </c>
      <c r="C247" s="870"/>
      <c r="D247" s="896"/>
      <c r="E247" s="896"/>
      <c r="F247" s="896"/>
      <c r="G247" s="896"/>
      <c r="H247" s="896"/>
      <c r="I247" s="872"/>
      <c r="J247" s="872"/>
      <c r="K247" s="896"/>
      <c r="L247" s="896"/>
      <c r="M247" s="896"/>
      <c r="N247" s="896"/>
      <c r="O247" s="872"/>
      <c r="P247" s="870"/>
      <c r="Q247" s="896"/>
      <c r="R247" s="896"/>
      <c r="S247" s="914"/>
      <c r="T247" s="870"/>
      <c r="U247" s="870"/>
      <c r="V247" s="872"/>
      <c r="W247" s="870"/>
      <c r="X247" s="877"/>
    </row>
    <row r="248" spans="1:24" s="215" customFormat="1" ht="13.5" thickBot="1">
      <c r="A248" s="862"/>
      <c r="B248" s="859" t="s">
        <v>1816</v>
      </c>
      <c r="C248" s="870">
        <v>0</v>
      </c>
      <c r="D248" s="896">
        <v>0</v>
      </c>
      <c r="E248" s="896">
        <v>0</v>
      </c>
      <c r="F248" s="896">
        <v>0</v>
      </c>
      <c r="G248" s="896">
        <v>0</v>
      </c>
      <c r="H248" s="896">
        <v>0</v>
      </c>
      <c r="I248" s="872">
        <v>0</v>
      </c>
      <c r="J248" s="872">
        <v>0</v>
      </c>
      <c r="K248" s="896">
        <v>0</v>
      </c>
      <c r="L248" s="896">
        <v>0</v>
      </c>
      <c r="M248" s="896">
        <v>0</v>
      </c>
      <c r="N248" s="896">
        <v>0</v>
      </c>
      <c r="O248" s="872">
        <v>0</v>
      </c>
      <c r="P248" s="870">
        <v>0</v>
      </c>
      <c r="Q248" s="896">
        <v>0</v>
      </c>
      <c r="R248" s="896">
        <v>0</v>
      </c>
      <c r="S248" s="914">
        <v>0</v>
      </c>
      <c r="T248" s="870">
        <v>0</v>
      </c>
      <c r="U248" s="870">
        <v>0</v>
      </c>
      <c r="V248" s="872">
        <v>0</v>
      </c>
      <c r="W248" s="870">
        <v>0</v>
      </c>
      <c r="X248" s="877">
        <v>0</v>
      </c>
    </row>
    <row r="249" spans="1:24">
      <c r="A249" s="862"/>
      <c r="B249" s="859" t="s">
        <v>1588</v>
      </c>
      <c r="C249" s="866">
        <v>157816072</v>
      </c>
      <c r="D249" s="896">
        <v>120794227</v>
      </c>
      <c r="E249" s="896">
        <v>100055741</v>
      </c>
      <c r="F249" s="896">
        <v>105917183</v>
      </c>
      <c r="G249" s="896">
        <v>5570255</v>
      </c>
      <c r="H249" s="896"/>
      <c r="I249" s="872">
        <v>490153478</v>
      </c>
      <c r="J249" s="898">
        <v>7608478</v>
      </c>
      <c r="K249" s="866">
        <v>25305103</v>
      </c>
      <c r="L249" s="896">
        <v>22008039</v>
      </c>
      <c r="M249" s="866">
        <v>14498069</v>
      </c>
      <c r="N249" s="896"/>
      <c r="O249" s="872">
        <v>69419689</v>
      </c>
      <c r="P249" s="867">
        <v>2892276</v>
      </c>
      <c r="Q249" s="885">
        <v>1600000</v>
      </c>
      <c r="R249" s="868">
        <v>14232522</v>
      </c>
      <c r="S249" s="914">
        <v>18724798</v>
      </c>
      <c r="T249" s="870"/>
      <c r="U249" s="870"/>
      <c r="V249" s="872"/>
      <c r="W249" s="870"/>
      <c r="X249" s="877">
        <v>578297965</v>
      </c>
    </row>
    <row r="250" spans="1:24" s="216" customFormat="1">
      <c r="A250" s="862"/>
      <c r="B250" s="859" t="s">
        <v>251</v>
      </c>
      <c r="C250" s="873">
        <v>184415988</v>
      </c>
      <c r="D250" s="896">
        <v>146598587</v>
      </c>
      <c r="E250" s="896">
        <v>114460684</v>
      </c>
      <c r="F250" s="896">
        <v>123588332</v>
      </c>
      <c r="G250" s="896">
        <v>5283651</v>
      </c>
      <c r="H250" s="896"/>
      <c r="I250" s="872">
        <v>574347242</v>
      </c>
      <c r="J250" s="899">
        <v>8503124</v>
      </c>
      <c r="K250" s="873">
        <v>25931278</v>
      </c>
      <c r="L250" s="896">
        <v>27854826</v>
      </c>
      <c r="M250" s="873">
        <v>15767011</v>
      </c>
      <c r="N250" s="896"/>
      <c r="O250" s="872">
        <v>78056239</v>
      </c>
      <c r="P250" s="875">
        <v>3004240</v>
      </c>
      <c r="Q250" s="871">
        <v>1674715</v>
      </c>
      <c r="R250" s="876">
        <v>13850833</v>
      </c>
      <c r="S250" s="914">
        <v>18529788</v>
      </c>
      <c r="T250" s="870"/>
      <c r="U250" s="870"/>
      <c r="V250" s="872"/>
      <c r="W250" s="870"/>
      <c r="X250" s="877">
        <v>670933269</v>
      </c>
    </row>
    <row r="251" spans="1:24" s="215" customFormat="1" ht="13.5" thickBot="1">
      <c r="A251" s="862"/>
      <c r="B251" s="859" t="s">
        <v>1759</v>
      </c>
      <c r="C251" s="886">
        <v>16.855010812840408</v>
      </c>
      <c r="D251" s="896">
        <v>21.362246061643329</v>
      </c>
      <c r="E251" s="896">
        <v>14.396918013929854</v>
      </c>
      <c r="F251" s="896">
        <v>16.683930311855065</v>
      </c>
      <c r="G251" s="896">
        <v>-5.1452581614306707</v>
      </c>
      <c r="H251" s="896">
        <v>0</v>
      </c>
      <c r="I251" s="872">
        <v>17.177020622915993</v>
      </c>
      <c r="J251" s="900">
        <v>11.758540932890915</v>
      </c>
      <c r="K251" s="886">
        <v>2.474500894147714</v>
      </c>
      <c r="L251" s="896">
        <v>26.566596869443931</v>
      </c>
      <c r="M251" s="886">
        <v>8.7524897281148277</v>
      </c>
      <c r="N251" s="896">
        <v>0</v>
      </c>
      <c r="O251" s="872">
        <v>12.441066971648345</v>
      </c>
      <c r="P251" s="889">
        <v>3.8711381624713548</v>
      </c>
      <c r="Q251" s="887">
        <v>4.6696875000000002</v>
      </c>
      <c r="R251" s="888">
        <v>-2.6818086070761038</v>
      </c>
      <c r="S251" s="914">
        <v>-1.0414531574653034</v>
      </c>
      <c r="T251" s="870">
        <v>0</v>
      </c>
      <c r="U251" s="870">
        <v>0</v>
      </c>
      <c r="V251" s="872">
        <v>0</v>
      </c>
      <c r="W251" s="870">
        <v>0</v>
      </c>
      <c r="X251" s="877">
        <v>16.018611443669872</v>
      </c>
    </row>
    <row r="252" spans="1:24">
      <c r="A252" s="862"/>
      <c r="B252" s="859" t="s">
        <v>1590</v>
      </c>
      <c r="C252" s="870"/>
      <c r="D252" s="896"/>
      <c r="E252" s="896"/>
      <c r="F252" s="896"/>
      <c r="G252" s="896"/>
      <c r="H252" s="896"/>
      <c r="I252" s="872"/>
      <c r="J252" s="872"/>
      <c r="K252" s="896"/>
      <c r="L252" s="896"/>
      <c r="M252" s="896"/>
      <c r="N252" s="896"/>
      <c r="O252" s="872"/>
      <c r="P252" s="870"/>
      <c r="Q252" s="896"/>
      <c r="R252" s="896"/>
      <c r="S252" s="914"/>
      <c r="T252" s="870"/>
      <c r="U252" s="870"/>
      <c r="V252" s="872"/>
      <c r="W252" s="870"/>
      <c r="X252" s="877"/>
    </row>
    <row r="253" spans="1:24" s="216" customFormat="1">
      <c r="A253" s="862"/>
      <c r="B253" s="859" t="s">
        <v>1319</v>
      </c>
      <c r="C253" s="870"/>
      <c r="D253" s="896"/>
      <c r="E253" s="896"/>
      <c r="F253" s="896"/>
      <c r="G253" s="896"/>
      <c r="H253" s="896"/>
      <c r="I253" s="872"/>
      <c r="J253" s="872"/>
      <c r="K253" s="896"/>
      <c r="L253" s="896"/>
      <c r="M253" s="896"/>
      <c r="N253" s="896"/>
      <c r="O253" s="872"/>
      <c r="P253" s="870"/>
      <c r="Q253" s="896"/>
      <c r="R253" s="896"/>
      <c r="S253" s="914"/>
      <c r="T253" s="870"/>
      <c r="U253" s="870"/>
      <c r="V253" s="872"/>
      <c r="W253" s="870"/>
      <c r="X253" s="877"/>
    </row>
    <row r="254" spans="1:24" s="215" customFormat="1">
      <c r="A254" s="862"/>
      <c r="B254" s="859" t="s">
        <v>1330</v>
      </c>
      <c r="C254" s="870">
        <v>0</v>
      </c>
      <c r="D254" s="896">
        <v>0</v>
      </c>
      <c r="E254" s="896">
        <v>0</v>
      </c>
      <c r="F254" s="896">
        <v>0</v>
      </c>
      <c r="G254" s="896">
        <v>0</v>
      </c>
      <c r="H254" s="896">
        <v>0</v>
      </c>
      <c r="I254" s="872">
        <v>0</v>
      </c>
      <c r="J254" s="872">
        <v>0</v>
      </c>
      <c r="K254" s="896">
        <v>0</v>
      </c>
      <c r="L254" s="896">
        <v>0</v>
      </c>
      <c r="M254" s="896">
        <v>0</v>
      </c>
      <c r="N254" s="896">
        <v>0</v>
      </c>
      <c r="O254" s="872">
        <v>0</v>
      </c>
      <c r="P254" s="870">
        <v>0</v>
      </c>
      <c r="Q254" s="896">
        <v>0</v>
      </c>
      <c r="R254" s="896">
        <v>0</v>
      </c>
      <c r="S254" s="914">
        <v>0</v>
      </c>
      <c r="T254" s="870">
        <v>0</v>
      </c>
      <c r="U254" s="870">
        <v>0</v>
      </c>
      <c r="V254" s="872">
        <v>0</v>
      </c>
      <c r="W254" s="870">
        <v>0</v>
      </c>
      <c r="X254" s="877">
        <v>0</v>
      </c>
    </row>
    <row r="255" spans="1:24">
      <c r="A255" s="862"/>
      <c r="B255" s="859" t="s">
        <v>1889</v>
      </c>
      <c r="C255" s="870">
        <v>157816072</v>
      </c>
      <c r="D255" s="896">
        <v>120794227</v>
      </c>
      <c r="E255" s="896">
        <v>100055741</v>
      </c>
      <c r="F255" s="896">
        <v>105917183</v>
      </c>
      <c r="G255" s="896">
        <v>5570255</v>
      </c>
      <c r="H255" s="896"/>
      <c r="I255" s="872">
        <v>490153478</v>
      </c>
      <c r="J255" s="872">
        <v>7608478</v>
      </c>
      <c r="K255" s="896">
        <v>25305103</v>
      </c>
      <c r="L255" s="896">
        <v>22008039</v>
      </c>
      <c r="M255" s="896">
        <v>14498069</v>
      </c>
      <c r="N255" s="896"/>
      <c r="O255" s="872">
        <v>69419689</v>
      </c>
      <c r="P255" s="870">
        <v>2892276</v>
      </c>
      <c r="Q255" s="896">
        <v>1600000</v>
      </c>
      <c r="R255" s="896">
        <v>14232522</v>
      </c>
      <c r="S255" s="914">
        <v>18724798</v>
      </c>
      <c r="T255" s="870">
        <v>0</v>
      </c>
      <c r="U255" s="870">
        <v>0</v>
      </c>
      <c r="V255" s="872">
        <v>0</v>
      </c>
      <c r="W255" s="870">
        <v>0</v>
      </c>
      <c r="X255" s="877">
        <v>578297965</v>
      </c>
    </row>
    <row r="256" spans="1:24" s="216" customFormat="1">
      <c r="A256" s="862"/>
      <c r="B256" s="859" t="s">
        <v>626</v>
      </c>
      <c r="C256" s="870">
        <v>184415988</v>
      </c>
      <c r="D256" s="896">
        <v>146598587</v>
      </c>
      <c r="E256" s="896">
        <v>114460684</v>
      </c>
      <c r="F256" s="896">
        <v>123588332</v>
      </c>
      <c r="G256" s="896">
        <v>5283651</v>
      </c>
      <c r="H256" s="896"/>
      <c r="I256" s="872">
        <v>574347242</v>
      </c>
      <c r="J256" s="872">
        <v>8503124</v>
      </c>
      <c r="K256" s="896">
        <v>25931278</v>
      </c>
      <c r="L256" s="896">
        <v>27854826</v>
      </c>
      <c r="M256" s="896">
        <v>15767011</v>
      </c>
      <c r="N256" s="896"/>
      <c r="O256" s="872">
        <v>78056239</v>
      </c>
      <c r="P256" s="870">
        <v>3004240</v>
      </c>
      <c r="Q256" s="896">
        <v>1674715</v>
      </c>
      <c r="R256" s="896">
        <v>13850833</v>
      </c>
      <c r="S256" s="914">
        <v>18529788</v>
      </c>
      <c r="T256" s="870">
        <v>0</v>
      </c>
      <c r="U256" s="870">
        <v>0</v>
      </c>
      <c r="V256" s="872">
        <v>0</v>
      </c>
      <c r="W256" s="870">
        <v>0</v>
      </c>
      <c r="X256" s="877">
        <v>670933269</v>
      </c>
    </row>
    <row r="257" spans="1:24" s="215" customFormat="1">
      <c r="A257" s="862"/>
      <c r="B257" s="859" t="s">
        <v>456</v>
      </c>
      <c r="C257" s="870">
        <v>16.855010812840408</v>
      </c>
      <c r="D257" s="896">
        <v>21.362246061643329</v>
      </c>
      <c r="E257" s="896">
        <v>14.396918013929854</v>
      </c>
      <c r="F257" s="896">
        <v>16.683930311855065</v>
      </c>
      <c r="G257" s="896">
        <v>-5.1452581614306707</v>
      </c>
      <c r="H257" s="896">
        <v>0</v>
      </c>
      <c r="I257" s="872">
        <v>17.177020622915993</v>
      </c>
      <c r="J257" s="872">
        <v>11.758540932890915</v>
      </c>
      <c r="K257" s="896">
        <v>2.474500894147714</v>
      </c>
      <c r="L257" s="896">
        <v>26.566596869443931</v>
      </c>
      <c r="M257" s="896">
        <v>8.7524897281148277</v>
      </c>
      <c r="N257" s="896">
        <v>0</v>
      </c>
      <c r="O257" s="872">
        <v>12.441066971648345</v>
      </c>
      <c r="P257" s="870">
        <v>3.8711381624713548</v>
      </c>
      <c r="Q257" s="896">
        <v>4.6696875000000002</v>
      </c>
      <c r="R257" s="896">
        <v>-2.6818086070761038</v>
      </c>
      <c r="S257" s="914">
        <v>-1.0414531574653034</v>
      </c>
      <c r="T257" s="870">
        <v>0</v>
      </c>
      <c r="U257" s="870">
        <v>0</v>
      </c>
      <c r="V257" s="872">
        <v>0</v>
      </c>
      <c r="W257" s="870">
        <v>0</v>
      </c>
      <c r="X257" s="877">
        <v>16.018611443669872</v>
      </c>
    </row>
    <row r="258" spans="1:24">
      <c r="A258" s="862"/>
      <c r="B258" s="859" t="s">
        <v>628</v>
      </c>
      <c r="C258" s="870"/>
      <c r="D258" s="896"/>
      <c r="E258" s="896"/>
      <c r="F258" s="896"/>
      <c r="G258" s="896"/>
      <c r="H258" s="896"/>
      <c r="I258" s="872"/>
      <c r="J258" s="872"/>
      <c r="K258" s="896"/>
      <c r="L258" s="896"/>
      <c r="M258" s="896"/>
      <c r="N258" s="896"/>
      <c r="O258" s="872"/>
      <c r="P258" s="870"/>
      <c r="Q258" s="896"/>
      <c r="R258" s="896"/>
      <c r="S258" s="914"/>
      <c r="T258" s="870"/>
      <c r="U258" s="870"/>
      <c r="V258" s="872">
        <v>193200826</v>
      </c>
      <c r="W258" s="870">
        <v>193200826</v>
      </c>
      <c r="X258" s="877">
        <v>193200826</v>
      </c>
    </row>
    <row r="259" spans="1:24" s="216" customFormat="1">
      <c r="A259" s="862"/>
      <c r="B259" s="859" t="s">
        <v>630</v>
      </c>
      <c r="C259" s="870"/>
      <c r="D259" s="896"/>
      <c r="E259" s="896"/>
      <c r="F259" s="896"/>
      <c r="G259" s="896"/>
      <c r="H259" s="896"/>
      <c r="I259" s="872"/>
      <c r="J259" s="872"/>
      <c r="K259" s="896"/>
      <c r="L259" s="896"/>
      <c r="M259" s="896"/>
      <c r="N259" s="896"/>
      <c r="O259" s="872"/>
      <c r="P259" s="870"/>
      <c r="Q259" s="896"/>
      <c r="R259" s="896"/>
      <c r="S259" s="914"/>
      <c r="T259" s="870"/>
      <c r="U259" s="870"/>
      <c r="V259" s="872">
        <v>201022101.94</v>
      </c>
      <c r="W259" s="870">
        <v>201022101.94</v>
      </c>
      <c r="X259" s="877">
        <v>201022101.94</v>
      </c>
    </row>
    <row r="260" spans="1:24" s="215" customFormat="1">
      <c r="A260" s="862"/>
      <c r="B260" s="859" t="s">
        <v>632</v>
      </c>
      <c r="C260" s="870">
        <v>0</v>
      </c>
      <c r="D260" s="896">
        <v>0</v>
      </c>
      <c r="E260" s="896">
        <v>0</v>
      </c>
      <c r="F260" s="896">
        <v>0</v>
      </c>
      <c r="G260" s="896">
        <v>0</v>
      </c>
      <c r="H260" s="896">
        <v>0</v>
      </c>
      <c r="I260" s="872">
        <v>0</v>
      </c>
      <c r="J260" s="872">
        <v>0</v>
      </c>
      <c r="K260" s="896">
        <v>0</v>
      </c>
      <c r="L260" s="896">
        <v>0</v>
      </c>
      <c r="M260" s="896">
        <v>0</v>
      </c>
      <c r="N260" s="896">
        <v>0</v>
      </c>
      <c r="O260" s="872">
        <v>0</v>
      </c>
      <c r="P260" s="870">
        <v>0</v>
      </c>
      <c r="Q260" s="896">
        <v>0</v>
      </c>
      <c r="R260" s="896">
        <v>0</v>
      </c>
      <c r="S260" s="914">
        <v>0</v>
      </c>
      <c r="T260" s="870">
        <v>0</v>
      </c>
      <c r="U260" s="870">
        <v>0</v>
      </c>
      <c r="V260" s="872">
        <v>4.0482621642621748</v>
      </c>
      <c r="W260" s="870">
        <v>4.0482621642621748</v>
      </c>
      <c r="X260" s="877">
        <v>4.0482621642621748</v>
      </c>
    </row>
    <row r="261" spans="1:24">
      <c r="A261" s="862"/>
      <c r="B261" s="859" t="s">
        <v>1608</v>
      </c>
      <c r="C261" s="870"/>
      <c r="D261" s="896"/>
      <c r="E261" s="896"/>
      <c r="F261" s="896"/>
      <c r="G261" s="896"/>
      <c r="H261" s="896"/>
      <c r="I261" s="872"/>
      <c r="J261" s="872"/>
      <c r="K261" s="896"/>
      <c r="L261" s="896"/>
      <c r="M261" s="896"/>
      <c r="N261" s="896"/>
      <c r="O261" s="872"/>
      <c r="P261" s="870"/>
      <c r="Q261" s="896"/>
      <c r="R261" s="896"/>
      <c r="S261" s="914"/>
      <c r="T261" s="870"/>
      <c r="U261" s="870"/>
      <c r="V261" s="872"/>
      <c r="W261" s="870"/>
      <c r="X261" s="877"/>
    </row>
    <row r="262" spans="1:24" s="216" customFormat="1">
      <c r="A262" s="862"/>
      <c r="B262" s="859" t="s">
        <v>1291</v>
      </c>
      <c r="C262" s="870"/>
      <c r="D262" s="896"/>
      <c r="E262" s="896"/>
      <c r="F262" s="896"/>
      <c r="G262" s="896"/>
      <c r="H262" s="896"/>
      <c r="I262" s="872"/>
      <c r="J262" s="872"/>
      <c r="K262" s="896"/>
      <c r="L262" s="896"/>
      <c r="M262" s="896"/>
      <c r="N262" s="896"/>
      <c r="O262" s="872"/>
      <c r="P262" s="870"/>
      <c r="Q262" s="896"/>
      <c r="R262" s="896"/>
      <c r="S262" s="914"/>
      <c r="T262" s="870"/>
      <c r="U262" s="870"/>
      <c r="V262" s="872"/>
      <c r="W262" s="870"/>
      <c r="X262" s="877"/>
    </row>
    <row r="263" spans="1:24" s="215" customFormat="1">
      <c r="A263" s="862"/>
      <c r="B263" s="859" t="s">
        <v>458</v>
      </c>
      <c r="C263" s="870">
        <v>0</v>
      </c>
      <c r="D263" s="896">
        <v>0</v>
      </c>
      <c r="E263" s="896">
        <v>0</v>
      </c>
      <c r="F263" s="896">
        <v>0</v>
      </c>
      <c r="G263" s="896">
        <v>0</v>
      </c>
      <c r="H263" s="896">
        <v>0</v>
      </c>
      <c r="I263" s="872">
        <v>0</v>
      </c>
      <c r="J263" s="872">
        <v>0</v>
      </c>
      <c r="K263" s="896">
        <v>0</v>
      </c>
      <c r="L263" s="896">
        <v>0</v>
      </c>
      <c r="M263" s="896">
        <v>0</v>
      </c>
      <c r="N263" s="896">
        <v>0</v>
      </c>
      <c r="O263" s="872">
        <v>0</v>
      </c>
      <c r="P263" s="870">
        <v>0</v>
      </c>
      <c r="Q263" s="896">
        <v>0</v>
      </c>
      <c r="R263" s="896">
        <v>0</v>
      </c>
      <c r="S263" s="914">
        <v>0</v>
      </c>
      <c r="T263" s="870">
        <v>0</v>
      </c>
      <c r="U263" s="870">
        <v>0</v>
      </c>
      <c r="V263" s="872">
        <v>0</v>
      </c>
      <c r="W263" s="870">
        <v>0</v>
      </c>
      <c r="X263" s="877">
        <v>0</v>
      </c>
    </row>
    <row r="264" spans="1:24">
      <c r="A264" s="862"/>
      <c r="B264" s="859" t="s">
        <v>1287</v>
      </c>
      <c r="C264" s="870"/>
      <c r="D264" s="896"/>
      <c r="E264" s="896"/>
      <c r="F264" s="896"/>
      <c r="G264" s="896"/>
      <c r="H264" s="896"/>
      <c r="I264" s="872"/>
      <c r="J264" s="872"/>
      <c r="K264" s="896"/>
      <c r="L264" s="896"/>
      <c r="M264" s="896"/>
      <c r="N264" s="896"/>
      <c r="O264" s="872"/>
      <c r="P264" s="870"/>
      <c r="Q264" s="896"/>
      <c r="R264" s="896"/>
      <c r="S264" s="914"/>
      <c r="T264" s="870"/>
      <c r="U264" s="870"/>
      <c r="V264" s="872"/>
      <c r="W264" s="870"/>
      <c r="X264" s="877"/>
    </row>
    <row r="265" spans="1:24" s="216" customFormat="1">
      <c r="A265" s="862"/>
      <c r="B265" s="859" t="s">
        <v>673</v>
      </c>
      <c r="C265" s="870"/>
      <c r="D265" s="896"/>
      <c r="E265" s="896"/>
      <c r="F265" s="896"/>
      <c r="G265" s="896"/>
      <c r="H265" s="896"/>
      <c r="I265" s="872"/>
      <c r="J265" s="872"/>
      <c r="K265" s="896"/>
      <c r="L265" s="896"/>
      <c r="M265" s="896"/>
      <c r="N265" s="896"/>
      <c r="O265" s="872"/>
      <c r="P265" s="870"/>
      <c r="Q265" s="896"/>
      <c r="R265" s="896"/>
      <c r="S265" s="914"/>
      <c r="T265" s="870"/>
      <c r="U265" s="870"/>
      <c r="V265" s="872"/>
      <c r="W265" s="870"/>
      <c r="X265" s="877"/>
    </row>
    <row r="266" spans="1:24" s="215" customFormat="1">
      <c r="A266" s="862"/>
      <c r="B266" s="859" t="s">
        <v>877</v>
      </c>
      <c r="C266" s="870">
        <v>0</v>
      </c>
      <c r="D266" s="896">
        <v>0</v>
      </c>
      <c r="E266" s="896">
        <v>0</v>
      </c>
      <c r="F266" s="896">
        <v>0</v>
      </c>
      <c r="G266" s="896">
        <v>0</v>
      </c>
      <c r="H266" s="896">
        <v>0</v>
      </c>
      <c r="I266" s="872">
        <v>0</v>
      </c>
      <c r="J266" s="872">
        <v>0</v>
      </c>
      <c r="K266" s="896">
        <v>0</v>
      </c>
      <c r="L266" s="896">
        <v>0</v>
      </c>
      <c r="M266" s="896">
        <v>0</v>
      </c>
      <c r="N266" s="896">
        <v>0</v>
      </c>
      <c r="O266" s="872">
        <v>0</v>
      </c>
      <c r="P266" s="870">
        <v>0</v>
      </c>
      <c r="Q266" s="896">
        <v>0</v>
      </c>
      <c r="R266" s="896">
        <v>0</v>
      </c>
      <c r="S266" s="914">
        <v>0</v>
      </c>
      <c r="T266" s="870">
        <v>0</v>
      </c>
      <c r="U266" s="870">
        <v>0</v>
      </c>
      <c r="V266" s="872">
        <v>0</v>
      </c>
      <c r="W266" s="870">
        <v>0</v>
      </c>
      <c r="X266" s="877">
        <v>0</v>
      </c>
    </row>
    <row r="267" spans="1:24">
      <c r="A267" s="862"/>
      <c r="B267" s="859" t="s">
        <v>1289</v>
      </c>
      <c r="C267" s="870">
        <v>0</v>
      </c>
      <c r="D267" s="896">
        <v>0</v>
      </c>
      <c r="E267" s="896">
        <v>0</v>
      </c>
      <c r="F267" s="896">
        <v>0</v>
      </c>
      <c r="G267" s="896">
        <v>0</v>
      </c>
      <c r="H267" s="896"/>
      <c r="I267" s="872">
        <v>0</v>
      </c>
      <c r="J267" s="872">
        <v>0</v>
      </c>
      <c r="K267" s="896">
        <v>0</v>
      </c>
      <c r="L267" s="896">
        <v>0</v>
      </c>
      <c r="M267" s="896">
        <v>0</v>
      </c>
      <c r="N267" s="896"/>
      <c r="O267" s="872">
        <v>0</v>
      </c>
      <c r="P267" s="870">
        <v>0</v>
      </c>
      <c r="Q267" s="896">
        <v>0</v>
      </c>
      <c r="R267" s="896">
        <v>0</v>
      </c>
      <c r="S267" s="914">
        <v>0</v>
      </c>
      <c r="T267" s="870">
        <v>0</v>
      </c>
      <c r="U267" s="870">
        <v>0</v>
      </c>
      <c r="V267" s="872">
        <v>0</v>
      </c>
      <c r="W267" s="870">
        <v>0</v>
      </c>
      <c r="X267" s="877">
        <v>0</v>
      </c>
    </row>
    <row r="268" spans="1:24" s="216" customFormat="1">
      <c r="A268" s="862"/>
      <c r="B268" s="859" t="s">
        <v>675</v>
      </c>
      <c r="C268" s="870">
        <v>0</v>
      </c>
      <c r="D268" s="896">
        <v>0</v>
      </c>
      <c r="E268" s="896">
        <v>0</v>
      </c>
      <c r="F268" s="896">
        <v>0</v>
      </c>
      <c r="G268" s="896">
        <v>0</v>
      </c>
      <c r="H268" s="896"/>
      <c r="I268" s="872">
        <v>0</v>
      </c>
      <c r="J268" s="872">
        <v>0</v>
      </c>
      <c r="K268" s="896">
        <v>0</v>
      </c>
      <c r="L268" s="896">
        <v>0</v>
      </c>
      <c r="M268" s="896">
        <v>0</v>
      </c>
      <c r="N268" s="896"/>
      <c r="O268" s="872">
        <v>0</v>
      </c>
      <c r="P268" s="870">
        <v>0</v>
      </c>
      <c r="Q268" s="896">
        <v>0</v>
      </c>
      <c r="R268" s="896">
        <v>0</v>
      </c>
      <c r="S268" s="914">
        <v>0</v>
      </c>
      <c r="T268" s="870">
        <v>0</v>
      </c>
      <c r="U268" s="870">
        <v>0</v>
      </c>
      <c r="V268" s="872">
        <v>0</v>
      </c>
      <c r="W268" s="870">
        <v>0</v>
      </c>
      <c r="X268" s="877">
        <v>0</v>
      </c>
    </row>
    <row r="269" spans="1:24" s="215" customFormat="1">
      <c r="A269" s="862"/>
      <c r="B269" s="859" t="s">
        <v>1339</v>
      </c>
      <c r="C269" s="870">
        <v>0</v>
      </c>
      <c r="D269" s="896">
        <v>0</v>
      </c>
      <c r="E269" s="896">
        <v>0</v>
      </c>
      <c r="F269" s="896">
        <v>0</v>
      </c>
      <c r="G269" s="896">
        <v>0</v>
      </c>
      <c r="H269" s="896">
        <v>0</v>
      </c>
      <c r="I269" s="872">
        <v>0</v>
      </c>
      <c r="J269" s="872">
        <v>0</v>
      </c>
      <c r="K269" s="896">
        <v>0</v>
      </c>
      <c r="L269" s="896">
        <v>0</v>
      </c>
      <c r="M269" s="896">
        <v>0</v>
      </c>
      <c r="N269" s="896">
        <v>0</v>
      </c>
      <c r="O269" s="872">
        <v>0</v>
      </c>
      <c r="P269" s="870">
        <v>0</v>
      </c>
      <c r="Q269" s="896">
        <v>0</v>
      </c>
      <c r="R269" s="896">
        <v>0</v>
      </c>
      <c r="S269" s="914">
        <v>0</v>
      </c>
      <c r="T269" s="870">
        <v>0</v>
      </c>
      <c r="U269" s="870">
        <v>0</v>
      </c>
      <c r="V269" s="872">
        <v>0</v>
      </c>
      <c r="W269" s="870">
        <v>0</v>
      </c>
      <c r="X269" s="877">
        <v>0</v>
      </c>
    </row>
    <row r="270" spans="1:24">
      <c r="A270" s="862"/>
      <c r="B270" s="859" t="s">
        <v>634</v>
      </c>
      <c r="C270" s="870">
        <v>24765444</v>
      </c>
      <c r="D270" s="896"/>
      <c r="E270" s="896"/>
      <c r="F270" s="896"/>
      <c r="G270" s="896"/>
      <c r="H270" s="896"/>
      <c r="I270" s="872">
        <v>24765444</v>
      </c>
      <c r="J270" s="872"/>
      <c r="K270" s="896"/>
      <c r="L270" s="896"/>
      <c r="M270" s="896"/>
      <c r="N270" s="896"/>
      <c r="O270" s="872"/>
      <c r="P270" s="870"/>
      <c r="Q270" s="896"/>
      <c r="R270" s="896"/>
      <c r="S270" s="914"/>
      <c r="T270" s="870">
        <v>132654973</v>
      </c>
      <c r="U270" s="870">
        <v>132654973</v>
      </c>
      <c r="V270" s="872"/>
      <c r="W270" s="870"/>
      <c r="X270" s="877">
        <v>157420417</v>
      </c>
    </row>
    <row r="271" spans="1:24" s="216" customFormat="1">
      <c r="A271" s="862"/>
      <c r="B271" s="859" t="s">
        <v>636</v>
      </c>
      <c r="C271" s="870">
        <v>24923402</v>
      </c>
      <c r="D271" s="896"/>
      <c r="E271" s="896"/>
      <c r="F271" s="896"/>
      <c r="G271" s="896"/>
      <c r="H271" s="896"/>
      <c r="I271" s="872">
        <v>24923402</v>
      </c>
      <c r="J271" s="872"/>
      <c r="K271" s="896"/>
      <c r="L271" s="896"/>
      <c r="M271" s="896"/>
      <c r="N271" s="896"/>
      <c r="O271" s="872"/>
      <c r="P271" s="870"/>
      <c r="Q271" s="896"/>
      <c r="R271" s="896"/>
      <c r="S271" s="914"/>
      <c r="T271" s="870">
        <v>218702355</v>
      </c>
      <c r="U271" s="870">
        <v>218702355</v>
      </c>
      <c r="V271" s="872"/>
      <c r="W271" s="870"/>
      <c r="X271" s="877">
        <v>243625757</v>
      </c>
    </row>
    <row r="272" spans="1:24" s="215" customFormat="1" ht="13.5" thickBot="1">
      <c r="A272" s="862"/>
      <c r="B272" s="859" t="s">
        <v>1540</v>
      </c>
      <c r="C272" s="870">
        <v>0.63781614414019794</v>
      </c>
      <c r="D272" s="896">
        <v>0</v>
      </c>
      <c r="E272" s="896">
        <v>0</v>
      </c>
      <c r="F272" s="896">
        <v>0</v>
      </c>
      <c r="G272" s="896">
        <v>0</v>
      </c>
      <c r="H272" s="896">
        <v>0</v>
      </c>
      <c r="I272" s="872">
        <v>0.63781614414019794</v>
      </c>
      <c r="J272" s="872">
        <v>0</v>
      </c>
      <c r="K272" s="896">
        <v>0</v>
      </c>
      <c r="L272" s="896">
        <v>0</v>
      </c>
      <c r="M272" s="896">
        <v>0</v>
      </c>
      <c r="N272" s="896">
        <v>0</v>
      </c>
      <c r="O272" s="872">
        <v>0</v>
      </c>
      <c r="P272" s="870">
        <v>0</v>
      </c>
      <c r="Q272" s="896">
        <v>0</v>
      </c>
      <c r="R272" s="896">
        <v>0</v>
      </c>
      <c r="S272" s="914">
        <v>0</v>
      </c>
      <c r="T272" s="870">
        <v>64.865553136858281</v>
      </c>
      <c r="U272" s="870">
        <v>64.865553136858281</v>
      </c>
      <c r="V272" s="872">
        <v>0</v>
      </c>
      <c r="W272" s="870">
        <v>0</v>
      </c>
      <c r="X272" s="877">
        <v>54.761219442075294</v>
      </c>
    </row>
    <row r="273" spans="1:24">
      <c r="A273" s="862"/>
      <c r="B273" s="859" t="s">
        <v>637</v>
      </c>
      <c r="C273" s="866">
        <v>7117712</v>
      </c>
      <c r="D273" s="896"/>
      <c r="E273" s="896"/>
      <c r="F273" s="896"/>
      <c r="G273" s="896"/>
      <c r="H273" s="896"/>
      <c r="I273" s="872">
        <v>7117712</v>
      </c>
      <c r="J273" s="872"/>
      <c r="K273" s="896"/>
      <c r="L273" s="896"/>
      <c r="M273" s="896"/>
      <c r="N273" s="896"/>
      <c r="O273" s="872"/>
      <c r="P273" s="870"/>
      <c r="Q273" s="896"/>
      <c r="R273" s="896"/>
      <c r="S273" s="914"/>
      <c r="T273" s="870">
        <v>23164576</v>
      </c>
      <c r="U273" s="870">
        <v>23164576</v>
      </c>
      <c r="V273" s="872"/>
      <c r="W273" s="870"/>
      <c r="X273" s="877">
        <v>30282288</v>
      </c>
    </row>
    <row r="274" spans="1:24" s="216" customFormat="1">
      <c r="A274" s="862"/>
      <c r="B274" s="859" t="s">
        <v>1890</v>
      </c>
      <c r="C274" s="873">
        <v>7647891</v>
      </c>
      <c r="D274" s="896"/>
      <c r="E274" s="896"/>
      <c r="F274" s="896"/>
      <c r="G274" s="896"/>
      <c r="H274" s="896"/>
      <c r="I274" s="872">
        <v>7647891</v>
      </c>
      <c r="J274" s="872"/>
      <c r="K274" s="896"/>
      <c r="L274" s="896"/>
      <c r="M274" s="896"/>
      <c r="N274" s="896"/>
      <c r="O274" s="872"/>
      <c r="P274" s="870"/>
      <c r="Q274" s="896"/>
      <c r="R274" s="896"/>
      <c r="S274" s="914"/>
      <c r="T274" s="870">
        <v>24794435</v>
      </c>
      <c r="U274" s="870">
        <v>24794435</v>
      </c>
      <c r="V274" s="872"/>
      <c r="W274" s="870"/>
      <c r="X274" s="877">
        <v>32442326</v>
      </c>
    </row>
    <row r="275" spans="1:24" s="215" customFormat="1" ht="13.5" thickBot="1">
      <c r="A275" s="862"/>
      <c r="B275" s="859" t="s">
        <v>1603</v>
      </c>
      <c r="C275" s="886">
        <v>7.4487279058214213</v>
      </c>
      <c r="D275" s="896">
        <v>0</v>
      </c>
      <c r="E275" s="896">
        <v>0</v>
      </c>
      <c r="F275" s="896">
        <v>0</v>
      </c>
      <c r="G275" s="896">
        <v>0</v>
      </c>
      <c r="H275" s="896">
        <v>0</v>
      </c>
      <c r="I275" s="872">
        <v>7.4487279058214213</v>
      </c>
      <c r="J275" s="872">
        <v>0</v>
      </c>
      <c r="K275" s="896">
        <v>0</v>
      </c>
      <c r="L275" s="896">
        <v>0</v>
      </c>
      <c r="M275" s="896">
        <v>0</v>
      </c>
      <c r="N275" s="896">
        <v>0</v>
      </c>
      <c r="O275" s="872">
        <v>0</v>
      </c>
      <c r="P275" s="870">
        <v>0</v>
      </c>
      <c r="Q275" s="896">
        <v>0</v>
      </c>
      <c r="R275" s="896">
        <v>0</v>
      </c>
      <c r="S275" s="914">
        <v>0</v>
      </c>
      <c r="T275" s="870">
        <v>7.0359975507429962</v>
      </c>
      <c r="U275" s="870">
        <v>7.0359975507429962</v>
      </c>
      <c r="V275" s="872">
        <v>0</v>
      </c>
      <c r="W275" s="870">
        <v>0</v>
      </c>
      <c r="X275" s="877">
        <v>7.1330079153860497</v>
      </c>
    </row>
    <row r="276" spans="1:24">
      <c r="A276" s="862"/>
      <c r="B276" s="859" t="s">
        <v>377</v>
      </c>
      <c r="C276" s="870">
        <v>477623789</v>
      </c>
      <c r="D276" s="896">
        <v>342010620</v>
      </c>
      <c r="E276" s="896">
        <v>299608382</v>
      </c>
      <c r="F276" s="896">
        <v>284349444</v>
      </c>
      <c r="G276" s="896">
        <v>22146325</v>
      </c>
      <c r="H276" s="896"/>
      <c r="I276" s="872">
        <v>1425738560</v>
      </c>
      <c r="J276" s="872">
        <v>18572647</v>
      </c>
      <c r="K276" s="896">
        <v>65603026</v>
      </c>
      <c r="L276" s="896">
        <v>64484339</v>
      </c>
      <c r="M276" s="896">
        <v>41359732</v>
      </c>
      <c r="N276" s="896"/>
      <c r="O276" s="872">
        <v>190019744</v>
      </c>
      <c r="P276" s="870">
        <v>11191559</v>
      </c>
      <c r="Q276" s="896">
        <v>6591063</v>
      </c>
      <c r="R276" s="896">
        <v>94007679</v>
      </c>
      <c r="S276" s="914">
        <v>111790301</v>
      </c>
      <c r="T276" s="870">
        <v>0</v>
      </c>
      <c r="U276" s="870">
        <v>0</v>
      </c>
      <c r="V276" s="872">
        <v>77435216</v>
      </c>
      <c r="W276" s="870">
        <v>77435216</v>
      </c>
      <c r="X276" s="877">
        <v>1804983821</v>
      </c>
    </row>
    <row r="277" spans="1:24" s="216" customFormat="1">
      <c r="A277" s="862"/>
      <c r="B277" s="859" t="s">
        <v>379</v>
      </c>
      <c r="C277" s="870">
        <v>499056538</v>
      </c>
      <c r="D277" s="896">
        <v>368314242</v>
      </c>
      <c r="E277" s="896">
        <v>312214996</v>
      </c>
      <c r="F277" s="896">
        <v>297903784</v>
      </c>
      <c r="G277" s="896">
        <v>20855659</v>
      </c>
      <c r="H277" s="896"/>
      <c r="I277" s="872">
        <v>1498345219</v>
      </c>
      <c r="J277" s="872">
        <v>20924429</v>
      </c>
      <c r="K277" s="896">
        <v>69351147</v>
      </c>
      <c r="L277" s="896">
        <v>73389918</v>
      </c>
      <c r="M277" s="896">
        <v>45073052</v>
      </c>
      <c r="N277" s="896"/>
      <c r="O277" s="872">
        <v>208738546</v>
      </c>
      <c r="P277" s="870">
        <v>11478644</v>
      </c>
      <c r="Q277" s="896">
        <v>6648605</v>
      </c>
      <c r="R277" s="896">
        <v>93339848</v>
      </c>
      <c r="S277" s="914">
        <v>111467097</v>
      </c>
      <c r="T277" s="870">
        <v>0</v>
      </c>
      <c r="U277" s="870">
        <v>0</v>
      </c>
      <c r="V277" s="872">
        <v>67313141.280000001</v>
      </c>
      <c r="W277" s="870">
        <v>67313141.280000001</v>
      </c>
      <c r="X277" s="877">
        <v>1885864003.28</v>
      </c>
    </row>
    <row r="278" spans="1:24" s="228" customFormat="1" ht="13.5" thickBot="1">
      <c r="A278" s="897"/>
      <c r="B278" s="859" t="s">
        <v>381</v>
      </c>
      <c r="C278" s="870">
        <v>4.4873704982060687</v>
      </c>
      <c r="D278" s="896">
        <v>7.6908787218361825</v>
      </c>
      <c r="E278" s="896">
        <v>4.2076973667579169</v>
      </c>
      <c r="F278" s="896">
        <v>4.7667896969758106</v>
      </c>
      <c r="G278" s="896">
        <v>-5.8279014689796158</v>
      </c>
      <c r="H278" s="896">
        <v>0</v>
      </c>
      <c r="I278" s="872">
        <v>5.092564726593352</v>
      </c>
      <c r="J278" s="872">
        <v>12.662610773790078</v>
      </c>
      <c r="K278" s="896">
        <v>5.7133355403453496</v>
      </c>
      <c r="L278" s="896">
        <v>13.810452488316582</v>
      </c>
      <c r="M278" s="896">
        <v>8.9781045970027069</v>
      </c>
      <c r="N278" s="896">
        <v>0</v>
      </c>
      <c r="O278" s="872">
        <v>9.8509773805399927</v>
      </c>
      <c r="P278" s="870">
        <v>2.5651922131670841</v>
      </c>
      <c r="Q278" s="896">
        <v>0.8730306477119093</v>
      </c>
      <c r="R278" s="896">
        <v>-0.71040047696529129</v>
      </c>
      <c r="S278" s="914">
        <v>-0.28911631609257404</v>
      </c>
      <c r="T278" s="870">
        <v>0</v>
      </c>
      <c r="U278" s="870">
        <v>0</v>
      </c>
      <c r="V278" s="872">
        <v>-13.071668477040213</v>
      </c>
      <c r="W278" s="870">
        <v>-13.071668477040213</v>
      </c>
      <c r="X278" s="877">
        <v>4.4809366897920784</v>
      </c>
    </row>
    <row r="279" spans="1:24">
      <c r="A279" s="858" t="s">
        <v>1279</v>
      </c>
      <c r="B279" s="858" t="s">
        <v>1347</v>
      </c>
      <c r="C279" s="863">
        <v>359938647</v>
      </c>
      <c r="D279" s="864">
        <v>84488263</v>
      </c>
      <c r="E279" s="864">
        <v>150076571</v>
      </c>
      <c r="F279" s="867">
        <v>189901530</v>
      </c>
      <c r="G279" s="866"/>
      <c r="H279" s="864">
        <v>16367188</v>
      </c>
      <c r="I279" s="865">
        <v>800772199</v>
      </c>
      <c r="J279" s="865"/>
      <c r="K279" s="864">
        <v>121368804</v>
      </c>
      <c r="L279" s="864">
        <v>91673198</v>
      </c>
      <c r="M279" s="864">
        <v>27213150</v>
      </c>
      <c r="N279" s="864"/>
      <c r="O279" s="865">
        <v>240255152</v>
      </c>
      <c r="P279" s="863"/>
      <c r="Q279" s="864"/>
      <c r="R279" s="864"/>
      <c r="S279" s="913"/>
      <c r="T279" s="863"/>
      <c r="U279" s="863"/>
      <c r="V279" s="865"/>
      <c r="W279" s="863"/>
      <c r="X279" s="869">
        <v>1041027351</v>
      </c>
    </row>
    <row r="280" spans="1:24" s="216" customFormat="1">
      <c r="A280" s="862"/>
      <c r="B280" s="859" t="s">
        <v>60</v>
      </c>
      <c r="C280" s="870">
        <v>362946847</v>
      </c>
      <c r="D280" s="896">
        <v>91464824</v>
      </c>
      <c r="E280" s="896">
        <v>166095746</v>
      </c>
      <c r="F280" s="875">
        <v>208519193</v>
      </c>
      <c r="G280" s="873"/>
      <c r="H280" s="896">
        <v>17050016</v>
      </c>
      <c r="I280" s="872">
        <v>846076626</v>
      </c>
      <c r="J280" s="872"/>
      <c r="K280" s="896">
        <v>129198043</v>
      </c>
      <c r="L280" s="896">
        <v>100125819</v>
      </c>
      <c r="M280" s="896">
        <v>29113195</v>
      </c>
      <c r="N280" s="896"/>
      <c r="O280" s="872">
        <v>258437057</v>
      </c>
      <c r="P280" s="870"/>
      <c r="Q280" s="896"/>
      <c r="R280" s="896"/>
      <c r="S280" s="914"/>
      <c r="T280" s="870"/>
      <c r="U280" s="870"/>
      <c r="V280" s="872"/>
      <c r="W280" s="870"/>
      <c r="X280" s="877">
        <v>1104513683</v>
      </c>
    </row>
    <row r="281" spans="1:24" s="215" customFormat="1" ht="13.5" thickBot="1">
      <c r="A281" s="862"/>
      <c r="B281" s="859" t="s">
        <v>906</v>
      </c>
      <c r="C281" s="870">
        <v>0.83575354440891692</v>
      </c>
      <c r="D281" s="896">
        <v>8.2574321595414979</v>
      </c>
      <c r="E281" s="896">
        <v>10.674001207023846</v>
      </c>
      <c r="F281" s="889">
        <v>9.8038509747657105</v>
      </c>
      <c r="G281" s="886">
        <v>0</v>
      </c>
      <c r="H281" s="896">
        <v>4.1719322830531427</v>
      </c>
      <c r="I281" s="872">
        <v>5.6575923910165615</v>
      </c>
      <c r="J281" s="872">
        <v>0</v>
      </c>
      <c r="K281" s="896">
        <v>6.450783679140482</v>
      </c>
      <c r="L281" s="896">
        <v>9.2203841301576492</v>
      </c>
      <c r="M281" s="896">
        <v>6.982084029228516</v>
      </c>
      <c r="N281" s="896">
        <v>0</v>
      </c>
      <c r="O281" s="872">
        <v>7.5677482246041494</v>
      </c>
      <c r="P281" s="870">
        <v>0</v>
      </c>
      <c r="Q281" s="896">
        <v>0</v>
      </c>
      <c r="R281" s="896">
        <v>0</v>
      </c>
      <c r="S281" s="914">
        <v>0</v>
      </c>
      <c r="T281" s="870">
        <v>0</v>
      </c>
      <c r="U281" s="870">
        <v>0</v>
      </c>
      <c r="V281" s="872">
        <v>0</v>
      </c>
      <c r="W281" s="870">
        <v>0</v>
      </c>
      <c r="X281" s="877">
        <v>6.0984307414224697</v>
      </c>
    </row>
    <row r="282" spans="1:24">
      <c r="A282" s="862"/>
      <c r="B282" s="859" t="s">
        <v>1370</v>
      </c>
      <c r="C282" s="870">
        <v>73480975</v>
      </c>
      <c r="D282" s="896"/>
      <c r="E282" s="896"/>
      <c r="F282" s="896"/>
      <c r="G282" s="896"/>
      <c r="H282" s="896"/>
      <c r="I282" s="872">
        <v>73480975</v>
      </c>
      <c r="J282" s="872"/>
      <c r="K282" s="896"/>
      <c r="L282" s="896"/>
      <c r="M282" s="896"/>
      <c r="N282" s="896"/>
      <c r="O282" s="872"/>
      <c r="P282" s="870"/>
      <c r="Q282" s="896"/>
      <c r="R282" s="896"/>
      <c r="S282" s="914"/>
      <c r="T282" s="870"/>
      <c r="U282" s="870"/>
      <c r="V282" s="898">
        <v>5715830</v>
      </c>
      <c r="W282" s="870">
        <v>5715830</v>
      </c>
      <c r="X282" s="877">
        <v>79196805</v>
      </c>
    </row>
    <row r="283" spans="1:24" s="216" customFormat="1">
      <c r="A283" s="862"/>
      <c r="B283" s="859" t="s">
        <v>1611</v>
      </c>
      <c r="C283" s="870">
        <v>76842005</v>
      </c>
      <c r="D283" s="896"/>
      <c r="E283" s="896"/>
      <c r="F283" s="896"/>
      <c r="G283" s="896"/>
      <c r="H283" s="896"/>
      <c r="I283" s="872">
        <v>76842005</v>
      </c>
      <c r="J283" s="872"/>
      <c r="K283" s="896"/>
      <c r="L283" s="896"/>
      <c r="M283" s="896"/>
      <c r="N283" s="896"/>
      <c r="O283" s="872"/>
      <c r="P283" s="870"/>
      <c r="Q283" s="896"/>
      <c r="R283" s="896"/>
      <c r="S283" s="914"/>
      <c r="T283" s="870"/>
      <c r="U283" s="870"/>
      <c r="V283" s="899">
        <v>5037806</v>
      </c>
      <c r="W283" s="870">
        <v>5037806</v>
      </c>
      <c r="X283" s="877">
        <v>81879811</v>
      </c>
    </row>
    <row r="284" spans="1:24" s="215" customFormat="1" ht="13.5" thickBot="1">
      <c r="A284" s="862"/>
      <c r="B284" s="859" t="s">
        <v>1613</v>
      </c>
      <c r="C284" s="870">
        <v>4.5740138859072026</v>
      </c>
      <c r="D284" s="896">
        <v>0</v>
      </c>
      <c r="E284" s="896">
        <v>0</v>
      </c>
      <c r="F284" s="896">
        <v>0</v>
      </c>
      <c r="G284" s="896">
        <v>0</v>
      </c>
      <c r="H284" s="896">
        <v>0</v>
      </c>
      <c r="I284" s="872">
        <v>4.5740138859072026</v>
      </c>
      <c r="J284" s="872">
        <v>0</v>
      </c>
      <c r="K284" s="896">
        <v>0</v>
      </c>
      <c r="L284" s="896">
        <v>0</v>
      </c>
      <c r="M284" s="896">
        <v>0</v>
      </c>
      <c r="N284" s="896">
        <v>0</v>
      </c>
      <c r="O284" s="872">
        <v>0</v>
      </c>
      <c r="P284" s="870">
        <v>0</v>
      </c>
      <c r="Q284" s="896">
        <v>0</v>
      </c>
      <c r="R284" s="896">
        <v>0</v>
      </c>
      <c r="S284" s="914">
        <v>0</v>
      </c>
      <c r="T284" s="870">
        <v>0</v>
      </c>
      <c r="U284" s="870">
        <v>0</v>
      </c>
      <c r="V284" s="900">
        <v>-11.862214236602558</v>
      </c>
      <c r="W284" s="870">
        <v>-11.862214236602558</v>
      </c>
      <c r="X284" s="877">
        <v>3.3877705041257666</v>
      </c>
    </row>
    <row r="285" spans="1:24">
      <c r="A285" s="862"/>
      <c r="B285" s="859" t="s">
        <v>61</v>
      </c>
      <c r="C285" s="870"/>
      <c r="D285" s="896"/>
      <c r="E285" s="896"/>
      <c r="F285" s="896"/>
      <c r="G285" s="896"/>
      <c r="H285" s="896"/>
      <c r="I285" s="872"/>
      <c r="J285" s="872"/>
      <c r="K285" s="871">
        <v>198911515</v>
      </c>
      <c r="L285" s="871">
        <v>82477309</v>
      </c>
      <c r="M285" s="871">
        <v>30955630</v>
      </c>
      <c r="N285" s="896"/>
      <c r="O285" s="872">
        <v>312344454</v>
      </c>
      <c r="P285" s="870"/>
      <c r="Q285" s="896"/>
      <c r="R285" s="896"/>
      <c r="S285" s="914"/>
      <c r="T285" s="870"/>
      <c r="U285" s="870"/>
      <c r="V285" s="872"/>
      <c r="W285" s="870"/>
      <c r="X285" s="877">
        <v>312344454</v>
      </c>
    </row>
    <row r="286" spans="1:24" s="216" customFormat="1">
      <c r="A286" s="862"/>
      <c r="B286" s="859" t="s">
        <v>62</v>
      </c>
      <c r="C286" s="870"/>
      <c r="D286" s="896"/>
      <c r="E286" s="896"/>
      <c r="F286" s="896"/>
      <c r="G286" s="896"/>
      <c r="H286" s="896"/>
      <c r="I286" s="872"/>
      <c r="J286" s="872"/>
      <c r="K286" s="871">
        <v>209215508</v>
      </c>
      <c r="L286" s="871">
        <v>87656178</v>
      </c>
      <c r="M286" s="871">
        <v>32558730</v>
      </c>
      <c r="N286" s="896"/>
      <c r="O286" s="872">
        <v>329430416</v>
      </c>
      <c r="P286" s="870"/>
      <c r="Q286" s="896"/>
      <c r="R286" s="896"/>
      <c r="S286" s="914"/>
      <c r="T286" s="870"/>
      <c r="U286" s="870"/>
      <c r="V286" s="872"/>
      <c r="W286" s="870"/>
      <c r="X286" s="877">
        <v>329430416</v>
      </c>
    </row>
    <row r="287" spans="1:24" s="215" customFormat="1" ht="13.5" thickBot="1">
      <c r="A287" s="862"/>
      <c r="B287" s="859" t="s">
        <v>1816</v>
      </c>
      <c r="C287" s="870">
        <v>0</v>
      </c>
      <c r="D287" s="896">
        <v>0</v>
      </c>
      <c r="E287" s="896">
        <v>0</v>
      </c>
      <c r="F287" s="896">
        <v>0</v>
      </c>
      <c r="G287" s="896">
        <v>0</v>
      </c>
      <c r="H287" s="896">
        <v>0</v>
      </c>
      <c r="I287" s="872">
        <v>0</v>
      </c>
      <c r="J287" s="872">
        <v>0</v>
      </c>
      <c r="K287" s="871">
        <v>5.1801892917059122</v>
      </c>
      <c r="L287" s="871">
        <v>6.2791440006850854</v>
      </c>
      <c r="M287" s="871">
        <v>5.178702549423158</v>
      </c>
      <c r="N287" s="896">
        <v>0</v>
      </c>
      <c r="O287" s="872">
        <v>5.4702306319804226</v>
      </c>
      <c r="P287" s="870">
        <v>0</v>
      </c>
      <c r="Q287" s="896">
        <v>0</v>
      </c>
      <c r="R287" s="896">
        <v>0</v>
      </c>
      <c r="S287" s="914">
        <v>0</v>
      </c>
      <c r="T287" s="870">
        <v>0</v>
      </c>
      <c r="U287" s="870">
        <v>0</v>
      </c>
      <c r="V287" s="872">
        <v>0</v>
      </c>
      <c r="W287" s="870">
        <v>0</v>
      </c>
      <c r="X287" s="877">
        <v>5.4702306319804226</v>
      </c>
    </row>
    <row r="288" spans="1:24">
      <c r="A288" s="862"/>
      <c r="B288" s="859" t="s">
        <v>1588</v>
      </c>
      <c r="C288" s="870">
        <v>352206077</v>
      </c>
      <c r="D288" s="896">
        <v>86345477</v>
      </c>
      <c r="E288" s="896">
        <v>173279633</v>
      </c>
      <c r="F288" s="896">
        <v>185177249</v>
      </c>
      <c r="G288" s="866"/>
      <c r="H288" s="896">
        <v>24933182</v>
      </c>
      <c r="I288" s="872">
        <v>821941618</v>
      </c>
      <c r="J288" s="872"/>
      <c r="K288" s="896">
        <v>184001435</v>
      </c>
      <c r="L288" s="866">
        <v>111071679</v>
      </c>
      <c r="M288" s="896">
        <v>29472163</v>
      </c>
      <c r="N288" s="896"/>
      <c r="O288" s="872">
        <v>324545277</v>
      </c>
      <c r="P288" s="870"/>
      <c r="Q288" s="896"/>
      <c r="R288" s="896"/>
      <c r="S288" s="914"/>
      <c r="T288" s="870"/>
      <c r="U288" s="870"/>
      <c r="V288" s="872"/>
      <c r="W288" s="870"/>
      <c r="X288" s="877">
        <v>1146486895</v>
      </c>
    </row>
    <row r="289" spans="1:24" s="216" customFormat="1">
      <c r="A289" s="862"/>
      <c r="B289" s="859" t="s">
        <v>251</v>
      </c>
      <c r="C289" s="870">
        <v>384779949</v>
      </c>
      <c r="D289" s="896">
        <v>87423937</v>
      </c>
      <c r="E289" s="896">
        <v>187343446</v>
      </c>
      <c r="F289" s="896">
        <v>196073467</v>
      </c>
      <c r="G289" s="873"/>
      <c r="H289" s="896">
        <v>26264544</v>
      </c>
      <c r="I289" s="872">
        <v>881885343</v>
      </c>
      <c r="J289" s="872"/>
      <c r="K289" s="896">
        <v>192342983</v>
      </c>
      <c r="L289" s="873">
        <v>120219203</v>
      </c>
      <c r="M289" s="896">
        <v>32477866</v>
      </c>
      <c r="N289" s="896"/>
      <c r="O289" s="872">
        <v>345040052</v>
      </c>
      <c r="P289" s="870"/>
      <c r="Q289" s="896"/>
      <c r="R289" s="896"/>
      <c r="S289" s="914"/>
      <c r="T289" s="870"/>
      <c r="U289" s="870"/>
      <c r="V289" s="872"/>
      <c r="W289" s="870"/>
      <c r="X289" s="877">
        <v>1226925395</v>
      </c>
    </row>
    <row r="290" spans="1:24" s="215" customFormat="1" ht="13.5" thickBot="1">
      <c r="A290" s="862"/>
      <c r="B290" s="859" t="s">
        <v>1759</v>
      </c>
      <c r="C290" s="870">
        <v>9.2485263960962261</v>
      </c>
      <c r="D290" s="896">
        <v>1.2490057817388629</v>
      </c>
      <c r="E290" s="896">
        <v>8.1162527623774459</v>
      </c>
      <c r="F290" s="896">
        <v>5.8842098901685267</v>
      </c>
      <c r="G290" s="886">
        <v>0</v>
      </c>
      <c r="H290" s="896">
        <v>5.3397195753033051</v>
      </c>
      <c r="I290" s="872">
        <v>7.2929419422584827</v>
      </c>
      <c r="J290" s="872">
        <v>0</v>
      </c>
      <c r="K290" s="896">
        <v>4.5334146442933996</v>
      </c>
      <c r="L290" s="886">
        <v>8.2356943573347809</v>
      </c>
      <c r="M290" s="896">
        <v>10.19844726021636</v>
      </c>
      <c r="N290" s="896">
        <v>0</v>
      </c>
      <c r="O290" s="872">
        <v>6.3149201212994388</v>
      </c>
      <c r="P290" s="870">
        <v>0</v>
      </c>
      <c r="Q290" s="896">
        <v>0</v>
      </c>
      <c r="R290" s="896">
        <v>0</v>
      </c>
      <c r="S290" s="914">
        <v>0</v>
      </c>
      <c r="T290" s="870">
        <v>0</v>
      </c>
      <c r="U290" s="870">
        <v>0</v>
      </c>
      <c r="V290" s="872">
        <v>0</v>
      </c>
      <c r="W290" s="870">
        <v>0</v>
      </c>
      <c r="X290" s="877">
        <v>7.0160854302656466</v>
      </c>
    </row>
    <row r="291" spans="1:24">
      <c r="A291" s="862"/>
      <c r="B291" s="859" t="s">
        <v>1590</v>
      </c>
      <c r="C291" s="870"/>
      <c r="D291" s="896"/>
      <c r="E291" s="896"/>
      <c r="F291" s="896"/>
      <c r="G291" s="896"/>
      <c r="H291" s="896"/>
      <c r="I291" s="872"/>
      <c r="J291" s="872"/>
      <c r="K291" s="896"/>
      <c r="L291" s="896"/>
      <c r="M291" s="896"/>
      <c r="N291" s="896"/>
      <c r="O291" s="872"/>
      <c r="P291" s="870"/>
      <c r="Q291" s="896"/>
      <c r="R291" s="896"/>
      <c r="S291" s="914"/>
      <c r="T291" s="870"/>
      <c r="U291" s="870"/>
      <c r="V291" s="872"/>
      <c r="W291" s="870"/>
      <c r="X291" s="877"/>
    </row>
    <row r="292" spans="1:24" s="216" customFormat="1">
      <c r="A292" s="862"/>
      <c r="B292" s="859" t="s">
        <v>1319</v>
      </c>
      <c r="C292" s="870"/>
      <c r="D292" s="896"/>
      <c r="E292" s="896"/>
      <c r="F292" s="896"/>
      <c r="G292" s="896"/>
      <c r="H292" s="896"/>
      <c r="I292" s="872"/>
      <c r="J292" s="872"/>
      <c r="K292" s="896"/>
      <c r="L292" s="896"/>
      <c r="M292" s="896"/>
      <c r="N292" s="896"/>
      <c r="O292" s="872"/>
      <c r="P292" s="870"/>
      <c r="Q292" s="896"/>
      <c r="R292" s="896"/>
      <c r="S292" s="914"/>
      <c r="T292" s="870"/>
      <c r="U292" s="870"/>
      <c r="V292" s="872"/>
      <c r="W292" s="870"/>
      <c r="X292" s="877"/>
    </row>
    <row r="293" spans="1:24" s="215" customFormat="1">
      <c r="A293" s="862"/>
      <c r="B293" s="859" t="s">
        <v>1330</v>
      </c>
      <c r="C293" s="870">
        <v>0</v>
      </c>
      <c r="D293" s="896">
        <v>0</v>
      </c>
      <c r="E293" s="896">
        <v>0</v>
      </c>
      <c r="F293" s="896">
        <v>0</v>
      </c>
      <c r="G293" s="896">
        <v>0</v>
      </c>
      <c r="H293" s="896">
        <v>0</v>
      </c>
      <c r="I293" s="872">
        <v>0</v>
      </c>
      <c r="J293" s="872">
        <v>0</v>
      </c>
      <c r="K293" s="896">
        <v>0</v>
      </c>
      <c r="L293" s="896">
        <v>0</v>
      </c>
      <c r="M293" s="896">
        <v>0</v>
      </c>
      <c r="N293" s="896">
        <v>0</v>
      </c>
      <c r="O293" s="872">
        <v>0</v>
      </c>
      <c r="P293" s="870">
        <v>0</v>
      </c>
      <c r="Q293" s="896">
        <v>0</v>
      </c>
      <c r="R293" s="896">
        <v>0</v>
      </c>
      <c r="S293" s="914">
        <v>0</v>
      </c>
      <c r="T293" s="870">
        <v>0</v>
      </c>
      <c r="U293" s="870">
        <v>0</v>
      </c>
      <c r="V293" s="872">
        <v>0</v>
      </c>
      <c r="W293" s="870">
        <v>0</v>
      </c>
      <c r="X293" s="877">
        <v>0</v>
      </c>
    </row>
    <row r="294" spans="1:24">
      <c r="A294" s="862"/>
      <c r="B294" s="859" t="s">
        <v>1889</v>
      </c>
      <c r="C294" s="870">
        <v>352206077</v>
      </c>
      <c r="D294" s="896">
        <v>86345477</v>
      </c>
      <c r="E294" s="896">
        <v>173279633</v>
      </c>
      <c r="F294" s="896">
        <v>185177249</v>
      </c>
      <c r="G294" s="896"/>
      <c r="H294" s="896">
        <v>24933182</v>
      </c>
      <c r="I294" s="872">
        <v>821941618</v>
      </c>
      <c r="J294" s="872"/>
      <c r="K294" s="896">
        <v>184001435</v>
      </c>
      <c r="L294" s="896">
        <v>111071679</v>
      </c>
      <c r="M294" s="896">
        <v>29472163</v>
      </c>
      <c r="N294" s="896"/>
      <c r="O294" s="872">
        <v>324545277</v>
      </c>
      <c r="P294" s="870"/>
      <c r="Q294" s="896"/>
      <c r="R294" s="896"/>
      <c r="S294" s="914"/>
      <c r="T294" s="870">
        <v>0</v>
      </c>
      <c r="U294" s="870">
        <v>0</v>
      </c>
      <c r="V294" s="872">
        <v>0</v>
      </c>
      <c r="W294" s="870">
        <v>0</v>
      </c>
      <c r="X294" s="877">
        <v>1146486895</v>
      </c>
    </row>
    <row r="295" spans="1:24" s="216" customFormat="1">
      <c r="A295" s="862"/>
      <c r="B295" s="859" t="s">
        <v>626</v>
      </c>
      <c r="C295" s="870">
        <v>384779949</v>
      </c>
      <c r="D295" s="896">
        <v>87423937</v>
      </c>
      <c r="E295" s="896">
        <v>187343446</v>
      </c>
      <c r="F295" s="896">
        <v>196073467</v>
      </c>
      <c r="G295" s="896"/>
      <c r="H295" s="896">
        <v>26264544</v>
      </c>
      <c r="I295" s="872">
        <v>881885343</v>
      </c>
      <c r="J295" s="872"/>
      <c r="K295" s="896">
        <v>192342983</v>
      </c>
      <c r="L295" s="896">
        <v>120219203</v>
      </c>
      <c r="M295" s="896">
        <v>32477866</v>
      </c>
      <c r="N295" s="896"/>
      <c r="O295" s="872">
        <v>345040052</v>
      </c>
      <c r="P295" s="870"/>
      <c r="Q295" s="896"/>
      <c r="R295" s="896"/>
      <c r="S295" s="914"/>
      <c r="T295" s="870">
        <v>0</v>
      </c>
      <c r="U295" s="870">
        <v>0</v>
      </c>
      <c r="V295" s="872">
        <v>0</v>
      </c>
      <c r="W295" s="870">
        <v>0</v>
      </c>
      <c r="X295" s="877">
        <v>1226925395</v>
      </c>
    </row>
    <row r="296" spans="1:24" s="215" customFormat="1" ht="13.5" thickBot="1">
      <c r="A296" s="862"/>
      <c r="B296" s="859" t="s">
        <v>456</v>
      </c>
      <c r="C296" s="870">
        <v>9.2485263960962261</v>
      </c>
      <c r="D296" s="896">
        <v>1.2490057817388629</v>
      </c>
      <c r="E296" s="896">
        <v>8.1162527623774459</v>
      </c>
      <c r="F296" s="896">
        <v>5.8842098901685267</v>
      </c>
      <c r="G296" s="896">
        <v>0</v>
      </c>
      <c r="H296" s="896">
        <v>5.3397195753033051</v>
      </c>
      <c r="I296" s="872">
        <v>7.2929419422584827</v>
      </c>
      <c r="J296" s="872">
        <v>0</v>
      </c>
      <c r="K296" s="896">
        <v>4.5334146442933996</v>
      </c>
      <c r="L296" s="896">
        <v>8.2356943573347809</v>
      </c>
      <c r="M296" s="896">
        <v>10.19844726021636</v>
      </c>
      <c r="N296" s="896">
        <v>0</v>
      </c>
      <c r="O296" s="872">
        <v>6.3149201212994388</v>
      </c>
      <c r="P296" s="870">
        <v>0</v>
      </c>
      <c r="Q296" s="896">
        <v>0</v>
      </c>
      <c r="R296" s="896">
        <v>0</v>
      </c>
      <c r="S296" s="914">
        <v>0</v>
      </c>
      <c r="T296" s="870">
        <v>0</v>
      </c>
      <c r="U296" s="870">
        <v>0</v>
      </c>
      <c r="V296" s="872">
        <v>0</v>
      </c>
      <c r="W296" s="870">
        <v>0</v>
      </c>
      <c r="X296" s="877">
        <v>7.0160854302656466</v>
      </c>
    </row>
    <row r="297" spans="1:24">
      <c r="A297" s="862"/>
      <c r="B297" s="859" t="s">
        <v>628</v>
      </c>
      <c r="C297" s="870"/>
      <c r="D297" s="896"/>
      <c r="E297" s="896"/>
      <c r="F297" s="896"/>
      <c r="G297" s="896"/>
      <c r="H297" s="896"/>
      <c r="I297" s="872"/>
      <c r="J297" s="872"/>
      <c r="K297" s="896"/>
      <c r="L297" s="896"/>
      <c r="M297" s="896"/>
      <c r="N297" s="896"/>
      <c r="O297" s="872"/>
      <c r="P297" s="870"/>
      <c r="Q297" s="896"/>
      <c r="R297" s="896"/>
      <c r="S297" s="914"/>
      <c r="T297" s="870">
        <v>24691418</v>
      </c>
      <c r="U297" s="870">
        <v>24691418</v>
      </c>
      <c r="V297" s="872">
        <v>181178560</v>
      </c>
      <c r="W297" s="866">
        <v>181178560</v>
      </c>
      <c r="X297" s="877">
        <v>205869978</v>
      </c>
    </row>
    <row r="298" spans="1:24" s="216" customFormat="1">
      <c r="A298" s="862"/>
      <c r="B298" s="859" t="s">
        <v>630</v>
      </c>
      <c r="C298" s="870"/>
      <c r="D298" s="896"/>
      <c r="E298" s="896"/>
      <c r="F298" s="896"/>
      <c r="G298" s="896"/>
      <c r="H298" s="896"/>
      <c r="I298" s="872"/>
      <c r="J298" s="872"/>
      <c r="K298" s="896"/>
      <c r="L298" s="896"/>
      <c r="M298" s="896"/>
      <c r="N298" s="896"/>
      <c r="O298" s="872"/>
      <c r="P298" s="870"/>
      <c r="Q298" s="896"/>
      <c r="R298" s="896"/>
      <c r="S298" s="914"/>
      <c r="T298" s="870">
        <v>24933101</v>
      </c>
      <c r="U298" s="870">
        <v>24933101</v>
      </c>
      <c r="V298" s="872">
        <v>175055869.55000001</v>
      </c>
      <c r="W298" s="873">
        <v>175055869.55000001</v>
      </c>
      <c r="X298" s="877">
        <v>199988970.55000001</v>
      </c>
    </row>
    <row r="299" spans="1:24" s="215" customFormat="1" ht="13.5" thickBot="1">
      <c r="A299" s="862"/>
      <c r="B299" s="859" t="s">
        <v>632</v>
      </c>
      <c r="C299" s="870">
        <v>0</v>
      </c>
      <c r="D299" s="896">
        <v>0</v>
      </c>
      <c r="E299" s="896">
        <v>0</v>
      </c>
      <c r="F299" s="896">
        <v>0</v>
      </c>
      <c r="G299" s="896">
        <v>0</v>
      </c>
      <c r="H299" s="896">
        <v>0</v>
      </c>
      <c r="I299" s="872">
        <v>0</v>
      </c>
      <c r="J299" s="872">
        <v>0</v>
      </c>
      <c r="K299" s="896">
        <v>0</v>
      </c>
      <c r="L299" s="896">
        <v>0</v>
      </c>
      <c r="M299" s="896">
        <v>0</v>
      </c>
      <c r="N299" s="896">
        <v>0</v>
      </c>
      <c r="O299" s="872">
        <v>0</v>
      </c>
      <c r="P299" s="870">
        <v>0</v>
      </c>
      <c r="Q299" s="896">
        <v>0</v>
      </c>
      <c r="R299" s="896">
        <v>0</v>
      </c>
      <c r="S299" s="914">
        <v>0</v>
      </c>
      <c r="T299" s="870">
        <v>0.97881377246134671</v>
      </c>
      <c r="U299" s="870">
        <v>0.97881377246134671</v>
      </c>
      <c r="V299" s="872">
        <v>-3.3793680941056095</v>
      </c>
      <c r="W299" s="886">
        <v>-3.3793680941056095</v>
      </c>
      <c r="X299" s="877">
        <v>-2.8566610377740402</v>
      </c>
    </row>
    <row r="300" spans="1:24">
      <c r="A300" s="862"/>
      <c r="B300" s="859" t="s">
        <v>1608</v>
      </c>
      <c r="C300" s="870"/>
      <c r="D300" s="896"/>
      <c r="E300" s="896"/>
      <c r="F300" s="896"/>
      <c r="G300" s="896"/>
      <c r="H300" s="896"/>
      <c r="I300" s="872"/>
      <c r="J300" s="872"/>
      <c r="K300" s="896"/>
      <c r="L300" s="896"/>
      <c r="M300" s="896"/>
      <c r="N300" s="896"/>
      <c r="O300" s="872"/>
      <c r="P300" s="870"/>
      <c r="Q300" s="896"/>
      <c r="R300" s="896"/>
      <c r="S300" s="914"/>
      <c r="T300" s="870">
        <v>222457982</v>
      </c>
      <c r="U300" s="870">
        <v>222457982</v>
      </c>
      <c r="V300" s="872"/>
      <c r="W300" s="870"/>
      <c r="X300" s="877">
        <v>222457982</v>
      </c>
    </row>
    <row r="301" spans="1:24" s="216" customFormat="1">
      <c r="A301" s="862"/>
      <c r="B301" s="859" t="s">
        <v>1291</v>
      </c>
      <c r="C301" s="870"/>
      <c r="D301" s="896"/>
      <c r="E301" s="896"/>
      <c r="F301" s="896"/>
      <c r="G301" s="896"/>
      <c r="H301" s="896"/>
      <c r="I301" s="872"/>
      <c r="J301" s="872"/>
      <c r="K301" s="896"/>
      <c r="L301" s="896"/>
      <c r="M301" s="896"/>
      <c r="N301" s="896"/>
      <c r="O301" s="872"/>
      <c r="P301" s="870"/>
      <c r="Q301" s="896"/>
      <c r="R301" s="896"/>
      <c r="S301" s="914"/>
      <c r="T301" s="870">
        <v>219194268</v>
      </c>
      <c r="U301" s="870">
        <v>219194268</v>
      </c>
      <c r="V301" s="872"/>
      <c r="W301" s="870"/>
      <c r="X301" s="877">
        <v>219194268</v>
      </c>
    </row>
    <row r="302" spans="1:24" s="215" customFormat="1">
      <c r="A302" s="862"/>
      <c r="B302" s="859" t="s">
        <v>458</v>
      </c>
      <c r="C302" s="870">
        <v>0</v>
      </c>
      <c r="D302" s="896">
        <v>0</v>
      </c>
      <c r="E302" s="896">
        <v>0</v>
      </c>
      <c r="F302" s="896">
        <v>0</v>
      </c>
      <c r="G302" s="896">
        <v>0</v>
      </c>
      <c r="H302" s="896">
        <v>0</v>
      </c>
      <c r="I302" s="872">
        <v>0</v>
      </c>
      <c r="J302" s="872">
        <v>0</v>
      </c>
      <c r="K302" s="896">
        <v>0</v>
      </c>
      <c r="L302" s="896">
        <v>0</v>
      </c>
      <c r="M302" s="896">
        <v>0</v>
      </c>
      <c r="N302" s="896">
        <v>0</v>
      </c>
      <c r="O302" s="872">
        <v>0</v>
      </c>
      <c r="P302" s="870">
        <v>0</v>
      </c>
      <c r="Q302" s="896">
        <v>0</v>
      </c>
      <c r="R302" s="896">
        <v>0</v>
      </c>
      <c r="S302" s="914">
        <v>0</v>
      </c>
      <c r="T302" s="870">
        <v>-1.4671148100228653</v>
      </c>
      <c r="U302" s="870">
        <v>-1.4671148100228653</v>
      </c>
      <c r="V302" s="872">
        <v>0</v>
      </c>
      <c r="W302" s="870">
        <v>0</v>
      </c>
      <c r="X302" s="877">
        <v>-1.4671148100228653</v>
      </c>
    </row>
    <row r="303" spans="1:24">
      <c r="A303" s="862"/>
      <c r="B303" s="859" t="s">
        <v>1287</v>
      </c>
      <c r="C303" s="870"/>
      <c r="D303" s="896"/>
      <c r="E303" s="896"/>
      <c r="F303" s="896"/>
      <c r="G303" s="896"/>
      <c r="H303" s="896"/>
      <c r="I303" s="872"/>
      <c r="J303" s="872"/>
      <c r="K303" s="896"/>
      <c r="L303" s="896"/>
      <c r="M303" s="896"/>
      <c r="N303" s="896"/>
      <c r="O303" s="872"/>
      <c r="P303" s="870"/>
      <c r="Q303" s="896"/>
      <c r="R303" s="896"/>
      <c r="S303" s="914"/>
      <c r="T303" s="870"/>
      <c r="U303" s="870"/>
      <c r="V303" s="872"/>
      <c r="W303" s="870"/>
      <c r="X303" s="877"/>
    </row>
    <row r="304" spans="1:24" s="216" customFormat="1">
      <c r="A304" s="862"/>
      <c r="B304" s="859" t="s">
        <v>673</v>
      </c>
      <c r="C304" s="870"/>
      <c r="D304" s="896"/>
      <c r="E304" s="896"/>
      <c r="F304" s="896"/>
      <c r="G304" s="896"/>
      <c r="H304" s="896"/>
      <c r="I304" s="872"/>
      <c r="J304" s="872"/>
      <c r="K304" s="896"/>
      <c r="L304" s="896"/>
      <c r="M304" s="896"/>
      <c r="N304" s="896"/>
      <c r="O304" s="872"/>
      <c r="P304" s="870"/>
      <c r="Q304" s="896"/>
      <c r="R304" s="896"/>
      <c r="S304" s="914"/>
      <c r="T304" s="870"/>
      <c r="U304" s="870"/>
      <c r="V304" s="872"/>
      <c r="W304" s="870"/>
      <c r="X304" s="877"/>
    </row>
    <row r="305" spans="1:24" s="215" customFormat="1">
      <c r="A305" s="862"/>
      <c r="B305" s="859" t="s">
        <v>877</v>
      </c>
      <c r="C305" s="870">
        <v>0</v>
      </c>
      <c r="D305" s="896">
        <v>0</v>
      </c>
      <c r="E305" s="896">
        <v>0</v>
      </c>
      <c r="F305" s="896">
        <v>0</v>
      </c>
      <c r="G305" s="896">
        <v>0</v>
      </c>
      <c r="H305" s="896">
        <v>0</v>
      </c>
      <c r="I305" s="872">
        <v>0</v>
      </c>
      <c r="J305" s="872">
        <v>0</v>
      </c>
      <c r="K305" s="896">
        <v>0</v>
      </c>
      <c r="L305" s="896">
        <v>0</v>
      </c>
      <c r="M305" s="896">
        <v>0</v>
      </c>
      <c r="N305" s="896">
        <v>0</v>
      </c>
      <c r="O305" s="872">
        <v>0</v>
      </c>
      <c r="P305" s="870">
        <v>0</v>
      </c>
      <c r="Q305" s="896">
        <v>0</v>
      </c>
      <c r="R305" s="896">
        <v>0</v>
      </c>
      <c r="S305" s="914">
        <v>0</v>
      </c>
      <c r="T305" s="870">
        <v>0</v>
      </c>
      <c r="U305" s="870">
        <v>0</v>
      </c>
      <c r="V305" s="872">
        <v>0</v>
      </c>
      <c r="W305" s="870">
        <v>0</v>
      </c>
      <c r="X305" s="877">
        <v>0</v>
      </c>
    </row>
    <row r="306" spans="1:24">
      <c r="A306" s="862"/>
      <c r="B306" s="859" t="s">
        <v>1289</v>
      </c>
      <c r="C306" s="870">
        <v>0</v>
      </c>
      <c r="D306" s="896">
        <v>0</v>
      </c>
      <c r="E306" s="896">
        <v>0</v>
      </c>
      <c r="F306" s="896">
        <v>0</v>
      </c>
      <c r="G306" s="896"/>
      <c r="H306" s="896">
        <v>0</v>
      </c>
      <c r="I306" s="872">
        <v>0</v>
      </c>
      <c r="J306" s="872"/>
      <c r="K306" s="896">
        <v>0</v>
      </c>
      <c r="L306" s="896">
        <v>0</v>
      </c>
      <c r="M306" s="896">
        <v>0</v>
      </c>
      <c r="N306" s="896"/>
      <c r="O306" s="872">
        <v>0</v>
      </c>
      <c r="P306" s="870"/>
      <c r="Q306" s="896"/>
      <c r="R306" s="896"/>
      <c r="S306" s="914"/>
      <c r="T306" s="870">
        <v>222457982</v>
      </c>
      <c r="U306" s="870">
        <v>222457982</v>
      </c>
      <c r="V306" s="872">
        <v>0</v>
      </c>
      <c r="W306" s="870">
        <v>0</v>
      </c>
      <c r="X306" s="877">
        <v>222457982</v>
      </c>
    </row>
    <row r="307" spans="1:24" s="216" customFormat="1">
      <c r="A307" s="862"/>
      <c r="B307" s="859" t="s">
        <v>675</v>
      </c>
      <c r="C307" s="870">
        <v>0</v>
      </c>
      <c r="D307" s="896">
        <v>0</v>
      </c>
      <c r="E307" s="896">
        <v>0</v>
      </c>
      <c r="F307" s="896">
        <v>0</v>
      </c>
      <c r="G307" s="896"/>
      <c r="H307" s="896">
        <v>0</v>
      </c>
      <c r="I307" s="872">
        <v>0</v>
      </c>
      <c r="J307" s="872"/>
      <c r="K307" s="896">
        <v>0</v>
      </c>
      <c r="L307" s="896">
        <v>0</v>
      </c>
      <c r="M307" s="896">
        <v>0</v>
      </c>
      <c r="N307" s="896"/>
      <c r="O307" s="872">
        <v>0</v>
      </c>
      <c r="P307" s="870"/>
      <c r="Q307" s="896"/>
      <c r="R307" s="896"/>
      <c r="S307" s="914"/>
      <c r="T307" s="870">
        <v>219194268</v>
      </c>
      <c r="U307" s="870">
        <v>219194268</v>
      </c>
      <c r="V307" s="872">
        <v>0</v>
      </c>
      <c r="W307" s="870">
        <v>0</v>
      </c>
      <c r="X307" s="877">
        <v>219194268</v>
      </c>
    </row>
    <row r="308" spans="1:24" s="215" customFormat="1">
      <c r="A308" s="862"/>
      <c r="B308" s="859" t="s">
        <v>1339</v>
      </c>
      <c r="C308" s="870">
        <v>0</v>
      </c>
      <c r="D308" s="896">
        <v>0</v>
      </c>
      <c r="E308" s="896">
        <v>0</v>
      </c>
      <c r="F308" s="896">
        <v>0</v>
      </c>
      <c r="G308" s="896">
        <v>0</v>
      </c>
      <c r="H308" s="896">
        <v>0</v>
      </c>
      <c r="I308" s="872">
        <v>0</v>
      </c>
      <c r="J308" s="872">
        <v>0</v>
      </c>
      <c r="K308" s="896">
        <v>0</v>
      </c>
      <c r="L308" s="896">
        <v>0</v>
      </c>
      <c r="M308" s="896">
        <v>0</v>
      </c>
      <c r="N308" s="896">
        <v>0</v>
      </c>
      <c r="O308" s="872">
        <v>0</v>
      </c>
      <c r="P308" s="870">
        <v>0</v>
      </c>
      <c r="Q308" s="896">
        <v>0</v>
      </c>
      <c r="R308" s="896">
        <v>0</v>
      </c>
      <c r="S308" s="914">
        <v>0</v>
      </c>
      <c r="T308" s="870">
        <v>-1.4671148100228653</v>
      </c>
      <c r="U308" s="870">
        <v>-1.4671148100228653</v>
      </c>
      <c r="V308" s="872">
        <v>0</v>
      </c>
      <c r="W308" s="870">
        <v>0</v>
      </c>
      <c r="X308" s="877">
        <v>-1.4671148100228653</v>
      </c>
    </row>
    <row r="309" spans="1:24">
      <c r="A309" s="862"/>
      <c r="B309" s="859" t="s">
        <v>634</v>
      </c>
      <c r="C309" s="870"/>
      <c r="D309" s="896"/>
      <c r="E309" s="896"/>
      <c r="F309" s="896"/>
      <c r="G309" s="896"/>
      <c r="H309" s="896"/>
      <c r="I309" s="872"/>
      <c r="J309" s="872"/>
      <c r="K309" s="896"/>
      <c r="L309" s="896"/>
      <c r="M309" s="896"/>
      <c r="N309" s="896"/>
      <c r="O309" s="872"/>
      <c r="P309" s="870"/>
      <c r="Q309" s="896"/>
      <c r="R309" s="896"/>
      <c r="S309" s="914"/>
      <c r="T309" s="870">
        <v>170642031</v>
      </c>
      <c r="U309" s="870">
        <v>170642031</v>
      </c>
      <c r="V309" s="872"/>
      <c r="W309" s="870"/>
      <c r="X309" s="877">
        <v>170642031</v>
      </c>
    </row>
    <row r="310" spans="1:24" s="216" customFormat="1">
      <c r="A310" s="862"/>
      <c r="B310" s="859" t="s">
        <v>636</v>
      </c>
      <c r="C310" s="870"/>
      <c r="D310" s="896"/>
      <c r="E310" s="896"/>
      <c r="F310" s="896"/>
      <c r="G310" s="896"/>
      <c r="H310" s="896"/>
      <c r="I310" s="872"/>
      <c r="J310" s="872"/>
      <c r="K310" s="896"/>
      <c r="L310" s="896"/>
      <c r="M310" s="896"/>
      <c r="N310" s="896"/>
      <c r="O310" s="872"/>
      <c r="P310" s="870"/>
      <c r="Q310" s="896"/>
      <c r="R310" s="896"/>
      <c r="S310" s="914"/>
      <c r="T310" s="870">
        <v>175542673</v>
      </c>
      <c r="U310" s="870">
        <v>175542673</v>
      </c>
      <c r="V310" s="872"/>
      <c r="W310" s="870"/>
      <c r="X310" s="877">
        <v>175542673</v>
      </c>
    </row>
    <row r="311" spans="1:24" s="215" customFormat="1">
      <c r="A311" s="862"/>
      <c r="B311" s="859" t="s">
        <v>1540</v>
      </c>
      <c r="C311" s="870">
        <v>0</v>
      </c>
      <c r="D311" s="896">
        <v>0</v>
      </c>
      <c r="E311" s="896">
        <v>0</v>
      </c>
      <c r="F311" s="896">
        <v>0</v>
      </c>
      <c r="G311" s="896">
        <v>0</v>
      </c>
      <c r="H311" s="896">
        <v>0</v>
      </c>
      <c r="I311" s="872">
        <v>0</v>
      </c>
      <c r="J311" s="872">
        <v>0</v>
      </c>
      <c r="K311" s="896">
        <v>0</v>
      </c>
      <c r="L311" s="896">
        <v>0</v>
      </c>
      <c r="M311" s="896">
        <v>0</v>
      </c>
      <c r="N311" s="896">
        <v>0</v>
      </c>
      <c r="O311" s="872">
        <v>0</v>
      </c>
      <c r="P311" s="870">
        <v>0</v>
      </c>
      <c r="Q311" s="896">
        <v>0</v>
      </c>
      <c r="R311" s="896">
        <v>0</v>
      </c>
      <c r="S311" s="914">
        <v>0</v>
      </c>
      <c r="T311" s="870">
        <v>2.8718844772774652</v>
      </c>
      <c r="U311" s="870">
        <v>2.8718844772774652</v>
      </c>
      <c r="V311" s="872">
        <v>0</v>
      </c>
      <c r="W311" s="870">
        <v>0</v>
      </c>
      <c r="X311" s="877">
        <v>2.8718844772774652</v>
      </c>
    </row>
    <row r="312" spans="1:24">
      <c r="A312" s="862"/>
      <c r="B312" s="859" t="s">
        <v>637</v>
      </c>
      <c r="C312" s="870"/>
      <c r="D312" s="896"/>
      <c r="E312" s="896"/>
      <c r="F312" s="896"/>
      <c r="G312" s="896"/>
      <c r="H312" s="896"/>
      <c r="I312" s="872"/>
      <c r="J312" s="872"/>
      <c r="K312" s="896"/>
      <c r="L312" s="896"/>
      <c r="M312" s="896"/>
      <c r="N312" s="896"/>
      <c r="O312" s="872"/>
      <c r="P312" s="870"/>
      <c r="Q312" s="896"/>
      <c r="R312" s="896"/>
      <c r="S312" s="914"/>
      <c r="T312" s="870">
        <v>81435855</v>
      </c>
      <c r="U312" s="870">
        <v>81435855</v>
      </c>
      <c r="V312" s="872"/>
      <c r="W312" s="870"/>
      <c r="X312" s="877">
        <v>81435855</v>
      </c>
    </row>
    <row r="313" spans="1:24" s="216" customFormat="1">
      <c r="A313" s="862"/>
      <c r="B313" s="859" t="s">
        <v>1890</v>
      </c>
      <c r="C313" s="870"/>
      <c r="D313" s="896"/>
      <c r="E313" s="896"/>
      <c r="F313" s="896"/>
      <c r="G313" s="896"/>
      <c r="H313" s="896"/>
      <c r="I313" s="872"/>
      <c r="J313" s="872"/>
      <c r="K313" s="896"/>
      <c r="L313" s="896"/>
      <c r="M313" s="896"/>
      <c r="N313" s="896"/>
      <c r="O313" s="872"/>
      <c r="P313" s="870"/>
      <c r="Q313" s="896"/>
      <c r="R313" s="896"/>
      <c r="S313" s="914"/>
      <c r="T313" s="870">
        <v>86882441</v>
      </c>
      <c r="U313" s="870">
        <v>86882441</v>
      </c>
      <c r="V313" s="872"/>
      <c r="W313" s="870"/>
      <c r="X313" s="877">
        <v>86882441</v>
      </c>
    </row>
    <row r="314" spans="1:24" s="215" customFormat="1">
      <c r="A314" s="862"/>
      <c r="B314" s="859" t="s">
        <v>1603</v>
      </c>
      <c r="C314" s="870">
        <v>0</v>
      </c>
      <c r="D314" s="896">
        <v>0</v>
      </c>
      <c r="E314" s="896">
        <v>0</v>
      </c>
      <c r="F314" s="896">
        <v>0</v>
      </c>
      <c r="G314" s="896">
        <v>0</v>
      </c>
      <c r="H314" s="896">
        <v>0</v>
      </c>
      <c r="I314" s="872">
        <v>0</v>
      </c>
      <c r="J314" s="872">
        <v>0</v>
      </c>
      <c r="K314" s="896">
        <v>0</v>
      </c>
      <c r="L314" s="896">
        <v>0</v>
      </c>
      <c r="M314" s="896">
        <v>0</v>
      </c>
      <c r="N314" s="896">
        <v>0</v>
      </c>
      <c r="O314" s="872">
        <v>0</v>
      </c>
      <c r="P314" s="870">
        <v>0</v>
      </c>
      <c r="Q314" s="896">
        <v>0</v>
      </c>
      <c r="R314" s="896">
        <v>0</v>
      </c>
      <c r="S314" s="914">
        <v>0</v>
      </c>
      <c r="T314" s="870">
        <v>6.6881915834247696</v>
      </c>
      <c r="U314" s="870">
        <v>6.6881915834247696</v>
      </c>
      <c r="V314" s="872">
        <v>0</v>
      </c>
      <c r="W314" s="870">
        <v>0</v>
      </c>
      <c r="X314" s="877">
        <v>6.6881915834247696</v>
      </c>
    </row>
    <row r="315" spans="1:24">
      <c r="A315" s="862"/>
      <c r="B315" s="859" t="s">
        <v>377</v>
      </c>
      <c r="C315" s="870">
        <v>785625699</v>
      </c>
      <c r="D315" s="896">
        <v>170833740</v>
      </c>
      <c r="E315" s="896">
        <v>323356204</v>
      </c>
      <c r="F315" s="896">
        <v>375078779</v>
      </c>
      <c r="G315" s="896"/>
      <c r="H315" s="896">
        <v>41300370</v>
      </c>
      <c r="I315" s="872">
        <v>1696194792</v>
      </c>
      <c r="J315" s="872"/>
      <c r="K315" s="896">
        <v>504281754</v>
      </c>
      <c r="L315" s="896">
        <v>285222186</v>
      </c>
      <c r="M315" s="896">
        <v>87640943</v>
      </c>
      <c r="N315" s="896"/>
      <c r="O315" s="872">
        <v>877144883</v>
      </c>
      <c r="P315" s="870"/>
      <c r="Q315" s="896"/>
      <c r="R315" s="896"/>
      <c r="S315" s="914"/>
      <c r="T315" s="870">
        <v>0</v>
      </c>
      <c r="U315" s="870">
        <v>0</v>
      </c>
      <c r="V315" s="872">
        <v>5715830</v>
      </c>
      <c r="W315" s="870">
        <v>5715830</v>
      </c>
      <c r="X315" s="877">
        <v>2579055505</v>
      </c>
    </row>
    <row r="316" spans="1:24" s="216" customFormat="1">
      <c r="A316" s="862"/>
      <c r="B316" s="859" t="s">
        <v>379</v>
      </c>
      <c r="C316" s="870">
        <v>824568801</v>
      </c>
      <c r="D316" s="896">
        <v>178888761</v>
      </c>
      <c r="E316" s="896">
        <v>353439192</v>
      </c>
      <c r="F316" s="896">
        <v>404592660</v>
      </c>
      <c r="G316" s="896"/>
      <c r="H316" s="896">
        <v>43314560</v>
      </c>
      <c r="I316" s="872">
        <v>1804803974</v>
      </c>
      <c r="J316" s="872"/>
      <c r="K316" s="896">
        <v>530756534</v>
      </c>
      <c r="L316" s="896">
        <v>308001200</v>
      </c>
      <c r="M316" s="896">
        <v>94149791</v>
      </c>
      <c r="N316" s="896"/>
      <c r="O316" s="872">
        <v>932907525</v>
      </c>
      <c r="P316" s="870"/>
      <c r="Q316" s="896"/>
      <c r="R316" s="896"/>
      <c r="S316" s="914"/>
      <c r="T316" s="870">
        <v>0</v>
      </c>
      <c r="U316" s="870">
        <v>0</v>
      </c>
      <c r="V316" s="872">
        <v>5037806</v>
      </c>
      <c r="W316" s="870">
        <v>5037806</v>
      </c>
      <c r="X316" s="877">
        <v>2742749305</v>
      </c>
    </row>
    <row r="317" spans="1:24" s="228" customFormat="1" ht="13.5" thickBot="1">
      <c r="A317" s="897"/>
      <c r="B317" s="859" t="s">
        <v>381</v>
      </c>
      <c r="C317" s="870">
        <v>4.9569536803046965</v>
      </c>
      <c r="D317" s="896">
        <v>4.7151230196095923</v>
      </c>
      <c r="E317" s="896">
        <v>9.3033588432402556</v>
      </c>
      <c r="F317" s="896">
        <v>7.8687152279548185</v>
      </c>
      <c r="G317" s="896">
        <v>0</v>
      </c>
      <c r="H317" s="896">
        <v>4.8769296739956562</v>
      </c>
      <c r="I317" s="872">
        <v>6.4031078572018156</v>
      </c>
      <c r="J317" s="872">
        <v>0</v>
      </c>
      <c r="K317" s="896">
        <v>5.2499976035222566</v>
      </c>
      <c r="L317" s="896">
        <v>7.986410285769284</v>
      </c>
      <c r="M317" s="896">
        <v>7.4267206367234095</v>
      </c>
      <c r="N317" s="896">
        <v>0</v>
      </c>
      <c r="O317" s="872">
        <v>6.3572897796862593</v>
      </c>
      <c r="P317" s="870">
        <v>0</v>
      </c>
      <c r="Q317" s="896">
        <v>0</v>
      </c>
      <c r="R317" s="896">
        <v>0</v>
      </c>
      <c r="S317" s="914">
        <v>0</v>
      </c>
      <c r="T317" s="870">
        <v>0</v>
      </c>
      <c r="U317" s="870">
        <v>0</v>
      </c>
      <c r="V317" s="872">
        <v>-11.862214236602558</v>
      </c>
      <c r="W317" s="870">
        <v>-11.862214236602558</v>
      </c>
      <c r="X317" s="877">
        <v>6.3470444774316706</v>
      </c>
    </row>
    <row r="318" spans="1:24">
      <c r="A318" s="858" t="s">
        <v>1280</v>
      </c>
      <c r="B318" s="858" t="s">
        <v>1347</v>
      </c>
      <c r="C318" s="866">
        <v>191446321</v>
      </c>
      <c r="D318" s="864">
        <v>134562372</v>
      </c>
      <c r="E318" s="864"/>
      <c r="F318" s="864">
        <v>48597729</v>
      </c>
      <c r="G318" s="866">
        <v>36062719</v>
      </c>
      <c r="H318" s="864"/>
      <c r="I318" s="865">
        <v>410669141</v>
      </c>
      <c r="J318" s="865"/>
      <c r="K318" s="864">
        <v>77362076</v>
      </c>
      <c r="L318" s="864">
        <v>132134467</v>
      </c>
      <c r="M318" s="866">
        <v>14424035</v>
      </c>
      <c r="N318" s="864"/>
      <c r="O318" s="865">
        <v>223920578</v>
      </c>
      <c r="P318" s="863"/>
      <c r="Q318" s="864"/>
      <c r="R318" s="864"/>
      <c r="S318" s="913"/>
      <c r="T318" s="863"/>
      <c r="U318" s="863"/>
      <c r="V318" s="865"/>
      <c r="W318" s="863"/>
      <c r="X318" s="869">
        <v>634589719</v>
      </c>
    </row>
    <row r="319" spans="1:24" s="216" customFormat="1">
      <c r="A319" s="862"/>
      <c r="B319" s="859" t="s">
        <v>60</v>
      </c>
      <c r="C319" s="873">
        <v>187725787.48000002</v>
      </c>
      <c r="D319" s="896">
        <v>135023432.62</v>
      </c>
      <c r="E319" s="896"/>
      <c r="F319" s="896">
        <v>47696690.659999996</v>
      </c>
      <c r="G319" s="873">
        <v>35403549.100000001</v>
      </c>
      <c r="H319" s="896"/>
      <c r="I319" s="872">
        <v>405849459.86000001</v>
      </c>
      <c r="J319" s="872"/>
      <c r="K319" s="896">
        <v>80805850</v>
      </c>
      <c r="L319" s="896">
        <v>141814475</v>
      </c>
      <c r="M319" s="873">
        <v>16055778</v>
      </c>
      <c r="N319" s="896"/>
      <c r="O319" s="872">
        <v>238676103</v>
      </c>
      <c r="P319" s="870"/>
      <c r="Q319" s="896"/>
      <c r="R319" s="896"/>
      <c r="S319" s="914"/>
      <c r="T319" s="870"/>
      <c r="U319" s="870"/>
      <c r="V319" s="872"/>
      <c r="W319" s="870"/>
      <c r="X319" s="877">
        <v>644525562.86000001</v>
      </c>
    </row>
    <row r="320" spans="1:24" s="215" customFormat="1" ht="13.5" thickBot="1">
      <c r="A320" s="862"/>
      <c r="B320" s="859" t="s">
        <v>906</v>
      </c>
      <c r="C320" s="886">
        <v>-1.943382092988865</v>
      </c>
      <c r="D320" s="896">
        <v>0.34263710809140968</v>
      </c>
      <c r="E320" s="896">
        <v>0</v>
      </c>
      <c r="F320" s="896">
        <v>-1.854074991858166</v>
      </c>
      <c r="G320" s="886">
        <v>-1.827843042006895</v>
      </c>
      <c r="H320" s="896">
        <v>0</v>
      </c>
      <c r="I320" s="872">
        <v>-1.1736165829903267</v>
      </c>
      <c r="J320" s="872">
        <v>0</v>
      </c>
      <c r="K320" s="896">
        <v>4.4515015341625528</v>
      </c>
      <c r="L320" s="896">
        <v>7.3258766011444987</v>
      </c>
      <c r="M320" s="886">
        <v>11.312666670595295</v>
      </c>
      <c r="N320" s="896">
        <v>0</v>
      </c>
      <c r="O320" s="872">
        <v>6.5896243801228493</v>
      </c>
      <c r="P320" s="870">
        <v>0</v>
      </c>
      <c r="Q320" s="896">
        <v>0</v>
      </c>
      <c r="R320" s="896">
        <v>0</v>
      </c>
      <c r="S320" s="914">
        <v>0</v>
      </c>
      <c r="T320" s="870">
        <v>0</v>
      </c>
      <c r="U320" s="870">
        <v>0</v>
      </c>
      <c r="V320" s="872">
        <v>0</v>
      </c>
      <c r="W320" s="870">
        <v>0</v>
      </c>
      <c r="X320" s="877">
        <v>1.5657114451298151</v>
      </c>
    </row>
    <row r="321" spans="1:24">
      <c r="A321" s="862"/>
      <c r="B321" s="859" t="s">
        <v>1370</v>
      </c>
      <c r="C321" s="870">
        <v>70128826</v>
      </c>
      <c r="D321" s="896">
        <v>6712538</v>
      </c>
      <c r="E321" s="896"/>
      <c r="F321" s="866">
        <v>4775687</v>
      </c>
      <c r="G321" s="896"/>
      <c r="H321" s="896"/>
      <c r="I321" s="872">
        <v>81617051</v>
      </c>
      <c r="J321" s="872"/>
      <c r="K321" s="896"/>
      <c r="L321" s="896"/>
      <c r="M321" s="896"/>
      <c r="N321" s="896"/>
      <c r="O321" s="872"/>
      <c r="P321" s="870"/>
      <c r="Q321" s="896"/>
      <c r="R321" s="896"/>
      <c r="S321" s="914"/>
      <c r="T321" s="870"/>
      <c r="U321" s="870"/>
      <c r="V321" s="872">
        <v>61327561</v>
      </c>
      <c r="W321" s="866">
        <v>61327561</v>
      </c>
      <c r="X321" s="877">
        <v>142944612</v>
      </c>
    </row>
    <row r="322" spans="1:24" s="216" customFormat="1">
      <c r="A322" s="862"/>
      <c r="B322" s="859" t="s">
        <v>1611</v>
      </c>
      <c r="C322" s="870">
        <v>69282684.660000011</v>
      </c>
      <c r="D322" s="896">
        <v>6587212.0999999996</v>
      </c>
      <c r="E322" s="896"/>
      <c r="F322" s="873">
        <v>4684014.8600000003</v>
      </c>
      <c r="G322" s="896"/>
      <c r="H322" s="896"/>
      <c r="I322" s="872">
        <v>80553911.620000005</v>
      </c>
      <c r="J322" s="872"/>
      <c r="K322" s="896"/>
      <c r="L322" s="896"/>
      <c r="M322" s="896"/>
      <c r="N322" s="896"/>
      <c r="O322" s="872"/>
      <c r="P322" s="870"/>
      <c r="Q322" s="896"/>
      <c r="R322" s="896"/>
      <c r="S322" s="914"/>
      <c r="T322" s="870"/>
      <c r="U322" s="870"/>
      <c r="V322" s="872">
        <v>59407503</v>
      </c>
      <c r="W322" s="873">
        <v>59407503</v>
      </c>
      <c r="X322" s="877">
        <v>139961414.62</v>
      </c>
    </row>
    <row r="323" spans="1:24" s="215" customFormat="1" ht="13.5" thickBot="1">
      <c r="A323" s="862"/>
      <c r="B323" s="859" t="s">
        <v>1613</v>
      </c>
      <c r="C323" s="870">
        <v>-1.2065528374879519</v>
      </c>
      <c r="D323" s="896">
        <v>-1.8670419444925357</v>
      </c>
      <c r="E323" s="896">
        <v>0</v>
      </c>
      <c r="F323" s="886">
        <v>-1.9195592173440108</v>
      </c>
      <c r="G323" s="896">
        <v>0</v>
      </c>
      <c r="H323" s="896">
        <v>0</v>
      </c>
      <c r="I323" s="872">
        <v>-1.3025946992375348</v>
      </c>
      <c r="J323" s="872">
        <v>0</v>
      </c>
      <c r="K323" s="896">
        <v>0</v>
      </c>
      <c r="L323" s="896">
        <v>0</v>
      </c>
      <c r="M323" s="896">
        <v>0</v>
      </c>
      <c r="N323" s="896">
        <v>0</v>
      </c>
      <c r="O323" s="872">
        <v>0</v>
      </c>
      <c r="P323" s="870">
        <v>0</v>
      </c>
      <c r="Q323" s="896">
        <v>0</v>
      </c>
      <c r="R323" s="896">
        <v>0</v>
      </c>
      <c r="S323" s="914">
        <v>0</v>
      </c>
      <c r="T323" s="870">
        <v>0</v>
      </c>
      <c r="U323" s="870">
        <v>0</v>
      </c>
      <c r="V323" s="872">
        <v>-3.1308240026046366</v>
      </c>
      <c r="W323" s="886">
        <v>-3.1308240026046366</v>
      </c>
      <c r="X323" s="877">
        <v>-2.086960353566873</v>
      </c>
    </row>
    <row r="324" spans="1:24">
      <c r="A324" s="862"/>
      <c r="B324" s="859" t="s">
        <v>61</v>
      </c>
      <c r="C324" s="870"/>
      <c r="D324" s="896"/>
      <c r="E324" s="896"/>
      <c r="F324" s="896"/>
      <c r="G324" s="896"/>
      <c r="H324" s="896"/>
      <c r="I324" s="872"/>
      <c r="J324" s="872"/>
      <c r="K324" s="866">
        <v>22105022</v>
      </c>
      <c r="L324" s="896">
        <v>21469924</v>
      </c>
      <c r="M324" s="866">
        <v>2434564</v>
      </c>
      <c r="N324" s="896"/>
      <c r="O324" s="872">
        <v>46009510</v>
      </c>
      <c r="P324" s="870"/>
      <c r="Q324" s="896"/>
      <c r="R324" s="896"/>
      <c r="S324" s="914"/>
      <c r="T324" s="870"/>
      <c r="U324" s="870"/>
      <c r="V324" s="872"/>
      <c r="W324" s="870"/>
      <c r="X324" s="877">
        <v>46009510</v>
      </c>
    </row>
    <row r="325" spans="1:24" s="216" customFormat="1">
      <c r="A325" s="862"/>
      <c r="B325" s="859" t="s">
        <v>62</v>
      </c>
      <c r="C325" s="870"/>
      <c r="D325" s="896"/>
      <c r="E325" s="896"/>
      <c r="F325" s="896"/>
      <c r="G325" s="896"/>
      <c r="H325" s="896"/>
      <c r="I325" s="872"/>
      <c r="J325" s="872"/>
      <c r="K325" s="873">
        <v>23537564</v>
      </c>
      <c r="L325" s="896">
        <v>21632760</v>
      </c>
      <c r="M325" s="873">
        <v>2451203</v>
      </c>
      <c r="N325" s="896"/>
      <c r="O325" s="872">
        <v>47621527</v>
      </c>
      <c r="P325" s="870"/>
      <c r="Q325" s="896"/>
      <c r="R325" s="896"/>
      <c r="S325" s="914"/>
      <c r="T325" s="870"/>
      <c r="U325" s="870"/>
      <c r="V325" s="872"/>
      <c r="W325" s="870"/>
      <c r="X325" s="877">
        <v>47621527</v>
      </c>
    </row>
    <row r="326" spans="1:24" s="215" customFormat="1" ht="13.5" thickBot="1">
      <c r="A326" s="862"/>
      <c r="B326" s="859" t="s">
        <v>1816</v>
      </c>
      <c r="C326" s="870">
        <v>0</v>
      </c>
      <c r="D326" s="896">
        <v>0</v>
      </c>
      <c r="E326" s="896">
        <v>0</v>
      </c>
      <c r="F326" s="896">
        <v>0</v>
      </c>
      <c r="G326" s="896">
        <v>0</v>
      </c>
      <c r="H326" s="896">
        <v>0</v>
      </c>
      <c r="I326" s="872">
        <v>0</v>
      </c>
      <c r="J326" s="872">
        <v>0</v>
      </c>
      <c r="K326" s="886">
        <v>6.4806178433118049</v>
      </c>
      <c r="L326" s="896">
        <v>0.75843771035239804</v>
      </c>
      <c r="M326" s="886">
        <v>0.68344886394442694</v>
      </c>
      <c r="N326" s="896">
        <v>0</v>
      </c>
      <c r="O326" s="872">
        <v>3.5036604388962194</v>
      </c>
      <c r="P326" s="870">
        <v>0</v>
      </c>
      <c r="Q326" s="896">
        <v>0</v>
      </c>
      <c r="R326" s="896">
        <v>0</v>
      </c>
      <c r="S326" s="914">
        <v>0</v>
      </c>
      <c r="T326" s="870">
        <v>0</v>
      </c>
      <c r="U326" s="870">
        <v>0</v>
      </c>
      <c r="V326" s="872">
        <v>0</v>
      </c>
      <c r="W326" s="870">
        <v>0</v>
      </c>
      <c r="X326" s="877">
        <v>3.5036604388962194</v>
      </c>
    </row>
    <row r="327" spans="1:24">
      <c r="A327" s="862"/>
      <c r="B327" s="859" t="s">
        <v>1588</v>
      </c>
      <c r="C327" s="867">
        <v>172044804</v>
      </c>
      <c r="D327" s="885">
        <v>156975348</v>
      </c>
      <c r="E327" s="885"/>
      <c r="F327" s="885">
        <v>35140037</v>
      </c>
      <c r="G327" s="885">
        <v>25909301</v>
      </c>
      <c r="H327" s="868"/>
      <c r="I327" s="872">
        <v>390069490</v>
      </c>
      <c r="J327" s="872"/>
      <c r="K327" s="866">
        <v>47841330</v>
      </c>
      <c r="L327" s="885">
        <v>70896457</v>
      </c>
      <c r="M327" s="866">
        <v>7150387</v>
      </c>
      <c r="N327" s="896"/>
      <c r="O327" s="872">
        <v>125888174</v>
      </c>
      <c r="P327" s="870"/>
      <c r="Q327" s="896"/>
      <c r="R327" s="896"/>
      <c r="S327" s="914"/>
      <c r="T327" s="870"/>
      <c r="U327" s="870"/>
      <c r="V327" s="872"/>
      <c r="W327" s="870"/>
      <c r="X327" s="877">
        <v>515957664</v>
      </c>
    </row>
    <row r="328" spans="1:24" s="216" customFormat="1">
      <c r="A328" s="862"/>
      <c r="B328" s="859" t="s">
        <v>251</v>
      </c>
      <c r="C328" s="875">
        <v>186272920</v>
      </c>
      <c r="D328" s="871">
        <v>151853732</v>
      </c>
      <c r="E328" s="871"/>
      <c r="F328" s="871">
        <v>36800200</v>
      </c>
      <c r="G328" s="871">
        <v>26996729</v>
      </c>
      <c r="H328" s="876"/>
      <c r="I328" s="872">
        <v>401923581</v>
      </c>
      <c r="J328" s="872"/>
      <c r="K328" s="873">
        <v>49717114</v>
      </c>
      <c r="L328" s="871">
        <v>77237555</v>
      </c>
      <c r="M328" s="873">
        <v>8006622</v>
      </c>
      <c r="N328" s="896"/>
      <c r="O328" s="872">
        <v>134961291</v>
      </c>
      <c r="P328" s="870"/>
      <c r="Q328" s="896"/>
      <c r="R328" s="896"/>
      <c r="S328" s="914"/>
      <c r="T328" s="870"/>
      <c r="U328" s="870"/>
      <c r="V328" s="872">
        <v>0</v>
      </c>
      <c r="W328" s="870">
        <v>0</v>
      </c>
      <c r="X328" s="877">
        <v>536884872</v>
      </c>
    </row>
    <row r="329" spans="1:24" s="215" customFormat="1" ht="13.5" thickBot="1">
      <c r="A329" s="862"/>
      <c r="B329" s="859" t="s">
        <v>1759</v>
      </c>
      <c r="C329" s="889">
        <v>8.2700062246576191</v>
      </c>
      <c r="D329" s="887">
        <v>-3.2626881005544894</v>
      </c>
      <c r="E329" s="887">
        <v>0</v>
      </c>
      <c r="F329" s="887">
        <v>4.7244201820276972</v>
      </c>
      <c r="G329" s="887">
        <v>4.1970564933419086</v>
      </c>
      <c r="H329" s="888">
        <v>0</v>
      </c>
      <c r="I329" s="872">
        <v>3.0389690308770367</v>
      </c>
      <c r="J329" s="872">
        <v>0</v>
      </c>
      <c r="K329" s="886">
        <v>3.9208441738555346</v>
      </c>
      <c r="L329" s="887">
        <v>8.9441676895080953</v>
      </c>
      <c r="M329" s="886">
        <v>11.974666546020517</v>
      </c>
      <c r="N329" s="896">
        <v>0</v>
      </c>
      <c r="O329" s="872">
        <v>7.2072830288252492</v>
      </c>
      <c r="P329" s="870">
        <v>0</v>
      </c>
      <c r="Q329" s="896">
        <v>0</v>
      </c>
      <c r="R329" s="896">
        <v>0</v>
      </c>
      <c r="S329" s="914">
        <v>0</v>
      </c>
      <c r="T329" s="870">
        <v>0</v>
      </c>
      <c r="U329" s="870">
        <v>0</v>
      </c>
      <c r="V329" s="872">
        <v>0</v>
      </c>
      <c r="W329" s="870">
        <v>0</v>
      </c>
      <c r="X329" s="877">
        <v>4.0559932452132355</v>
      </c>
    </row>
    <row r="330" spans="1:24">
      <c r="A330" s="862"/>
      <c r="B330" s="859" t="s">
        <v>1590</v>
      </c>
      <c r="C330" s="870"/>
      <c r="D330" s="896"/>
      <c r="E330" s="896"/>
      <c r="F330" s="896"/>
      <c r="G330" s="896"/>
      <c r="H330" s="896"/>
      <c r="I330" s="872"/>
      <c r="J330" s="872"/>
      <c r="K330" s="896">
        <v>0</v>
      </c>
      <c r="L330" s="896"/>
      <c r="M330" s="896"/>
      <c r="N330" s="896"/>
      <c r="O330" s="872">
        <v>0</v>
      </c>
      <c r="P330" s="870"/>
      <c r="Q330" s="896"/>
      <c r="R330" s="896"/>
      <c r="S330" s="914"/>
      <c r="T330" s="870"/>
      <c r="U330" s="870"/>
      <c r="V330" s="872"/>
      <c r="W330" s="870"/>
      <c r="X330" s="877">
        <v>0</v>
      </c>
    </row>
    <row r="331" spans="1:24" s="216" customFormat="1">
      <c r="A331" s="862"/>
      <c r="B331" s="859" t="s">
        <v>1319</v>
      </c>
      <c r="C331" s="870"/>
      <c r="D331" s="896"/>
      <c r="E331" s="896"/>
      <c r="F331" s="896"/>
      <c r="G331" s="896"/>
      <c r="H331" s="896"/>
      <c r="I331" s="872"/>
      <c r="J331" s="872"/>
      <c r="K331" s="896"/>
      <c r="L331" s="896"/>
      <c r="M331" s="896"/>
      <c r="N331" s="896"/>
      <c r="O331" s="872"/>
      <c r="P331" s="870"/>
      <c r="Q331" s="896"/>
      <c r="R331" s="896"/>
      <c r="S331" s="914"/>
      <c r="T331" s="870"/>
      <c r="U331" s="870"/>
      <c r="V331" s="872"/>
      <c r="W331" s="870"/>
      <c r="X331" s="877"/>
    </row>
    <row r="332" spans="1:24" s="215" customFormat="1">
      <c r="A332" s="862"/>
      <c r="B332" s="859" t="s">
        <v>1330</v>
      </c>
      <c r="C332" s="870">
        <v>0</v>
      </c>
      <c r="D332" s="896">
        <v>0</v>
      </c>
      <c r="E332" s="896">
        <v>0</v>
      </c>
      <c r="F332" s="896">
        <v>0</v>
      </c>
      <c r="G332" s="896">
        <v>0</v>
      </c>
      <c r="H332" s="896">
        <v>0</v>
      </c>
      <c r="I332" s="872">
        <v>0</v>
      </c>
      <c r="J332" s="872">
        <v>0</v>
      </c>
      <c r="K332" s="896">
        <v>0</v>
      </c>
      <c r="L332" s="896">
        <v>0</v>
      </c>
      <c r="M332" s="896">
        <v>0</v>
      </c>
      <c r="N332" s="896">
        <v>0</v>
      </c>
      <c r="O332" s="872">
        <v>0</v>
      </c>
      <c r="P332" s="870">
        <v>0</v>
      </c>
      <c r="Q332" s="896">
        <v>0</v>
      </c>
      <c r="R332" s="896">
        <v>0</v>
      </c>
      <c r="S332" s="914">
        <v>0</v>
      </c>
      <c r="T332" s="870">
        <v>0</v>
      </c>
      <c r="U332" s="870">
        <v>0</v>
      </c>
      <c r="V332" s="872">
        <v>0</v>
      </c>
      <c r="W332" s="870">
        <v>0</v>
      </c>
      <c r="X332" s="877">
        <v>0</v>
      </c>
    </row>
    <row r="333" spans="1:24">
      <c r="A333" s="862"/>
      <c r="B333" s="859" t="s">
        <v>1889</v>
      </c>
      <c r="C333" s="870">
        <v>172044804</v>
      </c>
      <c r="D333" s="896">
        <v>156975348</v>
      </c>
      <c r="E333" s="896"/>
      <c r="F333" s="896">
        <v>35140037</v>
      </c>
      <c r="G333" s="896">
        <v>25909301</v>
      </c>
      <c r="H333" s="896"/>
      <c r="I333" s="872">
        <v>390069490</v>
      </c>
      <c r="J333" s="872"/>
      <c r="K333" s="896">
        <v>47841330</v>
      </c>
      <c r="L333" s="896">
        <v>70896457</v>
      </c>
      <c r="M333" s="896">
        <v>7150387</v>
      </c>
      <c r="N333" s="896"/>
      <c r="O333" s="872">
        <v>125888174</v>
      </c>
      <c r="P333" s="870"/>
      <c r="Q333" s="896"/>
      <c r="R333" s="896"/>
      <c r="S333" s="914"/>
      <c r="T333" s="870">
        <v>0</v>
      </c>
      <c r="U333" s="870">
        <v>0</v>
      </c>
      <c r="V333" s="872">
        <v>0</v>
      </c>
      <c r="W333" s="870">
        <v>0</v>
      </c>
      <c r="X333" s="877">
        <v>515957664</v>
      </c>
    </row>
    <row r="334" spans="1:24" s="216" customFormat="1">
      <c r="A334" s="862"/>
      <c r="B334" s="859" t="s">
        <v>626</v>
      </c>
      <c r="C334" s="870">
        <v>186272920</v>
      </c>
      <c r="D334" s="896">
        <v>151853732</v>
      </c>
      <c r="E334" s="896"/>
      <c r="F334" s="896">
        <v>36800200</v>
      </c>
      <c r="G334" s="896">
        <v>26996729</v>
      </c>
      <c r="H334" s="896"/>
      <c r="I334" s="872">
        <v>401923581</v>
      </c>
      <c r="J334" s="872"/>
      <c r="K334" s="896">
        <v>49717114</v>
      </c>
      <c r="L334" s="896">
        <v>77237555</v>
      </c>
      <c r="M334" s="896">
        <v>8006622</v>
      </c>
      <c r="N334" s="896"/>
      <c r="O334" s="872">
        <v>134961291</v>
      </c>
      <c r="P334" s="870"/>
      <c r="Q334" s="896"/>
      <c r="R334" s="896"/>
      <c r="S334" s="914"/>
      <c r="T334" s="870">
        <v>0</v>
      </c>
      <c r="U334" s="870">
        <v>0</v>
      </c>
      <c r="V334" s="872">
        <v>0</v>
      </c>
      <c r="W334" s="870">
        <v>0</v>
      </c>
      <c r="X334" s="877">
        <v>536884872</v>
      </c>
    </row>
    <row r="335" spans="1:24" s="215" customFormat="1">
      <c r="A335" s="862"/>
      <c r="B335" s="859" t="s">
        <v>456</v>
      </c>
      <c r="C335" s="870">
        <v>8.2700062246576191</v>
      </c>
      <c r="D335" s="896">
        <v>-3.2626881005544894</v>
      </c>
      <c r="E335" s="896">
        <v>0</v>
      </c>
      <c r="F335" s="896">
        <v>4.7244201820276972</v>
      </c>
      <c r="G335" s="896">
        <v>4.1970564933419086</v>
      </c>
      <c r="H335" s="896">
        <v>0</v>
      </c>
      <c r="I335" s="872">
        <v>3.0389690308770367</v>
      </c>
      <c r="J335" s="872">
        <v>0</v>
      </c>
      <c r="K335" s="896">
        <v>3.9208441738555346</v>
      </c>
      <c r="L335" s="896">
        <v>8.9441676895080953</v>
      </c>
      <c r="M335" s="896">
        <v>11.974666546020517</v>
      </c>
      <c r="N335" s="896">
        <v>0</v>
      </c>
      <c r="O335" s="872">
        <v>7.2072830288252492</v>
      </c>
      <c r="P335" s="870">
        <v>0</v>
      </c>
      <c r="Q335" s="896">
        <v>0</v>
      </c>
      <c r="R335" s="896">
        <v>0</v>
      </c>
      <c r="S335" s="914">
        <v>0</v>
      </c>
      <c r="T335" s="870">
        <v>0</v>
      </c>
      <c r="U335" s="870">
        <v>0</v>
      </c>
      <c r="V335" s="872">
        <v>0</v>
      </c>
      <c r="W335" s="870">
        <v>0</v>
      </c>
      <c r="X335" s="877">
        <v>4.0559932452132355</v>
      </c>
    </row>
    <row r="336" spans="1:24">
      <c r="A336" s="862"/>
      <c r="B336" s="859" t="s">
        <v>628</v>
      </c>
      <c r="C336" s="870"/>
      <c r="D336" s="896"/>
      <c r="E336" s="896"/>
      <c r="F336" s="896"/>
      <c r="G336" s="896"/>
      <c r="H336" s="896"/>
      <c r="I336" s="872"/>
      <c r="J336" s="872"/>
      <c r="K336" s="896"/>
      <c r="L336" s="896"/>
      <c r="M336" s="896"/>
      <c r="N336" s="896"/>
      <c r="O336" s="872"/>
      <c r="P336" s="870"/>
      <c r="Q336" s="896"/>
      <c r="R336" s="896"/>
      <c r="S336" s="914"/>
      <c r="T336" s="870"/>
      <c r="U336" s="870"/>
      <c r="V336" s="872">
        <v>43863311</v>
      </c>
      <c r="W336" s="870">
        <v>43863311</v>
      </c>
      <c r="X336" s="877">
        <v>43863311</v>
      </c>
    </row>
    <row r="337" spans="1:24" s="216" customFormat="1">
      <c r="A337" s="862"/>
      <c r="B337" s="859" t="s">
        <v>630</v>
      </c>
      <c r="C337" s="870"/>
      <c r="D337" s="896"/>
      <c r="E337" s="896"/>
      <c r="F337" s="896"/>
      <c r="G337" s="896"/>
      <c r="H337" s="896"/>
      <c r="I337" s="872"/>
      <c r="J337" s="872"/>
      <c r="K337" s="896"/>
      <c r="L337" s="896"/>
      <c r="M337" s="896"/>
      <c r="N337" s="896"/>
      <c r="O337" s="872"/>
      <c r="P337" s="870"/>
      <c r="Q337" s="896"/>
      <c r="R337" s="896"/>
      <c r="S337" s="914"/>
      <c r="T337" s="870"/>
      <c r="U337" s="870"/>
      <c r="V337" s="872">
        <v>39279800.780000001</v>
      </c>
      <c r="W337" s="870">
        <v>39279800.780000001</v>
      </c>
      <c r="X337" s="877">
        <v>39279800.780000001</v>
      </c>
    </row>
    <row r="338" spans="1:24" s="215" customFormat="1">
      <c r="A338" s="862"/>
      <c r="B338" s="859" t="s">
        <v>632</v>
      </c>
      <c r="C338" s="870">
        <v>0</v>
      </c>
      <c r="D338" s="896">
        <v>0</v>
      </c>
      <c r="E338" s="896">
        <v>0</v>
      </c>
      <c r="F338" s="896">
        <v>0</v>
      </c>
      <c r="G338" s="896">
        <v>0</v>
      </c>
      <c r="H338" s="896">
        <v>0</v>
      </c>
      <c r="I338" s="872">
        <v>0</v>
      </c>
      <c r="J338" s="872">
        <v>0</v>
      </c>
      <c r="K338" s="896">
        <v>0</v>
      </c>
      <c r="L338" s="896">
        <v>0</v>
      </c>
      <c r="M338" s="896">
        <v>0</v>
      </c>
      <c r="N338" s="896">
        <v>0</v>
      </c>
      <c r="O338" s="872">
        <v>0</v>
      </c>
      <c r="P338" s="870">
        <v>0</v>
      </c>
      <c r="Q338" s="896">
        <v>0</v>
      </c>
      <c r="R338" s="896">
        <v>0</v>
      </c>
      <c r="S338" s="914">
        <v>0</v>
      </c>
      <c r="T338" s="870">
        <v>0</v>
      </c>
      <c r="U338" s="870">
        <v>0</v>
      </c>
      <c r="V338" s="872">
        <v>-10.449530861908713</v>
      </c>
      <c r="W338" s="870">
        <v>-10.449530861908713</v>
      </c>
      <c r="X338" s="877">
        <v>-10.449530861908713</v>
      </c>
    </row>
    <row r="339" spans="1:24">
      <c r="A339" s="862"/>
      <c r="B339" s="859" t="s">
        <v>1608</v>
      </c>
      <c r="C339" s="870"/>
      <c r="D339" s="896"/>
      <c r="E339" s="896"/>
      <c r="F339" s="896"/>
      <c r="G339" s="896"/>
      <c r="H339" s="896"/>
      <c r="I339" s="872"/>
      <c r="J339" s="872"/>
      <c r="K339" s="896"/>
      <c r="L339" s="896"/>
      <c r="M339" s="896"/>
      <c r="N339" s="896"/>
      <c r="O339" s="872"/>
      <c r="P339" s="870"/>
      <c r="Q339" s="896"/>
      <c r="R339" s="896"/>
      <c r="S339" s="914"/>
      <c r="T339" s="870"/>
      <c r="U339" s="870"/>
      <c r="V339" s="872">
        <v>0</v>
      </c>
      <c r="W339" s="870">
        <v>0</v>
      </c>
      <c r="X339" s="877">
        <v>0</v>
      </c>
    </row>
    <row r="340" spans="1:24" s="216" customFormat="1">
      <c r="A340" s="862"/>
      <c r="B340" s="859" t="s">
        <v>1291</v>
      </c>
      <c r="C340" s="870"/>
      <c r="D340" s="896"/>
      <c r="E340" s="896"/>
      <c r="F340" s="896"/>
      <c r="G340" s="896"/>
      <c r="H340" s="896"/>
      <c r="I340" s="872"/>
      <c r="J340" s="872"/>
      <c r="K340" s="896"/>
      <c r="L340" s="896"/>
      <c r="M340" s="896"/>
      <c r="N340" s="896"/>
      <c r="O340" s="872"/>
      <c r="P340" s="870"/>
      <c r="Q340" s="896"/>
      <c r="R340" s="896"/>
      <c r="S340" s="914"/>
      <c r="T340" s="870"/>
      <c r="U340" s="870"/>
      <c r="V340" s="872">
        <v>0</v>
      </c>
      <c r="W340" s="870">
        <v>0</v>
      </c>
      <c r="X340" s="877">
        <v>0</v>
      </c>
    </row>
    <row r="341" spans="1:24" s="215" customFormat="1">
      <c r="A341" s="862"/>
      <c r="B341" s="859" t="s">
        <v>458</v>
      </c>
      <c r="C341" s="870">
        <v>0</v>
      </c>
      <c r="D341" s="896">
        <v>0</v>
      </c>
      <c r="E341" s="896">
        <v>0</v>
      </c>
      <c r="F341" s="896">
        <v>0</v>
      </c>
      <c r="G341" s="896">
        <v>0</v>
      </c>
      <c r="H341" s="896">
        <v>0</v>
      </c>
      <c r="I341" s="872">
        <v>0</v>
      </c>
      <c r="J341" s="872">
        <v>0</v>
      </c>
      <c r="K341" s="896">
        <v>0</v>
      </c>
      <c r="L341" s="896">
        <v>0</v>
      </c>
      <c r="M341" s="896">
        <v>0</v>
      </c>
      <c r="N341" s="896">
        <v>0</v>
      </c>
      <c r="O341" s="872">
        <v>0</v>
      </c>
      <c r="P341" s="870">
        <v>0</v>
      </c>
      <c r="Q341" s="896">
        <v>0</v>
      </c>
      <c r="R341" s="896">
        <v>0</v>
      </c>
      <c r="S341" s="914">
        <v>0</v>
      </c>
      <c r="T341" s="870">
        <v>0</v>
      </c>
      <c r="U341" s="870">
        <v>0</v>
      </c>
      <c r="V341" s="872">
        <v>0</v>
      </c>
      <c r="W341" s="870">
        <v>0</v>
      </c>
      <c r="X341" s="877">
        <v>0</v>
      </c>
    </row>
    <row r="342" spans="1:24">
      <c r="A342" s="862"/>
      <c r="B342" s="859" t="s">
        <v>1287</v>
      </c>
      <c r="C342" s="870"/>
      <c r="D342" s="896"/>
      <c r="E342" s="896"/>
      <c r="F342" s="896"/>
      <c r="G342" s="896"/>
      <c r="H342" s="896"/>
      <c r="I342" s="872"/>
      <c r="J342" s="872"/>
      <c r="K342" s="896"/>
      <c r="L342" s="896"/>
      <c r="M342" s="896"/>
      <c r="N342" s="896"/>
      <c r="O342" s="872"/>
      <c r="P342" s="870"/>
      <c r="Q342" s="896"/>
      <c r="R342" s="896"/>
      <c r="S342" s="914"/>
      <c r="T342" s="870"/>
      <c r="U342" s="870"/>
      <c r="V342" s="872"/>
      <c r="W342" s="870"/>
      <c r="X342" s="877"/>
    </row>
    <row r="343" spans="1:24" s="216" customFormat="1">
      <c r="A343" s="862"/>
      <c r="B343" s="859" t="s">
        <v>673</v>
      </c>
      <c r="C343" s="870"/>
      <c r="D343" s="896"/>
      <c r="E343" s="896"/>
      <c r="F343" s="896"/>
      <c r="G343" s="896"/>
      <c r="H343" s="896"/>
      <c r="I343" s="872"/>
      <c r="J343" s="872"/>
      <c r="K343" s="896"/>
      <c r="L343" s="896"/>
      <c r="M343" s="896"/>
      <c r="N343" s="896"/>
      <c r="O343" s="872"/>
      <c r="P343" s="870"/>
      <c r="Q343" s="896"/>
      <c r="R343" s="896"/>
      <c r="S343" s="914"/>
      <c r="T343" s="870"/>
      <c r="U343" s="870"/>
      <c r="V343" s="872"/>
      <c r="W343" s="870"/>
      <c r="X343" s="877"/>
    </row>
    <row r="344" spans="1:24" s="215" customFormat="1">
      <c r="A344" s="862"/>
      <c r="B344" s="859" t="s">
        <v>877</v>
      </c>
      <c r="C344" s="870">
        <v>0</v>
      </c>
      <c r="D344" s="896">
        <v>0</v>
      </c>
      <c r="E344" s="896">
        <v>0</v>
      </c>
      <c r="F344" s="896">
        <v>0</v>
      </c>
      <c r="G344" s="896">
        <v>0</v>
      </c>
      <c r="H344" s="896">
        <v>0</v>
      </c>
      <c r="I344" s="872">
        <v>0</v>
      </c>
      <c r="J344" s="872">
        <v>0</v>
      </c>
      <c r="K344" s="896">
        <v>0</v>
      </c>
      <c r="L344" s="896">
        <v>0</v>
      </c>
      <c r="M344" s="896">
        <v>0</v>
      </c>
      <c r="N344" s="896">
        <v>0</v>
      </c>
      <c r="O344" s="872">
        <v>0</v>
      </c>
      <c r="P344" s="870">
        <v>0</v>
      </c>
      <c r="Q344" s="896">
        <v>0</v>
      </c>
      <c r="R344" s="896">
        <v>0</v>
      </c>
      <c r="S344" s="914">
        <v>0</v>
      </c>
      <c r="T344" s="870">
        <v>0</v>
      </c>
      <c r="U344" s="870">
        <v>0</v>
      </c>
      <c r="V344" s="872">
        <v>0</v>
      </c>
      <c r="W344" s="870">
        <v>0</v>
      </c>
      <c r="X344" s="877">
        <v>0</v>
      </c>
    </row>
    <row r="345" spans="1:24">
      <c r="A345" s="862"/>
      <c r="B345" s="859" t="s">
        <v>1289</v>
      </c>
      <c r="C345" s="870">
        <v>0</v>
      </c>
      <c r="D345" s="896">
        <v>0</v>
      </c>
      <c r="E345" s="896"/>
      <c r="F345" s="896">
        <v>0</v>
      </c>
      <c r="G345" s="896">
        <v>0</v>
      </c>
      <c r="H345" s="896"/>
      <c r="I345" s="872">
        <v>0</v>
      </c>
      <c r="J345" s="872"/>
      <c r="K345" s="896">
        <v>0</v>
      </c>
      <c r="L345" s="896">
        <v>0</v>
      </c>
      <c r="M345" s="896">
        <v>0</v>
      </c>
      <c r="N345" s="896"/>
      <c r="O345" s="872">
        <v>0</v>
      </c>
      <c r="P345" s="870"/>
      <c r="Q345" s="896"/>
      <c r="R345" s="896"/>
      <c r="S345" s="914"/>
      <c r="T345" s="870">
        <v>0</v>
      </c>
      <c r="U345" s="870">
        <v>0</v>
      </c>
      <c r="V345" s="872">
        <v>0</v>
      </c>
      <c r="W345" s="870">
        <v>0</v>
      </c>
      <c r="X345" s="877">
        <v>0</v>
      </c>
    </row>
    <row r="346" spans="1:24" s="216" customFormat="1">
      <c r="A346" s="862"/>
      <c r="B346" s="859" t="s">
        <v>675</v>
      </c>
      <c r="C346" s="870">
        <v>0</v>
      </c>
      <c r="D346" s="896">
        <v>0</v>
      </c>
      <c r="E346" s="896"/>
      <c r="F346" s="896">
        <v>0</v>
      </c>
      <c r="G346" s="896">
        <v>0</v>
      </c>
      <c r="H346" s="896"/>
      <c r="I346" s="872">
        <v>0</v>
      </c>
      <c r="J346" s="872"/>
      <c r="K346" s="896">
        <v>0</v>
      </c>
      <c r="L346" s="896">
        <v>0</v>
      </c>
      <c r="M346" s="896">
        <v>0</v>
      </c>
      <c r="N346" s="896"/>
      <c r="O346" s="872">
        <v>0</v>
      </c>
      <c r="P346" s="870"/>
      <c r="Q346" s="896"/>
      <c r="R346" s="896"/>
      <c r="S346" s="914"/>
      <c r="T346" s="870">
        <v>0</v>
      </c>
      <c r="U346" s="870">
        <v>0</v>
      </c>
      <c r="V346" s="872">
        <v>0</v>
      </c>
      <c r="W346" s="870">
        <v>0</v>
      </c>
      <c r="X346" s="877">
        <v>0</v>
      </c>
    </row>
    <row r="347" spans="1:24" s="215" customFormat="1" ht="13.5" thickBot="1">
      <c r="A347" s="862"/>
      <c r="B347" s="859" t="s">
        <v>1339</v>
      </c>
      <c r="C347" s="870">
        <v>0</v>
      </c>
      <c r="D347" s="896">
        <v>0</v>
      </c>
      <c r="E347" s="896">
        <v>0</v>
      </c>
      <c r="F347" s="896">
        <v>0</v>
      </c>
      <c r="G347" s="896">
        <v>0</v>
      </c>
      <c r="H347" s="896">
        <v>0</v>
      </c>
      <c r="I347" s="872">
        <v>0</v>
      </c>
      <c r="J347" s="872">
        <v>0</v>
      </c>
      <c r="K347" s="896">
        <v>0</v>
      </c>
      <c r="L347" s="896">
        <v>0</v>
      </c>
      <c r="M347" s="896">
        <v>0</v>
      </c>
      <c r="N347" s="896">
        <v>0</v>
      </c>
      <c r="O347" s="872">
        <v>0</v>
      </c>
      <c r="P347" s="870">
        <v>0</v>
      </c>
      <c r="Q347" s="896">
        <v>0</v>
      </c>
      <c r="R347" s="896">
        <v>0</v>
      </c>
      <c r="S347" s="914">
        <v>0</v>
      </c>
      <c r="T347" s="870">
        <v>0</v>
      </c>
      <c r="U347" s="870">
        <v>0</v>
      </c>
      <c r="V347" s="872">
        <v>0</v>
      </c>
      <c r="W347" s="870">
        <v>0</v>
      </c>
      <c r="X347" s="877">
        <v>0</v>
      </c>
    </row>
    <row r="348" spans="1:24">
      <c r="A348" s="862"/>
      <c r="B348" s="859" t="s">
        <v>634</v>
      </c>
      <c r="C348" s="870">
        <v>17154751</v>
      </c>
      <c r="D348" s="896"/>
      <c r="E348" s="896"/>
      <c r="F348" s="896"/>
      <c r="G348" s="896"/>
      <c r="H348" s="896"/>
      <c r="I348" s="872">
        <v>17154751</v>
      </c>
      <c r="J348" s="872"/>
      <c r="K348" s="896"/>
      <c r="L348" s="896"/>
      <c r="M348" s="896"/>
      <c r="N348" s="896"/>
      <c r="O348" s="872"/>
      <c r="P348" s="870"/>
      <c r="Q348" s="896"/>
      <c r="R348" s="896"/>
      <c r="S348" s="914"/>
      <c r="T348" s="870">
        <v>224917610</v>
      </c>
      <c r="U348" s="866">
        <v>224917610</v>
      </c>
      <c r="V348" s="872"/>
      <c r="W348" s="870"/>
      <c r="X348" s="877">
        <v>242072361</v>
      </c>
    </row>
    <row r="349" spans="1:24" s="216" customFormat="1">
      <c r="A349" s="862"/>
      <c r="B349" s="859" t="s">
        <v>636</v>
      </c>
      <c r="C349" s="870">
        <v>16598495</v>
      </c>
      <c r="D349" s="896"/>
      <c r="E349" s="896"/>
      <c r="F349" s="896"/>
      <c r="G349" s="896"/>
      <c r="H349" s="896"/>
      <c r="I349" s="872">
        <v>16598495</v>
      </c>
      <c r="J349" s="872"/>
      <c r="K349" s="896"/>
      <c r="L349" s="896"/>
      <c r="M349" s="896"/>
      <c r="N349" s="896"/>
      <c r="O349" s="872"/>
      <c r="P349" s="870"/>
      <c r="Q349" s="896"/>
      <c r="R349" s="896"/>
      <c r="S349" s="914"/>
      <c r="T349" s="870">
        <v>227637206.28</v>
      </c>
      <c r="U349" s="873">
        <v>227637206.28</v>
      </c>
      <c r="V349" s="872"/>
      <c r="W349" s="870"/>
      <c r="X349" s="877">
        <v>244235701.28</v>
      </c>
    </row>
    <row r="350" spans="1:24" s="215" customFormat="1" ht="13.5" thickBot="1">
      <c r="A350" s="862"/>
      <c r="B350" s="859" t="s">
        <v>1540</v>
      </c>
      <c r="C350" s="870">
        <v>-3.2425769397643833</v>
      </c>
      <c r="D350" s="896">
        <v>0</v>
      </c>
      <c r="E350" s="896">
        <v>0</v>
      </c>
      <c r="F350" s="896">
        <v>0</v>
      </c>
      <c r="G350" s="896">
        <v>0</v>
      </c>
      <c r="H350" s="896">
        <v>0</v>
      </c>
      <c r="I350" s="872">
        <v>-3.2425769397643833</v>
      </c>
      <c r="J350" s="872">
        <v>0</v>
      </c>
      <c r="K350" s="896">
        <v>0</v>
      </c>
      <c r="L350" s="896">
        <v>0</v>
      </c>
      <c r="M350" s="896">
        <v>0</v>
      </c>
      <c r="N350" s="896">
        <v>0</v>
      </c>
      <c r="O350" s="872">
        <v>0</v>
      </c>
      <c r="P350" s="870">
        <v>0</v>
      </c>
      <c r="Q350" s="896">
        <v>0</v>
      </c>
      <c r="R350" s="896">
        <v>0</v>
      </c>
      <c r="S350" s="914">
        <v>0</v>
      </c>
      <c r="T350" s="870">
        <v>1.2091522224515907</v>
      </c>
      <c r="U350" s="886">
        <v>1.2091522224515907</v>
      </c>
      <c r="V350" s="872">
        <v>0</v>
      </c>
      <c r="W350" s="870">
        <v>0</v>
      </c>
      <c r="X350" s="877">
        <v>0.89367504454587499</v>
      </c>
    </row>
    <row r="351" spans="1:24">
      <c r="A351" s="862"/>
      <c r="B351" s="859" t="s">
        <v>637</v>
      </c>
      <c r="C351" s="870">
        <v>5589000</v>
      </c>
      <c r="D351" s="866"/>
      <c r="E351" s="896"/>
      <c r="F351" s="896"/>
      <c r="G351" s="896"/>
      <c r="H351" s="896"/>
      <c r="I351" s="872">
        <v>5589000</v>
      </c>
      <c r="J351" s="872"/>
      <c r="K351" s="896"/>
      <c r="L351" s="896"/>
      <c r="M351" s="896"/>
      <c r="N351" s="896"/>
      <c r="O351" s="872"/>
      <c r="P351" s="870"/>
      <c r="Q351" s="896"/>
      <c r="R351" s="896"/>
      <c r="S351" s="914"/>
      <c r="T351" s="870">
        <v>8511778</v>
      </c>
      <c r="U351" s="870">
        <v>8511778</v>
      </c>
      <c r="V351" s="872">
        <v>0</v>
      </c>
      <c r="W351" s="870">
        <v>0</v>
      </c>
      <c r="X351" s="877">
        <v>14100778</v>
      </c>
    </row>
    <row r="352" spans="1:24" s="216" customFormat="1">
      <c r="A352" s="862"/>
      <c r="B352" s="859" t="s">
        <v>1890</v>
      </c>
      <c r="C352" s="870">
        <v>6700000</v>
      </c>
      <c r="D352" s="873"/>
      <c r="E352" s="896"/>
      <c r="F352" s="896"/>
      <c r="G352" s="896"/>
      <c r="H352" s="896"/>
      <c r="I352" s="872">
        <v>6700000</v>
      </c>
      <c r="J352" s="872"/>
      <c r="K352" s="896"/>
      <c r="L352" s="896"/>
      <c r="M352" s="896"/>
      <c r="N352" s="896"/>
      <c r="O352" s="872"/>
      <c r="P352" s="870"/>
      <c r="Q352" s="896"/>
      <c r="R352" s="896"/>
      <c r="S352" s="914"/>
      <c r="T352" s="870">
        <v>11465908</v>
      </c>
      <c r="U352" s="870">
        <v>11465908</v>
      </c>
      <c r="V352" s="872">
        <v>0</v>
      </c>
      <c r="W352" s="870">
        <v>0</v>
      </c>
      <c r="X352" s="877">
        <v>18165908</v>
      </c>
    </row>
    <row r="353" spans="1:24" s="215" customFormat="1" ht="13.5" thickBot="1">
      <c r="A353" s="862"/>
      <c r="B353" s="859" t="s">
        <v>1603</v>
      </c>
      <c r="C353" s="870">
        <v>19.878332438718914</v>
      </c>
      <c r="D353" s="886">
        <v>0</v>
      </c>
      <c r="E353" s="896">
        <v>0</v>
      </c>
      <c r="F353" s="896">
        <v>0</v>
      </c>
      <c r="G353" s="896">
        <v>0</v>
      </c>
      <c r="H353" s="896">
        <v>0</v>
      </c>
      <c r="I353" s="872">
        <v>19.878332438718914</v>
      </c>
      <c r="J353" s="872">
        <v>0</v>
      </c>
      <c r="K353" s="896">
        <v>0</v>
      </c>
      <c r="L353" s="896">
        <v>0</v>
      </c>
      <c r="M353" s="896">
        <v>0</v>
      </c>
      <c r="N353" s="896">
        <v>0</v>
      </c>
      <c r="O353" s="872">
        <v>0</v>
      </c>
      <c r="P353" s="870">
        <v>0</v>
      </c>
      <c r="Q353" s="896">
        <v>0</v>
      </c>
      <c r="R353" s="896">
        <v>0</v>
      </c>
      <c r="S353" s="914">
        <v>0</v>
      </c>
      <c r="T353" s="870">
        <v>34.706379795149736</v>
      </c>
      <c r="U353" s="870">
        <v>34.706379795149736</v>
      </c>
      <c r="V353" s="872">
        <v>0</v>
      </c>
      <c r="W353" s="870">
        <v>0</v>
      </c>
      <c r="X353" s="877">
        <v>28.829118506794448</v>
      </c>
    </row>
    <row r="354" spans="1:24">
      <c r="A354" s="862"/>
      <c r="B354" s="859" t="s">
        <v>377</v>
      </c>
      <c r="C354" s="870">
        <v>433619951</v>
      </c>
      <c r="D354" s="896">
        <v>298250258</v>
      </c>
      <c r="E354" s="896"/>
      <c r="F354" s="896">
        <v>88513453</v>
      </c>
      <c r="G354" s="896">
        <v>61972020</v>
      </c>
      <c r="H354" s="896"/>
      <c r="I354" s="872">
        <v>882355682</v>
      </c>
      <c r="J354" s="872"/>
      <c r="K354" s="896">
        <v>147308428</v>
      </c>
      <c r="L354" s="896">
        <v>224500848</v>
      </c>
      <c r="M354" s="896">
        <v>24008986</v>
      </c>
      <c r="N354" s="896"/>
      <c r="O354" s="872">
        <v>395818262</v>
      </c>
      <c r="P354" s="870"/>
      <c r="Q354" s="896"/>
      <c r="R354" s="896"/>
      <c r="S354" s="914"/>
      <c r="T354" s="870">
        <v>0</v>
      </c>
      <c r="U354" s="870">
        <v>0</v>
      </c>
      <c r="V354" s="872">
        <v>61327561</v>
      </c>
      <c r="W354" s="870">
        <v>61327561</v>
      </c>
      <c r="X354" s="877">
        <v>1339501505</v>
      </c>
    </row>
    <row r="355" spans="1:24" s="216" customFormat="1">
      <c r="A355" s="862"/>
      <c r="B355" s="859" t="s">
        <v>379</v>
      </c>
      <c r="C355" s="870">
        <v>443281392.13999999</v>
      </c>
      <c r="D355" s="896">
        <v>293464376.71999997</v>
      </c>
      <c r="E355" s="896"/>
      <c r="F355" s="896">
        <v>89180905.519999981</v>
      </c>
      <c r="G355" s="896">
        <v>62400278.099999994</v>
      </c>
      <c r="H355" s="896"/>
      <c r="I355" s="872">
        <v>888326952.4799999</v>
      </c>
      <c r="J355" s="872"/>
      <c r="K355" s="896">
        <v>154060528</v>
      </c>
      <c r="L355" s="896">
        <v>240684790</v>
      </c>
      <c r="M355" s="896">
        <v>26513603</v>
      </c>
      <c r="N355" s="896"/>
      <c r="O355" s="872">
        <v>421258921</v>
      </c>
      <c r="P355" s="870"/>
      <c r="Q355" s="896"/>
      <c r="R355" s="896"/>
      <c r="S355" s="914"/>
      <c r="T355" s="870">
        <v>0</v>
      </c>
      <c r="U355" s="870">
        <v>0</v>
      </c>
      <c r="V355" s="872">
        <v>59407503</v>
      </c>
      <c r="W355" s="870">
        <v>59407503</v>
      </c>
      <c r="X355" s="877">
        <v>1368993376.48</v>
      </c>
    </row>
    <row r="356" spans="1:24" s="228" customFormat="1" ht="13.5" thickBot="1">
      <c r="A356" s="897"/>
      <c r="B356" s="859" t="s">
        <v>381</v>
      </c>
      <c r="C356" s="870">
        <v>2.2280896249628483</v>
      </c>
      <c r="D356" s="896">
        <v>-1.6046528549859731</v>
      </c>
      <c r="E356" s="896">
        <v>0</v>
      </c>
      <c r="F356" s="896">
        <v>0.75406901140776983</v>
      </c>
      <c r="G356" s="896">
        <v>0.69105073547706541</v>
      </c>
      <c r="H356" s="896">
        <v>0</v>
      </c>
      <c r="I356" s="872">
        <v>0.67674188559257431</v>
      </c>
      <c r="J356" s="872">
        <v>0</v>
      </c>
      <c r="K356" s="896">
        <v>4.5836481263651798</v>
      </c>
      <c r="L356" s="896">
        <v>7.2088556208928001</v>
      </c>
      <c r="M356" s="896">
        <v>10.431998252654235</v>
      </c>
      <c r="N356" s="896">
        <v>0</v>
      </c>
      <c r="O356" s="872">
        <v>6.4273585739710013</v>
      </c>
      <c r="P356" s="870">
        <v>0</v>
      </c>
      <c r="Q356" s="896">
        <v>0</v>
      </c>
      <c r="R356" s="896">
        <v>0</v>
      </c>
      <c r="S356" s="914">
        <v>0</v>
      </c>
      <c r="T356" s="870">
        <v>0</v>
      </c>
      <c r="U356" s="870">
        <v>0</v>
      </c>
      <c r="V356" s="872">
        <v>-3.1308240026046366</v>
      </c>
      <c r="W356" s="870">
        <v>-3.1308240026046366</v>
      </c>
      <c r="X356" s="877">
        <v>2.2017049902456081</v>
      </c>
    </row>
    <row r="357" spans="1:24">
      <c r="A357" s="858" t="s">
        <v>1281</v>
      </c>
      <c r="B357" s="858" t="s">
        <v>1347</v>
      </c>
      <c r="C357" s="863">
        <v>624304759</v>
      </c>
      <c r="D357" s="864">
        <v>330281788</v>
      </c>
      <c r="E357" s="864">
        <v>704156226</v>
      </c>
      <c r="F357" s="866">
        <v>56361501</v>
      </c>
      <c r="G357" s="864">
        <v>127096681</v>
      </c>
      <c r="H357" s="864">
        <v>67134085</v>
      </c>
      <c r="I357" s="865">
        <v>1909335040</v>
      </c>
      <c r="J357" s="865"/>
      <c r="K357" s="864">
        <v>314432962</v>
      </c>
      <c r="L357" s="864">
        <v>370438256</v>
      </c>
      <c r="M357" s="864">
        <v>76510205</v>
      </c>
      <c r="N357" s="864"/>
      <c r="O357" s="865">
        <v>761381423</v>
      </c>
      <c r="P357" s="863"/>
      <c r="Q357" s="864"/>
      <c r="R357" s="864"/>
      <c r="S357" s="913"/>
      <c r="T357" s="863"/>
      <c r="U357" s="863"/>
      <c r="V357" s="865"/>
      <c r="W357" s="863"/>
      <c r="X357" s="869">
        <v>2670716463</v>
      </c>
    </row>
    <row r="358" spans="1:24" s="216" customFormat="1">
      <c r="A358" s="862"/>
      <c r="B358" s="859" t="s">
        <v>60</v>
      </c>
      <c r="C358" s="870">
        <v>674158342</v>
      </c>
      <c r="D358" s="896">
        <v>361247171</v>
      </c>
      <c r="E358" s="896">
        <v>758379277</v>
      </c>
      <c r="F358" s="873">
        <v>59925013</v>
      </c>
      <c r="G358" s="896">
        <v>131604277</v>
      </c>
      <c r="H358" s="896">
        <v>74722159</v>
      </c>
      <c r="I358" s="872">
        <v>2060036239</v>
      </c>
      <c r="J358" s="872"/>
      <c r="K358" s="896">
        <v>328168401</v>
      </c>
      <c r="L358" s="896">
        <v>383352272</v>
      </c>
      <c r="M358" s="896">
        <v>77962333</v>
      </c>
      <c r="N358" s="896"/>
      <c r="O358" s="872">
        <v>789483006</v>
      </c>
      <c r="P358" s="870"/>
      <c r="Q358" s="896"/>
      <c r="R358" s="896"/>
      <c r="S358" s="914"/>
      <c r="T358" s="870"/>
      <c r="U358" s="870"/>
      <c r="V358" s="872"/>
      <c r="W358" s="870"/>
      <c r="X358" s="877">
        <v>2849519245</v>
      </c>
    </row>
    <row r="359" spans="1:24" s="215" customFormat="1" ht="13.5" thickBot="1">
      <c r="A359" s="862"/>
      <c r="B359" s="859" t="s">
        <v>906</v>
      </c>
      <c r="C359" s="870">
        <v>7.9854561864712608</v>
      </c>
      <c r="D359" s="896">
        <v>9.37544367417558</v>
      </c>
      <c r="E359" s="896">
        <v>7.7004291090369481</v>
      </c>
      <c r="F359" s="886">
        <v>6.3225995347426958</v>
      </c>
      <c r="G359" s="896">
        <v>3.546588285810548</v>
      </c>
      <c r="H359" s="896">
        <v>11.30286351560463</v>
      </c>
      <c r="I359" s="872">
        <v>7.8928630042844654</v>
      </c>
      <c r="J359" s="872">
        <v>0</v>
      </c>
      <c r="K359" s="896">
        <v>4.3683203289609311</v>
      </c>
      <c r="L359" s="896">
        <v>3.4861453402372136</v>
      </c>
      <c r="M359" s="896">
        <v>1.8979533514516134</v>
      </c>
      <c r="N359" s="896">
        <v>0</v>
      </c>
      <c r="O359" s="872">
        <v>3.6908679606699573</v>
      </c>
      <c r="P359" s="870">
        <v>0</v>
      </c>
      <c r="Q359" s="896">
        <v>0</v>
      </c>
      <c r="R359" s="896">
        <v>0</v>
      </c>
      <c r="S359" s="914">
        <v>0</v>
      </c>
      <c r="T359" s="870">
        <v>0</v>
      </c>
      <c r="U359" s="870">
        <v>0</v>
      </c>
      <c r="V359" s="872">
        <v>0</v>
      </c>
      <c r="W359" s="870">
        <v>0</v>
      </c>
      <c r="X359" s="877">
        <v>6.6949369009075523</v>
      </c>
    </row>
    <row r="360" spans="1:24">
      <c r="A360" s="862"/>
      <c r="B360" s="859" t="s">
        <v>1370</v>
      </c>
      <c r="C360" s="870">
        <v>108975098</v>
      </c>
      <c r="D360" s="896"/>
      <c r="E360" s="896"/>
      <c r="F360" s="896"/>
      <c r="G360" s="896"/>
      <c r="H360" s="896"/>
      <c r="I360" s="872">
        <v>108975098</v>
      </c>
      <c r="J360" s="872"/>
      <c r="K360" s="866">
        <v>24462041</v>
      </c>
      <c r="L360" s="868">
        <v>38824798</v>
      </c>
      <c r="M360" s="868">
        <v>8335812</v>
      </c>
      <c r="N360" s="896"/>
      <c r="O360" s="872">
        <v>71622651</v>
      </c>
      <c r="P360" s="870"/>
      <c r="Q360" s="896"/>
      <c r="R360" s="896"/>
      <c r="S360" s="914"/>
      <c r="T360" s="870"/>
      <c r="U360" s="870"/>
      <c r="V360" s="898">
        <v>62786114</v>
      </c>
      <c r="W360" s="870">
        <v>62786114</v>
      </c>
      <c r="X360" s="877">
        <v>243383863</v>
      </c>
    </row>
    <row r="361" spans="1:24" s="216" customFormat="1">
      <c r="A361" s="862"/>
      <c r="B361" s="859" t="s">
        <v>1611</v>
      </c>
      <c r="C361" s="870">
        <v>108326154</v>
      </c>
      <c r="D361" s="896"/>
      <c r="E361" s="896"/>
      <c r="F361" s="896"/>
      <c r="G361" s="896"/>
      <c r="H361" s="896"/>
      <c r="I361" s="872">
        <v>108326154</v>
      </c>
      <c r="J361" s="872"/>
      <c r="K361" s="873">
        <v>28804407</v>
      </c>
      <c r="L361" s="876">
        <v>44688586</v>
      </c>
      <c r="M361" s="876">
        <v>9603523</v>
      </c>
      <c r="N361" s="896"/>
      <c r="O361" s="872">
        <v>83096516</v>
      </c>
      <c r="P361" s="870"/>
      <c r="Q361" s="896"/>
      <c r="R361" s="896"/>
      <c r="S361" s="914"/>
      <c r="T361" s="870"/>
      <c r="U361" s="870"/>
      <c r="V361" s="899">
        <v>60795675</v>
      </c>
      <c r="W361" s="870">
        <v>60795675</v>
      </c>
      <c r="X361" s="877">
        <v>252218345</v>
      </c>
    </row>
    <row r="362" spans="1:24" s="215" customFormat="1" ht="13.5" thickBot="1">
      <c r="A362" s="862"/>
      <c r="B362" s="859" t="s">
        <v>1613</v>
      </c>
      <c r="C362" s="870">
        <v>-0.59549751448720878</v>
      </c>
      <c r="D362" s="896">
        <v>0</v>
      </c>
      <c r="E362" s="896">
        <v>0</v>
      </c>
      <c r="F362" s="896">
        <v>0</v>
      </c>
      <c r="G362" s="896">
        <v>0</v>
      </c>
      <c r="H362" s="896">
        <v>0</v>
      </c>
      <c r="I362" s="872">
        <v>-0.59549751448720878</v>
      </c>
      <c r="J362" s="872">
        <v>0</v>
      </c>
      <c r="K362" s="886">
        <v>17.751446005670584</v>
      </c>
      <c r="L362" s="888">
        <v>15.103202855041257</v>
      </c>
      <c r="M362" s="888">
        <v>15.208008529942854</v>
      </c>
      <c r="N362" s="896">
        <v>0</v>
      </c>
      <c r="O362" s="872">
        <v>16.019883151211477</v>
      </c>
      <c r="P362" s="870">
        <v>0</v>
      </c>
      <c r="Q362" s="896">
        <v>0</v>
      </c>
      <c r="R362" s="896">
        <v>0</v>
      </c>
      <c r="S362" s="914">
        <v>0</v>
      </c>
      <c r="T362" s="870">
        <v>0</v>
      </c>
      <c r="U362" s="870">
        <v>0</v>
      </c>
      <c r="V362" s="900">
        <v>-3.1701898289166293</v>
      </c>
      <c r="W362" s="870">
        <v>-3.1701898289166293</v>
      </c>
      <c r="X362" s="877">
        <v>3.6298552792713297</v>
      </c>
    </row>
    <row r="363" spans="1:24">
      <c r="A363" s="862"/>
      <c r="B363" s="859" t="s">
        <v>61</v>
      </c>
      <c r="C363" s="870"/>
      <c r="D363" s="896"/>
      <c r="E363" s="896"/>
      <c r="F363" s="896"/>
      <c r="G363" s="896"/>
      <c r="H363" s="896"/>
      <c r="I363" s="872"/>
      <c r="J363" s="872"/>
      <c r="K363" s="866">
        <v>99173166</v>
      </c>
      <c r="L363" s="896">
        <v>71648437</v>
      </c>
      <c r="M363" s="896">
        <v>15173428</v>
      </c>
      <c r="N363" s="896"/>
      <c r="O363" s="872">
        <v>185995031</v>
      </c>
      <c r="P363" s="870"/>
      <c r="Q363" s="896"/>
      <c r="R363" s="896"/>
      <c r="S363" s="914"/>
      <c r="T363" s="870"/>
      <c r="U363" s="870"/>
      <c r="V363" s="872"/>
      <c r="W363" s="870"/>
      <c r="X363" s="877">
        <v>185995031</v>
      </c>
    </row>
    <row r="364" spans="1:24" s="216" customFormat="1">
      <c r="A364" s="862"/>
      <c r="B364" s="859" t="s">
        <v>62</v>
      </c>
      <c r="C364" s="870"/>
      <c r="D364" s="896"/>
      <c r="E364" s="896"/>
      <c r="F364" s="896"/>
      <c r="G364" s="896"/>
      <c r="H364" s="896"/>
      <c r="I364" s="872"/>
      <c r="J364" s="872"/>
      <c r="K364" s="873">
        <v>113495957</v>
      </c>
      <c r="L364" s="896">
        <v>90423003</v>
      </c>
      <c r="M364" s="896">
        <v>18257575</v>
      </c>
      <c r="N364" s="896"/>
      <c r="O364" s="872">
        <v>222176535</v>
      </c>
      <c r="P364" s="870"/>
      <c r="Q364" s="896"/>
      <c r="R364" s="896"/>
      <c r="S364" s="914"/>
      <c r="T364" s="870"/>
      <c r="U364" s="870"/>
      <c r="V364" s="872"/>
      <c r="W364" s="870"/>
      <c r="X364" s="877">
        <v>222176535</v>
      </c>
    </row>
    <row r="365" spans="1:24" s="215" customFormat="1" ht="13.5" thickBot="1">
      <c r="A365" s="862"/>
      <c r="B365" s="859" t="s">
        <v>1816</v>
      </c>
      <c r="C365" s="870">
        <v>0</v>
      </c>
      <c r="D365" s="896">
        <v>0</v>
      </c>
      <c r="E365" s="896">
        <v>0</v>
      </c>
      <c r="F365" s="896">
        <v>0</v>
      </c>
      <c r="G365" s="896">
        <v>0</v>
      </c>
      <c r="H365" s="896">
        <v>0</v>
      </c>
      <c r="I365" s="872">
        <v>0</v>
      </c>
      <c r="J365" s="872">
        <v>0</v>
      </c>
      <c r="K365" s="886">
        <v>14.442204053463414</v>
      </c>
      <c r="L365" s="896">
        <v>26.203734214048524</v>
      </c>
      <c r="M365" s="896">
        <v>20.325973801042192</v>
      </c>
      <c r="N365" s="896">
        <v>0</v>
      </c>
      <c r="O365" s="872">
        <v>19.452941191746138</v>
      </c>
      <c r="P365" s="870">
        <v>0</v>
      </c>
      <c r="Q365" s="896">
        <v>0</v>
      </c>
      <c r="R365" s="896">
        <v>0</v>
      </c>
      <c r="S365" s="914">
        <v>0</v>
      </c>
      <c r="T365" s="870">
        <v>0</v>
      </c>
      <c r="U365" s="870">
        <v>0</v>
      </c>
      <c r="V365" s="872">
        <v>0</v>
      </c>
      <c r="W365" s="870">
        <v>0</v>
      </c>
      <c r="X365" s="877">
        <v>19.452941191746138</v>
      </c>
    </row>
    <row r="366" spans="1:24">
      <c r="A366" s="862"/>
      <c r="B366" s="859" t="s">
        <v>1588</v>
      </c>
      <c r="C366" s="870">
        <v>355448266</v>
      </c>
      <c r="D366" s="896">
        <v>149991501</v>
      </c>
      <c r="E366" s="896">
        <v>316917016</v>
      </c>
      <c r="F366" s="866">
        <v>18814670</v>
      </c>
      <c r="G366" s="866">
        <v>31748574</v>
      </c>
      <c r="H366" s="896">
        <v>23832098</v>
      </c>
      <c r="I366" s="872">
        <v>896752125</v>
      </c>
      <c r="J366" s="872"/>
      <c r="K366" s="896">
        <v>83037929</v>
      </c>
      <c r="L366" s="896">
        <v>79478262</v>
      </c>
      <c r="M366" s="896">
        <v>13269264</v>
      </c>
      <c r="N366" s="896"/>
      <c r="O366" s="872">
        <v>175785455</v>
      </c>
      <c r="P366" s="870"/>
      <c r="Q366" s="896"/>
      <c r="R366" s="896"/>
      <c r="S366" s="914"/>
      <c r="T366" s="870"/>
      <c r="U366" s="870"/>
      <c r="V366" s="872"/>
      <c r="W366" s="870"/>
      <c r="X366" s="877">
        <v>1072537580</v>
      </c>
    </row>
    <row r="367" spans="1:24" s="216" customFormat="1">
      <c r="A367" s="862"/>
      <c r="B367" s="859" t="s">
        <v>251</v>
      </c>
      <c r="C367" s="870">
        <v>372829773</v>
      </c>
      <c r="D367" s="896">
        <v>153283334</v>
      </c>
      <c r="E367" s="896">
        <v>325342099</v>
      </c>
      <c r="F367" s="873">
        <v>17323398</v>
      </c>
      <c r="G367" s="873">
        <v>33813286</v>
      </c>
      <c r="H367" s="896">
        <v>23340872</v>
      </c>
      <c r="I367" s="872">
        <v>925932762</v>
      </c>
      <c r="J367" s="872"/>
      <c r="K367" s="896">
        <v>94823483</v>
      </c>
      <c r="L367" s="896">
        <v>78119104</v>
      </c>
      <c r="M367" s="896">
        <v>11935987</v>
      </c>
      <c r="N367" s="896"/>
      <c r="O367" s="872">
        <v>184878574</v>
      </c>
      <c r="P367" s="870"/>
      <c r="Q367" s="896"/>
      <c r="R367" s="896"/>
      <c r="S367" s="914"/>
      <c r="T367" s="870"/>
      <c r="U367" s="870"/>
      <c r="V367" s="872"/>
      <c r="W367" s="870"/>
      <c r="X367" s="877">
        <v>1110811336</v>
      </c>
    </row>
    <row r="368" spans="1:24" s="215" customFormat="1" ht="13.5" thickBot="1">
      <c r="A368" s="862"/>
      <c r="B368" s="859" t="s">
        <v>1759</v>
      </c>
      <c r="C368" s="870">
        <v>4.8900244177868633</v>
      </c>
      <c r="D368" s="896">
        <v>2.1946796838842224</v>
      </c>
      <c r="E368" s="896">
        <v>2.6584508166642586</v>
      </c>
      <c r="F368" s="886">
        <v>-7.9261129746097057</v>
      </c>
      <c r="G368" s="886">
        <v>6.5033220074703193</v>
      </c>
      <c r="H368" s="896">
        <v>-2.0611949480905962</v>
      </c>
      <c r="I368" s="872">
        <v>3.2540360024237462</v>
      </c>
      <c r="J368" s="872">
        <v>0</v>
      </c>
      <c r="K368" s="896">
        <v>14.192976802203244</v>
      </c>
      <c r="L368" s="896">
        <v>-1.7101003039044815</v>
      </c>
      <c r="M368" s="896">
        <v>-10.047859474346128</v>
      </c>
      <c r="N368" s="896">
        <v>0</v>
      </c>
      <c r="O368" s="872">
        <v>5.1728506206614195</v>
      </c>
      <c r="P368" s="870">
        <v>0</v>
      </c>
      <c r="Q368" s="896">
        <v>0</v>
      </c>
      <c r="R368" s="896">
        <v>0</v>
      </c>
      <c r="S368" s="914">
        <v>0</v>
      </c>
      <c r="T368" s="870">
        <v>0</v>
      </c>
      <c r="U368" s="870">
        <v>0</v>
      </c>
      <c r="V368" s="872">
        <v>0</v>
      </c>
      <c r="W368" s="870">
        <v>0</v>
      </c>
      <c r="X368" s="877">
        <v>3.5685235383547118</v>
      </c>
    </row>
    <row r="369" spans="1:24">
      <c r="A369" s="862"/>
      <c r="B369" s="859" t="s">
        <v>1590</v>
      </c>
      <c r="C369" s="870"/>
      <c r="D369" s="896">
        <v>0</v>
      </c>
      <c r="E369" s="896"/>
      <c r="F369" s="896"/>
      <c r="G369" s="896"/>
      <c r="H369" s="896"/>
      <c r="I369" s="872">
        <v>0</v>
      </c>
      <c r="J369" s="872"/>
      <c r="K369" s="896"/>
      <c r="L369" s="896"/>
      <c r="M369" s="896"/>
      <c r="N369" s="896"/>
      <c r="O369" s="872"/>
      <c r="P369" s="870"/>
      <c r="Q369" s="896"/>
      <c r="R369" s="896"/>
      <c r="S369" s="914"/>
      <c r="T369" s="870"/>
      <c r="U369" s="870"/>
      <c r="V369" s="872"/>
      <c r="W369" s="870"/>
      <c r="X369" s="877">
        <v>0</v>
      </c>
    </row>
    <row r="370" spans="1:24" s="216" customFormat="1">
      <c r="A370" s="862"/>
      <c r="B370" s="859" t="s">
        <v>1319</v>
      </c>
      <c r="C370" s="870"/>
      <c r="D370" s="896"/>
      <c r="E370" s="896"/>
      <c r="F370" s="896"/>
      <c r="G370" s="896"/>
      <c r="H370" s="896"/>
      <c r="I370" s="872"/>
      <c r="J370" s="872"/>
      <c r="K370" s="896"/>
      <c r="L370" s="896"/>
      <c r="M370" s="896"/>
      <c r="N370" s="896"/>
      <c r="O370" s="872"/>
      <c r="P370" s="870"/>
      <c r="Q370" s="896"/>
      <c r="R370" s="896"/>
      <c r="S370" s="914"/>
      <c r="T370" s="870"/>
      <c r="U370" s="870"/>
      <c r="V370" s="872"/>
      <c r="W370" s="870"/>
      <c r="X370" s="877"/>
    </row>
    <row r="371" spans="1:24" s="215" customFormat="1">
      <c r="A371" s="862"/>
      <c r="B371" s="859" t="s">
        <v>1330</v>
      </c>
      <c r="C371" s="870">
        <v>0</v>
      </c>
      <c r="D371" s="896">
        <v>0</v>
      </c>
      <c r="E371" s="896">
        <v>0</v>
      </c>
      <c r="F371" s="896">
        <v>0</v>
      </c>
      <c r="G371" s="896">
        <v>0</v>
      </c>
      <c r="H371" s="896">
        <v>0</v>
      </c>
      <c r="I371" s="872">
        <v>0</v>
      </c>
      <c r="J371" s="872">
        <v>0</v>
      </c>
      <c r="K371" s="896">
        <v>0</v>
      </c>
      <c r="L371" s="896">
        <v>0</v>
      </c>
      <c r="M371" s="896">
        <v>0</v>
      </c>
      <c r="N371" s="896">
        <v>0</v>
      </c>
      <c r="O371" s="872">
        <v>0</v>
      </c>
      <c r="P371" s="870">
        <v>0</v>
      </c>
      <c r="Q371" s="896">
        <v>0</v>
      </c>
      <c r="R371" s="896">
        <v>0</v>
      </c>
      <c r="S371" s="914">
        <v>0</v>
      </c>
      <c r="T371" s="870">
        <v>0</v>
      </c>
      <c r="U371" s="870">
        <v>0</v>
      </c>
      <c r="V371" s="872">
        <v>0</v>
      </c>
      <c r="W371" s="870">
        <v>0</v>
      </c>
      <c r="X371" s="877">
        <v>0</v>
      </c>
    </row>
    <row r="372" spans="1:24">
      <c r="A372" s="862"/>
      <c r="B372" s="859" t="s">
        <v>1889</v>
      </c>
      <c r="C372" s="870">
        <v>355448266</v>
      </c>
      <c r="D372" s="896">
        <v>149991501</v>
      </c>
      <c r="E372" s="896">
        <v>316917016</v>
      </c>
      <c r="F372" s="896">
        <v>18814670</v>
      </c>
      <c r="G372" s="896">
        <v>31748574</v>
      </c>
      <c r="H372" s="896">
        <v>23832098</v>
      </c>
      <c r="I372" s="872">
        <v>896752125</v>
      </c>
      <c r="J372" s="872"/>
      <c r="K372" s="896">
        <v>83037929</v>
      </c>
      <c r="L372" s="896">
        <v>79478262</v>
      </c>
      <c r="M372" s="896">
        <v>13269264</v>
      </c>
      <c r="N372" s="896"/>
      <c r="O372" s="872">
        <v>175785455</v>
      </c>
      <c r="P372" s="870"/>
      <c r="Q372" s="896"/>
      <c r="R372" s="896"/>
      <c r="S372" s="914"/>
      <c r="T372" s="870">
        <v>0</v>
      </c>
      <c r="U372" s="870">
        <v>0</v>
      </c>
      <c r="V372" s="872">
        <v>0</v>
      </c>
      <c r="W372" s="870">
        <v>0</v>
      </c>
      <c r="X372" s="877">
        <v>1072537580</v>
      </c>
    </row>
    <row r="373" spans="1:24" s="216" customFormat="1">
      <c r="A373" s="862"/>
      <c r="B373" s="859" t="s">
        <v>626</v>
      </c>
      <c r="C373" s="870">
        <v>372829773</v>
      </c>
      <c r="D373" s="896">
        <v>153283334</v>
      </c>
      <c r="E373" s="896">
        <v>325342099</v>
      </c>
      <c r="F373" s="896">
        <v>17323398</v>
      </c>
      <c r="G373" s="896">
        <v>33813286</v>
      </c>
      <c r="H373" s="896">
        <v>23340872</v>
      </c>
      <c r="I373" s="872">
        <v>925932762</v>
      </c>
      <c r="J373" s="872"/>
      <c r="K373" s="896">
        <v>94823483</v>
      </c>
      <c r="L373" s="896">
        <v>78119104</v>
      </c>
      <c r="M373" s="896">
        <v>11935987</v>
      </c>
      <c r="N373" s="896"/>
      <c r="O373" s="872">
        <v>184878574</v>
      </c>
      <c r="P373" s="870"/>
      <c r="Q373" s="896"/>
      <c r="R373" s="896"/>
      <c r="S373" s="914"/>
      <c r="T373" s="870">
        <v>0</v>
      </c>
      <c r="U373" s="870">
        <v>0</v>
      </c>
      <c r="V373" s="872">
        <v>0</v>
      </c>
      <c r="W373" s="870">
        <v>0</v>
      </c>
      <c r="X373" s="877">
        <v>1110811336</v>
      </c>
    </row>
    <row r="374" spans="1:24" s="215" customFormat="1">
      <c r="A374" s="862"/>
      <c r="B374" s="859" t="s">
        <v>456</v>
      </c>
      <c r="C374" s="870">
        <v>4.8900244177868633</v>
      </c>
      <c r="D374" s="896">
        <v>2.1946796838842224</v>
      </c>
      <c r="E374" s="896">
        <v>2.6584508166642586</v>
      </c>
      <c r="F374" s="896">
        <v>-7.9261129746097057</v>
      </c>
      <c r="G374" s="896">
        <v>6.5033220074703193</v>
      </c>
      <c r="H374" s="896">
        <v>-2.0611949480905962</v>
      </c>
      <c r="I374" s="872">
        <v>3.2540360024237462</v>
      </c>
      <c r="J374" s="872">
        <v>0</v>
      </c>
      <c r="K374" s="896">
        <v>14.192976802203244</v>
      </c>
      <c r="L374" s="896">
        <v>-1.7101003039044815</v>
      </c>
      <c r="M374" s="896">
        <v>-10.047859474346128</v>
      </c>
      <c r="N374" s="896">
        <v>0</v>
      </c>
      <c r="O374" s="872">
        <v>5.1728506206614195</v>
      </c>
      <c r="P374" s="870">
        <v>0</v>
      </c>
      <c r="Q374" s="896">
        <v>0</v>
      </c>
      <c r="R374" s="896">
        <v>0</v>
      </c>
      <c r="S374" s="914">
        <v>0</v>
      </c>
      <c r="T374" s="870">
        <v>0</v>
      </c>
      <c r="U374" s="870">
        <v>0</v>
      </c>
      <c r="V374" s="872">
        <v>0</v>
      </c>
      <c r="W374" s="870">
        <v>0</v>
      </c>
      <c r="X374" s="877">
        <v>3.5685235383547118</v>
      </c>
    </row>
    <row r="375" spans="1:24">
      <c r="A375" s="862"/>
      <c r="B375" s="859" t="s">
        <v>628</v>
      </c>
      <c r="C375" s="870"/>
      <c r="D375" s="896"/>
      <c r="E375" s="896"/>
      <c r="F375" s="896"/>
      <c r="G375" s="896"/>
      <c r="H375" s="896"/>
      <c r="I375" s="872"/>
      <c r="J375" s="872"/>
      <c r="K375" s="896"/>
      <c r="L375" s="896"/>
      <c r="M375" s="896"/>
      <c r="N375" s="896"/>
      <c r="O375" s="872"/>
      <c r="P375" s="870"/>
      <c r="Q375" s="896"/>
      <c r="R375" s="896"/>
      <c r="S375" s="914"/>
      <c r="T375" s="870">
        <v>26426818</v>
      </c>
      <c r="U375" s="870">
        <v>26426818</v>
      </c>
      <c r="V375" s="872">
        <v>421362485</v>
      </c>
      <c r="W375" s="870">
        <v>421362485</v>
      </c>
      <c r="X375" s="877">
        <v>447789303</v>
      </c>
    </row>
    <row r="376" spans="1:24" s="216" customFormat="1">
      <c r="A376" s="862"/>
      <c r="B376" s="859" t="s">
        <v>630</v>
      </c>
      <c r="C376" s="870"/>
      <c r="D376" s="896"/>
      <c r="E376" s="896"/>
      <c r="F376" s="896"/>
      <c r="G376" s="896"/>
      <c r="H376" s="896"/>
      <c r="I376" s="872"/>
      <c r="J376" s="872"/>
      <c r="K376" s="896"/>
      <c r="L376" s="896"/>
      <c r="M376" s="896"/>
      <c r="N376" s="896"/>
      <c r="O376" s="872"/>
      <c r="P376" s="870"/>
      <c r="Q376" s="896"/>
      <c r="R376" s="896"/>
      <c r="S376" s="914"/>
      <c r="T376" s="870">
        <v>27949980</v>
      </c>
      <c r="U376" s="870">
        <v>27949980</v>
      </c>
      <c r="V376" s="872">
        <v>432408149</v>
      </c>
      <c r="W376" s="870">
        <v>432408149</v>
      </c>
      <c r="X376" s="877">
        <v>460358129</v>
      </c>
    </row>
    <row r="377" spans="1:24" s="215" customFormat="1">
      <c r="A377" s="862"/>
      <c r="B377" s="859" t="s">
        <v>632</v>
      </c>
      <c r="C377" s="870">
        <v>0</v>
      </c>
      <c r="D377" s="896">
        <v>0</v>
      </c>
      <c r="E377" s="896">
        <v>0</v>
      </c>
      <c r="F377" s="896">
        <v>0</v>
      </c>
      <c r="G377" s="896">
        <v>0</v>
      </c>
      <c r="H377" s="896">
        <v>0</v>
      </c>
      <c r="I377" s="872">
        <v>0</v>
      </c>
      <c r="J377" s="872">
        <v>0</v>
      </c>
      <c r="K377" s="896">
        <v>0</v>
      </c>
      <c r="L377" s="896">
        <v>0</v>
      </c>
      <c r="M377" s="896">
        <v>0</v>
      </c>
      <c r="N377" s="896">
        <v>0</v>
      </c>
      <c r="O377" s="872">
        <v>0</v>
      </c>
      <c r="P377" s="870">
        <v>0</v>
      </c>
      <c r="Q377" s="896">
        <v>0</v>
      </c>
      <c r="R377" s="896">
        <v>0</v>
      </c>
      <c r="S377" s="914">
        <v>0</v>
      </c>
      <c r="T377" s="870">
        <v>5.7636980736765207</v>
      </c>
      <c r="U377" s="870">
        <v>5.7636980736765207</v>
      </c>
      <c r="V377" s="872">
        <v>2.6214160949805487</v>
      </c>
      <c r="W377" s="870">
        <v>2.6214160949805487</v>
      </c>
      <c r="X377" s="877">
        <v>2.8068616011579892</v>
      </c>
    </row>
    <row r="378" spans="1:24">
      <c r="A378" s="862"/>
      <c r="B378" s="859" t="s">
        <v>1608</v>
      </c>
      <c r="C378" s="870"/>
      <c r="D378" s="896"/>
      <c r="E378" s="896"/>
      <c r="F378" s="896"/>
      <c r="G378" s="896"/>
      <c r="H378" s="896"/>
      <c r="I378" s="872"/>
      <c r="J378" s="872"/>
      <c r="K378" s="896"/>
      <c r="L378" s="896"/>
      <c r="M378" s="896"/>
      <c r="N378" s="896"/>
      <c r="O378" s="872"/>
      <c r="P378" s="870"/>
      <c r="Q378" s="896"/>
      <c r="R378" s="896"/>
      <c r="S378" s="914"/>
      <c r="T378" s="870"/>
      <c r="U378" s="870"/>
      <c r="V378" s="872"/>
      <c r="W378" s="870"/>
      <c r="X378" s="877"/>
    </row>
    <row r="379" spans="1:24" s="216" customFormat="1">
      <c r="A379" s="862"/>
      <c r="B379" s="859" t="s">
        <v>1291</v>
      </c>
      <c r="C379" s="870"/>
      <c r="D379" s="896"/>
      <c r="E379" s="896"/>
      <c r="F379" s="896"/>
      <c r="G379" s="896"/>
      <c r="H379" s="896"/>
      <c r="I379" s="872"/>
      <c r="J379" s="872"/>
      <c r="K379" s="896"/>
      <c r="L379" s="896"/>
      <c r="M379" s="896"/>
      <c r="N379" s="896"/>
      <c r="O379" s="872"/>
      <c r="P379" s="870"/>
      <c r="Q379" s="896"/>
      <c r="R379" s="896"/>
      <c r="S379" s="914"/>
      <c r="T379" s="870"/>
      <c r="U379" s="870"/>
      <c r="V379" s="872"/>
      <c r="W379" s="870"/>
      <c r="X379" s="877"/>
    </row>
    <row r="380" spans="1:24" s="215" customFormat="1">
      <c r="A380" s="862"/>
      <c r="B380" s="859" t="s">
        <v>458</v>
      </c>
      <c r="C380" s="870">
        <v>0</v>
      </c>
      <c r="D380" s="896">
        <v>0</v>
      </c>
      <c r="E380" s="896">
        <v>0</v>
      </c>
      <c r="F380" s="896">
        <v>0</v>
      </c>
      <c r="G380" s="896">
        <v>0</v>
      </c>
      <c r="H380" s="896">
        <v>0</v>
      </c>
      <c r="I380" s="872">
        <v>0</v>
      </c>
      <c r="J380" s="872">
        <v>0</v>
      </c>
      <c r="K380" s="896">
        <v>0</v>
      </c>
      <c r="L380" s="896">
        <v>0</v>
      </c>
      <c r="M380" s="896">
        <v>0</v>
      </c>
      <c r="N380" s="896">
        <v>0</v>
      </c>
      <c r="O380" s="872">
        <v>0</v>
      </c>
      <c r="P380" s="870">
        <v>0</v>
      </c>
      <c r="Q380" s="896">
        <v>0</v>
      </c>
      <c r="R380" s="896">
        <v>0</v>
      </c>
      <c r="S380" s="914">
        <v>0</v>
      </c>
      <c r="T380" s="870">
        <v>0</v>
      </c>
      <c r="U380" s="870">
        <v>0</v>
      </c>
      <c r="V380" s="872">
        <v>0</v>
      </c>
      <c r="W380" s="870">
        <v>0</v>
      </c>
      <c r="X380" s="877">
        <v>0</v>
      </c>
    </row>
    <row r="381" spans="1:24">
      <c r="A381" s="862"/>
      <c r="B381" s="859" t="s">
        <v>1287</v>
      </c>
      <c r="C381" s="870"/>
      <c r="D381" s="896"/>
      <c r="E381" s="896"/>
      <c r="F381" s="896"/>
      <c r="G381" s="896"/>
      <c r="H381" s="896"/>
      <c r="I381" s="872"/>
      <c r="J381" s="872"/>
      <c r="K381" s="896"/>
      <c r="L381" s="896"/>
      <c r="M381" s="896"/>
      <c r="N381" s="896"/>
      <c r="O381" s="872"/>
      <c r="P381" s="870"/>
      <c r="Q381" s="896"/>
      <c r="R381" s="896"/>
      <c r="S381" s="914"/>
      <c r="T381" s="870"/>
      <c r="U381" s="870"/>
      <c r="V381" s="872"/>
      <c r="W381" s="870"/>
      <c r="X381" s="877"/>
    </row>
    <row r="382" spans="1:24" s="216" customFormat="1">
      <c r="A382" s="862"/>
      <c r="B382" s="859" t="s">
        <v>673</v>
      </c>
      <c r="C382" s="870"/>
      <c r="D382" s="896"/>
      <c r="E382" s="896"/>
      <c r="F382" s="896"/>
      <c r="G382" s="896"/>
      <c r="H382" s="896"/>
      <c r="I382" s="872"/>
      <c r="J382" s="872"/>
      <c r="K382" s="896"/>
      <c r="L382" s="896"/>
      <c r="M382" s="896"/>
      <c r="N382" s="896"/>
      <c r="O382" s="872"/>
      <c r="P382" s="870"/>
      <c r="Q382" s="896"/>
      <c r="R382" s="896"/>
      <c r="S382" s="914"/>
      <c r="T382" s="870"/>
      <c r="U382" s="870"/>
      <c r="V382" s="872"/>
      <c r="W382" s="870"/>
      <c r="X382" s="877"/>
    </row>
    <row r="383" spans="1:24" s="215" customFormat="1">
      <c r="A383" s="862"/>
      <c r="B383" s="859" t="s">
        <v>877</v>
      </c>
      <c r="C383" s="870">
        <v>0</v>
      </c>
      <c r="D383" s="896">
        <v>0</v>
      </c>
      <c r="E383" s="896">
        <v>0</v>
      </c>
      <c r="F383" s="896">
        <v>0</v>
      </c>
      <c r="G383" s="896">
        <v>0</v>
      </c>
      <c r="H383" s="896">
        <v>0</v>
      </c>
      <c r="I383" s="872">
        <v>0</v>
      </c>
      <c r="J383" s="872">
        <v>0</v>
      </c>
      <c r="K383" s="896">
        <v>0</v>
      </c>
      <c r="L383" s="896">
        <v>0</v>
      </c>
      <c r="M383" s="896">
        <v>0</v>
      </c>
      <c r="N383" s="896">
        <v>0</v>
      </c>
      <c r="O383" s="872">
        <v>0</v>
      </c>
      <c r="P383" s="870">
        <v>0</v>
      </c>
      <c r="Q383" s="896">
        <v>0</v>
      </c>
      <c r="R383" s="896">
        <v>0</v>
      </c>
      <c r="S383" s="914">
        <v>0</v>
      </c>
      <c r="T383" s="870">
        <v>0</v>
      </c>
      <c r="U383" s="870">
        <v>0</v>
      </c>
      <c r="V383" s="872">
        <v>0</v>
      </c>
      <c r="W383" s="870">
        <v>0</v>
      </c>
      <c r="X383" s="877">
        <v>0</v>
      </c>
    </row>
    <row r="384" spans="1:24">
      <c r="A384" s="862"/>
      <c r="B384" s="859" t="s">
        <v>1289</v>
      </c>
      <c r="C384" s="870">
        <v>0</v>
      </c>
      <c r="D384" s="896">
        <v>0</v>
      </c>
      <c r="E384" s="896">
        <v>0</v>
      </c>
      <c r="F384" s="896">
        <v>0</v>
      </c>
      <c r="G384" s="896">
        <v>0</v>
      </c>
      <c r="H384" s="896">
        <v>0</v>
      </c>
      <c r="I384" s="872">
        <v>0</v>
      </c>
      <c r="J384" s="872"/>
      <c r="K384" s="896">
        <v>0</v>
      </c>
      <c r="L384" s="896">
        <v>0</v>
      </c>
      <c r="M384" s="896">
        <v>0</v>
      </c>
      <c r="N384" s="896"/>
      <c r="O384" s="872">
        <v>0</v>
      </c>
      <c r="P384" s="870"/>
      <c r="Q384" s="896"/>
      <c r="R384" s="896"/>
      <c r="S384" s="914"/>
      <c r="T384" s="870">
        <v>0</v>
      </c>
      <c r="U384" s="870">
        <v>0</v>
      </c>
      <c r="V384" s="872">
        <v>0</v>
      </c>
      <c r="W384" s="870">
        <v>0</v>
      </c>
      <c r="X384" s="877">
        <v>0</v>
      </c>
    </row>
    <row r="385" spans="1:24" s="216" customFormat="1">
      <c r="A385" s="862"/>
      <c r="B385" s="859" t="s">
        <v>675</v>
      </c>
      <c r="C385" s="870">
        <v>0</v>
      </c>
      <c r="D385" s="896">
        <v>0</v>
      </c>
      <c r="E385" s="896">
        <v>0</v>
      </c>
      <c r="F385" s="896">
        <v>0</v>
      </c>
      <c r="G385" s="896">
        <v>0</v>
      </c>
      <c r="H385" s="896">
        <v>0</v>
      </c>
      <c r="I385" s="872">
        <v>0</v>
      </c>
      <c r="J385" s="872"/>
      <c r="K385" s="896">
        <v>0</v>
      </c>
      <c r="L385" s="896">
        <v>0</v>
      </c>
      <c r="M385" s="896">
        <v>0</v>
      </c>
      <c r="N385" s="896"/>
      <c r="O385" s="872">
        <v>0</v>
      </c>
      <c r="P385" s="870"/>
      <c r="Q385" s="896"/>
      <c r="R385" s="896"/>
      <c r="S385" s="914"/>
      <c r="T385" s="870">
        <v>0</v>
      </c>
      <c r="U385" s="870">
        <v>0</v>
      </c>
      <c r="V385" s="872">
        <v>0</v>
      </c>
      <c r="W385" s="870">
        <v>0</v>
      </c>
      <c r="X385" s="877">
        <v>0</v>
      </c>
    </row>
    <row r="386" spans="1:24" s="215" customFormat="1">
      <c r="A386" s="862"/>
      <c r="B386" s="859" t="s">
        <v>1339</v>
      </c>
      <c r="C386" s="870">
        <v>0</v>
      </c>
      <c r="D386" s="896">
        <v>0</v>
      </c>
      <c r="E386" s="896">
        <v>0</v>
      </c>
      <c r="F386" s="896">
        <v>0</v>
      </c>
      <c r="G386" s="896">
        <v>0</v>
      </c>
      <c r="H386" s="896">
        <v>0</v>
      </c>
      <c r="I386" s="872">
        <v>0</v>
      </c>
      <c r="J386" s="872">
        <v>0</v>
      </c>
      <c r="K386" s="896">
        <v>0</v>
      </c>
      <c r="L386" s="896">
        <v>0</v>
      </c>
      <c r="M386" s="896">
        <v>0</v>
      </c>
      <c r="N386" s="896">
        <v>0</v>
      </c>
      <c r="O386" s="872">
        <v>0</v>
      </c>
      <c r="P386" s="870">
        <v>0</v>
      </c>
      <c r="Q386" s="896">
        <v>0</v>
      </c>
      <c r="R386" s="896">
        <v>0</v>
      </c>
      <c r="S386" s="914">
        <v>0</v>
      </c>
      <c r="T386" s="870">
        <v>0</v>
      </c>
      <c r="U386" s="870">
        <v>0</v>
      </c>
      <c r="V386" s="872">
        <v>0</v>
      </c>
      <c r="W386" s="870">
        <v>0</v>
      </c>
      <c r="X386" s="877">
        <v>0</v>
      </c>
    </row>
    <row r="387" spans="1:24">
      <c r="A387" s="862"/>
      <c r="B387" s="859" t="s">
        <v>634</v>
      </c>
      <c r="C387" s="870">
        <v>234527591</v>
      </c>
      <c r="D387" s="896"/>
      <c r="E387" s="896">
        <v>54439236</v>
      </c>
      <c r="F387" s="896"/>
      <c r="G387" s="896"/>
      <c r="H387" s="896"/>
      <c r="I387" s="872">
        <v>288966827</v>
      </c>
      <c r="J387" s="872"/>
      <c r="K387" s="896"/>
      <c r="L387" s="896"/>
      <c r="M387" s="896"/>
      <c r="N387" s="896"/>
      <c r="O387" s="872"/>
      <c r="P387" s="870"/>
      <c r="Q387" s="896"/>
      <c r="R387" s="896"/>
      <c r="S387" s="914"/>
      <c r="T387" s="870"/>
      <c r="U387" s="870"/>
      <c r="V387" s="872"/>
      <c r="W387" s="870"/>
      <c r="X387" s="877">
        <v>288966827</v>
      </c>
    </row>
    <row r="388" spans="1:24" s="216" customFormat="1">
      <c r="A388" s="862"/>
      <c r="B388" s="859" t="s">
        <v>636</v>
      </c>
      <c r="C388" s="870">
        <v>249325783</v>
      </c>
      <c r="D388" s="896"/>
      <c r="E388" s="896">
        <v>55411606</v>
      </c>
      <c r="F388" s="896"/>
      <c r="G388" s="896"/>
      <c r="H388" s="896"/>
      <c r="I388" s="872">
        <v>304737389</v>
      </c>
      <c r="J388" s="872"/>
      <c r="K388" s="896"/>
      <c r="L388" s="896"/>
      <c r="M388" s="896"/>
      <c r="N388" s="896"/>
      <c r="O388" s="872"/>
      <c r="P388" s="870"/>
      <c r="Q388" s="896"/>
      <c r="R388" s="896"/>
      <c r="S388" s="914"/>
      <c r="T388" s="870"/>
      <c r="U388" s="870"/>
      <c r="V388" s="872"/>
      <c r="W388" s="870"/>
      <c r="X388" s="877">
        <v>304737389</v>
      </c>
    </row>
    <row r="389" spans="1:24" s="215" customFormat="1">
      <c r="A389" s="862"/>
      <c r="B389" s="859" t="s">
        <v>1540</v>
      </c>
      <c r="C389" s="870">
        <v>6.3097872352255555</v>
      </c>
      <c r="D389" s="896">
        <v>0</v>
      </c>
      <c r="E389" s="896">
        <v>1.7861565875024403</v>
      </c>
      <c r="F389" s="896">
        <v>0</v>
      </c>
      <c r="G389" s="896">
        <v>0</v>
      </c>
      <c r="H389" s="896">
        <v>0</v>
      </c>
      <c r="I389" s="872">
        <v>5.4575683180408801</v>
      </c>
      <c r="J389" s="872">
        <v>0</v>
      </c>
      <c r="K389" s="896">
        <v>0</v>
      </c>
      <c r="L389" s="896">
        <v>0</v>
      </c>
      <c r="M389" s="896">
        <v>0</v>
      </c>
      <c r="N389" s="896">
        <v>0</v>
      </c>
      <c r="O389" s="872">
        <v>0</v>
      </c>
      <c r="P389" s="870">
        <v>0</v>
      </c>
      <c r="Q389" s="896">
        <v>0</v>
      </c>
      <c r="R389" s="896">
        <v>0</v>
      </c>
      <c r="S389" s="914">
        <v>0</v>
      </c>
      <c r="T389" s="870">
        <v>0</v>
      </c>
      <c r="U389" s="870">
        <v>0</v>
      </c>
      <c r="V389" s="872">
        <v>0</v>
      </c>
      <c r="W389" s="870">
        <v>0</v>
      </c>
      <c r="X389" s="877">
        <v>5.4575683180408801</v>
      </c>
    </row>
    <row r="390" spans="1:24">
      <c r="A390" s="862"/>
      <c r="B390" s="859" t="s">
        <v>637</v>
      </c>
      <c r="C390" s="870">
        <v>47955590</v>
      </c>
      <c r="D390" s="896"/>
      <c r="E390" s="873">
        <v>1949800</v>
      </c>
      <c r="F390" s="896"/>
      <c r="G390" s="896"/>
      <c r="H390" s="896"/>
      <c r="I390" s="872">
        <v>49905390</v>
      </c>
      <c r="J390" s="872"/>
      <c r="K390" s="896"/>
      <c r="L390" s="896"/>
      <c r="M390" s="896"/>
      <c r="N390" s="896"/>
      <c r="O390" s="872"/>
      <c r="P390" s="870"/>
      <c r="Q390" s="896"/>
      <c r="R390" s="896"/>
      <c r="S390" s="914"/>
      <c r="T390" s="870"/>
      <c r="U390" s="870"/>
      <c r="V390" s="872"/>
      <c r="W390" s="870"/>
      <c r="X390" s="877">
        <v>49905390</v>
      </c>
    </row>
    <row r="391" spans="1:24" s="216" customFormat="1">
      <c r="A391" s="862"/>
      <c r="B391" s="859" t="s">
        <v>1890</v>
      </c>
      <c r="C391" s="870">
        <v>51135123</v>
      </c>
      <c r="D391" s="896"/>
      <c r="E391" s="873">
        <v>2299600</v>
      </c>
      <c r="F391" s="896"/>
      <c r="G391" s="896"/>
      <c r="H391" s="896"/>
      <c r="I391" s="872">
        <v>53434723</v>
      </c>
      <c r="J391" s="872"/>
      <c r="K391" s="896"/>
      <c r="L391" s="896"/>
      <c r="M391" s="896"/>
      <c r="N391" s="896"/>
      <c r="O391" s="872"/>
      <c r="P391" s="870"/>
      <c r="Q391" s="896"/>
      <c r="R391" s="896"/>
      <c r="S391" s="914"/>
      <c r="T391" s="870"/>
      <c r="U391" s="870"/>
      <c r="V391" s="872"/>
      <c r="W391" s="870"/>
      <c r="X391" s="877">
        <v>53434723</v>
      </c>
    </row>
    <row r="392" spans="1:24" s="215" customFormat="1" ht="13.5" thickBot="1">
      <c r="A392" s="862"/>
      <c r="B392" s="859" t="s">
        <v>1603</v>
      </c>
      <c r="C392" s="870">
        <v>6.6301613638785382</v>
      </c>
      <c r="D392" s="896">
        <v>0</v>
      </c>
      <c r="E392" s="886">
        <v>17.940301569391732</v>
      </c>
      <c r="F392" s="896">
        <v>0</v>
      </c>
      <c r="G392" s="896">
        <v>0</v>
      </c>
      <c r="H392" s="896">
        <v>0</v>
      </c>
      <c r="I392" s="872">
        <v>7.0720477287122687</v>
      </c>
      <c r="J392" s="872">
        <v>0</v>
      </c>
      <c r="K392" s="896">
        <v>0</v>
      </c>
      <c r="L392" s="896">
        <v>0</v>
      </c>
      <c r="M392" s="896">
        <v>0</v>
      </c>
      <c r="N392" s="896">
        <v>0</v>
      </c>
      <c r="O392" s="872">
        <v>0</v>
      </c>
      <c r="P392" s="870">
        <v>0</v>
      </c>
      <c r="Q392" s="896">
        <v>0</v>
      </c>
      <c r="R392" s="896">
        <v>0</v>
      </c>
      <c r="S392" s="914">
        <v>0</v>
      </c>
      <c r="T392" s="870">
        <v>0</v>
      </c>
      <c r="U392" s="870">
        <v>0</v>
      </c>
      <c r="V392" s="872">
        <v>0</v>
      </c>
      <c r="W392" s="870">
        <v>0</v>
      </c>
      <c r="X392" s="877">
        <v>7.0720477287122687</v>
      </c>
    </row>
    <row r="393" spans="1:24">
      <c r="A393" s="862"/>
      <c r="B393" s="859" t="s">
        <v>377</v>
      </c>
      <c r="C393" s="870">
        <v>1088728123</v>
      </c>
      <c r="D393" s="896">
        <v>480273289</v>
      </c>
      <c r="E393" s="896">
        <v>1021073242</v>
      </c>
      <c r="F393" s="896">
        <v>75176171</v>
      </c>
      <c r="G393" s="896">
        <v>158845255</v>
      </c>
      <c r="H393" s="896">
        <v>90966183</v>
      </c>
      <c r="I393" s="872">
        <v>2915062263</v>
      </c>
      <c r="J393" s="872"/>
      <c r="K393" s="896">
        <v>521106098</v>
      </c>
      <c r="L393" s="896">
        <v>560389753</v>
      </c>
      <c r="M393" s="896">
        <v>113288709</v>
      </c>
      <c r="N393" s="896"/>
      <c r="O393" s="872">
        <v>1194784560</v>
      </c>
      <c r="P393" s="870"/>
      <c r="Q393" s="896"/>
      <c r="R393" s="896"/>
      <c r="S393" s="914"/>
      <c r="T393" s="870">
        <v>0</v>
      </c>
      <c r="U393" s="870">
        <v>0</v>
      </c>
      <c r="V393" s="872">
        <v>62786114</v>
      </c>
      <c r="W393" s="870">
        <v>62786114</v>
      </c>
      <c r="X393" s="877">
        <v>4172632937</v>
      </c>
    </row>
    <row r="394" spans="1:24" s="216" customFormat="1">
      <c r="A394" s="862"/>
      <c r="B394" s="859" t="s">
        <v>379</v>
      </c>
      <c r="C394" s="870">
        <v>1155314269</v>
      </c>
      <c r="D394" s="896">
        <v>514530505</v>
      </c>
      <c r="E394" s="896">
        <v>1083721376</v>
      </c>
      <c r="F394" s="896">
        <v>77248411</v>
      </c>
      <c r="G394" s="896">
        <v>165417563</v>
      </c>
      <c r="H394" s="896">
        <v>98063031</v>
      </c>
      <c r="I394" s="872">
        <v>3094295155</v>
      </c>
      <c r="J394" s="872"/>
      <c r="K394" s="896">
        <v>565292248</v>
      </c>
      <c r="L394" s="896">
        <v>596582965</v>
      </c>
      <c r="M394" s="896">
        <v>117759418</v>
      </c>
      <c r="N394" s="896"/>
      <c r="O394" s="872">
        <v>1279634631</v>
      </c>
      <c r="P394" s="870"/>
      <c r="Q394" s="896"/>
      <c r="R394" s="896"/>
      <c r="S394" s="914"/>
      <c r="T394" s="870">
        <v>0</v>
      </c>
      <c r="U394" s="870">
        <v>0</v>
      </c>
      <c r="V394" s="872">
        <v>60795675</v>
      </c>
      <c r="W394" s="870">
        <v>60795675</v>
      </c>
      <c r="X394" s="877">
        <v>4434725461</v>
      </c>
    </row>
    <row r="395" spans="1:24" s="228" customFormat="1" ht="13.5" thickBot="1">
      <c r="A395" s="897"/>
      <c r="B395" s="859" t="s">
        <v>381</v>
      </c>
      <c r="C395" s="870">
        <v>6.1159571975160603</v>
      </c>
      <c r="D395" s="896">
        <v>7.1328588919297564</v>
      </c>
      <c r="E395" s="896">
        <v>6.135518141410663</v>
      </c>
      <c r="F395" s="896">
        <v>2.756511767538679</v>
      </c>
      <c r="G395" s="896">
        <v>4.1375538727927381</v>
      </c>
      <c r="H395" s="896">
        <v>7.8016332728833975</v>
      </c>
      <c r="I395" s="872">
        <v>6.1485099057728085</v>
      </c>
      <c r="J395" s="872">
        <v>0</v>
      </c>
      <c r="K395" s="896">
        <v>8.4793001213353669</v>
      </c>
      <c r="L395" s="896">
        <v>6.4585784815376526</v>
      </c>
      <c r="M395" s="896">
        <v>3.9462970665505597</v>
      </c>
      <c r="N395" s="896">
        <v>0</v>
      </c>
      <c r="O395" s="872">
        <v>7.1017046788753282</v>
      </c>
      <c r="P395" s="870">
        <v>0</v>
      </c>
      <c r="Q395" s="896">
        <v>0</v>
      </c>
      <c r="R395" s="896">
        <v>0</v>
      </c>
      <c r="S395" s="914">
        <v>0</v>
      </c>
      <c r="T395" s="870">
        <v>0</v>
      </c>
      <c r="U395" s="870">
        <v>0</v>
      </c>
      <c r="V395" s="872">
        <v>-3.1701898289166293</v>
      </c>
      <c r="W395" s="870">
        <v>-3.1701898289166293</v>
      </c>
      <c r="X395" s="877">
        <v>6.2812264571835739</v>
      </c>
    </row>
    <row r="396" spans="1:24">
      <c r="A396" s="858" t="s">
        <v>1282</v>
      </c>
      <c r="B396" s="858" t="s">
        <v>1347</v>
      </c>
      <c r="C396" s="866">
        <v>307054391</v>
      </c>
      <c r="D396" s="864"/>
      <c r="E396" s="864">
        <v>99408393</v>
      </c>
      <c r="F396" s="864"/>
      <c r="G396" s="864">
        <v>120142639</v>
      </c>
      <c r="H396" s="864">
        <v>30526479</v>
      </c>
      <c r="I396" s="865">
        <v>557131902</v>
      </c>
      <c r="J396" s="865">
        <v>15280028</v>
      </c>
      <c r="K396" s="864">
        <v>64145948</v>
      </c>
      <c r="L396" s="864">
        <v>44657789</v>
      </c>
      <c r="M396" s="864">
        <v>55863750</v>
      </c>
      <c r="N396" s="864"/>
      <c r="O396" s="865">
        <v>179947515</v>
      </c>
      <c r="P396" s="863"/>
      <c r="Q396" s="864"/>
      <c r="R396" s="864"/>
      <c r="S396" s="913"/>
      <c r="T396" s="863"/>
      <c r="U396" s="863"/>
      <c r="V396" s="865"/>
      <c r="W396" s="863"/>
      <c r="X396" s="869">
        <v>737079417</v>
      </c>
    </row>
    <row r="397" spans="1:24" s="216" customFormat="1">
      <c r="A397" s="862"/>
      <c r="B397" s="859" t="s">
        <v>60</v>
      </c>
      <c r="C397" s="873">
        <v>299906563</v>
      </c>
      <c r="D397" s="896"/>
      <c r="E397" s="896">
        <v>95697230</v>
      </c>
      <c r="F397" s="896"/>
      <c r="G397" s="896">
        <v>119915435</v>
      </c>
      <c r="H397" s="896">
        <v>29971394</v>
      </c>
      <c r="I397" s="872">
        <v>545490622</v>
      </c>
      <c r="J397" s="872">
        <v>15399432</v>
      </c>
      <c r="K397" s="896">
        <v>63931101</v>
      </c>
      <c r="L397" s="896">
        <v>44477497</v>
      </c>
      <c r="M397" s="896">
        <v>55069602</v>
      </c>
      <c r="N397" s="896"/>
      <c r="O397" s="872">
        <v>178877632</v>
      </c>
      <c r="P397" s="870"/>
      <c r="Q397" s="896"/>
      <c r="R397" s="896"/>
      <c r="S397" s="914"/>
      <c r="T397" s="870"/>
      <c r="U397" s="870"/>
      <c r="V397" s="872"/>
      <c r="W397" s="870"/>
      <c r="X397" s="877">
        <v>724368254</v>
      </c>
    </row>
    <row r="398" spans="1:24" s="215" customFormat="1" ht="13.5" thickBot="1">
      <c r="A398" s="862"/>
      <c r="B398" s="859" t="s">
        <v>906</v>
      </c>
      <c r="C398" s="886">
        <v>-2.3278703088144406</v>
      </c>
      <c r="D398" s="896">
        <v>0</v>
      </c>
      <c r="E398" s="896">
        <v>-3.7332491633779856</v>
      </c>
      <c r="F398" s="896">
        <v>0</v>
      </c>
      <c r="G398" s="896">
        <v>-0.18911187725783185</v>
      </c>
      <c r="H398" s="896">
        <v>-1.8183721745308392</v>
      </c>
      <c r="I398" s="872">
        <v>-2.0895015988511823</v>
      </c>
      <c r="J398" s="872">
        <v>0.78143835862080879</v>
      </c>
      <c r="K398" s="896">
        <v>-0.3349346399869248</v>
      </c>
      <c r="L398" s="896">
        <v>-0.40371904663708269</v>
      </c>
      <c r="M398" s="896">
        <v>-1.4215801839296502</v>
      </c>
      <c r="N398" s="896">
        <v>0</v>
      </c>
      <c r="O398" s="872">
        <v>-0.59455280613349959</v>
      </c>
      <c r="P398" s="870">
        <v>0</v>
      </c>
      <c r="Q398" s="896">
        <v>0</v>
      </c>
      <c r="R398" s="896">
        <v>0</v>
      </c>
      <c r="S398" s="914">
        <v>0</v>
      </c>
      <c r="T398" s="870">
        <v>0</v>
      </c>
      <c r="U398" s="870">
        <v>0</v>
      </c>
      <c r="V398" s="872">
        <v>0</v>
      </c>
      <c r="W398" s="870">
        <v>0</v>
      </c>
      <c r="X398" s="877">
        <v>-1.7245309944667739</v>
      </c>
    </row>
    <row r="399" spans="1:24">
      <c r="A399" s="862"/>
      <c r="B399" s="859" t="s">
        <v>1370</v>
      </c>
      <c r="C399" s="870">
        <v>59428295</v>
      </c>
      <c r="D399" s="896"/>
      <c r="E399" s="896"/>
      <c r="F399" s="896"/>
      <c r="G399" s="896"/>
      <c r="H399" s="896"/>
      <c r="I399" s="872">
        <v>59428295</v>
      </c>
      <c r="J399" s="872"/>
      <c r="K399" s="896"/>
      <c r="L399" s="896"/>
      <c r="M399" s="896"/>
      <c r="N399" s="896"/>
      <c r="O399" s="872"/>
      <c r="P399" s="870"/>
      <c r="Q399" s="896"/>
      <c r="R399" s="896"/>
      <c r="S399" s="914"/>
      <c r="T399" s="870"/>
      <c r="U399" s="870"/>
      <c r="V399" s="872">
        <v>17600699</v>
      </c>
      <c r="W399" s="866">
        <v>17600699</v>
      </c>
      <c r="X399" s="877">
        <v>77028994</v>
      </c>
    </row>
    <row r="400" spans="1:24" s="216" customFormat="1">
      <c r="A400" s="862"/>
      <c r="B400" s="859" t="s">
        <v>1611</v>
      </c>
      <c r="C400" s="870">
        <v>59836787</v>
      </c>
      <c r="D400" s="896"/>
      <c r="E400" s="896"/>
      <c r="F400" s="896"/>
      <c r="G400" s="896"/>
      <c r="H400" s="896"/>
      <c r="I400" s="872">
        <v>59836787</v>
      </c>
      <c r="J400" s="872"/>
      <c r="K400" s="896"/>
      <c r="L400" s="896"/>
      <c r="M400" s="896"/>
      <c r="N400" s="896"/>
      <c r="O400" s="872"/>
      <c r="P400" s="870"/>
      <c r="Q400" s="896"/>
      <c r="R400" s="896"/>
      <c r="S400" s="914"/>
      <c r="T400" s="870"/>
      <c r="U400" s="870"/>
      <c r="V400" s="872">
        <v>17595659</v>
      </c>
      <c r="W400" s="873">
        <v>17595659</v>
      </c>
      <c r="X400" s="877">
        <v>77432446</v>
      </c>
    </row>
    <row r="401" spans="1:24" s="215" customFormat="1" ht="13.5" thickBot="1">
      <c r="A401" s="862"/>
      <c r="B401" s="859" t="s">
        <v>1613</v>
      </c>
      <c r="C401" s="870">
        <v>0.68736954341362144</v>
      </c>
      <c r="D401" s="896">
        <v>0</v>
      </c>
      <c r="E401" s="896">
        <v>0</v>
      </c>
      <c r="F401" s="896">
        <v>0</v>
      </c>
      <c r="G401" s="896">
        <v>0</v>
      </c>
      <c r="H401" s="896">
        <v>0</v>
      </c>
      <c r="I401" s="872">
        <v>0.68736954341362144</v>
      </c>
      <c r="J401" s="872">
        <v>0</v>
      </c>
      <c r="K401" s="896">
        <v>0</v>
      </c>
      <c r="L401" s="896">
        <v>0</v>
      </c>
      <c r="M401" s="896">
        <v>0</v>
      </c>
      <c r="N401" s="896">
        <v>0</v>
      </c>
      <c r="O401" s="872">
        <v>0</v>
      </c>
      <c r="P401" s="870">
        <v>0</v>
      </c>
      <c r="Q401" s="896">
        <v>0</v>
      </c>
      <c r="R401" s="896">
        <v>0</v>
      </c>
      <c r="S401" s="914">
        <v>0</v>
      </c>
      <c r="T401" s="870">
        <v>0</v>
      </c>
      <c r="U401" s="870">
        <v>0</v>
      </c>
      <c r="V401" s="872">
        <v>-2.8635226362316635E-2</v>
      </c>
      <c r="W401" s="886">
        <v>-2.8635226362316635E-2</v>
      </c>
      <c r="X401" s="877">
        <v>0.52376641450101236</v>
      </c>
    </row>
    <row r="402" spans="1:24">
      <c r="A402" s="862"/>
      <c r="B402" s="859" t="s">
        <v>61</v>
      </c>
      <c r="C402" s="870"/>
      <c r="D402" s="896"/>
      <c r="E402" s="896"/>
      <c r="F402" s="896"/>
      <c r="G402" s="896"/>
      <c r="H402" s="896"/>
      <c r="I402" s="872"/>
      <c r="J402" s="872"/>
      <c r="K402" s="866">
        <v>34445173</v>
      </c>
      <c r="L402" s="896">
        <v>1600000</v>
      </c>
      <c r="M402" s="896"/>
      <c r="N402" s="896"/>
      <c r="O402" s="872">
        <v>36045173</v>
      </c>
      <c r="P402" s="867"/>
      <c r="Q402" s="868"/>
      <c r="R402" s="896"/>
      <c r="S402" s="914"/>
      <c r="T402" s="870"/>
      <c r="U402" s="870"/>
      <c r="V402" s="872"/>
      <c r="W402" s="870"/>
      <c r="X402" s="877">
        <v>36045173</v>
      </c>
    </row>
    <row r="403" spans="1:24" s="216" customFormat="1">
      <c r="A403" s="862"/>
      <c r="B403" s="859" t="s">
        <v>62</v>
      </c>
      <c r="C403" s="870"/>
      <c r="D403" s="896"/>
      <c r="E403" s="896"/>
      <c r="F403" s="896"/>
      <c r="G403" s="896"/>
      <c r="H403" s="896"/>
      <c r="I403" s="872"/>
      <c r="J403" s="872"/>
      <c r="K403" s="873">
        <v>38966238</v>
      </c>
      <c r="L403" s="896">
        <v>1700000</v>
      </c>
      <c r="M403" s="896"/>
      <c r="N403" s="896"/>
      <c r="O403" s="872">
        <v>40666238</v>
      </c>
      <c r="P403" s="875"/>
      <c r="Q403" s="876"/>
      <c r="R403" s="896"/>
      <c r="S403" s="914"/>
      <c r="T403" s="870"/>
      <c r="U403" s="870"/>
      <c r="V403" s="872"/>
      <c r="W403" s="870"/>
      <c r="X403" s="877">
        <v>40666238</v>
      </c>
    </row>
    <row r="404" spans="1:24" s="215" customFormat="1" ht="13.5" thickBot="1">
      <c r="A404" s="862"/>
      <c r="B404" s="859" t="s">
        <v>1816</v>
      </c>
      <c r="C404" s="870">
        <v>0</v>
      </c>
      <c r="D404" s="896">
        <v>0</v>
      </c>
      <c r="E404" s="896">
        <v>0</v>
      </c>
      <c r="F404" s="896">
        <v>0</v>
      </c>
      <c r="G404" s="896">
        <v>0</v>
      </c>
      <c r="H404" s="896">
        <v>0</v>
      </c>
      <c r="I404" s="872">
        <v>0</v>
      </c>
      <c r="J404" s="872">
        <v>0</v>
      </c>
      <c r="K404" s="886">
        <v>13.125394957371823</v>
      </c>
      <c r="L404" s="896">
        <v>6.25</v>
      </c>
      <c r="M404" s="896">
        <v>0</v>
      </c>
      <c r="N404" s="896">
        <v>0</v>
      </c>
      <c r="O404" s="872">
        <v>12.820204802457184</v>
      </c>
      <c r="P404" s="889">
        <v>0</v>
      </c>
      <c r="Q404" s="888">
        <v>0</v>
      </c>
      <c r="R404" s="896">
        <v>0</v>
      </c>
      <c r="S404" s="914">
        <v>0</v>
      </c>
      <c r="T404" s="870">
        <v>0</v>
      </c>
      <c r="U404" s="870">
        <v>0</v>
      </c>
      <c r="V404" s="872">
        <v>0</v>
      </c>
      <c r="W404" s="870">
        <v>0</v>
      </c>
      <c r="X404" s="877">
        <v>12.820204802457184</v>
      </c>
    </row>
    <row r="405" spans="1:24">
      <c r="A405" s="862"/>
      <c r="B405" s="859" t="s">
        <v>1588</v>
      </c>
      <c r="C405" s="870">
        <v>319345629</v>
      </c>
      <c r="D405" s="896"/>
      <c r="E405" s="866">
        <v>80175622</v>
      </c>
      <c r="F405" s="896"/>
      <c r="G405" s="896">
        <v>87796587</v>
      </c>
      <c r="H405" s="896">
        <v>19358647</v>
      </c>
      <c r="I405" s="872">
        <v>506676485</v>
      </c>
      <c r="J405" s="898">
        <v>8462946</v>
      </c>
      <c r="K405" s="896">
        <v>42061153</v>
      </c>
      <c r="L405" s="896">
        <v>28997826</v>
      </c>
      <c r="M405" s="896">
        <v>27994946</v>
      </c>
      <c r="N405" s="896"/>
      <c r="O405" s="872">
        <v>107516871</v>
      </c>
      <c r="P405" s="870"/>
      <c r="Q405" s="873"/>
      <c r="R405" s="896"/>
      <c r="S405" s="914"/>
      <c r="T405" s="870"/>
      <c r="U405" s="870"/>
      <c r="V405" s="872"/>
      <c r="W405" s="870"/>
      <c r="X405" s="877">
        <v>614193356</v>
      </c>
    </row>
    <row r="406" spans="1:24" s="216" customFormat="1">
      <c r="A406" s="862"/>
      <c r="B406" s="859" t="s">
        <v>251</v>
      </c>
      <c r="C406" s="870">
        <v>357701854</v>
      </c>
      <c r="D406" s="896"/>
      <c r="E406" s="873">
        <v>87659604</v>
      </c>
      <c r="F406" s="896"/>
      <c r="G406" s="896">
        <v>94356614</v>
      </c>
      <c r="H406" s="896">
        <v>22622766</v>
      </c>
      <c r="I406" s="872">
        <v>562340838</v>
      </c>
      <c r="J406" s="899">
        <v>9031443</v>
      </c>
      <c r="K406" s="896">
        <v>47174207</v>
      </c>
      <c r="L406" s="896">
        <v>35303752</v>
      </c>
      <c r="M406" s="896">
        <v>29877890</v>
      </c>
      <c r="N406" s="896"/>
      <c r="O406" s="872">
        <v>121387292</v>
      </c>
      <c r="P406" s="870"/>
      <c r="Q406" s="873"/>
      <c r="R406" s="896"/>
      <c r="S406" s="914"/>
      <c r="T406" s="870"/>
      <c r="U406" s="870"/>
      <c r="V406" s="872"/>
      <c r="W406" s="870"/>
      <c r="X406" s="877">
        <v>683728130</v>
      </c>
    </row>
    <row r="407" spans="1:24" s="215" customFormat="1" ht="13.5" thickBot="1">
      <c r="A407" s="862"/>
      <c r="B407" s="859" t="s">
        <v>1759</v>
      </c>
      <c r="C407" s="870">
        <v>12.010881476633582</v>
      </c>
      <c r="D407" s="896">
        <v>0</v>
      </c>
      <c r="E407" s="886">
        <v>9.3344857368240941</v>
      </c>
      <c r="F407" s="896">
        <v>0</v>
      </c>
      <c r="G407" s="896">
        <v>7.4718473965280685</v>
      </c>
      <c r="H407" s="896">
        <v>16.861297176398743</v>
      </c>
      <c r="I407" s="872">
        <v>10.9861725672941</v>
      </c>
      <c r="J407" s="900">
        <v>6.7174834862469872</v>
      </c>
      <c r="K407" s="896">
        <v>12.156238322805844</v>
      </c>
      <c r="L407" s="896">
        <v>21.746202629121232</v>
      </c>
      <c r="M407" s="896">
        <v>6.7260140455352193</v>
      </c>
      <c r="N407" s="896">
        <v>0</v>
      </c>
      <c r="O407" s="872">
        <v>12.900692580609046</v>
      </c>
      <c r="P407" s="870">
        <v>0</v>
      </c>
      <c r="Q407" s="886">
        <v>0</v>
      </c>
      <c r="R407" s="896">
        <v>0</v>
      </c>
      <c r="S407" s="914">
        <v>0</v>
      </c>
      <c r="T407" s="870">
        <v>0</v>
      </c>
      <c r="U407" s="870">
        <v>0</v>
      </c>
      <c r="V407" s="872">
        <v>0</v>
      </c>
      <c r="W407" s="870">
        <v>0</v>
      </c>
      <c r="X407" s="877">
        <v>11.321316539933395</v>
      </c>
    </row>
    <row r="408" spans="1:24">
      <c r="A408" s="862"/>
      <c r="B408" s="859" t="s">
        <v>1590</v>
      </c>
      <c r="C408" s="870"/>
      <c r="D408" s="896"/>
      <c r="E408" s="896"/>
      <c r="F408" s="896"/>
      <c r="G408" s="896"/>
      <c r="H408" s="896"/>
      <c r="I408" s="872"/>
      <c r="J408" s="872"/>
      <c r="K408" s="896"/>
      <c r="L408" s="896"/>
      <c r="M408" s="896"/>
      <c r="N408" s="896"/>
      <c r="O408" s="872"/>
      <c r="P408" s="870"/>
      <c r="Q408" s="896"/>
      <c r="R408" s="896"/>
      <c r="S408" s="914"/>
      <c r="T408" s="870"/>
      <c r="U408" s="870"/>
      <c r="V408" s="872"/>
      <c r="W408" s="870"/>
      <c r="X408" s="877"/>
    </row>
    <row r="409" spans="1:24" s="216" customFormat="1">
      <c r="A409" s="862"/>
      <c r="B409" s="859" t="s">
        <v>1319</v>
      </c>
      <c r="C409" s="870"/>
      <c r="D409" s="896"/>
      <c r="E409" s="896"/>
      <c r="F409" s="896"/>
      <c r="G409" s="896"/>
      <c r="H409" s="896"/>
      <c r="I409" s="872"/>
      <c r="J409" s="872"/>
      <c r="K409" s="896"/>
      <c r="L409" s="896"/>
      <c r="M409" s="896"/>
      <c r="N409" s="896"/>
      <c r="O409" s="872"/>
      <c r="P409" s="870"/>
      <c r="Q409" s="896"/>
      <c r="R409" s="896"/>
      <c r="S409" s="914"/>
      <c r="T409" s="870"/>
      <c r="U409" s="870"/>
      <c r="V409" s="872"/>
      <c r="W409" s="870"/>
      <c r="X409" s="877"/>
    </row>
    <row r="410" spans="1:24" s="215" customFormat="1" ht="13.5" thickBot="1">
      <c r="A410" s="862"/>
      <c r="B410" s="859" t="s">
        <v>1330</v>
      </c>
      <c r="C410" s="870">
        <v>0</v>
      </c>
      <c r="D410" s="896">
        <v>0</v>
      </c>
      <c r="E410" s="896">
        <v>0</v>
      </c>
      <c r="F410" s="896">
        <v>0</v>
      </c>
      <c r="G410" s="896">
        <v>0</v>
      </c>
      <c r="H410" s="896">
        <v>0</v>
      </c>
      <c r="I410" s="872">
        <v>0</v>
      </c>
      <c r="J410" s="872">
        <v>0</v>
      </c>
      <c r="K410" s="896">
        <v>0</v>
      </c>
      <c r="L410" s="896">
        <v>0</v>
      </c>
      <c r="M410" s="896">
        <v>0</v>
      </c>
      <c r="N410" s="896">
        <v>0</v>
      </c>
      <c r="O410" s="872">
        <v>0</v>
      </c>
      <c r="P410" s="870">
        <v>0</v>
      </c>
      <c r="Q410" s="896">
        <v>0</v>
      </c>
      <c r="R410" s="896">
        <v>0</v>
      </c>
      <c r="S410" s="914">
        <v>0</v>
      </c>
      <c r="T410" s="870">
        <v>0</v>
      </c>
      <c r="U410" s="870">
        <v>0</v>
      </c>
      <c r="V410" s="872">
        <v>0</v>
      </c>
      <c r="W410" s="870">
        <v>0</v>
      </c>
      <c r="X410" s="877">
        <v>0</v>
      </c>
    </row>
    <row r="411" spans="1:24">
      <c r="A411" s="862"/>
      <c r="B411" s="859" t="s">
        <v>1889</v>
      </c>
      <c r="C411" s="870">
        <v>319345629</v>
      </c>
      <c r="D411" s="896"/>
      <c r="E411" s="896">
        <v>80175622</v>
      </c>
      <c r="F411" s="896"/>
      <c r="G411" s="896">
        <v>87796587</v>
      </c>
      <c r="H411" s="896">
        <v>19358647</v>
      </c>
      <c r="I411" s="872">
        <v>506676485</v>
      </c>
      <c r="J411" s="898">
        <v>8462946</v>
      </c>
      <c r="K411" s="868">
        <v>42061153</v>
      </c>
      <c r="L411" s="896">
        <v>28997826</v>
      </c>
      <c r="M411" s="896">
        <v>27994946</v>
      </c>
      <c r="N411" s="896"/>
      <c r="O411" s="872">
        <v>107516871</v>
      </c>
      <c r="P411" s="870"/>
      <c r="Q411" s="896"/>
      <c r="R411" s="896"/>
      <c r="S411" s="914"/>
      <c r="T411" s="870"/>
      <c r="U411" s="870"/>
      <c r="V411" s="872">
        <v>0</v>
      </c>
      <c r="W411" s="870">
        <v>0</v>
      </c>
      <c r="X411" s="877">
        <v>614193356</v>
      </c>
    </row>
    <row r="412" spans="1:24" s="216" customFormat="1">
      <c r="A412" s="862"/>
      <c r="B412" s="859" t="s">
        <v>626</v>
      </c>
      <c r="C412" s="870">
        <v>357701854</v>
      </c>
      <c r="D412" s="896"/>
      <c r="E412" s="896">
        <v>87659604</v>
      </c>
      <c r="F412" s="896"/>
      <c r="G412" s="896">
        <v>94356614</v>
      </c>
      <c r="H412" s="896">
        <v>22622766</v>
      </c>
      <c r="I412" s="872">
        <v>562340838</v>
      </c>
      <c r="J412" s="899">
        <v>9031443</v>
      </c>
      <c r="K412" s="876">
        <v>47174207</v>
      </c>
      <c r="L412" s="896">
        <v>35303752</v>
      </c>
      <c r="M412" s="896">
        <v>29877890</v>
      </c>
      <c r="N412" s="896"/>
      <c r="O412" s="872">
        <v>121387292</v>
      </c>
      <c r="P412" s="870"/>
      <c r="Q412" s="896"/>
      <c r="R412" s="896"/>
      <c r="S412" s="914"/>
      <c r="T412" s="870"/>
      <c r="U412" s="870"/>
      <c r="V412" s="872">
        <v>0</v>
      </c>
      <c r="W412" s="870">
        <v>0</v>
      </c>
      <c r="X412" s="877">
        <v>683728130</v>
      </c>
    </row>
    <row r="413" spans="1:24" s="215" customFormat="1" ht="13.5" thickBot="1">
      <c r="A413" s="862"/>
      <c r="B413" s="859" t="s">
        <v>456</v>
      </c>
      <c r="C413" s="870">
        <v>12.010881476633582</v>
      </c>
      <c r="D413" s="896">
        <v>0</v>
      </c>
      <c r="E413" s="896">
        <v>9.3344857368240941</v>
      </c>
      <c r="F413" s="896">
        <v>0</v>
      </c>
      <c r="G413" s="896">
        <v>7.4718473965280685</v>
      </c>
      <c r="H413" s="896">
        <v>16.861297176398743</v>
      </c>
      <c r="I413" s="872">
        <v>10.9861725672941</v>
      </c>
      <c r="J413" s="900">
        <v>6.7174834862469872</v>
      </c>
      <c r="K413" s="888">
        <v>12.156238322805844</v>
      </c>
      <c r="L413" s="896">
        <v>21.746202629121232</v>
      </c>
      <c r="M413" s="896">
        <v>6.7260140455352193</v>
      </c>
      <c r="N413" s="896">
        <v>0</v>
      </c>
      <c r="O413" s="872">
        <v>12.900692580609046</v>
      </c>
      <c r="P413" s="870">
        <v>0</v>
      </c>
      <c r="Q413" s="896">
        <v>0</v>
      </c>
      <c r="R413" s="896">
        <v>0</v>
      </c>
      <c r="S413" s="914">
        <v>0</v>
      </c>
      <c r="T413" s="870">
        <v>0</v>
      </c>
      <c r="U413" s="870">
        <v>0</v>
      </c>
      <c r="V413" s="872">
        <v>0</v>
      </c>
      <c r="W413" s="870">
        <v>0</v>
      </c>
      <c r="X413" s="877">
        <v>11.321316539933395</v>
      </c>
    </row>
    <row r="414" spans="1:24">
      <c r="A414" s="862"/>
      <c r="B414" s="859" t="s">
        <v>628</v>
      </c>
      <c r="C414" s="870"/>
      <c r="D414" s="896"/>
      <c r="E414" s="896"/>
      <c r="F414" s="896"/>
      <c r="G414" s="896"/>
      <c r="H414" s="896"/>
      <c r="I414" s="872"/>
      <c r="J414" s="872"/>
      <c r="K414" s="896"/>
      <c r="L414" s="896"/>
      <c r="M414" s="896"/>
      <c r="N414" s="896"/>
      <c r="O414" s="872"/>
      <c r="P414" s="870"/>
      <c r="Q414" s="896"/>
      <c r="R414" s="896"/>
      <c r="S414" s="914"/>
      <c r="T414" s="870"/>
      <c r="U414" s="870"/>
      <c r="V414" s="872">
        <v>80611031</v>
      </c>
      <c r="W414" s="870">
        <v>80611031</v>
      </c>
      <c r="X414" s="877">
        <v>80611031</v>
      </c>
    </row>
    <row r="415" spans="1:24" s="216" customFormat="1">
      <c r="A415" s="862"/>
      <c r="B415" s="859" t="s">
        <v>630</v>
      </c>
      <c r="C415" s="870"/>
      <c r="D415" s="896"/>
      <c r="E415" s="896"/>
      <c r="F415" s="896"/>
      <c r="G415" s="896"/>
      <c r="H415" s="896"/>
      <c r="I415" s="872"/>
      <c r="J415" s="872"/>
      <c r="K415" s="896"/>
      <c r="L415" s="896"/>
      <c r="M415" s="896"/>
      <c r="N415" s="896"/>
      <c r="O415" s="872"/>
      <c r="P415" s="870"/>
      <c r="Q415" s="896"/>
      <c r="R415" s="896"/>
      <c r="S415" s="914"/>
      <c r="T415" s="870"/>
      <c r="U415" s="870"/>
      <c r="V415" s="872">
        <v>87209344</v>
      </c>
      <c r="W415" s="870">
        <v>87209344</v>
      </c>
      <c r="X415" s="877">
        <v>87209344</v>
      </c>
    </row>
    <row r="416" spans="1:24" s="215" customFormat="1">
      <c r="A416" s="862"/>
      <c r="B416" s="859" t="s">
        <v>632</v>
      </c>
      <c r="C416" s="870">
        <v>0</v>
      </c>
      <c r="D416" s="896">
        <v>0</v>
      </c>
      <c r="E416" s="896">
        <v>0</v>
      </c>
      <c r="F416" s="896">
        <v>0</v>
      </c>
      <c r="G416" s="896">
        <v>0</v>
      </c>
      <c r="H416" s="896">
        <v>0</v>
      </c>
      <c r="I416" s="872">
        <v>0</v>
      </c>
      <c r="J416" s="872">
        <v>0</v>
      </c>
      <c r="K416" s="896">
        <v>0</v>
      </c>
      <c r="L416" s="896">
        <v>0</v>
      </c>
      <c r="M416" s="896">
        <v>0</v>
      </c>
      <c r="N416" s="896">
        <v>0</v>
      </c>
      <c r="O416" s="872">
        <v>0</v>
      </c>
      <c r="P416" s="870">
        <v>0</v>
      </c>
      <c r="Q416" s="896">
        <v>0</v>
      </c>
      <c r="R416" s="896">
        <v>0</v>
      </c>
      <c r="S416" s="914">
        <v>0</v>
      </c>
      <c r="T416" s="870">
        <v>0</v>
      </c>
      <c r="U416" s="870">
        <v>0</v>
      </c>
      <c r="V416" s="872">
        <v>8.1853722972480032</v>
      </c>
      <c r="W416" s="870">
        <v>8.1853722972480032</v>
      </c>
      <c r="X416" s="877">
        <v>8.1853722972480032</v>
      </c>
    </row>
    <row r="417" spans="1:24">
      <c r="A417" s="862"/>
      <c r="B417" s="859" t="s">
        <v>1608</v>
      </c>
      <c r="C417" s="870"/>
      <c r="D417" s="896"/>
      <c r="E417" s="896"/>
      <c r="F417" s="896"/>
      <c r="G417" s="896"/>
      <c r="H417" s="896"/>
      <c r="I417" s="872"/>
      <c r="J417" s="872"/>
      <c r="K417" s="896"/>
      <c r="L417" s="896"/>
      <c r="M417" s="896"/>
      <c r="N417" s="896"/>
      <c r="O417" s="872"/>
      <c r="P417" s="870"/>
      <c r="Q417" s="896"/>
      <c r="R417" s="896"/>
      <c r="S417" s="914"/>
      <c r="T417" s="870"/>
      <c r="U417" s="870"/>
      <c r="V417" s="872"/>
      <c r="W417" s="870"/>
      <c r="X417" s="877"/>
    </row>
    <row r="418" spans="1:24" s="216" customFormat="1">
      <c r="A418" s="862"/>
      <c r="B418" s="859" t="s">
        <v>1291</v>
      </c>
      <c r="C418" s="870"/>
      <c r="D418" s="896"/>
      <c r="E418" s="896"/>
      <c r="F418" s="896"/>
      <c r="G418" s="896"/>
      <c r="H418" s="896"/>
      <c r="I418" s="872"/>
      <c r="J418" s="872"/>
      <c r="K418" s="896"/>
      <c r="L418" s="896"/>
      <c r="M418" s="896"/>
      <c r="N418" s="896"/>
      <c r="O418" s="872"/>
      <c r="P418" s="870"/>
      <c r="Q418" s="896"/>
      <c r="R418" s="896"/>
      <c r="S418" s="914"/>
      <c r="T418" s="870"/>
      <c r="U418" s="870"/>
      <c r="V418" s="872"/>
      <c r="W418" s="870"/>
      <c r="X418" s="877"/>
    </row>
    <row r="419" spans="1:24" s="215" customFormat="1">
      <c r="A419" s="862"/>
      <c r="B419" s="859" t="s">
        <v>458</v>
      </c>
      <c r="C419" s="870">
        <v>0</v>
      </c>
      <c r="D419" s="896">
        <v>0</v>
      </c>
      <c r="E419" s="896">
        <v>0</v>
      </c>
      <c r="F419" s="896">
        <v>0</v>
      </c>
      <c r="G419" s="896">
        <v>0</v>
      </c>
      <c r="H419" s="896">
        <v>0</v>
      </c>
      <c r="I419" s="872">
        <v>0</v>
      </c>
      <c r="J419" s="872">
        <v>0</v>
      </c>
      <c r="K419" s="896">
        <v>0</v>
      </c>
      <c r="L419" s="896">
        <v>0</v>
      </c>
      <c r="M419" s="896">
        <v>0</v>
      </c>
      <c r="N419" s="896">
        <v>0</v>
      </c>
      <c r="O419" s="872">
        <v>0</v>
      </c>
      <c r="P419" s="870">
        <v>0</v>
      </c>
      <c r="Q419" s="896">
        <v>0</v>
      </c>
      <c r="R419" s="896">
        <v>0</v>
      </c>
      <c r="S419" s="914">
        <v>0</v>
      </c>
      <c r="T419" s="870">
        <v>0</v>
      </c>
      <c r="U419" s="870">
        <v>0</v>
      </c>
      <c r="V419" s="872">
        <v>0</v>
      </c>
      <c r="W419" s="870">
        <v>0</v>
      </c>
      <c r="X419" s="877">
        <v>0</v>
      </c>
    </row>
    <row r="420" spans="1:24">
      <c r="A420" s="862"/>
      <c r="B420" s="859" t="s">
        <v>1287</v>
      </c>
      <c r="C420" s="870"/>
      <c r="D420" s="896"/>
      <c r="E420" s="896"/>
      <c r="F420" s="896"/>
      <c r="G420" s="896"/>
      <c r="H420" s="896"/>
      <c r="I420" s="872"/>
      <c r="J420" s="872"/>
      <c r="K420" s="896"/>
      <c r="L420" s="896"/>
      <c r="M420" s="896"/>
      <c r="N420" s="896"/>
      <c r="O420" s="872"/>
      <c r="P420" s="870"/>
      <c r="Q420" s="896"/>
      <c r="R420" s="896"/>
      <c r="S420" s="914"/>
      <c r="T420" s="870"/>
      <c r="U420" s="870"/>
      <c r="V420" s="872"/>
      <c r="W420" s="870"/>
      <c r="X420" s="877"/>
    </row>
    <row r="421" spans="1:24" s="216" customFormat="1">
      <c r="A421" s="862"/>
      <c r="B421" s="859" t="s">
        <v>673</v>
      </c>
      <c r="C421" s="870"/>
      <c r="D421" s="896"/>
      <c r="E421" s="896"/>
      <c r="F421" s="896"/>
      <c r="G421" s="896"/>
      <c r="H421" s="896"/>
      <c r="I421" s="872"/>
      <c r="J421" s="872"/>
      <c r="K421" s="896"/>
      <c r="L421" s="896"/>
      <c r="M421" s="896"/>
      <c r="N421" s="896"/>
      <c r="O421" s="872"/>
      <c r="P421" s="870"/>
      <c r="Q421" s="896"/>
      <c r="R421" s="896"/>
      <c r="S421" s="914"/>
      <c r="T421" s="870"/>
      <c r="U421" s="870"/>
      <c r="V421" s="872"/>
      <c r="W421" s="870"/>
      <c r="X421" s="877"/>
    </row>
    <row r="422" spans="1:24" s="215" customFormat="1">
      <c r="A422" s="862"/>
      <c r="B422" s="859" t="s">
        <v>877</v>
      </c>
      <c r="C422" s="870">
        <v>0</v>
      </c>
      <c r="D422" s="896">
        <v>0</v>
      </c>
      <c r="E422" s="896">
        <v>0</v>
      </c>
      <c r="F422" s="896">
        <v>0</v>
      </c>
      <c r="G422" s="896">
        <v>0</v>
      </c>
      <c r="H422" s="896">
        <v>0</v>
      </c>
      <c r="I422" s="872">
        <v>0</v>
      </c>
      <c r="J422" s="872">
        <v>0</v>
      </c>
      <c r="K422" s="896">
        <v>0</v>
      </c>
      <c r="L422" s="896">
        <v>0</v>
      </c>
      <c r="M422" s="896">
        <v>0</v>
      </c>
      <c r="N422" s="896">
        <v>0</v>
      </c>
      <c r="O422" s="872">
        <v>0</v>
      </c>
      <c r="P422" s="870">
        <v>0</v>
      </c>
      <c r="Q422" s="896">
        <v>0</v>
      </c>
      <c r="R422" s="896">
        <v>0</v>
      </c>
      <c r="S422" s="914">
        <v>0</v>
      </c>
      <c r="T422" s="870">
        <v>0</v>
      </c>
      <c r="U422" s="870">
        <v>0</v>
      </c>
      <c r="V422" s="872">
        <v>0</v>
      </c>
      <c r="W422" s="870">
        <v>0</v>
      </c>
      <c r="X422" s="877">
        <v>0</v>
      </c>
    </row>
    <row r="423" spans="1:24">
      <c r="A423" s="862"/>
      <c r="B423" s="859" t="s">
        <v>1289</v>
      </c>
      <c r="C423" s="870">
        <v>0</v>
      </c>
      <c r="D423" s="896"/>
      <c r="E423" s="896">
        <v>0</v>
      </c>
      <c r="F423" s="896"/>
      <c r="G423" s="896">
        <v>0</v>
      </c>
      <c r="H423" s="896">
        <v>0</v>
      </c>
      <c r="I423" s="872">
        <v>0</v>
      </c>
      <c r="J423" s="872">
        <v>0</v>
      </c>
      <c r="K423" s="896">
        <v>0</v>
      </c>
      <c r="L423" s="896">
        <v>0</v>
      </c>
      <c r="M423" s="896">
        <v>0</v>
      </c>
      <c r="N423" s="896"/>
      <c r="O423" s="872">
        <v>0</v>
      </c>
      <c r="P423" s="870"/>
      <c r="Q423" s="896"/>
      <c r="R423" s="896"/>
      <c r="S423" s="914"/>
      <c r="T423" s="870"/>
      <c r="U423" s="870"/>
      <c r="V423" s="872">
        <v>0</v>
      </c>
      <c r="W423" s="870">
        <v>0</v>
      </c>
      <c r="X423" s="877">
        <v>0</v>
      </c>
    </row>
    <row r="424" spans="1:24" s="216" customFormat="1">
      <c r="A424" s="862"/>
      <c r="B424" s="859" t="s">
        <v>675</v>
      </c>
      <c r="C424" s="870">
        <v>0</v>
      </c>
      <c r="D424" s="896"/>
      <c r="E424" s="896">
        <v>0</v>
      </c>
      <c r="F424" s="896"/>
      <c r="G424" s="896">
        <v>0</v>
      </c>
      <c r="H424" s="896">
        <v>0</v>
      </c>
      <c r="I424" s="872">
        <v>0</v>
      </c>
      <c r="J424" s="872">
        <v>0</v>
      </c>
      <c r="K424" s="896">
        <v>0</v>
      </c>
      <c r="L424" s="896">
        <v>0</v>
      </c>
      <c r="M424" s="896">
        <v>0</v>
      </c>
      <c r="N424" s="896"/>
      <c r="O424" s="872">
        <v>0</v>
      </c>
      <c r="P424" s="870"/>
      <c r="Q424" s="896"/>
      <c r="R424" s="896"/>
      <c r="S424" s="914"/>
      <c r="T424" s="870"/>
      <c r="U424" s="870"/>
      <c r="V424" s="872">
        <v>0</v>
      </c>
      <c r="W424" s="870">
        <v>0</v>
      </c>
      <c r="X424" s="877">
        <v>0</v>
      </c>
    </row>
    <row r="425" spans="1:24" s="215" customFormat="1">
      <c r="A425" s="862"/>
      <c r="B425" s="859" t="s">
        <v>1339</v>
      </c>
      <c r="C425" s="870">
        <v>0</v>
      </c>
      <c r="D425" s="896">
        <v>0</v>
      </c>
      <c r="E425" s="896">
        <v>0</v>
      </c>
      <c r="F425" s="896">
        <v>0</v>
      </c>
      <c r="G425" s="896">
        <v>0</v>
      </c>
      <c r="H425" s="896">
        <v>0</v>
      </c>
      <c r="I425" s="872">
        <v>0</v>
      </c>
      <c r="J425" s="872">
        <v>0</v>
      </c>
      <c r="K425" s="896">
        <v>0</v>
      </c>
      <c r="L425" s="896">
        <v>0</v>
      </c>
      <c r="M425" s="896">
        <v>0</v>
      </c>
      <c r="N425" s="896">
        <v>0</v>
      </c>
      <c r="O425" s="872">
        <v>0</v>
      </c>
      <c r="P425" s="870">
        <v>0</v>
      </c>
      <c r="Q425" s="896">
        <v>0</v>
      </c>
      <c r="R425" s="896">
        <v>0</v>
      </c>
      <c r="S425" s="914">
        <v>0</v>
      </c>
      <c r="T425" s="870">
        <v>0</v>
      </c>
      <c r="U425" s="870">
        <v>0</v>
      </c>
      <c r="V425" s="872">
        <v>0</v>
      </c>
      <c r="W425" s="870">
        <v>0</v>
      </c>
      <c r="X425" s="877">
        <v>0</v>
      </c>
    </row>
    <row r="426" spans="1:24">
      <c r="A426" s="862"/>
      <c r="B426" s="859" t="s">
        <v>634</v>
      </c>
      <c r="C426" s="870">
        <v>123410841</v>
      </c>
      <c r="D426" s="896"/>
      <c r="E426" s="896"/>
      <c r="F426" s="896"/>
      <c r="G426" s="896"/>
      <c r="H426" s="896"/>
      <c r="I426" s="872">
        <v>123410841</v>
      </c>
      <c r="J426" s="872"/>
      <c r="K426" s="896"/>
      <c r="L426" s="896"/>
      <c r="M426" s="896"/>
      <c r="N426" s="896"/>
      <c r="O426" s="872"/>
      <c r="P426" s="870"/>
      <c r="Q426" s="896"/>
      <c r="R426" s="896"/>
      <c r="S426" s="914"/>
      <c r="T426" s="870"/>
      <c r="U426" s="870"/>
      <c r="V426" s="872"/>
      <c r="W426" s="870"/>
      <c r="X426" s="877">
        <v>123410841</v>
      </c>
    </row>
    <row r="427" spans="1:24" s="216" customFormat="1">
      <c r="A427" s="862"/>
      <c r="B427" s="859" t="s">
        <v>636</v>
      </c>
      <c r="C427" s="870">
        <v>124939576</v>
      </c>
      <c r="D427" s="896"/>
      <c r="E427" s="896"/>
      <c r="F427" s="896"/>
      <c r="G427" s="896"/>
      <c r="H427" s="896"/>
      <c r="I427" s="872">
        <v>124939576</v>
      </c>
      <c r="J427" s="872"/>
      <c r="K427" s="896"/>
      <c r="L427" s="896"/>
      <c r="M427" s="896"/>
      <c r="N427" s="896"/>
      <c r="O427" s="872"/>
      <c r="P427" s="870"/>
      <c r="Q427" s="896"/>
      <c r="R427" s="896"/>
      <c r="S427" s="914"/>
      <c r="T427" s="870"/>
      <c r="U427" s="870"/>
      <c r="V427" s="872"/>
      <c r="W427" s="870"/>
      <c r="X427" s="877">
        <v>124939576</v>
      </c>
    </row>
    <row r="428" spans="1:24" s="215" customFormat="1">
      <c r="A428" s="862"/>
      <c r="B428" s="859" t="s">
        <v>1540</v>
      </c>
      <c r="C428" s="870">
        <v>1.2387363926966515</v>
      </c>
      <c r="D428" s="896">
        <v>0</v>
      </c>
      <c r="E428" s="896">
        <v>0</v>
      </c>
      <c r="F428" s="896">
        <v>0</v>
      </c>
      <c r="G428" s="896">
        <v>0</v>
      </c>
      <c r="H428" s="896">
        <v>0</v>
      </c>
      <c r="I428" s="872">
        <v>1.2387363926966515</v>
      </c>
      <c r="J428" s="872">
        <v>0</v>
      </c>
      <c r="K428" s="896">
        <v>0</v>
      </c>
      <c r="L428" s="896">
        <v>0</v>
      </c>
      <c r="M428" s="896">
        <v>0</v>
      </c>
      <c r="N428" s="896">
        <v>0</v>
      </c>
      <c r="O428" s="872">
        <v>0</v>
      </c>
      <c r="P428" s="870">
        <v>0</v>
      </c>
      <c r="Q428" s="896">
        <v>0</v>
      </c>
      <c r="R428" s="896">
        <v>0</v>
      </c>
      <c r="S428" s="914">
        <v>0</v>
      </c>
      <c r="T428" s="870">
        <v>0</v>
      </c>
      <c r="U428" s="870">
        <v>0</v>
      </c>
      <c r="V428" s="872">
        <v>0</v>
      </c>
      <c r="W428" s="870">
        <v>0</v>
      </c>
      <c r="X428" s="877">
        <v>1.2387363926966515</v>
      </c>
    </row>
    <row r="429" spans="1:24">
      <c r="A429" s="862"/>
      <c r="B429" s="859" t="s">
        <v>637</v>
      </c>
      <c r="C429" s="870">
        <v>55421710</v>
      </c>
      <c r="D429" s="896"/>
      <c r="E429" s="896"/>
      <c r="F429" s="896"/>
      <c r="G429" s="896"/>
      <c r="H429" s="896"/>
      <c r="I429" s="872">
        <v>55421710</v>
      </c>
      <c r="J429" s="872"/>
      <c r="K429" s="896"/>
      <c r="L429" s="896"/>
      <c r="M429" s="896"/>
      <c r="N429" s="896"/>
      <c r="O429" s="872"/>
      <c r="P429" s="870"/>
      <c r="Q429" s="896"/>
      <c r="R429" s="896"/>
      <c r="S429" s="914"/>
      <c r="T429" s="870"/>
      <c r="U429" s="870"/>
      <c r="V429" s="872"/>
      <c r="W429" s="870"/>
      <c r="X429" s="877">
        <v>55421710</v>
      </c>
    </row>
    <row r="430" spans="1:24" s="216" customFormat="1">
      <c r="A430" s="862"/>
      <c r="B430" s="859" t="s">
        <v>1890</v>
      </c>
      <c r="C430" s="870">
        <v>60346766</v>
      </c>
      <c r="D430" s="896"/>
      <c r="E430" s="896"/>
      <c r="F430" s="896"/>
      <c r="G430" s="896"/>
      <c r="H430" s="896"/>
      <c r="I430" s="872">
        <v>60346766</v>
      </c>
      <c r="J430" s="872"/>
      <c r="K430" s="896"/>
      <c r="L430" s="896"/>
      <c r="M430" s="896"/>
      <c r="N430" s="896"/>
      <c r="O430" s="872"/>
      <c r="P430" s="870"/>
      <c r="Q430" s="896"/>
      <c r="R430" s="896"/>
      <c r="S430" s="914"/>
      <c r="T430" s="870"/>
      <c r="U430" s="870"/>
      <c r="V430" s="872"/>
      <c r="W430" s="870"/>
      <c r="X430" s="877">
        <v>60346766</v>
      </c>
    </row>
    <row r="431" spans="1:24" s="215" customFormat="1">
      <c r="A431" s="862"/>
      <c r="B431" s="859" t="s">
        <v>1603</v>
      </c>
      <c r="C431" s="870">
        <v>8.8865103584858716</v>
      </c>
      <c r="D431" s="896">
        <v>0</v>
      </c>
      <c r="E431" s="896">
        <v>0</v>
      </c>
      <c r="F431" s="896">
        <v>0</v>
      </c>
      <c r="G431" s="896">
        <v>0</v>
      </c>
      <c r="H431" s="896">
        <v>0</v>
      </c>
      <c r="I431" s="872">
        <v>8.8865103584858716</v>
      </c>
      <c r="J431" s="872">
        <v>0</v>
      </c>
      <c r="K431" s="896">
        <v>0</v>
      </c>
      <c r="L431" s="896">
        <v>0</v>
      </c>
      <c r="M431" s="896">
        <v>0</v>
      </c>
      <c r="N431" s="896">
        <v>0</v>
      </c>
      <c r="O431" s="872">
        <v>0</v>
      </c>
      <c r="P431" s="870">
        <v>0</v>
      </c>
      <c r="Q431" s="896">
        <v>0</v>
      </c>
      <c r="R431" s="896">
        <v>0</v>
      </c>
      <c r="S431" s="914">
        <v>0</v>
      </c>
      <c r="T431" s="870">
        <v>0</v>
      </c>
      <c r="U431" s="870">
        <v>0</v>
      </c>
      <c r="V431" s="872">
        <v>0</v>
      </c>
      <c r="W431" s="870">
        <v>0</v>
      </c>
      <c r="X431" s="877">
        <v>8.8865103584858716</v>
      </c>
    </row>
    <row r="432" spans="1:24">
      <c r="A432" s="862"/>
      <c r="B432" s="859" t="s">
        <v>377</v>
      </c>
      <c r="C432" s="870">
        <v>685828315</v>
      </c>
      <c r="D432" s="896"/>
      <c r="E432" s="896">
        <v>179584015</v>
      </c>
      <c r="F432" s="896"/>
      <c r="G432" s="896">
        <v>207939226</v>
      </c>
      <c r="H432" s="896">
        <v>49885126</v>
      </c>
      <c r="I432" s="872">
        <v>1123236682</v>
      </c>
      <c r="J432" s="872">
        <v>23742974</v>
      </c>
      <c r="K432" s="896">
        <v>140652274</v>
      </c>
      <c r="L432" s="896">
        <v>75255615</v>
      </c>
      <c r="M432" s="896">
        <v>83858696</v>
      </c>
      <c r="N432" s="896"/>
      <c r="O432" s="872">
        <v>323509559</v>
      </c>
      <c r="P432" s="870"/>
      <c r="Q432" s="896"/>
      <c r="R432" s="896"/>
      <c r="S432" s="914"/>
      <c r="T432" s="870"/>
      <c r="U432" s="870"/>
      <c r="V432" s="872">
        <v>17600699</v>
      </c>
      <c r="W432" s="870">
        <v>17600699</v>
      </c>
      <c r="X432" s="877">
        <v>1464346940</v>
      </c>
    </row>
    <row r="433" spans="1:24" s="216" customFormat="1">
      <c r="A433" s="862"/>
      <c r="B433" s="859" t="s">
        <v>379</v>
      </c>
      <c r="C433" s="870">
        <v>717445204</v>
      </c>
      <c r="D433" s="896"/>
      <c r="E433" s="896">
        <v>183356834</v>
      </c>
      <c r="F433" s="896"/>
      <c r="G433" s="896">
        <v>214272049</v>
      </c>
      <c r="H433" s="896">
        <v>52594160</v>
      </c>
      <c r="I433" s="872">
        <v>1167668247</v>
      </c>
      <c r="J433" s="872">
        <v>24430875</v>
      </c>
      <c r="K433" s="896">
        <v>150071546</v>
      </c>
      <c r="L433" s="896">
        <v>81481249</v>
      </c>
      <c r="M433" s="896">
        <v>84947492</v>
      </c>
      <c r="N433" s="896"/>
      <c r="O433" s="872">
        <v>340931162</v>
      </c>
      <c r="P433" s="870"/>
      <c r="Q433" s="896"/>
      <c r="R433" s="896"/>
      <c r="S433" s="914"/>
      <c r="T433" s="870"/>
      <c r="U433" s="870"/>
      <c r="V433" s="872">
        <v>17595659</v>
      </c>
      <c r="W433" s="870">
        <v>17595659</v>
      </c>
      <c r="X433" s="877">
        <v>1526195068</v>
      </c>
    </row>
    <row r="434" spans="1:24" s="228" customFormat="1" ht="13.5" thickBot="1">
      <c r="A434" s="897"/>
      <c r="B434" s="859" t="s">
        <v>381</v>
      </c>
      <c r="C434" s="870">
        <v>4.6100296981759925</v>
      </c>
      <c r="D434" s="896">
        <v>0</v>
      </c>
      <c r="E434" s="896">
        <v>2.1008657145793292</v>
      </c>
      <c r="F434" s="896">
        <v>0</v>
      </c>
      <c r="G434" s="896">
        <v>3.0455162894566126</v>
      </c>
      <c r="H434" s="896">
        <v>5.4305445675330164</v>
      </c>
      <c r="I434" s="872">
        <v>3.9556725409720905</v>
      </c>
      <c r="J434" s="872">
        <v>2.8972823707762978</v>
      </c>
      <c r="K434" s="896">
        <v>6.6968501341115898</v>
      </c>
      <c r="L434" s="896">
        <v>8.2726504859471284</v>
      </c>
      <c r="M434" s="896">
        <v>1.2983698196308706</v>
      </c>
      <c r="N434" s="896">
        <v>0</v>
      </c>
      <c r="O434" s="872">
        <v>5.3851895609675013</v>
      </c>
      <c r="P434" s="870">
        <v>0</v>
      </c>
      <c r="Q434" s="896">
        <v>0</v>
      </c>
      <c r="R434" s="896">
        <v>0</v>
      </c>
      <c r="S434" s="914">
        <v>0</v>
      </c>
      <c r="T434" s="870">
        <v>0</v>
      </c>
      <c r="U434" s="870">
        <v>0</v>
      </c>
      <c r="V434" s="872">
        <v>-2.8635226362316635E-2</v>
      </c>
      <c r="W434" s="870">
        <v>-2.8635226362316635E-2</v>
      </c>
      <c r="X434" s="877">
        <v>4.2235979951581699</v>
      </c>
    </row>
    <row r="435" spans="1:24">
      <c r="A435" s="858" t="s">
        <v>1274</v>
      </c>
      <c r="B435" s="858" t="s">
        <v>1347</v>
      </c>
      <c r="C435" s="863">
        <v>250027931</v>
      </c>
      <c r="D435" s="864"/>
      <c r="E435" s="864">
        <v>53883357</v>
      </c>
      <c r="F435" s="864">
        <v>16287740</v>
      </c>
      <c r="G435" s="864">
        <v>65275909</v>
      </c>
      <c r="H435" s="864">
        <v>24820566</v>
      </c>
      <c r="I435" s="865">
        <v>410295503</v>
      </c>
      <c r="J435" s="865">
        <v>2695088</v>
      </c>
      <c r="K435" s="864">
        <v>67634261</v>
      </c>
      <c r="L435" s="864">
        <v>78127762</v>
      </c>
      <c r="M435" s="864">
        <v>24011819</v>
      </c>
      <c r="N435" s="864"/>
      <c r="O435" s="865">
        <v>172468930</v>
      </c>
      <c r="P435" s="863"/>
      <c r="Q435" s="864"/>
      <c r="R435" s="864"/>
      <c r="S435" s="913"/>
      <c r="T435" s="863"/>
      <c r="U435" s="863"/>
      <c r="V435" s="898"/>
      <c r="W435" s="863"/>
      <c r="X435" s="869">
        <v>582764433</v>
      </c>
    </row>
    <row r="436" spans="1:24" s="216" customFormat="1">
      <c r="A436" s="862"/>
      <c r="B436" s="859" t="s">
        <v>60</v>
      </c>
      <c r="C436" s="870">
        <v>211074582</v>
      </c>
      <c r="D436" s="896"/>
      <c r="E436" s="896">
        <v>43893456</v>
      </c>
      <c r="F436" s="896">
        <v>12347148</v>
      </c>
      <c r="G436" s="896">
        <v>55909506</v>
      </c>
      <c r="H436" s="896">
        <v>19601276</v>
      </c>
      <c r="I436" s="872">
        <v>342825968</v>
      </c>
      <c r="J436" s="872">
        <v>2012013</v>
      </c>
      <c r="K436" s="896">
        <v>50884486</v>
      </c>
      <c r="L436" s="896">
        <v>59046933</v>
      </c>
      <c r="M436" s="896">
        <v>22324446</v>
      </c>
      <c r="N436" s="896"/>
      <c r="O436" s="872">
        <v>134267878</v>
      </c>
      <c r="P436" s="870"/>
      <c r="Q436" s="896"/>
      <c r="R436" s="896"/>
      <c r="S436" s="914"/>
      <c r="T436" s="870"/>
      <c r="U436" s="870"/>
      <c r="V436" s="899"/>
      <c r="W436" s="870"/>
      <c r="X436" s="877">
        <v>477093846</v>
      </c>
    </row>
    <row r="437" spans="1:24" s="215" customFormat="1" ht="13.5" thickBot="1">
      <c r="A437" s="862"/>
      <c r="B437" s="859" t="s">
        <v>906</v>
      </c>
      <c r="C437" s="870">
        <v>-15.579598984883013</v>
      </c>
      <c r="D437" s="896">
        <v>0</v>
      </c>
      <c r="E437" s="896">
        <v>-18.539863802472439</v>
      </c>
      <c r="F437" s="896">
        <v>-24.193608198559161</v>
      </c>
      <c r="G437" s="896">
        <v>-14.348943038081629</v>
      </c>
      <c r="H437" s="896">
        <v>-21.028086144369148</v>
      </c>
      <c r="I437" s="872">
        <v>-16.444132218529337</v>
      </c>
      <c r="J437" s="872">
        <v>-25.345183533895739</v>
      </c>
      <c r="K437" s="896">
        <v>-24.765222170461801</v>
      </c>
      <c r="L437" s="896">
        <v>-24.422597693250193</v>
      </c>
      <c r="M437" s="896">
        <v>-7.0272602004871025</v>
      </c>
      <c r="N437" s="896">
        <v>0</v>
      </c>
      <c r="O437" s="872">
        <v>-22.149526874202792</v>
      </c>
      <c r="P437" s="870">
        <v>0</v>
      </c>
      <c r="Q437" s="896">
        <v>0</v>
      </c>
      <c r="R437" s="896">
        <v>0</v>
      </c>
      <c r="S437" s="914">
        <v>0</v>
      </c>
      <c r="T437" s="870">
        <v>0</v>
      </c>
      <c r="U437" s="870">
        <v>0</v>
      </c>
      <c r="V437" s="900">
        <v>0</v>
      </c>
      <c r="W437" s="870">
        <v>0</v>
      </c>
      <c r="X437" s="877">
        <v>-18.132641770195335</v>
      </c>
    </row>
    <row r="438" spans="1:24">
      <c r="A438" s="862"/>
      <c r="B438" s="859" t="s">
        <v>1370</v>
      </c>
      <c r="C438" s="866">
        <v>85086155</v>
      </c>
      <c r="D438" s="896"/>
      <c r="E438" s="866">
        <v>11219243</v>
      </c>
      <c r="F438" s="866">
        <v>557989</v>
      </c>
      <c r="G438" s="866">
        <v>24218172</v>
      </c>
      <c r="H438" s="896">
        <v>2240756</v>
      </c>
      <c r="I438" s="872">
        <v>123322315</v>
      </c>
      <c r="J438" s="872">
        <v>524355</v>
      </c>
      <c r="K438" s="896">
        <v>7034505</v>
      </c>
      <c r="L438" s="896">
        <v>13211327</v>
      </c>
      <c r="M438" s="896">
        <v>4377931</v>
      </c>
      <c r="N438" s="896"/>
      <c r="O438" s="872">
        <v>25148118</v>
      </c>
      <c r="P438" s="870"/>
      <c r="Q438" s="896"/>
      <c r="R438" s="896"/>
      <c r="S438" s="914"/>
      <c r="T438" s="870"/>
      <c r="U438" s="870"/>
      <c r="V438" s="872">
        <v>44178349</v>
      </c>
      <c r="W438" s="870">
        <v>44178349</v>
      </c>
      <c r="X438" s="877">
        <v>192648782</v>
      </c>
    </row>
    <row r="439" spans="1:24" s="216" customFormat="1">
      <c r="A439" s="862"/>
      <c r="B439" s="859" t="s">
        <v>1611</v>
      </c>
      <c r="C439" s="873">
        <v>48992861</v>
      </c>
      <c r="D439" s="896"/>
      <c r="E439" s="873">
        <v>1903181</v>
      </c>
      <c r="F439" s="873">
        <v>537073</v>
      </c>
      <c r="G439" s="873">
        <v>15930396</v>
      </c>
      <c r="H439" s="896">
        <v>1144235</v>
      </c>
      <c r="I439" s="872">
        <v>68507746</v>
      </c>
      <c r="J439" s="872">
        <v>318607</v>
      </c>
      <c r="K439" s="896">
        <v>3693318</v>
      </c>
      <c r="L439" s="896">
        <v>6733924</v>
      </c>
      <c r="M439" s="896">
        <v>1988608</v>
      </c>
      <c r="N439" s="896"/>
      <c r="O439" s="872">
        <v>12734457</v>
      </c>
      <c r="P439" s="870"/>
      <c r="Q439" s="896"/>
      <c r="R439" s="896"/>
      <c r="S439" s="914"/>
      <c r="T439" s="870"/>
      <c r="U439" s="870"/>
      <c r="V439" s="872">
        <v>7767023</v>
      </c>
      <c r="W439" s="870">
        <v>7767023</v>
      </c>
      <c r="X439" s="877">
        <v>89009226</v>
      </c>
    </row>
    <row r="440" spans="1:24" s="215" customFormat="1" ht="13.5" thickBot="1">
      <c r="A440" s="862"/>
      <c r="B440" s="859" t="s">
        <v>1613</v>
      </c>
      <c r="C440" s="886">
        <v>-42.419702711915939</v>
      </c>
      <c r="D440" s="896">
        <v>0</v>
      </c>
      <c r="E440" s="886">
        <v>-83.036457985623443</v>
      </c>
      <c r="F440" s="886">
        <v>-3.7484609911664926</v>
      </c>
      <c r="G440" s="886">
        <v>-34.221311170801826</v>
      </c>
      <c r="H440" s="896">
        <v>-48.935314688435511</v>
      </c>
      <c r="I440" s="872">
        <v>-44.448216042652135</v>
      </c>
      <c r="J440" s="872">
        <v>-39.238302295200775</v>
      </c>
      <c r="K440" s="896">
        <v>-47.497116001765583</v>
      </c>
      <c r="L440" s="896">
        <v>-49.029162626888272</v>
      </c>
      <c r="M440" s="896">
        <v>-54.576533983747119</v>
      </c>
      <c r="N440" s="896">
        <v>0</v>
      </c>
      <c r="O440" s="872">
        <v>-49.362186864241693</v>
      </c>
      <c r="P440" s="870">
        <v>0</v>
      </c>
      <c r="Q440" s="896">
        <v>0</v>
      </c>
      <c r="R440" s="896">
        <v>0</v>
      </c>
      <c r="S440" s="914">
        <v>0</v>
      </c>
      <c r="T440" s="870">
        <v>0</v>
      </c>
      <c r="U440" s="870">
        <v>0</v>
      </c>
      <c r="V440" s="872">
        <v>-82.418937837627197</v>
      </c>
      <c r="W440" s="870">
        <v>-82.418937837627197</v>
      </c>
      <c r="X440" s="877">
        <v>-53.797150920995698</v>
      </c>
    </row>
    <row r="441" spans="1:24">
      <c r="A441" s="862"/>
      <c r="B441" s="859" t="s">
        <v>61</v>
      </c>
      <c r="C441" s="870"/>
      <c r="D441" s="896"/>
      <c r="E441" s="896"/>
      <c r="F441" s="896"/>
      <c r="G441" s="896"/>
      <c r="H441" s="896"/>
      <c r="I441" s="872"/>
      <c r="J441" s="872"/>
      <c r="K441" s="867">
        <v>24730125</v>
      </c>
      <c r="L441" s="885">
        <v>24184250</v>
      </c>
      <c r="M441" s="868">
        <v>3628767</v>
      </c>
      <c r="N441" s="896"/>
      <c r="O441" s="872">
        <v>52543142</v>
      </c>
      <c r="P441" s="870"/>
      <c r="Q441" s="896"/>
      <c r="R441" s="896"/>
      <c r="S441" s="914"/>
      <c r="T441" s="870"/>
      <c r="U441" s="870"/>
      <c r="V441" s="872"/>
      <c r="W441" s="870"/>
      <c r="X441" s="877">
        <v>52543142</v>
      </c>
    </row>
    <row r="442" spans="1:24" s="216" customFormat="1">
      <c r="A442" s="862"/>
      <c r="B442" s="859" t="s">
        <v>62</v>
      </c>
      <c r="C442" s="870"/>
      <c r="D442" s="896"/>
      <c r="E442" s="896"/>
      <c r="F442" s="896"/>
      <c r="G442" s="896">
        <v>233670</v>
      </c>
      <c r="H442" s="896"/>
      <c r="I442" s="872">
        <v>233670</v>
      </c>
      <c r="J442" s="872"/>
      <c r="K442" s="875">
        <v>25489811</v>
      </c>
      <c r="L442" s="871">
        <v>26814017</v>
      </c>
      <c r="M442" s="876">
        <v>3658686</v>
      </c>
      <c r="N442" s="896"/>
      <c r="O442" s="872">
        <v>55962514</v>
      </c>
      <c r="P442" s="870"/>
      <c r="Q442" s="896"/>
      <c r="R442" s="896"/>
      <c r="S442" s="914"/>
      <c r="T442" s="870"/>
      <c r="U442" s="870"/>
      <c r="V442" s="872"/>
      <c r="W442" s="870"/>
      <c r="X442" s="877">
        <v>56196184</v>
      </c>
    </row>
    <row r="443" spans="1:24" s="215" customFormat="1" ht="13.5" thickBot="1">
      <c r="A443" s="862"/>
      <c r="B443" s="859" t="s">
        <v>1816</v>
      </c>
      <c r="C443" s="870">
        <v>0</v>
      </c>
      <c r="D443" s="896">
        <v>0</v>
      </c>
      <c r="E443" s="896">
        <v>0</v>
      </c>
      <c r="F443" s="896">
        <v>0</v>
      </c>
      <c r="G443" s="896">
        <v>0</v>
      </c>
      <c r="H443" s="896">
        <v>0</v>
      </c>
      <c r="I443" s="872">
        <v>0</v>
      </c>
      <c r="J443" s="872">
        <v>0</v>
      </c>
      <c r="K443" s="889">
        <v>3.0719052168155239</v>
      </c>
      <c r="L443" s="887">
        <v>10.873882795621117</v>
      </c>
      <c r="M443" s="888">
        <v>0.82449493174954458</v>
      </c>
      <c r="N443" s="896">
        <v>0</v>
      </c>
      <c r="O443" s="872">
        <v>6.5077417715141586</v>
      </c>
      <c r="P443" s="870">
        <v>0</v>
      </c>
      <c r="Q443" s="896">
        <v>0</v>
      </c>
      <c r="R443" s="896">
        <v>0</v>
      </c>
      <c r="S443" s="914">
        <v>0</v>
      </c>
      <c r="T443" s="870">
        <v>0</v>
      </c>
      <c r="U443" s="870">
        <v>0</v>
      </c>
      <c r="V443" s="872">
        <v>0</v>
      </c>
      <c r="W443" s="870">
        <v>0</v>
      </c>
      <c r="X443" s="877">
        <v>6.9524620358637863</v>
      </c>
    </row>
    <row r="444" spans="1:24">
      <c r="A444" s="862"/>
      <c r="B444" s="859" t="s">
        <v>1588</v>
      </c>
      <c r="C444" s="870">
        <v>480403133</v>
      </c>
      <c r="D444" s="896"/>
      <c r="E444" s="896">
        <v>144993494</v>
      </c>
      <c r="F444" s="896">
        <v>28039428</v>
      </c>
      <c r="G444" s="896">
        <v>146303925</v>
      </c>
      <c r="H444" s="896">
        <v>51827026</v>
      </c>
      <c r="I444" s="872">
        <v>851567006</v>
      </c>
      <c r="J444" s="872">
        <v>6967769</v>
      </c>
      <c r="K444" s="896">
        <v>123153408</v>
      </c>
      <c r="L444" s="873">
        <v>107214291</v>
      </c>
      <c r="M444" s="896">
        <v>23893710</v>
      </c>
      <c r="N444" s="896"/>
      <c r="O444" s="872">
        <v>261229178</v>
      </c>
      <c r="P444" s="870"/>
      <c r="Q444" s="896"/>
      <c r="R444" s="896"/>
      <c r="S444" s="914"/>
      <c r="T444" s="870"/>
      <c r="U444" s="870"/>
      <c r="V444" s="872"/>
      <c r="W444" s="870"/>
      <c r="X444" s="877">
        <v>1112796184</v>
      </c>
    </row>
    <row r="445" spans="1:24" s="216" customFormat="1">
      <c r="A445" s="862"/>
      <c r="B445" s="859" t="s">
        <v>251</v>
      </c>
      <c r="C445" s="870">
        <v>528053657</v>
      </c>
      <c r="D445" s="896"/>
      <c r="E445" s="896">
        <v>156308204</v>
      </c>
      <c r="F445" s="896">
        <v>31139673</v>
      </c>
      <c r="G445" s="896">
        <v>153583372</v>
      </c>
      <c r="H445" s="896">
        <v>56975956</v>
      </c>
      <c r="I445" s="872">
        <v>926060862</v>
      </c>
      <c r="J445" s="872">
        <v>8368902</v>
      </c>
      <c r="K445" s="896">
        <v>131053416</v>
      </c>
      <c r="L445" s="873">
        <v>119074716</v>
      </c>
      <c r="M445" s="896">
        <v>26568262</v>
      </c>
      <c r="N445" s="896"/>
      <c r="O445" s="872">
        <v>285065296</v>
      </c>
      <c r="P445" s="870"/>
      <c r="Q445" s="896"/>
      <c r="R445" s="896"/>
      <c r="S445" s="914"/>
      <c r="T445" s="870"/>
      <c r="U445" s="870"/>
      <c r="V445" s="872"/>
      <c r="W445" s="870"/>
      <c r="X445" s="877">
        <v>1211126158</v>
      </c>
    </row>
    <row r="446" spans="1:24" s="215" customFormat="1" ht="13.5" thickBot="1">
      <c r="A446" s="862"/>
      <c r="B446" s="859" t="s">
        <v>1759</v>
      </c>
      <c r="C446" s="870">
        <v>9.9188620403938952</v>
      </c>
      <c r="D446" s="896">
        <v>0</v>
      </c>
      <c r="E446" s="896">
        <v>7.8035984152502733</v>
      </c>
      <c r="F446" s="896">
        <v>11.05673411026787</v>
      </c>
      <c r="G446" s="896">
        <v>4.9755650779703959</v>
      </c>
      <c r="H446" s="896">
        <v>9.9348359290382593</v>
      </c>
      <c r="I446" s="872">
        <v>8.7478560671243297</v>
      </c>
      <c r="J446" s="872">
        <v>20.108775133044738</v>
      </c>
      <c r="K446" s="896">
        <v>6.4147701052657835</v>
      </c>
      <c r="L446" s="886">
        <v>11.062354551223025</v>
      </c>
      <c r="M446" s="896">
        <v>11.193540057194969</v>
      </c>
      <c r="N446" s="896">
        <v>0</v>
      </c>
      <c r="O446" s="872">
        <v>9.1246001623907418</v>
      </c>
      <c r="P446" s="870">
        <v>0</v>
      </c>
      <c r="Q446" s="896">
        <v>0</v>
      </c>
      <c r="R446" s="896">
        <v>0</v>
      </c>
      <c r="S446" s="914">
        <v>0</v>
      </c>
      <c r="T446" s="870">
        <v>0</v>
      </c>
      <c r="U446" s="870">
        <v>0</v>
      </c>
      <c r="V446" s="872">
        <v>0</v>
      </c>
      <c r="W446" s="870">
        <v>0</v>
      </c>
      <c r="X446" s="877">
        <v>8.8362968361868504</v>
      </c>
    </row>
    <row r="447" spans="1:24">
      <c r="A447" s="862"/>
      <c r="B447" s="859" t="s">
        <v>1590</v>
      </c>
      <c r="C447" s="870">
        <v>29436629</v>
      </c>
      <c r="D447" s="896"/>
      <c r="E447" s="866">
        <v>10119471</v>
      </c>
      <c r="F447" s="896">
        <v>585525</v>
      </c>
      <c r="G447" s="896">
        <v>4685376</v>
      </c>
      <c r="H447" s="866">
        <v>3495696</v>
      </c>
      <c r="I447" s="872">
        <v>48322697</v>
      </c>
      <c r="J447" s="872">
        <v>85571</v>
      </c>
      <c r="K447" s="867">
        <v>7183777</v>
      </c>
      <c r="L447" s="885">
        <v>5425314</v>
      </c>
      <c r="M447" s="868">
        <v>198669</v>
      </c>
      <c r="N447" s="896"/>
      <c r="O447" s="872">
        <v>12893331</v>
      </c>
      <c r="P447" s="870"/>
      <c r="Q447" s="896"/>
      <c r="R447" s="896"/>
      <c r="S447" s="914"/>
      <c r="T447" s="870"/>
      <c r="U447" s="870"/>
      <c r="V447" s="872"/>
      <c r="W447" s="870"/>
      <c r="X447" s="877">
        <v>61216028</v>
      </c>
    </row>
    <row r="448" spans="1:24" s="216" customFormat="1">
      <c r="A448" s="862"/>
      <c r="B448" s="859" t="s">
        <v>1319</v>
      </c>
      <c r="C448" s="870">
        <v>33180085</v>
      </c>
      <c r="D448" s="896"/>
      <c r="E448" s="873">
        <v>11935843</v>
      </c>
      <c r="F448" s="896">
        <v>648659</v>
      </c>
      <c r="G448" s="896">
        <v>9807160</v>
      </c>
      <c r="H448" s="873">
        <v>3596159</v>
      </c>
      <c r="I448" s="872">
        <v>59167906</v>
      </c>
      <c r="J448" s="872">
        <v>98705</v>
      </c>
      <c r="K448" s="875">
        <v>8611289</v>
      </c>
      <c r="L448" s="871">
        <v>5950632</v>
      </c>
      <c r="M448" s="876">
        <v>258255</v>
      </c>
      <c r="N448" s="896"/>
      <c r="O448" s="872">
        <v>14918881</v>
      </c>
      <c r="P448" s="870"/>
      <c r="Q448" s="896"/>
      <c r="R448" s="896"/>
      <c r="S448" s="914"/>
      <c r="T448" s="870"/>
      <c r="U448" s="870"/>
      <c r="V448" s="872"/>
      <c r="W448" s="870"/>
      <c r="X448" s="877">
        <v>74086787</v>
      </c>
    </row>
    <row r="449" spans="1:24" s="215" customFormat="1" ht="13.5" thickBot="1">
      <c r="A449" s="862"/>
      <c r="B449" s="859" t="s">
        <v>1330</v>
      </c>
      <c r="C449" s="870">
        <v>12.716999626553708</v>
      </c>
      <c r="D449" s="896">
        <v>0</v>
      </c>
      <c r="E449" s="886">
        <v>17.949278178671594</v>
      </c>
      <c r="F449" s="896">
        <v>10.782460185303787</v>
      </c>
      <c r="G449" s="896">
        <v>109.31425780983213</v>
      </c>
      <c r="H449" s="886">
        <v>2.8739055112343865</v>
      </c>
      <c r="I449" s="872">
        <v>22.443302367829347</v>
      </c>
      <c r="J449" s="872">
        <v>15.348657839688679</v>
      </c>
      <c r="K449" s="889">
        <v>19.871329524844661</v>
      </c>
      <c r="L449" s="887">
        <v>9.6827206683336655</v>
      </c>
      <c r="M449" s="888">
        <v>29.992600758044791</v>
      </c>
      <c r="N449" s="896">
        <v>0</v>
      </c>
      <c r="O449" s="872">
        <v>15.71005972002115</v>
      </c>
      <c r="P449" s="870">
        <v>0</v>
      </c>
      <c r="Q449" s="896">
        <v>0</v>
      </c>
      <c r="R449" s="896">
        <v>0</v>
      </c>
      <c r="S449" s="914">
        <v>0</v>
      </c>
      <c r="T449" s="870">
        <v>0</v>
      </c>
      <c r="U449" s="870">
        <v>0</v>
      </c>
      <c r="V449" s="872">
        <v>0</v>
      </c>
      <c r="W449" s="870">
        <v>0</v>
      </c>
      <c r="X449" s="877">
        <v>21.025145571352652</v>
      </c>
    </row>
    <row r="450" spans="1:24">
      <c r="A450" s="862"/>
      <c r="B450" s="859" t="s">
        <v>1889</v>
      </c>
      <c r="C450" s="870">
        <v>509839762</v>
      </c>
      <c r="D450" s="896"/>
      <c r="E450" s="896">
        <v>155112965</v>
      </c>
      <c r="F450" s="896">
        <v>28624953</v>
      </c>
      <c r="G450" s="896">
        <v>150989301</v>
      </c>
      <c r="H450" s="896">
        <v>55322722</v>
      </c>
      <c r="I450" s="872">
        <v>899889703</v>
      </c>
      <c r="J450" s="872">
        <v>7053340</v>
      </c>
      <c r="K450" s="896">
        <v>130337185</v>
      </c>
      <c r="L450" s="896">
        <v>112639605</v>
      </c>
      <c r="M450" s="896">
        <v>24092379</v>
      </c>
      <c r="N450" s="896"/>
      <c r="O450" s="872">
        <v>274122509</v>
      </c>
      <c r="P450" s="870"/>
      <c r="Q450" s="896"/>
      <c r="R450" s="896"/>
      <c r="S450" s="914"/>
      <c r="T450" s="870">
        <v>0</v>
      </c>
      <c r="U450" s="870">
        <v>0</v>
      </c>
      <c r="V450" s="872">
        <v>0</v>
      </c>
      <c r="W450" s="870">
        <v>0</v>
      </c>
      <c r="X450" s="877">
        <v>1174012212</v>
      </c>
    </row>
    <row r="451" spans="1:24" s="216" customFormat="1">
      <c r="A451" s="862"/>
      <c r="B451" s="859" t="s">
        <v>626</v>
      </c>
      <c r="C451" s="870">
        <v>561233742</v>
      </c>
      <c r="D451" s="896"/>
      <c r="E451" s="896">
        <v>168244047</v>
      </c>
      <c r="F451" s="896">
        <v>31788332</v>
      </c>
      <c r="G451" s="896">
        <v>163390532</v>
      </c>
      <c r="H451" s="896">
        <v>60572115</v>
      </c>
      <c r="I451" s="872">
        <v>985228768</v>
      </c>
      <c r="J451" s="872">
        <v>8467607</v>
      </c>
      <c r="K451" s="896">
        <v>139664705</v>
      </c>
      <c r="L451" s="896">
        <v>125025348</v>
      </c>
      <c r="M451" s="896">
        <v>26826517</v>
      </c>
      <c r="N451" s="896"/>
      <c r="O451" s="872">
        <v>299984177</v>
      </c>
      <c r="P451" s="870"/>
      <c r="Q451" s="896"/>
      <c r="R451" s="896"/>
      <c r="S451" s="914"/>
      <c r="T451" s="870">
        <v>0</v>
      </c>
      <c r="U451" s="870">
        <v>0</v>
      </c>
      <c r="V451" s="872">
        <v>0</v>
      </c>
      <c r="W451" s="870">
        <v>0</v>
      </c>
      <c r="X451" s="877">
        <v>1285212945</v>
      </c>
    </row>
    <row r="452" spans="1:24" s="215" customFormat="1">
      <c r="A452" s="862"/>
      <c r="B452" s="859" t="s">
        <v>456</v>
      </c>
      <c r="C452" s="870">
        <v>10.080418168718666</v>
      </c>
      <c r="D452" s="896">
        <v>0</v>
      </c>
      <c r="E452" s="896">
        <v>8.4654960982790843</v>
      </c>
      <c r="F452" s="896">
        <v>11.051123821932563</v>
      </c>
      <c r="G452" s="896">
        <v>8.2133177105045352</v>
      </c>
      <c r="H452" s="896">
        <v>9.4886744726696559</v>
      </c>
      <c r="I452" s="872">
        <v>9.4832805304362946</v>
      </c>
      <c r="J452" s="872">
        <v>20.051025471620537</v>
      </c>
      <c r="K452" s="896">
        <v>7.1564534710489571</v>
      </c>
      <c r="L452" s="896">
        <v>10.995904149344273</v>
      </c>
      <c r="M452" s="896">
        <v>11.348559642034521</v>
      </c>
      <c r="N452" s="896">
        <v>0</v>
      </c>
      <c r="O452" s="872">
        <v>9.43434674311988</v>
      </c>
      <c r="P452" s="870">
        <v>0</v>
      </c>
      <c r="Q452" s="896">
        <v>0</v>
      </c>
      <c r="R452" s="896">
        <v>0</v>
      </c>
      <c r="S452" s="914">
        <v>0</v>
      </c>
      <c r="T452" s="870">
        <v>0</v>
      </c>
      <c r="U452" s="870">
        <v>0</v>
      </c>
      <c r="V452" s="872">
        <v>0</v>
      </c>
      <c r="W452" s="870">
        <v>0</v>
      </c>
      <c r="X452" s="877">
        <v>9.4718548805010219</v>
      </c>
    </row>
    <row r="453" spans="1:24">
      <c r="A453" s="862"/>
      <c r="B453" s="859" t="s">
        <v>628</v>
      </c>
      <c r="C453" s="870"/>
      <c r="D453" s="896"/>
      <c r="E453" s="896"/>
      <c r="F453" s="896"/>
      <c r="G453" s="896"/>
      <c r="H453" s="896"/>
      <c r="I453" s="872"/>
      <c r="J453" s="872"/>
      <c r="K453" s="896"/>
      <c r="L453" s="896"/>
      <c r="M453" s="896"/>
      <c r="N453" s="896"/>
      <c r="O453" s="872"/>
      <c r="P453" s="870"/>
      <c r="Q453" s="896"/>
      <c r="R453" s="896"/>
      <c r="S453" s="914"/>
      <c r="T453" s="870"/>
      <c r="U453" s="870"/>
      <c r="V453" s="872">
        <v>330704617</v>
      </c>
      <c r="W453" s="870">
        <v>330704617</v>
      </c>
      <c r="X453" s="877">
        <v>330704617</v>
      </c>
    </row>
    <row r="454" spans="1:24" s="216" customFormat="1">
      <c r="A454" s="862"/>
      <c r="B454" s="859" t="s">
        <v>630</v>
      </c>
      <c r="C454" s="870"/>
      <c r="D454" s="896"/>
      <c r="E454" s="896"/>
      <c r="F454" s="896"/>
      <c r="G454" s="896"/>
      <c r="H454" s="896"/>
      <c r="I454" s="872"/>
      <c r="J454" s="872"/>
      <c r="K454" s="896"/>
      <c r="L454" s="896"/>
      <c r="M454" s="896"/>
      <c r="N454" s="896"/>
      <c r="O454" s="872"/>
      <c r="P454" s="870"/>
      <c r="Q454" s="896"/>
      <c r="R454" s="896"/>
      <c r="S454" s="914"/>
      <c r="T454" s="870"/>
      <c r="U454" s="870"/>
      <c r="V454" s="872">
        <v>333757116</v>
      </c>
      <c r="W454" s="870">
        <v>333757116</v>
      </c>
      <c r="X454" s="877">
        <v>333757116</v>
      </c>
    </row>
    <row r="455" spans="1:24" s="215" customFormat="1">
      <c r="A455" s="862"/>
      <c r="B455" s="859" t="s">
        <v>632</v>
      </c>
      <c r="C455" s="870">
        <v>0</v>
      </c>
      <c r="D455" s="896">
        <v>0</v>
      </c>
      <c r="E455" s="896">
        <v>0</v>
      </c>
      <c r="F455" s="896">
        <v>0</v>
      </c>
      <c r="G455" s="896">
        <v>0</v>
      </c>
      <c r="H455" s="896">
        <v>0</v>
      </c>
      <c r="I455" s="872">
        <v>0</v>
      </c>
      <c r="J455" s="872">
        <v>0</v>
      </c>
      <c r="K455" s="896">
        <v>0</v>
      </c>
      <c r="L455" s="896">
        <v>0</v>
      </c>
      <c r="M455" s="896">
        <v>0</v>
      </c>
      <c r="N455" s="896">
        <v>0</v>
      </c>
      <c r="O455" s="872">
        <v>0</v>
      </c>
      <c r="P455" s="870">
        <v>0</v>
      </c>
      <c r="Q455" s="896">
        <v>0</v>
      </c>
      <c r="R455" s="896">
        <v>0</v>
      </c>
      <c r="S455" s="914">
        <v>0</v>
      </c>
      <c r="T455" s="870">
        <v>0</v>
      </c>
      <c r="U455" s="870">
        <v>0</v>
      </c>
      <c r="V455" s="872">
        <v>0.92302884298709387</v>
      </c>
      <c r="W455" s="870">
        <v>0.92302884298709387</v>
      </c>
      <c r="X455" s="877">
        <v>0.92302884298709387</v>
      </c>
    </row>
    <row r="456" spans="1:24">
      <c r="A456" s="862"/>
      <c r="B456" s="859" t="s">
        <v>1608</v>
      </c>
      <c r="C456" s="870"/>
      <c r="D456" s="896"/>
      <c r="E456" s="896"/>
      <c r="F456" s="896"/>
      <c r="G456" s="896"/>
      <c r="H456" s="896"/>
      <c r="I456" s="872"/>
      <c r="J456" s="872"/>
      <c r="K456" s="896"/>
      <c r="L456" s="896"/>
      <c r="M456" s="896"/>
      <c r="N456" s="896"/>
      <c r="O456" s="872"/>
      <c r="P456" s="870"/>
      <c r="Q456" s="896"/>
      <c r="R456" s="896"/>
      <c r="S456" s="914"/>
      <c r="T456" s="870"/>
      <c r="U456" s="870"/>
      <c r="V456" s="872"/>
      <c r="W456" s="870"/>
      <c r="X456" s="877"/>
    </row>
    <row r="457" spans="1:24" s="216" customFormat="1">
      <c r="A457" s="862"/>
      <c r="B457" s="859" t="s">
        <v>1291</v>
      </c>
      <c r="C457" s="870"/>
      <c r="D457" s="896"/>
      <c r="E457" s="896"/>
      <c r="F457" s="896"/>
      <c r="G457" s="896"/>
      <c r="H457" s="896"/>
      <c r="I457" s="872"/>
      <c r="J457" s="872"/>
      <c r="K457" s="896"/>
      <c r="L457" s="896"/>
      <c r="M457" s="896"/>
      <c r="N457" s="896"/>
      <c r="O457" s="872"/>
      <c r="P457" s="870"/>
      <c r="Q457" s="896"/>
      <c r="R457" s="896"/>
      <c r="S457" s="914"/>
      <c r="T457" s="870"/>
      <c r="U457" s="870"/>
      <c r="V457" s="872"/>
      <c r="W457" s="870"/>
      <c r="X457" s="877"/>
    </row>
    <row r="458" spans="1:24" s="215" customFormat="1">
      <c r="A458" s="862"/>
      <c r="B458" s="859" t="s">
        <v>458</v>
      </c>
      <c r="C458" s="870">
        <v>0</v>
      </c>
      <c r="D458" s="896">
        <v>0</v>
      </c>
      <c r="E458" s="896">
        <v>0</v>
      </c>
      <c r="F458" s="896">
        <v>0</v>
      </c>
      <c r="G458" s="896">
        <v>0</v>
      </c>
      <c r="H458" s="896">
        <v>0</v>
      </c>
      <c r="I458" s="872">
        <v>0</v>
      </c>
      <c r="J458" s="872">
        <v>0</v>
      </c>
      <c r="K458" s="896">
        <v>0</v>
      </c>
      <c r="L458" s="896">
        <v>0</v>
      </c>
      <c r="M458" s="896">
        <v>0</v>
      </c>
      <c r="N458" s="896">
        <v>0</v>
      </c>
      <c r="O458" s="872">
        <v>0</v>
      </c>
      <c r="P458" s="870">
        <v>0</v>
      </c>
      <c r="Q458" s="896">
        <v>0</v>
      </c>
      <c r="R458" s="896">
        <v>0</v>
      </c>
      <c r="S458" s="914">
        <v>0</v>
      </c>
      <c r="T458" s="870">
        <v>0</v>
      </c>
      <c r="U458" s="870">
        <v>0</v>
      </c>
      <c r="V458" s="872">
        <v>0</v>
      </c>
      <c r="W458" s="870">
        <v>0</v>
      </c>
      <c r="X458" s="877">
        <v>0</v>
      </c>
    </row>
    <row r="459" spans="1:24">
      <c r="A459" s="862"/>
      <c r="B459" s="859" t="s">
        <v>1287</v>
      </c>
      <c r="C459" s="870"/>
      <c r="D459" s="896"/>
      <c r="E459" s="896"/>
      <c r="F459" s="896"/>
      <c r="G459" s="896"/>
      <c r="H459" s="896"/>
      <c r="I459" s="872"/>
      <c r="J459" s="872"/>
      <c r="K459" s="896"/>
      <c r="L459" s="896"/>
      <c r="M459" s="896"/>
      <c r="N459" s="896"/>
      <c r="O459" s="872"/>
      <c r="P459" s="870"/>
      <c r="Q459" s="896"/>
      <c r="R459" s="896"/>
      <c r="S459" s="914"/>
      <c r="T459" s="870"/>
      <c r="U459" s="870"/>
      <c r="V459" s="872"/>
      <c r="W459" s="870"/>
      <c r="X459" s="877"/>
    </row>
    <row r="460" spans="1:24" s="216" customFormat="1">
      <c r="A460" s="862"/>
      <c r="B460" s="859" t="s">
        <v>673</v>
      </c>
      <c r="C460" s="870"/>
      <c r="D460" s="896"/>
      <c r="E460" s="896"/>
      <c r="F460" s="896"/>
      <c r="G460" s="896"/>
      <c r="H460" s="896"/>
      <c r="I460" s="872"/>
      <c r="J460" s="872"/>
      <c r="K460" s="896"/>
      <c r="L460" s="896"/>
      <c r="M460" s="896"/>
      <c r="N460" s="896"/>
      <c r="O460" s="872"/>
      <c r="P460" s="870"/>
      <c r="Q460" s="896"/>
      <c r="R460" s="896"/>
      <c r="S460" s="914"/>
      <c r="T460" s="870"/>
      <c r="U460" s="870"/>
      <c r="V460" s="872"/>
      <c r="W460" s="870"/>
      <c r="X460" s="877"/>
    </row>
    <row r="461" spans="1:24" s="215" customFormat="1">
      <c r="A461" s="862"/>
      <c r="B461" s="859" t="s">
        <v>877</v>
      </c>
      <c r="C461" s="870">
        <v>0</v>
      </c>
      <c r="D461" s="896">
        <v>0</v>
      </c>
      <c r="E461" s="896">
        <v>0</v>
      </c>
      <c r="F461" s="896">
        <v>0</v>
      </c>
      <c r="G461" s="896">
        <v>0</v>
      </c>
      <c r="H461" s="896">
        <v>0</v>
      </c>
      <c r="I461" s="872">
        <v>0</v>
      </c>
      <c r="J461" s="872">
        <v>0</v>
      </c>
      <c r="K461" s="896">
        <v>0</v>
      </c>
      <c r="L461" s="896">
        <v>0</v>
      </c>
      <c r="M461" s="896">
        <v>0</v>
      </c>
      <c r="N461" s="896">
        <v>0</v>
      </c>
      <c r="O461" s="872">
        <v>0</v>
      </c>
      <c r="P461" s="870">
        <v>0</v>
      </c>
      <c r="Q461" s="896">
        <v>0</v>
      </c>
      <c r="R461" s="896">
        <v>0</v>
      </c>
      <c r="S461" s="914">
        <v>0</v>
      </c>
      <c r="T461" s="870">
        <v>0</v>
      </c>
      <c r="U461" s="870">
        <v>0</v>
      </c>
      <c r="V461" s="872">
        <v>0</v>
      </c>
      <c r="W461" s="870">
        <v>0</v>
      </c>
      <c r="X461" s="877">
        <v>0</v>
      </c>
    </row>
    <row r="462" spans="1:24">
      <c r="A462" s="862"/>
      <c r="B462" s="859" t="s">
        <v>1289</v>
      </c>
      <c r="C462" s="870">
        <v>0</v>
      </c>
      <c r="D462" s="896"/>
      <c r="E462" s="896">
        <v>0</v>
      </c>
      <c r="F462" s="896">
        <v>0</v>
      </c>
      <c r="G462" s="896">
        <v>0</v>
      </c>
      <c r="H462" s="896">
        <v>0</v>
      </c>
      <c r="I462" s="872">
        <v>0</v>
      </c>
      <c r="J462" s="872">
        <v>0</v>
      </c>
      <c r="K462" s="896">
        <v>0</v>
      </c>
      <c r="L462" s="896">
        <v>0</v>
      </c>
      <c r="M462" s="896">
        <v>0</v>
      </c>
      <c r="N462" s="896"/>
      <c r="O462" s="872">
        <v>0</v>
      </c>
      <c r="P462" s="870"/>
      <c r="Q462" s="896"/>
      <c r="R462" s="896"/>
      <c r="S462" s="914"/>
      <c r="T462" s="870">
        <v>0</v>
      </c>
      <c r="U462" s="870">
        <v>0</v>
      </c>
      <c r="V462" s="872">
        <v>0</v>
      </c>
      <c r="W462" s="870">
        <v>0</v>
      </c>
      <c r="X462" s="877">
        <v>0</v>
      </c>
    </row>
    <row r="463" spans="1:24" s="216" customFormat="1">
      <c r="A463" s="862"/>
      <c r="B463" s="859" t="s">
        <v>675</v>
      </c>
      <c r="C463" s="870">
        <v>0</v>
      </c>
      <c r="D463" s="896"/>
      <c r="E463" s="896">
        <v>0</v>
      </c>
      <c r="F463" s="896">
        <v>0</v>
      </c>
      <c r="G463" s="896">
        <v>0</v>
      </c>
      <c r="H463" s="896">
        <v>0</v>
      </c>
      <c r="I463" s="872">
        <v>0</v>
      </c>
      <c r="J463" s="872">
        <v>0</v>
      </c>
      <c r="K463" s="896">
        <v>0</v>
      </c>
      <c r="L463" s="896">
        <v>0</v>
      </c>
      <c r="M463" s="896">
        <v>0</v>
      </c>
      <c r="N463" s="896"/>
      <c r="O463" s="872">
        <v>0</v>
      </c>
      <c r="P463" s="870"/>
      <c r="Q463" s="896"/>
      <c r="R463" s="896"/>
      <c r="S463" s="914"/>
      <c r="T463" s="870">
        <v>0</v>
      </c>
      <c r="U463" s="870">
        <v>0</v>
      </c>
      <c r="V463" s="872">
        <v>0</v>
      </c>
      <c r="W463" s="870">
        <v>0</v>
      </c>
      <c r="X463" s="877">
        <v>0</v>
      </c>
    </row>
    <row r="464" spans="1:24" s="215" customFormat="1">
      <c r="A464" s="862"/>
      <c r="B464" s="859" t="s">
        <v>1339</v>
      </c>
      <c r="C464" s="870">
        <v>0</v>
      </c>
      <c r="D464" s="896">
        <v>0</v>
      </c>
      <c r="E464" s="896">
        <v>0</v>
      </c>
      <c r="F464" s="896">
        <v>0</v>
      </c>
      <c r="G464" s="896">
        <v>0</v>
      </c>
      <c r="H464" s="896">
        <v>0</v>
      </c>
      <c r="I464" s="872">
        <v>0</v>
      </c>
      <c r="J464" s="872">
        <v>0</v>
      </c>
      <c r="K464" s="896">
        <v>0</v>
      </c>
      <c r="L464" s="896">
        <v>0</v>
      </c>
      <c r="M464" s="896">
        <v>0</v>
      </c>
      <c r="N464" s="896">
        <v>0</v>
      </c>
      <c r="O464" s="872">
        <v>0</v>
      </c>
      <c r="P464" s="870">
        <v>0</v>
      </c>
      <c r="Q464" s="896">
        <v>0</v>
      </c>
      <c r="R464" s="896">
        <v>0</v>
      </c>
      <c r="S464" s="914">
        <v>0</v>
      </c>
      <c r="T464" s="870">
        <v>0</v>
      </c>
      <c r="U464" s="870">
        <v>0</v>
      </c>
      <c r="V464" s="872">
        <v>0</v>
      </c>
      <c r="W464" s="870">
        <v>0</v>
      </c>
      <c r="X464" s="877">
        <v>0</v>
      </c>
    </row>
    <row r="465" spans="1:24">
      <c r="A465" s="862"/>
      <c r="B465" s="859" t="s">
        <v>634</v>
      </c>
      <c r="C465" s="870">
        <v>22980442</v>
      </c>
      <c r="D465" s="896"/>
      <c r="E465" s="896"/>
      <c r="F465" s="896"/>
      <c r="G465" s="896"/>
      <c r="H465" s="896"/>
      <c r="I465" s="872">
        <v>22980442</v>
      </c>
      <c r="J465" s="872"/>
      <c r="K465" s="896"/>
      <c r="L465" s="896"/>
      <c r="M465" s="896"/>
      <c r="N465" s="896"/>
      <c r="O465" s="872"/>
      <c r="P465" s="870"/>
      <c r="Q465" s="896"/>
      <c r="R465" s="896"/>
      <c r="S465" s="914"/>
      <c r="T465" s="870">
        <v>116894609</v>
      </c>
      <c r="U465" s="870">
        <v>116894609</v>
      </c>
      <c r="V465" s="872"/>
      <c r="W465" s="870"/>
      <c r="X465" s="877">
        <v>139875051</v>
      </c>
    </row>
    <row r="466" spans="1:24" s="216" customFormat="1">
      <c r="A466" s="862"/>
      <c r="B466" s="859" t="s">
        <v>636</v>
      </c>
      <c r="C466" s="870">
        <v>13562432</v>
      </c>
      <c r="D466" s="896"/>
      <c r="E466" s="896"/>
      <c r="F466" s="896"/>
      <c r="G466" s="896"/>
      <c r="H466" s="896"/>
      <c r="I466" s="872">
        <v>13562432</v>
      </c>
      <c r="J466" s="872"/>
      <c r="K466" s="896"/>
      <c r="L466" s="896"/>
      <c r="M466" s="896"/>
      <c r="N466" s="896"/>
      <c r="O466" s="872"/>
      <c r="P466" s="870"/>
      <c r="Q466" s="896"/>
      <c r="R466" s="896"/>
      <c r="S466" s="914"/>
      <c r="T466" s="870">
        <v>88882318</v>
      </c>
      <c r="U466" s="870">
        <v>88882318</v>
      </c>
      <c r="V466" s="872"/>
      <c r="W466" s="870"/>
      <c r="X466" s="877">
        <v>102444750</v>
      </c>
    </row>
    <row r="467" spans="1:24" s="215" customFormat="1">
      <c r="A467" s="862"/>
      <c r="B467" s="859" t="s">
        <v>1540</v>
      </c>
      <c r="C467" s="870">
        <v>-40.982719131337859</v>
      </c>
      <c r="D467" s="896">
        <v>0</v>
      </c>
      <c r="E467" s="896">
        <v>0</v>
      </c>
      <c r="F467" s="896">
        <v>0</v>
      </c>
      <c r="G467" s="896">
        <v>0</v>
      </c>
      <c r="H467" s="896">
        <v>0</v>
      </c>
      <c r="I467" s="872">
        <v>-40.982719131337859</v>
      </c>
      <c r="J467" s="872">
        <v>0</v>
      </c>
      <c r="K467" s="896">
        <v>0</v>
      </c>
      <c r="L467" s="896">
        <v>0</v>
      </c>
      <c r="M467" s="896">
        <v>0</v>
      </c>
      <c r="N467" s="896">
        <v>0</v>
      </c>
      <c r="O467" s="872">
        <v>0</v>
      </c>
      <c r="P467" s="870">
        <v>0</v>
      </c>
      <c r="Q467" s="896">
        <v>0</v>
      </c>
      <c r="R467" s="896">
        <v>0</v>
      </c>
      <c r="S467" s="914">
        <v>0</v>
      </c>
      <c r="T467" s="870">
        <v>-23.963715041811724</v>
      </c>
      <c r="U467" s="870">
        <v>-23.963715041811724</v>
      </c>
      <c r="V467" s="872">
        <v>0</v>
      </c>
      <c r="W467" s="870">
        <v>0</v>
      </c>
      <c r="X467" s="877">
        <v>-26.759812226985353</v>
      </c>
    </row>
    <row r="468" spans="1:24">
      <c r="A468" s="862"/>
      <c r="B468" s="859" t="s">
        <v>637</v>
      </c>
      <c r="C468" s="870">
        <v>9094869</v>
      </c>
      <c r="D468" s="896"/>
      <c r="E468" s="896"/>
      <c r="F468" s="896"/>
      <c r="G468" s="896"/>
      <c r="H468" s="896"/>
      <c r="I468" s="872">
        <v>9094869</v>
      </c>
      <c r="J468" s="872"/>
      <c r="K468" s="896"/>
      <c r="L468" s="896"/>
      <c r="M468" s="896"/>
      <c r="N468" s="896"/>
      <c r="O468" s="872"/>
      <c r="P468" s="870"/>
      <c r="Q468" s="896"/>
      <c r="R468" s="896"/>
      <c r="S468" s="914"/>
      <c r="T468" s="870">
        <v>48952409</v>
      </c>
      <c r="U468" s="870">
        <v>48952409</v>
      </c>
      <c r="V468" s="872"/>
      <c r="W468" s="870"/>
      <c r="X468" s="877">
        <v>58047278</v>
      </c>
    </row>
    <row r="469" spans="1:24" s="216" customFormat="1">
      <c r="A469" s="862"/>
      <c r="B469" s="859" t="s">
        <v>1890</v>
      </c>
      <c r="C469" s="870">
        <v>9094869</v>
      </c>
      <c r="D469" s="896"/>
      <c r="E469" s="896"/>
      <c r="F469" s="896"/>
      <c r="G469" s="896"/>
      <c r="H469" s="896"/>
      <c r="I469" s="872">
        <v>9094869</v>
      </c>
      <c r="J469" s="872"/>
      <c r="K469" s="896"/>
      <c r="L469" s="896"/>
      <c r="M469" s="896"/>
      <c r="N469" s="896"/>
      <c r="O469" s="872"/>
      <c r="P469" s="870"/>
      <c r="Q469" s="896"/>
      <c r="R469" s="896"/>
      <c r="S469" s="914"/>
      <c r="T469" s="870">
        <v>51976921</v>
      </c>
      <c r="U469" s="870">
        <v>51976921</v>
      </c>
      <c r="V469" s="872"/>
      <c r="W469" s="870"/>
      <c r="X469" s="877">
        <v>61071790</v>
      </c>
    </row>
    <row r="470" spans="1:24" s="215" customFormat="1">
      <c r="A470" s="862"/>
      <c r="B470" s="859" t="s">
        <v>1603</v>
      </c>
      <c r="C470" s="870">
        <v>0</v>
      </c>
      <c r="D470" s="896">
        <v>0</v>
      </c>
      <c r="E470" s="896">
        <v>0</v>
      </c>
      <c r="F470" s="896">
        <v>0</v>
      </c>
      <c r="G470" s="896">
        <v>0</v>
      </c>
      <c r="H470" s="896">
        <v>0</v>
      </c>
      <c r="I470" s="872">
        <v>0</v>
      </c>
      <c r="J470" s="872">
        <v>0</v>
      </c>
      <c r="K470" s="896">
        <v>0</v>
      </c>
      <c r="L470" s="896">
        <v>0</v>
      </c>
      <c r="M470" s="896">
        <v>0</v>
      </c>
      <c r="N470" s="896">
        <v>0</v>
      </c>
      <c r="O470" s="872">
        <v>0</v>
      </c>
      <c r="P470" s="870">
        <v>0</v>
      </c>
      <c r="Q470" s="896">
        <v>0</v>
      </c>
      <c r="R470" s="896">
        <v>0</v>
      </c>
      <c r="S470" s="914">
        <v>0</v>
      </c>
      <c r="T470" s="870">
        <v>6.1784742810103586</v>
      </c>
      <c r="U470" s="870">
        <v>6.1784742810103586</v>
      </c>
      <c r="V470" s="872">
        <v>0</v>
      </c>
      <c r="W470" s="870">
        <v>0</v>
      </c>
      <c r="X470" s="877">
        <v>5.2104286440442564</v>
      </c>
    </row>
    <row r="471" spans="1:24">
      <c r="A471" s="862"/>
      <c r="B471" s="859" t="s">
        <v>377</v>
      </c>
      <c r="C471" s="870">
        <v>815517219</v>
      </c>
      <c r="D471" s="896"/>
      <c r="E471" s="896">
        <v>210096094</v>
      </c>
      <c r="F471" s="896">
        <v>44885157</v>
      </c>
      <c r="G471" s="896">
        <v>235798006</v>
      </c>
      <c r="H471" s="896">
        <v>78888348</v>
      </c>
      <c r="I471" s="872">
        <v>1385184824</v>
      </c>
      <c r="J471" s="872">
        <v>10187212</v>
      </c>
      <c r="K471" s="896">
        <v>222552299</v>
      </c>
      <c r="L471" s="896">
        <v>222737630</v>
      </c>
      <c r="M471" s="896">
        <v>55912227</v>
      </c>
      <c r="N471" s="896"/>
      <c r="O471" s="872">
        <v>511389368</v>
      </c>
      <c r="P471" s="870"/>
      <c r="Q471" s="896"/>
      <c r="R471" s="896"/>
      <c r="S471" s="914"/>
      <c r="T471" s="870">
        <v>0</v>
      </c>
      <c r="U471" s="870">
        <v>0</v>
      </c>
      <c r="V471" s="872">
        <v>44178349</v>
      </c>
      <c r="W471" s="870">
        <v>44178349</v>
      </c>
      <c r="X471" s="877">
        <v>1940752541</v>
      </c>
    </row>
    <row r="472" spans="1:24" s="216" customFormat="1">
      <c r="A472" s="862"/>
      <c r="B472" s="859" t="s">
        <v>379</v>
      </c>
      <c r="C472" s="870">
        <v>788121100</v>
      </c>
      <c r="D472" s="896"/>
      <c r="E472" s="896">
        <v>202104841</v>
      </c>
      <c r="F472" s="896">
        <v>44023894</v>
      </c>
      <c r="G472" s="896">
        <v>225656944</v>
      </c>
      <c r="H472" s="896">
        <v>77721467</v>
      </c>
      <c r="I472" s="872">
        <v>1337628246</v>
      </c>
      <c r="J472" s="872">
        <v>10699522</v>
      </c>
      <c r="K472" s="896">
        <v>211121031</v>
      </c>
      <c r="L472" s="896">
        <v>211669590</v>
      </c>
      <c r="M472" s="896">
        <v>54540002</v>
      </c>
      <c r="N472" s="896"/>
      <c r="O472" s="872">
        <v>488030145</v>
      </c>
      <c r="P472" s="870"/>
      <c r="Q472" s="896"/>
      <c r="R472" s="896"/>
      <c r="S472" s="914"/>
      <c r="T472" s="870">
        <v>0</v>
      </c>
      <c r="U472" s="870">
        <v>0</v>
      </c>
      <c r="V472" s="872">
        <v>7767023</v>
      </c>
      <c r="W472" s="870">
        <v>7767023</v>
      </c>
      <c r="X472" s="877">
        <v>1833425414</v>
      </c>
    </row>
    <row r="473" spans="1:24" s="228" customFormat="1">
      <c r="A473" s="897"/>
      <c r="B473" s="859" t="s">
        <v>381</v>
      </c>
      <c r="C473" s="870">
        <v>-3.3593550647028092</v>
      </c>
      <c r="D473" s="896">
        <v>0</v>
      </c>
      <c r="E473" s="896">
        <v>-3.8036180720237476</v>
      </c>
      <c r="F473" s="896">
        <v>-1.9188147208664104</v>
      </c>
      <c r="G473" s="896">
        <v>-4.3007412030447796</v>
      </c>
      <c r="H473" s="896">
        <v>-1.4791550711646289</v>
      </c>
      <c r="I473" s="872">
        <v>-3.4332297882582061</v>
      </c>
      <c r="J473" s="872">
        <v>5.0289519841149861</v>
      </c>
      <c r="K473" s="896">
        <v>-5.136441210162471</v>
      </c>
      <c r="L473" s="896">
        <v>-4.9690930086667437</v>
      </c>
      <c r="M473" s="896">
        <v>-2.4542485134780985</v>
      </c>
      <c r="N473" s="896">
        <v>0</v>
      </c>
      <c r="O473" s="872">
        <v>-4.5677959812414404</v>
      </c>
      <c r="P473" s="870">
        <v>0</v>
      </c>
      <c r="Q473" s="896">
        <v>0</v>
      </c>
      <c r="R473" s="896">
        <v>0</v>
      </c>
      <c r="S473" s="914">
        <v>0</v>
      </c>
      <c r="T473" s="870">
        <v>0</v>
      </c>
      <c r="U473" s="870">
        <v>0</v>
      </c>
      <c r="V473" s="872">
        <v>-82.418937837627197</v>
      </c>
      <c r="W473" s="870">
        <v>-82.418937837627197</v>
      </c>
      <c r="X473" s="877">
        <v>-5.5301809340771593</v>
      </c>
    </row>
    <row r="474" spans="1:24">
      <c r="A474" s="858" t="s">
        <v>1283</v>
      </c>
      <c r="B474" s="858" t="s">
        <v>1347</v>
      </c>
      <c r="C474" s="863">
        <v>202406600</v>
      </c>
      <c r="D474" s="864">
        <v>127736800</v>
      </c>
      <c r="E474" s="864">
        <v>257216300</v>
      </c>
      <c r="F474" s="864">
        <v>90718500</v>
      </c>
      <c r="G474" s="864">
        <v>33868100</v>
      </c>
      <c r="H474" s="864"/>
      <c r="I474" s="865">
        <v>711946300</v>
      </c>
      <c r="J474" s="865"/>
      <c r="K474" s="864">
        <v>87465900</v>
      </c>
      <c r="L474" s="864">
        <v>137127200</v>
      </c>
      <c r="M474" s="864">
        <v>7702800</v>
      </c>
      <c r="N474" s="864"/>
      <c r="O474" s="865">
        <v>232295900</v>
      </c>
      <c r="P474" s="863"/>
      <c r="Q474" s="864">
        <v>53607000</v>
      </c>
      <c r="R474" s="864"/>
      <c r="S474" s="913">
        <v>53607000</v>
      </c>
      <c r="T474" s="863"/>
      <c r="U474" s="863"/>
      <c r="V474" s="865"/>
      <c r="W474" s="863"/>
      <c r="X474" s="869">
        <v>997849200</v>
      </c>
    </row>
    <row r="475" spans="1:24" s="216" customFormat="1">
      <c r="A475" s="862"/>
      <c r="B475" s="859" t="s">
        <v>60</v>
      </c>
      <c r="C475" s="870">
        <v>178669100</v>
      </c>
      <c r="D475" s="896">
        <v>113093400</v>
      </c>
      <c r="E475" s="896">
        <v>230308600</v>
      </c>
      <c r="F475" s="896">
        <v>78134700</v>
      </c>
      <c r="G475" s="896">
        <v>30386700</v>
      </c>
      <c r="H475" s="896"/>
      <c r="I475" s="872">
        <v>630592500</v>
      </c>
      <c r="J475" s="872"/>
      <c r="K475" s="896">
        <v>82253700</v>
      </c>
      <c r="L475" s="896">
        <v>128559400</v>
      </c>
      <c r="M475" s="896">
        <v>7190000</v>
      </c>
      <c r="N475" s="896"/>
      <c r="O475" s="872">
        <v>218003100</v>
      </c>
      <c r="P475" s="870"/>
      <c r="Q475" s="896">
        <v>50872900</v>
      </c>
      <c r="R475" s="896"/>
      <c r="S475" s="914">
        <v>50872900</v>
      </c>
      <c r="T475" s="870"/>
      <c r="U475" s="870"/>
      <c r="V475" s="872"/>
      <c r="W475" s="870"/>
      <c r="X475" s="877">
        <v>899468500</v>
      </c>
    </row>
    <row r="476" spans="1:24" s="215" customFormat="1">
      <c r="A476" s="862"/>
      <c r="B476" s="859" t="s">
        <v>906</v>
      </c>
      <c r="C476" s="870">
        <v>-11.727631411228685</v>
      </c>
      <c r="D476" s="896">
        <v>-11.463728541814106</v>
      </c>
      <c r="E476" s="896">
        <v>-10.461117744093201</v>
      </c>
      <c r="F476" s="896">
        <v>-13.871261098893831</v>
      </c>
      <c r="G476" s="896">
        <v>-10.279289360784926</v>
      </c>
      <c r="H476" s="896">
        <v>0</v>
      </c>
      <c r="I476" s="872">
        <v>-11.426957342147857</v>
      </c>
      <c r="J476" s="872">
        <v>0</v>
      </c>
      <c r="K476" s="896">
        <v>-5.9591223551121066</v>
      </c>
      <c r="L476" s="896">
        <v>-6.2480674877048461</v>
      </c>
      <c r="M476" s="896">
        <v>-6.6573194163161444</v>
      </c>
      <c r="N476" s="896">
        <v>0</v>
      </c>
      <c r="O476" s="872">
        <v>-6.1528421293703417</v>
      </c>
      <c r="P476" s="870">
        <v>0</v>
      </c>
      <c r="Q476" s="896">
        <v>-5.1002667562072119</v>
      </c>
      <c r="R476" s="896">
        <v>0</v>
      </c>
      <c r="S476" s="914">
        <v>-5.1002667562072119</v>
      </c>
      <c r="T476" s="870">
        <v>0</v>
      </c>
      <c r="U476" s="870">
        <v>0</v>
      </c>
      <c r="V476" s="872">
        <v>0</v>
      </c>
      <c r="W476" s="870">
        <v>0</v>
      </c>
      <c r="X476" s="877">
        <v>-9.859275329378427</v>
      </c>
    </row>
    <row r="477" spans="1:24">
      <c r="A477" s="862"/>
      <c r="B477" s="859" t="s">
        <v>1370</v>
      </c>
      <c r="C477" s="870">
        <v>64607200</v>
      </c>
      <c r="D477" s="896"/>
      <c r="E477" s="896">
        <v>531200</v>
      </c>
      <c r="F477" s="896"/>
      <c r="G477" s="896"/>
      <c r="H477" s="896"/>
      <c r="I477" s="872">
        <v>65138400</v>
      </c>
      <c r="J477" s="872"/>
      <c r="K477" s="896"/>
      <c r="L477" s="896"/>
      <c r="M477" s="896"/>
      <c r="N477" s="896"/>
      <c r="O477" s="872"/>
      <c r="P477" s="870"/>
      <c r="Q477" s="896"/>
      <c r="R477" s="896"/>
      <c r="S477" s="914"/>
      <c r="T477" s="870"/>
      <c r="U477" s="870"/>
      <c r="V477" s="872">
        <v>395600</v>
      </c>
      <c r="W477" s="870">
        <v>395600</v>
      </c>
      <c r="X477" s="877">
        <v>65534000</v>
      </c>
    </row>
    <row r="478" spans="1:24" s="216" customFormat="1">
      <c r="A478" s="862"/>
      <c r="B478" s="859" t="s">
        <v>1611</v>
      </c>
      <c r="C478" s="870">
        <v>61463800</v>
      </c>
      <c r="D478" s="896"/>
      <c r="E478" s="896">
        <v>503100</v>
      </c>
      <c r="F478" s="896"/>
      <c r="G478" s="896"/>
      <c r="H478" s="896"/>
      <c r="I478" s="872">
        <v>61966900</v>
      </c>
      <c r="J478" s="872"/>
      <c r="K478" s="896"/>
      <c r="L478" s="896"/>
      <c r="M478" s="896"/>
      <c r="N478" s="896"/>
      <c r="O478" s="872"/>
      <c r="P478" s="870"/>
      <c r="Q478" s="896"/>
      <c r="R478" s="896"/>
      <c r="S478" s="914"/>
      <c r="T478" s="870"/>
      <c r="U478" s="870"/>
      <c r="V478" s="872">
        <v>369000</v>
      </c>
      <c r="W478" s="870">
        <v>369000</v>
      </c>
      <c r="X478" s="877">
        <v>62335900</v>
      </c>
    </row>
    <row r="479" spans="1:24" s="215" customFormat="1">
      <c r="A479" s="862"/>
      <c r="B479" s="859" t="s">
        <v>1613</v>
      </c>
      <c r="C479" s="870">
        <v>-4.8654019985388626</v>
      </c>
      <c r="D479" s="896">
        <v>0</v>
      </c>
      <c r="E479" s="896">
        <v>-5.2899096385542164</v>
      </c>
      <c r="F479" s="896">
        <v>0</v>
      </c>
      <c r="G479" s="896">
        <v>0</v>
      </c>
      <c r="H479" s="896">
        <v>0</v>
      </c>
      <c r="I479" s="872">
        <v>-4.8688638345430659</v>
      </c>
      <c r="J479" s="872">
        <v>0</v>
      </c>
      <c r="K479" s="896">
        <v>0</v>
      </c>
      <c r="L479" s="896">
        <v>0</v>
      </c>
      <c r="M479" s="896">
        <v>0</v>
      </c>
      <c r="N479" s="896">
        <v>0</v>
      </c>
      <c r="O479" s="872">
        <v>0</v>
      </c>
      <c r="P479" s="870">
        <v>0</v>
      </c>
      <c r="Q479" s="896">
        <v>0</v>
      </c>
      <c r="R479" s="896">
        <v>0</v>
      </c>
      <c r="S479" s="914">
        <v>0</v>
      </c>
      <c r="T479" s="870">
        <v>0</v>
      </c>
      <c r="U479" s="870">
        <v>0</v>
      </c>
      <c r="V479" s="872">
        <v>-6.7239635995955505</v>
      </c>
      <c r="W479" s="870">
        <v>-6.7239635995955505</v>
      </c>
      <c r="X479" s="877">
        <v>-4.8800622577593309</v>
      </c>
    </row>
    <row r="480" spans="1:24">
      <c r="A480" s="862"/>
      <c r="B480" s="859" t="s">
        <v>61</v>
      </c>
      <c r="C480" s="870"/>
      <c r="D480" s="896"/>
      <c r="E480" s="896"/>
      <c r="F480" s="896"/>
      <c r="G480" s="896"/>
      <c r="H480" s="896"/>
      <c r="I480" s="872"/>
      <c r="J480" s="872"/>
      <c r="K480" s="896"/>
      <c r="L480" s="896"/>
      <c r="M480" s="896"/>
      <c r="N480" s="896"/>
      <c r="O480" s="872"/>
      <c r="P480" s="870"/>
      <c r="Q480" s="896"/>
      <c r="R480" s="896"/>
      <c r="S480" s="914"/>
      <c r="T480" s="870"/>
      <c r="U480" s="870"/>
      <c r="V480" s="872"/>
      <c r="W480" s="870"/>
      <c r="X480" s="877"/>
    </row>
    <row r="481" spans="1:24" s="216" customFormat="1">
      <c r="A481" s="862"/>
      <c r="B481" s="859" t="s">
        <v>62</v>
      </c>
      <c r="C481" s="870"/>
      <c r="D481" s="896"/>
      <c r="E481" s="896"/>
      <c r="F481" s="896"/>
      <c r="G481" s="896"/>
      <c r="H481" s="896"/>
      <c r="I481" s="872"/>
      <c r="J481" s="872"/>
      <c r="K481" s="896"/>
      <c r="L481" s="896"/>
      <c r="M481" s="896"/>
      <c r="N481" s="896"/>
      <c r="O481" s="872"/>
      <c r="P481" s="870"/>
      <c r="Q481" s="896"/>
      <c r="R481" s="896"/>
      <c r="S481" s="914"/>
      <c r="T481" s="870"/>
      <c r="U481" s="870"/>
      <c r="V481" s="872"/>
      <c r="W481" s="870"/>
      <c r="X481" s="877"/>
    </row>
    <row r="482" spans="1:24" s="215" customFormat="1" ht="13.5" thickBot="1">
      <c r="A482" s="862"/>
      <c r="B482" s="859" t="s">
        <v>1816</v>
      </c>
      <c r="C482" s="870">
        <v>0</v>
      </c>
      <c r="D482" s="896">
        <v>0</v>
      </c>
      <c r="E482" s="896">
        <v>0</v>
      </c>
      <c r="F482" s="896">
        <v>0</v>
      </c>
      <c r="G482" s="896">
        <v>0</v>
      </c>
      <c r="H482" s="896">
        <v>0</v>
      </c>
      <c r="I482" s="872">
        <v>0</v>
      </c>
      <c r="J482" s="872">
        <v>0</v>
      </c>
      <c r="K482" s="896">
        <v>0</v>
      </c>
      <c r="L482" s="896">
        <v>0</v>
      </c>
      <c r="M482" s="896">
        <v>0</v>
      </c>
      <c r="N482" s="896">
        <v>0</v>
      </c>
      <c r="O482" s="872">
        <v>0</v>
      </c>
      <c r="P482" s="870">
        <v>0</v>
      </c>
      <c r="Q482" s="896">
        <v>0</v>
      </c>
      <c r="R482" s="896">
        <v>0</v>
      </c>
      <c r="S482" s="914">
        <v>0</v>
      </c>
      <c r="T482" s="870">
        <v>0</v>
      </c>
      <c r="U482" s="870">
        <v>0</v>
      </c>
      <c r="V482" s="872">
        <v>0</v>
      </c>
      <c r="W482" s="870">
        <v>0</v>
      </c>
      <c r="X482" s="877">
        <v>0</v>
      </c>
    </row>
    <row r="483" spans="1:24">
      <c r="A483" s="862"/>
      <c r="B483" s="859" t="s">
        <v>1588</v>
      </c>
      <c r="C483" s="870">
        <v>176406500</v>
      </c>
      <c r="D483" s="866">
        <v>102021731</v>
      </c>
      <c r="E483" s="896">
        <v>269674635</v>
      </c>
      <c r="F483" s="896">
        <v>82222700</v>
      </c>
      <c r="G483" s="896">
        <v>31574563</v>
      </c>
      <c r="H483" s="896"/>
      <c r="I483" s="872">
        <v>661900129</v>
      </c>
      <c r="J483" s="872"/>
      <c r="K483" s="896">
        <v>64960800</v>
      </c>
      <c r="L483" s="896">
        <v>96625560</v>
      </c>
      <c r="M483" s="896">
        <v>5160600</v>
      </c>
      <c r="N483" s="896"/>
      <c r="O483" s="872">
        <v>166746960</v>
      </c>
      <c r="P483" s="870"/>
      <c r="Q483" s="896">
        <v>17708400</v>
      </c>
      <c r="R483" s="896"/>
      <c r="S483" s="914">
        <v>17708400</v>
      </c>
      <c r="T483" s="870"/>
      <c r="U483" s="870"/>
      <c r="V483" s="872"/>
      <c r="W483" s="870"/>
      <c r="X483" s="877">
        <v>846355489</v>
      </c>
    </row>
    <row r="484" spans="1:24" s="216" customFormat="1">
      <c r="A484" s="862"/>
      <c r="B484" s="859" t="s">
        <v>251</v>
      </c>
      <c r="C484" s="870">
        <v>187709000</v>
      </c>
      <c r="D484" s="873">
        <v>109324948</v>
      </c>
      <c r="E484" s="896">
        <v>283055357</v>
      </c>
      <c r="F484" s="896">
        <v>91152800</v>
      </c>
      <c r="G484" s="896">
        <v>34358563</v>
      </c>
      <c r="H484" s="896"/>
      <c r="I484" s="872">
        <v>705600668</v>
      </c>
      <c r="J484" s="872"/>
      <c r="K484" s="896">
        <v>68733640</v>
      </c>
      <c r="L484" s="896">
        <v>107488865</v>
      </c>
      <c r="M484" s="896">
        <v>5644700</v>
      </c>
      <c r="N484" s="896"/>
      <c r="O484" s="872">
        <v>181867205</v>
      </c>
      <c r="P484" s="870"/>
      <c r="Q484" s="896">
        <v>19711570</v>
      </c>
      <c r="R484" s="896"/>
      <c r="S484" s="914">
        <v>19711570</v>
      </c>
      <c r="T484" s="870"/>
      <c r="U484" s="870"/>
      <c r="V484" s="872"/>
      <c r="W484" s="870"/>
      <c r="X484" s="877">
        <v>907179443</v>
      </c>
    </row>
    <row r="485" spans="1:24" s="215" customFormat="1" ht="13.5" thickBot="1">
      <c r="A485" s="862"/>
      <c r="B485" s="859" t="s">
        <v>1759</v>
      </c>
      <c r="C485" s="870">
        <v>6.4070768367378754</v>
      </c>
      <c r="D485" s="886">
        <v>7.1584915570585643</v>
      </c>
      <c r="E485" s="896">
        <v>4.9618022102820314</v>
      </c>
      <c r="F485" s="896">
        <v>10.86086932197556</v>
      </c>
      <c r="G485" s="896">
        <v>8.8172241687082096</v>
      </c>
      <c r="H485" s="896">
        <v>0</v>
      </c>
      <c r="I485" s="872">
        <v>6.6022859167625274</v>
      </c>
      <c r="J485" s="872">
        <v>0</v>
      </c>
      <c r="K485" s="896">
        <v>5.8078718242386174</v>
      </c>
      <c r="L485" s="896">
        <v>11.242682577984542</v>
      </c>
      <c r="M485" s="896">
        <v>9.3806921675774131</v>
      </c>
      <c r="N485" s="896">
        <v>0</v>
      </c>
      <c r="O485" s="872">
        <v>9.0677785070264552</v>
      </c>
      <c r="P485" s="870">
        <v>0</v>
      </c>
      <c r="Q485" s="896">
        <v>11.311976237265931</v>
      </c>
      <c r="R485" s="896">
        <v>0</v>
      </c>
      <c r="S485" s="914">
        <v>11.311976237265931</v>
      </c>
      <c r="T485" s="870">
        <v>0</v>
      </c>
      <c r="U485" s="870">
        <v>0</v>
      </c>
      <c r="V485" s="872">
        <v>0</v>
      </c>
      <c r="W485" s="870">
        <v>0</v>
      </c>
      <c r="X485" s="877">
        <v>7.1865728751715778</v>
      </c>
    </row>
    <row r="486" spans="1:24">
      <c r="A486" s="862"/>
      <c r="B486" s="859" t="s">
        <v>1590</v>
      </c>
      <c r="C486" s="866">
        <v>2750357</v>
      </c>
      <c r="D486" s="868">
        <v>4095136</v>
      </c>
      <c r="E486" s="896">
        <v>11545900</v>
      </c>
      <c r="F486" s="866">
        <v>2149000</v>
      </c>
      <c r="G486" s="896">
        <v>1040000</v>
      </c>
      <c r="H486" s="896"/>
      <c r="I486" s="872">
        <v>21580393</v>
      </c>
      <c r="J486" s="872"/>
      <c r="K486" s="896">
        <v>260000</v>
      </c>
      <c r="L486" s="896"/>
      <c r="M486" s="896"/>
      <c r="N486" s="896"/>
      <c r="O486" s="872">
        <v>260000</v>
      </c>
      <c r="P486" s="870"/>
      <c r="Q486" s="896"/>
      <c r="R486" s="896"/>
      <c r="S486" s="914"/>
      <c r="T486" s="870"/>
      <c r="U486" s="870"/>
      <c r="V486" s="872"/>
      <c r="W486" s="870"/>
      <c r="X486" s="877">
        <v>21840393</v>
      </c>
    </row>
    <row r="487" spans="1:24" s="216" customFormat="1">
      <c r="A487" s="862"/>
      <c r="B487" s="859" t="s">
        <v>1319</v>
      </c>
      <c r="C487" s="873">
        <v>2778630</v>
      </c>
      <c r="D487" s="876">
        <v>3975136</v>
      </c>
      <c r="E487" s="896">
        <v>15129500</v>
      </c>
      <c r="F487" s="873">
        <v>2166900</v>
      </c>
      <c r="G487" s="896">
        <v>1070000</v>
      </c>
      <c r="H487" s="896"/>
      <c r="I487" s="872">
        <v>25120166</v>
      </c>
      <c r="J487" s="872"/>
      <c r="K487" s="896">
        <v>260000</v>
      </c>
      <c r="L487" s="896"/>
      <c r="M487" s="896"/>
      <c r="N487" s="896"/>
      <c r="O487" s="872">
        <v>260000</v>
      </c>
      <c r="P487" s="870"/>
      <c r="Q487" s="896"/>
      <c r="R487" s="896"/>
      <c r="S487" s="914"/>
      <c r="T487" s="870"/>
      <c r="U487" s="870"/>
      <c r="V487" s="872"/>
      <c r="W487" s="870"/>
      <c r="X487" s="877">
        <v>25380166</v>
      </c>
    </row>
    <row r="488" spans="1:24" s="215" customFormat="1" ht="13.5" thickBot="1">
      <c r="A488" s="862"/>
      <c r="B488" s="859" t="s">
        <v>1330</v>
      </c>
      <c r="C488" s="886">
        <v>1.0279756409804255</v>
      </c>
      <c r="D488" s="888">
        <v>-2.9303056113398918</v>
      </c>
      <c r="E488" s="896">
        <v>31.037857594470765</v>
      </c>
      <c r="F488" s="886">
        <v>0.8329455560725918</v>
      </c>
      <c r="G488" s="896">
        <v>2.8846153846153846</v>
      </c>
      <c r="H488" s="896">
        <v>0</v>
      </c>
      <c r="I488" s="872">
        <v>16.402727234856197</v>
      </c>
      <c r="J488" s="872">
        <v>0</v>
      </c>
      <c r="K488" s="896">
        <v>0</v>
      </c>
      <c r="L488" s="896">
        <v>0</v>
      </c>
      <c r="M488" s="896">
        <v>0</v>
      </c>
      <c r="N488" s="896">
        <v>0</v>
      </c>
      <c r="O488" s="872">
        <v>0</v>
      </c>
      <c r="P488" s="870">
        <v>0</v>
      </c>
      <c r="Q488" s="896">
        <v>0</v>
      </c>
      <c r="R488" s="896">
        <v>0</v>
      </c>
      <c r="S488" s="914">
        <v>0</v>
      </c>
      <c r="T488" s="870">
        <v>0</v>
      </c>
      <c r="U488" s="870">
        <v>0</v>
      </c>
      <c r="V488" s="872">
        <v>0</v>
      </c>
      <c r="W488" s="870">
        <v>0</v>
      </c>
      <c r="X488" s="877">
        <v>16.20746018627046</v>
      </c>
    </row>
    <row r="489" spans="1:24">
      <c r="A489" s="862"/>
      <c r="B489" s="859" t="s">
        <v>1889</v>
      </c>
      <c r="C489" s="870">
        <v>179156857</v>
      </c>
      <c r="D489" s="896">
        <v>106116867</v>
      </c>
      <c r="E489" s="896">
        <v>281220535</v>
      </c>
      <c r="F489" s="896">
        <v>84371700</v>
      </c>
      <c r="G489" s="896">
        <v>32614563</v>
      </c>
      <c r="H489" s="896"/>
      <c r="I489" s="872">
        <v>683480522</v>
      </c>
      <c r="J489" s="872"/>
      <c r="K489" s="896">
        <v>65220800</v>
      </c>
      <c r="L489" s="896">
        <v>96625560</v>
      </c>
      <c r="M489" s="896">
        <v>5160600</v>
      </c>
      <c r="N489" s="896"/>
      <c r="O489" s="872">
        <v>167006960</v>
      </c>
      <c r="P489" s="870"/>
      <c r="Q489" s="896">
        <v>17708400</v>
      </c>
      <c r="R489" s="896"/>
      <c r="S489" s="914">
        <v>17708400</v>
      </c>
      <c r="T489" s="870">
        <v>0</v>
      </c>
      <c r="U489" s="870">
        <v>0</v>
      </c>
      <c r="V489" s="872">
        <v>0</v>
      </c>
      <c r="W489" s="870">
        <v>0</v>
      </c>
      <c r="X489" s="877">
        <v>868195882</v>
      </c>
    </row>
    <row r="490" spans="1:24" s="216" customFormat="1">
      <c r="A490" s="862"/>
      <c r="B490" s="859" t="s">
        <v>626</v>
      </c>
      <c r="C490" s="870">
        <v>190487630</v>
      </c>
      <c r="D490" s="896">
        <v>113300084</v>
      </c>
      <c r="E490" s="896">
        <v>298184857</v>
      </c>
      <c r="F490" s="896">
        <v>93319700</v>
      </c>
      <c r="G490" s="896">
        <v>35428563</v>
      </c>
      <c r="H490" s="896"/>
      <c r="I490" s="872">
        <v>730720834</v>
      </c>
      <c r="J490" s="872"/>
      <c r="K490" s="896">
        <v>68993640</v>
      </c>
      <c r="L490" s="896">
        <v>107488865</v>
      </c>
      <c r="M490" s="896">
        <v>5644700</v>
      </c>
      <c r="N490" s="896"/>
      <c r="O490" s="872">
        <v>182127205</v>
      </c>
      <c r="P490" s="870"/>
      <c r="Q490" s="896">
        <v>19711570</v>
      </c>
      <c r="R490" s="896"/>
      <c r="S490" s="914">
        <v>19711570</v>
      </c>
      <c r="T490" s="870">
        <v>0</v>
      </c>
      <c r="U490" s="870">
        <v>0</v>
      </c>
      <c r="V490" s="872">
        <v>0</v>
      </c>
      <c r="W490" s="870">
        <v>0</v>
      </c>
      <c r="X490" s="877">
        <v>932559609</v>
      </c>
    </row>
    <row r="491" spans="1:24" s="215" customFormat="1" ht="13.5" thickBot="1">
      <c r="A491" s="862"/>
      <c r="B491" s="859" t="s">
        <v>456</v>
      </c>
      <c r="C491" s="870">
        <v>6.3244986486897341</v>
      </c>
      <c r="D491" s="896">
        <v>6.7691566883519085</v>
      </c>
      <c r="E491" s="896">
        <v>6.0323909134160489</v>
      </c>
      <c r="F491" s="896">
        <v>10.605451828041868</v>
      </c>
      <c r="G491" s="896">
        <v>8.6280475381503656</v>
      </c>
      <c r="H491" s="896">
        <v>0</v>
      </c>
      <c r="I491" s="872">
        <v>6.9117276176013691</v>
      </c>
      <c r="J491" s="872">
        <v>0</v>
      </c>
      <c r="K491" s="896">
        <v>5.784718985354365</v>
      </c>
      <c r="L491" s="896">
        <v>11.242682577984542</v>
      </c>
      <c r="M491" s="896">
        <v>9.3806921675774131</v>
      </c>
      <c r="N491" s="896">
        <v>0</v>
      </c>
      <c r="O491" s="872">
        <v>9.0536615958999551</v>
      </c>
      <c r="P491" s="870">
        <v>0</v>
      </c>
      <c r="Q491" s="896">
        <v>11.311976237265931</v>
      </c>
      <c r="R491" s="896">
        <v>0</v>
      </c>
      <c r="S491" s="914">
        <v>11.311976237265931</v>
      </c>
      <c r="T491" s="870">
        <v>0</v>
      </c>
      <c r="U491" s="870">
        <v>0</v>
      </c>
      <c r="V491" s="872">
        <v>0</v>
      </c>
      <c r="W491" s="870">
        <v>0</v>
      </c>
      <c r="X491" s="877">
        <v>7.4135029126986538</v>
      </c>
    </row>
    <row r="492" spans="1:24">
      <c r="A492" s="862"/>
      <c r="B492" s="859" t="s">
        <v>628</v>
      </c>
      <c r="C492" s="870"/>
      <c r="D492" s="896"/>
      <c r="E492" s="896"/>
      <c r="F492" s="896"/>
      <c r="G492" s="896"/>
      <c r="H492" s="896"/>
      <c r="I492" s="872"/>
      <c r="J492" s="872"/>
      <c r="K492" s="896"/>
      <c r="L492" s="896"/>
      <c r="M492" s="896"/>
      <c r="N492" s="896"/>
      <c r="O492" s="872"/>
      <c r="P492" s="870"/>
      <c r="Q492" s="896"/>
      <c r="R492" s="896"/>
      <c r="S492" s="914"/>
      <c r="T492" s="870">
        <v>9274500</v>
      </c>
      <c r="U492" s="870">
        <v>9274500</v>
      </c>
      <c r="V492" s="898">
        <v>306863900</v>
      </c>
      <c r="W492" s="866">
        <v>306863900</v>
      </c>
      <c r="X492" s="877">
        <v>316138400</v>
      </c>
    </row>
    <row r="493" spans="1:24" s="216" customFormat="1">
      <c r="A493" s="862"/>
      <c r="B493" s="859" t="s">
        <v>630</v>
      </c>
      <c r="C493" s="870"/>
      <c r="D493" s="896"/>
      <c r="E493" s="896"/>
      <c r="F493" s="896"/>
      <c r="G493" s="896"/>
      <c r="H493" s="896"/>
      <c r="I493" s="872"/>
      <c r="J493" s="872"/>
      <c r="K493" s="896"/>
      <c r="L493" s="896"/>
      <c r="M493" s="896"/>
      <c r="N493" s="896"/>
      <c r="O493" s="872"/>
      <c r="P493" s="870"/>
      <c r="Q493" s="896"/>
      <c r="R493" s="896"/>
      <c r="S493" s="914"/>
      <c r="T493" s="870">
        <v>7821000</v>
      </c>
      <c r="U493" s="870">
        <v>7821000</v>
      </c>
      <c r="V493" s="899">
        <v>367274400</v>
      </c>
      <c r="W493" s="873">
        <v>367274400</v>
      </c>
      <c r="X493" s="877">
        <v>375095400</v>
      </c>
    </row>
    <row r="494" spans="1:24" s="215" customFormat="1" ht="13.5" thickBot="1">
      <c r="A494" s="862"/>
      <c r="B494" s="859" t="s">
        <v>632</v>
      </c>
      <c r="C494" s="870">
        <v>0</v>
      </c>
      <c r="D494" s="896">
        <v>0</v>
      </c>
      <c r="E494" s="896">
        <v>0</v>
      </c>
      <c r="F494" s="896">
        <v>0</v>
      </c>
      <c r="G494" s="896">
        <v>0</v>
      </c>
      <c r="H494" s="896">
        <v>0</v>
      </c>
      <c r="I494" s="872">
        <v>0</v>
      </c>
      <c r="J494" s="872">
        <v>0</v>
      </c>
      <c r="K494" s="896">
        <v>0</v>
      </c>
      <c r="L494" s="896">
        <v>0</v>
      </c>
      <c r="M494" s="896">
        <v>0</v>
      </c>
      <c r="N494" s="896">
        <v>0</v>
      </c>
      <c r="O494" s="872">
        <v>0</v>
      </c>
      <c r="P494" s="870">
        <v>0</v>
      </c>
      <c r="Q494" s="896">
        <v>0</v>
      </c>
      <c r="R494" s="896">
        <v>0</v>
      </c>
      <c r="S494" s="914">
        <v>0</v>
      </c>
      <c r="T494" s="870">
        <v>-15.672003881610868</v>
      </c>
      <c r="U494" s="870">
        <v>-15.672003881610868</v>
      </c>
      <c r="V494" s="900">
        <v>19.6864147265286</v>
      </c>
      <c r="W494" s="886">
        <v>19.6864147265286</v>
      </c>
      <c r="X494" s="877">
        <v>18.649110642680547</v>
      </c>
    </row>
    <row r="495" spans="1:24">
      <c r="A495" s="862"/>
      <c r="B495" s="859" t="s">
        <v>1608</v>
      </c>
      <c r="C495" s="870"/>
      <c r="D495" s="896"/>
      <c r="E495" s="896"/>
      <c r="F495" s="896"/>
      <c r="G495" s="896"/>
      <c r="H495" s="896"/>
      <c r="I495" s="872"/>
      <c r="J495" s="872"/>
      <c r="K495" s="896"/>
      <c r="L495" s="896"/>
      <c r="M495" s="896"/>
      <c r="N495" s="896"/>
      <c r="O495" s="872"/>
      <c r="P495" s="870"/>
      <c r="Q495" s="896"/>
      <c r="R495" s="896"/>
      <c r="S495" s="914"/>
      <c r="T495" s="870">
        <v>1500218</v>
      </c>
      <c r="U495" s="870">
        <v>1500218</v>
      </c>
      <c r="V495" s="872"/>
      <c r="W495" s="870"/>
      <c r="X495" s="877">
        <v>1500218</v>
      </c>
    </row>
    <row r="496" spans="1:24" s="216" customFormat="1">
      <c r="A496" s="862"/>
      <c r="B496" s="859" t="s">
        <v>1291</v>
      </c>
      <c r="C496" s="870"/>
      <c r="D496" s="896"/>
      <c r="E496" s="896"/>
      <c r="F496" s="896"/>
      <c r="G496" s="896"/>
      <c r="H496" s="896"/>
      <c r="I496" s="872"/>
      <c r="J496" s="872"/>
      <c r="K496" s="896"/>
      <c r="L496" s="896"/>
      <c r="M496" s="896"/>
      <c r="N496" s="896"/>
      <c r="O496" s="872"/>
      <c r="P496" s="870"/>
      <c r="Q496" s="896"/>
      <c r="R496" s="896"/>
      <c r="S496" s="914"/>
      <c r="T496" s="870">
        <v>1711900</v>
      </c>
      <c r="U496" s="870">
        <v>1711900</v>
      </c>
      <c r="V496" s="872"/>
      <c r="W496" s="870"/>
      <c r="X496" s="877">
        <v>1711900</v>
      </c>
    </row>
    <row r="497" spans="1:24" s="215" customFormat="1" ht="13.5" thickBot="1">
      <c r="A497" s="862"/>
      <c r="B497" s="859" t="s">
        <v>458</v>
      </c>
      <c r="C497" s="870">
        <v>0</v>
      </c>
      <c r="D497" s="896">
        <v>0</v>
      </c>
      <c r="E497" s="896">
        <v>0</v>
      </c>
      <c r="F497" s="896">
        <v>0</v>
      </c>
      <c r="G497" s="896">
        <v>0</v>
      </c>
      <c r="H497" s="896">
        <v>0</v>
      </c>
      <c r="I497" s="872">
        <v>0</v>
      </c>
      <c r="J497" s="872">
        <v>0</v>
      </c>
      <c r="K497" s="896">
        <v>0</v>
      </c>
      <c r="L497" s="896">
        <v>0</v>
      </c>
      <c r="M497" s="896">
        <v>0</v>
      </c>
      <c r="N497" s="896">
        <v>0</v>
      </c>
      <c r="O497" s="872">
        <v>0</v>
      </c>
      <c r="P497" s="870">
        <v>0</v>
      </c>
      <c r="Q497" s="896">
        <v>0</v>
      </c>
      <c r="R497" s="896">
        <v>0</v>
      </c>
      <c r="S497" s="914">
        <v>0</v>
      </c>
      <c r="T497" s="870">
        <v>14.110082667985585</v>
      </c>
      <c r="U497" s="870">
        <v>14.110082667985585</v>
      </c>
      <c r="V497" s="872">
        <v>0</v>
      </c>
      <c r="W497" s="870">
        <v>0</v>
      </c>
      <c r="X497" s="877">
        <v>14.110082667985585</v>
      </c>
    </row>
    <row r="498" spans="1:24">
      <c r="A498" s="862"/>
      <c r="B498" s="859" t="s">
        <v>1287</v>
      </c>
      <c r="C498" s="870"/>
      <c r="D498" s="896"/>
      <c r="E498" s="896"/>
      <c r="F498" s="896"/>
      <c r="G498" s="896"/>
      <c r="H498" s="896"/>
      <c r="I498" s="872"/>
      <c r="J498" s="872"/>
      <c r="K498" s="896"/>
      <c r="L498" s="896"/>
      <c r="M498" s="896"/>
      <c r="N498" s="896"/>
      <c r="O498" s="872"/>
      <c r="P498" s="870"/>
      <c r="Q498" s="896"/>
      <c r="R498" s="896"/>
      <c r="S498" s="914"/>
      <c r="T498" s="870">
        <v>126700</v>
      </c>
      <c r="U498" s="866">
        <v>126700</v>
      </c>
      <c r="V498" s="872"/>
      <c r="W498" s="870"/>
      <c r="X498" s="877">
        <v>126700</v>
      </c>
    </row>
    <row r="499" spans="1:24" s="216" customFormat="1">
      <c r="A499" s="862"/>
      <c r="B499" s="859" t="s">
        <v>673</v>
      </c>
      <c r="C499" s="870"/>
      <c r="D499" s="896"/>
      <c r="E499" s="896"/>
      <c r="F499" s="896"/>
      <c r="G499" s="896"/>
      <c r="H499" s="896"/>
      <c r="I499" s="872"/>
      <c r="J499" s="872"/>
      <c r="K499" s="896"/>
      <c r="L499" s="896"/>
      <c r="M499" s="896"/>
      <c r="N499" s="896"/>
      <c r="O499" s="872"/>
      <c r="P499" s="870"/>
      <c r="Q499" s="896"/>
      <c r="R499" s="896"/>
      <c r="S499" s="914"/>
      <c r="T499" s="870">
        <v>205000</v>
      </c>
      <c r="U499" s="873">
        <v>205000</v>
      </c>
      <c r="V499" s="872"/>
      <c r="W499" s="870"/>
      <c r="X499" s="877">
        <v>205000</v>
      </c>
    </row>
    <row r="500" spans="1:24" s="215" customFormat="1" ht="13.5" thickBot="1">
      <c r="A500" s="862"/>
      <c r="B500" s="859" t="s">
        <v>877</v>
      </c>
      <c r="C500" s="870">
        <v>0</v>
      </c>
      <c r="D500" s="896">
        <v>0</v>
      </c>
      <c r="E500" s="896">
        <v>0</v>
      </c>
      <c r="F500" s="896">
        <v>0</v>
      </c>
      <c r="G500" s="896">
        <v>0</v>
      </c>
      <c r="H500" s="896">
        <v>0</v>
      </c>
      <c r="I500" s="872">
        <v>0</v>
      </c>
      <c r="J500" s="872">
        <v>0</v>
      </c>
      <c r="K500" s="896">
        <v>0</v>
      </c>
      <c r="L500" s="896">
        <v>0</v>
      </c>
      <c r="M500" s="896">
        <v>0</v>
      </c>
      <c r="N500" s="896">
        <v>0</v>
      </c>
      <c r="O500" s="872">
        <v>0</v>
      </c>
      <c r="P500" s="870">
        <v>0</v>
      </c>
      <c r="Q500" s="896">
        <v>0</v>
      </c>
      <c r="R500" s="896">
        <v>0</v>
      </c>
      <c r="S500" s="914">
        <v>0</v>
      </c>
      <c r="T500" s="870">
        <v>61.799526440410411</v>
      </c>
      <c r="U500" s="886">
        <v>61.799526440410411</v>
      </c>
      <c r="V500" s="872">
        <v>0</v>
      </c>
      <c r="W500" s="870">
        <v>0</v>
      </c>
      <c r="X500" s="877">
        <v>61.799526440410411</v>
      </c>
    </row>
    <row r="501" spans="1:24">
      <c r="A501" s="862"/>
      <c r="B501" s="859" t="s">
        <v>1289</v>
      </c>
      <c r="C501" s="870">
        <v>0</v>
      </c>
      <c r="D501" s="896">
        <v>0</v>
      </c>
      <c r="E501" s="896">
        <v>0</v>
      </c>
      <c r="F501" s="896">
        <v>0</v>
      </c>
      <c r="G501" s="896">
        <v>0</v>
      </c>
      <c r="H501" s="896"/>
      <c r="I501" s="872">
        <v>0</v>
      </c>
      <c r="J501" s="872"/>
      <c r="K501" s="896">
        <v>0</v>
      </c>
      <c r="L501" s="896">
        <v>0</v>
      </c>
      <c r="M501" s="896">
        <v>0</v>
      </c>
      <c r="N501" s="896"/>
      <c r="O501" s="872">
        <v>0</v>
      </c>
      <c r="P501" s="870"/>
      <c r="Q501" s="896">
        <v>0</v>
      </c>
      <c r="R501" s="896"/>
      <c r="S501" s="914">
        <v>0</v>
      </c>
      <c r="T501" s="870">
        <v>1626918</v>
      </c>
      <c r="U501" s="870">
        <v>1626918</v>
      </c>
      <c r="V501" s="872">
        <v>0</v>
      </c>
      <c r="W501" s="870">
        <v>0</v>
      </c>
      <c r="X501" s="877">
        <v>1626918</v>
      </c>
    </row>
    <row r="502" spans="1:24" s="216" customFormat="1">
      <c r="A502" s="862"/>
      <c r="B502" s="859" t="s">
        <v>675</v>
      </c>
      <c r="C502" s="870">
        <v>0</v>
      </c>
      <c r="D502" s="896">
        <v>0</v>
      </c>
      <c r="E502" s="896">
        <v>0</v>
      </c>
      <c r="F502" s="896">
        <v>0</v>
      </c>
      <c r="G502" s="896">
        <v>0</v>
      </c>
      <c r="H502" s="896"/>
      <c r="I502" s="872">
        <v>0</v>
      </c>
      <c r="J502" s="872"/>
      <c r="K502" s="896">
        <v>0</v>
      </c>
      <c r="L502" s="896">
        <v>0</v>
      </c>
      <c r="M502" s="896">
        <v>0</v>
      </c>
      <c r="N502" s="896"/>
      <c r="O502" s="872">
        <v>0</v>
      </c>
      <c r="P502" s="870"/>
      <c r="Q502" s="896">
        <v>0</v>
      </c>
      <c r="R502" s="896"/>
      <c r="S502" s="914">
        <v>0</v>
      </c>
      <c r="T502" s="870">
        <v>1916900</v>
      </c>
      <c r="U502" s="870">
        <v>1916900</v>
      </c>
      <c r="V502" s="872">
        <v>0</v>
      </c>
      <c r="W502" s="870">
        <v>0</v>
      </c>
      <c r="X502" s="877">
        <v>1916900</v>
      </c>
    </row>
    <row r="503" spans="1:24" s="215" customFormat="1" ht="13.5" thickBot="1">
      <c r="A503" s="862"/>
      <c r="B503" s="859" t="s">
        <v>1339</v>
      </c>
      <c r="C503" s="870">
        <v>0</v>
      </c>
      <c r="D503" s="896">
        <v>0</v>
      </c>
      <c r="E503" s="896">
        <v>0</v>
      </c>
      <c r="F503" s="896">
        <v>0</v>
      </c>
      <c r="G503" s="896">
        <v>0</v>
      </c>
      <c r="H503" s="896">
        <v>0</v>
      </c>
      <c r="I503" s="872">
        <v>0</v>
      </c>
      <c r="J503" s="872">
        <v>0</v>
      </c>
      <c r="K503" s="896">
        <v>0</v>
      </c>
      <c r="L503" s="896">
        <v>0</v>
      </c>
      <c r="M503" s="896">
        <v>0</v>
      </c>
      <c r="N503" s="896">
        <v>0</v>
      </c>
      <c r="O503" s="872">
        <v>0</v>
      </c>
      <c r="P503" s="870">
        <v>0</v>
      </c>
      <c r="Q503" s="896">
        <v>0</v>
      </c>
      <c r="R503" s="896">
        <v>0</v>
      </c>
      <c r="S503" s="914">
        <v>0</v>
      </c>
      <c r="T503" s="870">
        <v>17.824008339695055</v>
      </c>
      <c r="U503" s="870">
        <v>17.824008339695055</v>
      </c>
      <c r="V503" s="872">
        <v>0</v>
      </c>
      <c r="W503" s="870">
        <v>0</v>
      </c>
      <c r="X503" s="877">
        <v>17.824008339695055</v>
      </c>
    </row>
    <row r="504" spans="1:24">
      <c r="A504" s="862"/>
      <c r="B504" s="859" t="s">
        <v>634</v>
      </c>
      <c r="C504" s="870"/>
      <c r="D504" s="896"/>
      <c r="E504" s="866">
        <v>29028900</v>
      </c>
      <c r="F504" s="896"/>
      <c r="G504" s="896"/>
      <c r="H504" s="896"/>
      <c r="I504" s="872">
        <v>29028900</v>
      </c>
      <c r="J504" s="872"/>
      <c r="K504" s="896"/>
      <c r="L504" s="896"/>
      <c r="M504" s="896"/>
      <c r="N504" s="896"/>
      <c r="O504" s="872"/>
      <c r="P504" s="870"/>
      <c r="Q504" s="896"/>
      <c r="R504" s="896"/>
      <c r="S504" s="914"/>
      <c r="T504" s="870">
        <v>150347100</v>
      </c>
      <c r="U504" s="870">
        <v>150347100</v>
      </c>
      <c r="V504" s="872"/>
      <c r="W504" s="870"/>
      <c r="X504" s="877">
        <v>179376000</v>
      </c>
    </row>
    <row r="505" spans="1:24" s="216" customFormat="1">
      <c r="A505" s="862"/>
      <c r="B505" s="859" t="s">
        <v>636</v>
      </c>
      <c r="C505" s="870"/>
      <c r="D505" s="896"/>
      <c r="E505" s="873">
        <v>27619200</v>
      </c>
      <c r="F505" s="896"/>
      <c r="G505" s="896"/>
      <c r="H505" s="896"/>
      <c r="I505" s="872">
        <v>27619200</v>
      </c>
      <c r="J505" s="872"/>
      <c r="K505" s="896"/>
      <c r="L505" s="896"/>
      <c r="M505" s="896"/>
      <c r="N505" s="896"/>
      <c r="O505" s="872"/>
      <c r="P505" s="870"/>
      <c r="Q505" s="896"/>
      <c r="R505" s="896"/>
      <c r="S505" s="914"/>
      <c r="T505" s="870">
        <v>131308200</v>
      </c>
      <c r="U505" s="870">
        <v>131308200</v>
      </c>
      <c r="V505" s="872"/>
      <c r="W505" s="870"/>
      <c r="X505" s="877">
        <v>158927400</v>
      </c>
    </row>
    <row r="506" spans="1:24" s="215" customFormat="1" ht="13.5" thickBot="1">
      <c r="A506" s="862"/>
      <c r="B506" s="859" t="s">
        <v>1540</v>
      </c>
      <c r="C506" s="870">
        <v>0</v>
      </c>
      <c r="D506" s="896">
        <v>0</v>
      </c>
      <c r="E506" s="886">
        <v>-4.8561950332255099</v>
      </c>
      <c r="F506" s="896">
        <v>0</v>
      </c>
      <c r="G506" s="896">
        <v>0</v>
      </c>
      <c r="H506" s="896">
        <v>0</v>
      </c>
      <c r="I506" s="872">
        <v>-4.8561950332255099</v>
      </c>
      <c r="J506" s="872">
        <v>0</v>
      </c>
      <c r="K506" s="896">
        <v>0</v>
      </c>
      <c r="L506" s="896">
        <v>0</v>
      </c>
      <c r="M506" s="896">
        <v>0</v>
      </c>
      <c r="N506" s="896">
        <v>0</v>
      </c>
      <c r="O506" s="872">
        <v>0</v>
      </c>
      <c r="P506" s="870">
        <v>0</v>
      </c>
      <c r="Q506" s="896">
        <v>0</v>
      </c>
      <c r="R506" s="896">
        <v>0</v>
      </c>
      <c r="S506" s="914">
        <v>0</v>
      </c>
      <c r="T506" s="870">
        <v>-12.663297130440162</v>
      </c>
      <c r="U506" s="870">
        <v>-12.663297130440162</v>
      </c>
      <c r="V506" s="872">
        <v>0</v>
      </c>
      <c r="W506" s="870">
        <v>0</v>
      </c>
      <c r="X506" s="877">
        <v>-11.399852823120151</v>
      </c>
    </row>
    <row r="507" spans="1:24">
      <c r="A507" s="862"/>
      <c r="B507" s="859" t="s">
        <v>637</v>
      </c>
      <c r="C507" s="870"/>
      <c r="D507" s="896"/>
      <c r="E507" s="873">
        <v>5520500</v>
      </c>
      <c r="F507" s="896"/>
      <c r="G507" s="896"/>
      <c r="H507" s="896"/>
      <c r="I507" s="872">
        <v>5520500</v>
      </c>
      <c r="J507" s="872"/>
      <c r="K507" s="896"/>
      <c r="L507" s="896"/>
      <c r="M507" s="896"/>
      <c r="N507" s="896"/>
      <c r="O507" s="872"/>
      <c r="P507" s="870"/>
      <c r="Q507" s="896"/>
      <c r="R507" s="896"/>
      <c r="S507" s="914"/>
      <c r="T507" s="870">
        <v>43257844</v>
      </c>
      <c r="U507" s="870">
        <v>43257844</v>
      </c>
      <c r="V507" s="872"/>
      <c r="W507" s="870"/>
      <c r="X507" s="877">
        <v>48778344</v>
      </c>
    </row>
    <row r="508" spans="1:24" s="216" customFormat="1">
      <c r="A508" s="862"/>
      <c r="B508" s="859" t="s">
        <v>1890</v>
      </c>
      <c r="C508" s="870"/>
      <c r="D508" s="896"/>
      <c r="E508" s="873">
        <v>6082000</v>
      </c>
      <c r="F508" s="896"/>
      <c r="G508" s="896"/>
      <c r="H508" s="896"/>
      <c r="I508" s="872">
        <v>6082000</v>
      </c>
      <c r="J508" s="872"/>
      <c r="K508" s="896"/>
      <c r="L508" s="896"/>
      <c r="M508" s="896"/>
      <c r="N508" s="896"/>
      <c r="O508" s="872"/>
      <c r="P508" s="870"/>
      <c r="Q508" s="896"/>
      <c r="R508" s="896"/>
      <c r="S508" s="914"/>
      <c r="T508" s="870">
        <v>48957742</v>
      </c>
      <c r="U508" s="870">
        <v>48957742</v>
      </c>
      <c r="V508" s="872"/>
      <c r="W508" s="870"/>
      <c r="X508" s="877">
        <v>55039742</v>
      </c>
    </row>
    <row r="509" spans="1:24" s="215" customFormat="1" ht="13.5" thickBot="1">
      <c r="A509" s="862"/>
      <c r="B509" s="859" t="s">
        <v>1603</v>
      </c>
      <c r="C509" s="870">
        <v>0</v>
      </c>
      <c r="D509" s="896">
        <v>0</v>
      </c>
      <c r="E509" s="886">
        <v>10.17118014672584</v>
      </c>
      <c r="F509" s="896">
        <v>0</v>
      </c>
      <c r="G509" s="896">
        <v>0</v>
      </c>
      <c r="H509" s="896">
        <v>0</v>
      </c>
      <c r="I509" s="872">
        <v>10.17118014672584</v>
      </c>
      <c r="J509" s="872">
        <v>0</v>
      </c>
      <c r="K509" s="896">
        <v>0</v>
      </c>
      <c r="L509" s="896">
        <v>0</v>
      </c>
      <c r="M509" s="896">
        <v>0</v>
      </c>
      <c r="N509" s="896">
        <v>0</v>
      </c>
      <c r="O509" s="872">
        <v>0</v>
      </c>
      <c r="P509" s="870">
        <v>0</v>
      </c>
      <c r="Q509" s="896">
        <v>0</v>
      </c>
      <c r="R509" s="896">
        <v>0</v>
      </c>
      <c r="S509" s="914">
        <v>0</v>
      </c>
      <c r="T509" s="870">
        <v>13.176565156599112</v>
      </c>
      <c r="U509" s="870">
        <v>13.176565156599112</v>
      </c>
      <c r="V509" s="872">
        <v>0</v>
      </c>
      <c r="W509" s="870">
        <v>0</v>
      </c>
      <c r="X509" s="877">
        <v>12.836430035427195</v>
      </c>
    </row>
    <row r="510" spans="1:24">
      <c r="A510" s="862"/>
      <c r="B510" s="859" t="s">
        <v>377</v>
      </c>
      <c r="C510" s="870">
        <v>443420300</v>
      </c>
      <c r="D510" s="896">
        <v>229758531</v>
      </c>
      <c r="E510" s="896">
        <v>527422135</v>
      </c>
      <c r="F510" s="896">
        <v>172941200</v>
      </c>
      <c r="G510" s="896">
        <v>65442663</v>
      </c>
      <c r="H510" s="896"/>
      <c r="I510" s="872">
        <v>1438984829</v>
      </c>
      <c r="J510" s="872"/>
      <c r="K510" s="896">
        <v>152426700</v>
      </c>
      <c r="L510" s="896">
        <v>233752760</v>
      </c>
      <c r="M510" s="896">
        <v>12863400</v>
      </c>
      <c r="N510" s="896"/>
      <c r="O510" s="872">
        <v>399042860</v>
      </c>
      <c r="P510" s="870"/>
      <c r="Q510" s="896">
        <v>71315400</v>
      </c>
      <c r="R510" s="896"/>
      <c r="S510" s="914">
        <v>71315400</v>
      </c>
      <c r="T510" s="870">
        <v>0</v>
      </c>
      <c r="U510" s="870">
        <v>0</v>
      </c>
      <c r="V510" s="872">
        <v>395600</v>
      </c>
      <c r="W510" s="870">
        <v>395600</v>
      </c>
      <c r="X510" s="877">
        <v>1909738689</v>
      </c>
    </row>
    <row r="511" spans="1:24" s="216" customFormat="1">
      <c r="A511" s="862"/>
      <c r="B511" s="859" t="s">
        <v>379</v>
      </c>
      <c r="C511" s="870">
        <v>427841900</v>
      </c>
      <c r="D511" s="896">
        <v>222418348</v>
      </c>
      <c r="E511" s="896">
        <v>513867057</v>
      </c>
      <c r="F511" s="896">
        <v>169287500</v>
      </c>
      <c r="G511" s="896">
        <v>64745263</v>
      </c>
      <c r="H511" s="896"/>
      <c r="I511" s="872">
        <v>1398160068</v>
      </c>
      <c r="J511" s="872"/>
      <c r="K511" s="896">
        <v>150987340</v>
      </c>
      <c r="L511" s="896">
        <v>236048265</v>
      </c>
      <c r="M511" s="896">
        <v>12834700</v>
      </c>
      <c r="N511" s="896"/>
      <c r="O511" s="872">
        <v>399870305</v>
      </c>
      <c r="P511" s="870"/>
      <c r="Q511" s="896">
        <v>70584469.999999985</v>
      </c>
      <c r="R511" s="896"/>
      <c r="S511" s="914">
        <v>70584469.999999985</v>
      </c>
      <c r="T511" s="870">
        <v>0</v>
      </c>
      <c r="U511" s="870">
        <v>0</v>
      </c>
      <c r="V511" s="872">
        <v>369000</v>
      </c>
      <c r="W511" s="870">
        <v>369000</v>
      </c>
      <c r="X511" s="877">
        <v>1868983843</v>
      </c>
    </row>
    <row r="512" spans="1:24" s="228" customFormat="1" ht="13.5" thickBot="1">
      <c r="A512" s="897"/>
      <c r="B512" s="859" t="s">
        <v>381</v>
      </c>
      <c r="C512" s="870">
        <v>-3.5132356367085587</v>
      </c>
      <c r="D512" s="896">
        <v>-3.1947379573035311</v>
      </c>
      <c r="E512" s="896">
        <v>-2.5700624036190671</v>
      </c>
      <c r="F512" s="896">
        <v>-2.1126833860294711</v>
      </c>
      <c r="G512" s="896">
        <v>-1.065665680505697</v>
      </c>
      <c r="H512" s="896">
        <v>0</v>
      </c>
      <c r="I512" s="872">
        <v>-2.8370529123903641</v>
      </c>
      <c r="J512" s="872">
        <v>0</v>
      </c>
      <c r="K512" s="896">
        <v>-0.94429650448379454</v>
      </c>
      <c r="L512" s="896">
        <v>0.98202262937986273</v>
      </c>
      <c r="M512" s="896">
        <v>-0.2231136402506336</v>
      </c>
      <c r="N512" s="896">
        <v>0</v>
      </c>
      <c r="O512" s="872">
        <v>0.20735742521492553</v>
      </c>
      <c r="P512" s="870">
        <v>0</v>
      </c>
      <c r="Q512" s="896">
        <v>-1.0249258925842313</v>
      </c>
      <c r="R512" s="896">
        <v>0</v>
      </c>
      <c r="S512" s="914">
        <v>-1.0249258925842313</v>
      </c>
      <c r="T512" s="870">
        <v>0</v>
      </c>
      <c r="U512" s="870">
        <v>0</v>
      </c>
      <c r="V512" s="872">
        <v>-6.7239635995955505</v>
      </c>
      <c r="W512" s="870">
        <v>-6.7239635995955505</v>
      </c>
      <c r="X512" s="877">
        <v>-2.134053534902205</v>
      </c>
    </row>
    <row r="513" spans="1:24">
      <c r="A513" s="858" t="s">
        <v>1275</v>
      </c>
      <c r="B513" s="858" t="s">
        <v>1347</v>
      </c>
      <c r="C513" s="871">
        <v>1539180583</v>
      </c>
      <c r="D513" s="864">
        <v>152959366</v>
      </c>
      <c r="E513" s="864">
        <v>932749761</v>
      </c>
      <c r="F513" s="864">
        <v>91025566</v>
      </c>
      <c r="G513" s="866">
        <v>55474382</v>
      </c>
      <c r="H513" s="871">
        <v>14715682</v>
      </c>
      <c r="I513" s="865">
        <v>2786105340</v>
      </c>
      <c r="J513" s="865"/>
      <c r="K513" s="864">
        <v>688266521</v>
      </c>
      <c r="L513" s="864">
        <v>318945919</v>
      </c>
      <c r="M513" s="864">
        <v>70990795</v>
      </c>
      <c r="N513" s="864">
        <v>223370170</v>
      </c>
      <c r="O513" s="865">
        <v>1301573405</v>
      </c>
      <c r="P513" s="863"/>
      <c r="Q513" s="864"/>
      <c r="R513" s="864"/>
      <c r="S513" s="913"/>
      <c r="T513" s="863"/>
      <c r="U513" s="863"/>
      <c r="V513" s="865"/>
      <c r="W513" s="863"/>
      <c r="X513" s="869">
        <v>4087678745</v>
      </c>
    </row>
    <row r="514" spans="1:24" s="216" customFormat="1">
      <c r="A514" s="862"/>
      <c r="B514" s="859" t="s">
        <v>60</v>
      </c>
      <c r="C514" s="871">
        <v>1566631964</v>
      </c>
      <c r="D514" s="896">
        <v>153378533</v>
      </c>
      <c r="E514" s="896">
        <v>929184321</v>
      </c>
      <c r="F514" s="896">
        <v>91368777</v>
      </c>
      <c r="G514" s="873">
        <v>55677175</v>
      </c>
      <c r="H514" s="871">
        <v>14766193</v>
      </c>
      <c r="I514" s="872">
        <v>2811006963</v>
      </c>
      <c r="J514" s="872"/>
      <c r="K514" s="896">
        <v>546948010</v>
      </c>
      <c r="L514" s="896">
        <v>263981948</v>
      </c>
      <c r="M514" s="896">
        <v>65385170</v>
      </c>
      <c r="N514" s="896">
        <v>177204331</v>
      </c>
      <c r="O514" s="872">
        <v>1053519459</v>
      </c>
      <c r="P514" s="870"/>
      <c r="Q514" s="896"/>
      <c r="R514" s="896"/>
      <c r="S514" s="914"/>
      <c r="T514" s="870"/>
      <c r="U514" s="870"/>
      <c r="V514" s="872"/>
      <c r="W514" s="870"/>
      <c r="X514" s="877">
        <v>3864526422</v>
      </c>
    </row>
    <row r="515" spans="1:24" s="215" customFormat="1" ht="13.5" thickBot="1">
      <c r="A515" s="862"/>
      <c r="B515" s="859" t="s">
        <v>906</v>
      </c>
      <c r="C515" s="871">
        <v>1.7835061917487822</v>
      </c>
      <c r="D515" s="896">
        <v>0.27403813899176332</v>
      </c>
      <c r="E515" s="896">
        <v>-0.38225043297545269</v>
      </c>
      <c r="F515" s="896">
        <v>0.37704901499870924</v>
      </c>
      <c r="G515" s="886">
        <v>0.36556153072602054</v>
      </c>
      <c r="H515" s="871">
        <v>0.34324606905748573</v>
      </c>
      <c r="I515" s="872">
        <v>0.89377894807092972</v>
      </c>
      <c r="J515" s="872">
        <v>0</v>
      </c>
      <c r="K515" s="896">
        <v>-20.532527253348707</v>
      </c>
      <c r="L515" s="896">
        <v>-17.233006514812939</v>
      </c>
      <c r="M515" s="896">
        <v>-7.8962702136241747</v>
      </c>
      <c r="N515" s="896">
        <v>-20.667862230664014</v>
      </c>
      <c r="O515" s="872">
        <v>-19.058006643889595</v>
      </c>
      <c r="P515" s="870">
        <v>0</v>
      </c>
      <c r="Q515" s="896">
        <v>0</v>
      </c>
      <c r="R515" s="896">
        <v>0</v>
      </c>
      <c r="S515" s="914">
        <v>0</v>
      </c>
      <c r="T515" s="870">
        <v>0</v>
      </c>
      <c r="U515" s="870">
        <v>0</v>
      </c>
      <c r="V515" s="872">
        <v>0</v>
      </c>
      <c r="W515" s="870">
        <v>0</v>
      </c>
      <c r="X515" s="877">
        <v>-5.4591453223411275</v>
      </c>
    </row>
    <row r="516" spans="1:24">
      <c r="A516" s="862"/>
      <c r="B516" s="859" t="s">
        <v>1370</v>
      </c>
      <c r="C516" s="870">
        <v>188601318</v>
      </c>
      <c r="D516" s="896"/>
      <c r="E516" s="896"/>
      <c r="F516" s="896"/>
      <c r="G516" s="896"/>
      <c r="H516" s="896"/>
      <c r="I516" s="872">
        <v>188601318</v>
      </c>
      <c r="J516" s="872"/>
      <c r="K516" s="896"/>
      <c r="L516" s="896"/>
      <c r="M516" s="896"/>
      <c r="N516" s="896"/>
      <c r="O516" s="872"/>
      <c r="P516" s="870"/>
      <c r="Q516" s="896"/>
      <c r="R516" s="896"/>
      <c r="S516" s="914"/>
      <c r="T516" s="870"/>
      <c r="U516" s="866"/>
      <c r="V516" s="901">
        <v>18551951</v>
      </c>
      <c r="W516" s="866">
        <v>18551951</v>
      </c>
      <c r="X516" s="877">
        <v>207153269</v>
      </c>
    </row>
    <row r="517" spans="1:24" s="216" customFormat="1">
      <c r="A517" s="862"/>
      <c r="B517" s="859" t="s">
        <v>1611</v>
      </c>
      <c r="C517" s="870">
        <v>187152569</v>
      </c>
      <c r="D517" s="896"/>
      <c r="E517" s="896"/>
      <c r="F517" s="896"/>
      <c r="G517" s="896"/>
      <c r="H517" s="896"/>
      <c r="I517" s="872">
        <v>187152569</v>
      </c>
      <c r="J517" s="872"/>
      <c r="K517" s="896"/>
      <c r="L517" s="896"/>
      <c r="M517" s="896"/>
      <c r="N517" s="896"/>
      <c r="O517" s="872"/>
      <c r="P517" s="870"/>
      <c r="Q517" s="896"/>
      <c r="R517" s="896"/>
      <c r="S517" s="914"/>
      <c r="T517" s="870"/>
      <c r="U517" s="873"/>
      <c r="V517" s="872">
        <v>101853029</v>
      </c>
      <c r="W517" s="873">
        <v>101853029</v>
      </c>
      <c r="X517" s="877">
        <v>289005598</v>
      </c>
    </row>
    <row r="518" spans="1:24" s="215" customFormat="1" ht="13.5" thickBot="1">
      <c r="A518" s="862"/>
      <c r="B518" s="859" t="s">
        <v>1613</v>
      </c>
      <c r="C518" s="870">
        <v>-0.76815422891159224</v>
      </c>
      <c r="D518" s="896">
        <v>0</v>
      </c>
      <c r="E518" s="896">
        <v>0</v>
      </c>
      <c r="F518" s="896">
        <v>0</v>
      </c>
      <c r="G518" s="896">
        <v>0</v>
      </c>
      <c r="H518" s="896">
        <v>0</v>
      </c>
      <c r="I518" s="872">
        <v>-0.76815422891159224</v>
      </c>
      <c r="J518" s="872">
        <v>0</v>
      </c>
      <c r="K518" s="896">
        <v>0</v>
      </c>
      <c r="L518" s="896">
        <v>0</v>
      </c>
      <c r="M518" s="896">
        <v>0</v>
      </c>
      <c r="N518" s="896">
        <v>0</v>
      </c>
      <c r="O518" s="872">
        <v>0</v>
      </c>
      <c r="P518" s="870">
        <v>0</v>
      </c>
      <c r="Q518" s="896">
        <v>0</v>
      </c>
      <c r="R518" s="896">
        <v>0</v>
      </c>
      <c r="S518" s="914">
        <v>0</v>
      </c>
      <c r="T518" s="870">
        <v>0</v>
      </c>
      <c r="U518" s="886">
        <v>0</v>
      </c>
      <c r="V518" s="902">
        <v>449.01518983097787</v>
      </c>
      <c r="W518" s="886">
        <v>449.01518983097787</v>
      </c>
      <c r="X518" s="877">
        <v>39.512931364843681</v>
      </c>
    </row>
    <row r="519" spans="1:24">
      <c r="A519" s="862"/>
      <c r="B519" s="859" t="s">
        <v>61</v>
      </c>
      <c r="C519" s="870"/>
      <c r="D519" s="896"/>
      <c r="E519" s="896"/>
      <c r="F519" s="896"/>
      <c r="G519" s="896"/>
      <c r="H519" s="896"/>
      <c r="I519" s="872"/>
      <c r="J519" s="872"/>
      <c r="K519" s="896">
        <v>672933822</v>
      </c>
      <c r="L519" s="896">
        <v>142637318</v>
      </c>
      <c r="M519" s="896">
        <v>19295540</v>
      </c>
      <c r="N519" s="866">
        <v>227863132</v>
      </c>
      <c r="O519" s="872">
        <v>1062729812</v>
      </c>
      <c r="P519" s="870"/>
      <c r="Q519" s="896"/>
      <c r="R519" s="896"/>
      <c r="S519" s="914"/>
      <c r="T519" s="870"/>
      <c r="U519" s="870"/>
      <c r="V519" s="872"/>
      <c r="W519" s="870"/>
      <c r="X519" s="877">
        <v>1062729812</v>
      </c>
    </row>
    <row r="520" spans="1:24" s="216" customFormat="1">
      <c r="A520" s="862"/>
      <c r="B520" s="859" t="s">
        <v>62</v>
      </c>
      <c r="C520" s="870"/>
      <c r="D520" s="896"/>
      <c r="E520" s="896"/>
      <c r="F520" s="896"/>
      <c r="G520" s="896"/>
      <c r="H520" s="896"/>
      <c r="I520" s="872"/>
      <c r="J520" s="872"/>
      <c r="K520" s="896">
        <v>787974680</v>
      </c>
      <c r="L520" s="896">
        <v>155721137</v>
      </c>
      <c r="M520" s="896">
        <v>21907304</v>
      </c>
      <c r="N520" s="873">
        <v>253254205</v>
      </c>
      <c r="O520" s="872">
        <v>1218857326</v>
      </c>
      <c r="P520" s="870"/>
      <c r="Q520" s="896"/>
      <c r="R520" s="896"/>
      <c r="S520" s="914"/>
      <c r="T520" s="870"/>
      <c r="U520" s="870"/>
      <c r="V520" s="872"/>
      <c r="W520" s="870"/>
      <c r="X520" s="877">
        <v>1218857326</v>
      </c>
    </row>
    <row r="521" spans="1:24" s="215" customFormat="1" ht="13.5" thickBot="1">
      <c r="A521" s="862"/>
      <c r="B521" s="859" t="s">
        <v>1816</v>
      </c>
      <c r="C521" s="870">
        <v>0</v>
      </c>
      <c r="D521" s="896">
        <v>0</v>
      </c>
      <c r="E521" s="896">
        <v>0</v>
      </c>
      <c r="F521" s="896">
        <v>0</v>
      </c>
      <c r="G521" s="896">
        <v>0</v>
      </c>
      <c r="H521" s="896">
        <v>0</v>
      </c>
      <c r="I521" s="872">
        <v>0</v>
      </c>
      <c r="J521" s="872">
        <v>0</v>
      </c>
      <c r="K521" s="896">
        <v>17.095419228311577</v>
      </c>
      <c r="L521" s="896">
        <v>9.172788147909511</v>
      </c>
      <c r="M521" s="896">
        <v>13.535583870676851</v>
      </c>
      <c r="N521" s="886">
        <v>11.143124724538589</v>
      </c>
      <c r="O521" s="872">
        <v>14.691176650646176</v>
      </c>
      <c r="P521" s="870">
        <v>0</v>
      </c>
      <c r="Q521" s="896">
        <v>0</v>
      </c>
      <c r="R521" s="896">
        <v>0</v>
      </c>
      <c r="S521" s="914">
        <v>0</v>
      </c>
      <c r="T521" s="870">
        <v>0</v>
      </c>
      <c r="U521" s="870">
        <v>0</v>
      </c>
      <c r="V521" s="872">
        <v>0</v>
      </c>
      <c r="W521" s="870">
        <v>0</v>
      </c>
      <c r="X521" s="877">
        <v>14.691176650646176</v>
      </c>
    </row>
    <row r="522" spans="1:24">
      <c r="A522" s="862"/>
      <c r="B522" s="859" t="s">
        <v>1588</v>
      </c>
      <c r="C522" s="867">
        <v>1660230898</v>
      </c>
      <c r="D522" s="885">
        <v>155157314</v>
      </c>
      <c r="E522" s="885">
        <v>919003847</v>
      </c>
      <c r="F522" s="885">
        <v>44141760</v>
      </c>
      <c r="G522" s="885">
        <v>49614987</v>
      </c>
      <c r="H522" s="868">
        <v>10524189</v>
      </c>
      <c r="I522" s="872">
        <v>2838672995</v>
      </c>
      <c r="J522" s="872"/>
      <c r="K522" s="896">
        <v>545957376</v>
      </c>
      <c r="L522" s="896">
        <v>184767167</v>
      </c>
      <c r="M522" s="866">
        <v>35659876</v>
      </c>
      <c r="N522" s="896">
        <v>151910659</v>
      </c>
      <c r="O522" s="872">
        <v>918295078</v>
      </c>
      <c r="P522" s="870"/>
      <c r="Q522" s="896"/>
      <c r="R522" s="896"/>
      <c r="S522" s="914"/>
      <c r="T522" s="870"/>
      <c r="U522" s="870"/>
      <c r="V522" s="872"/>
      <c r="W522" s="870"/>
      <c r="X522" s="877">
        <v>3756968073</v>
      </c>
    </row>
    <row r="523" spans="1:24" s="216" customFormat="1">
      <c r="A523" s="862"/>
      <c r="B523" s="859" t="s">
        <v>251</v>
      </c>
      <c r="C523" s="875">
        <v>1850164081</v>
      </c>
      <c r="D523" s="871">
        <v>165335920</v>
      </c>
      <c r="E523" s="871">
        <v>1032603491</v>
      </c>
      <c r="F523" s="871">
        <v>57641341</v>
      </c>
      <c r="G523" s="871">
        <v>57075683</v>
      </c>
      <c r="H523" s="876">
        <v>11828777</v>
      </c>
      <c r="I523" s="872">
        <v>3174649293</v>
      </c>
      <c r="J523" s="872"/>
      <c r="K523" s="896">
        <v>586619593</v>
      </c>
      <c r="L523" s="896">
        <v>195928376</v>
      </c>
      <c r="M523" s="873">
        <v>38225284</v>
      </c>
      <c r="N523" s="896">
        <v>161970960</v>
      </c>
      <c r="O523" s="872">
        <v>982744213</v>
      </c>
      <c r="P523" s="870"/>
      <c r="Q523" s="896"/>
      <c r="R523" s="896"/>
      <c r="S523" s="914"/>
      <c r="T523" s="870"/>
      <c r="U523" s="870"/>
      <c r="V523" s="872"/>
      <c r="W523" s="870"/>
      <c r="X523" s="877">
        <v>4157393506</v>
      </c>
    </row>
    <row r="524" spans="1:24" s="215" customFormat="1" ht="13.5" thickBot="1">
      <c r="A524" s="862"/>
      <c r="B524" s="859" t="s">
        <v>1759</v>
      </c>
      <c r="C524" s="889">
        <v>11.440166739987994</v>
      </c>
      <c r="D524" s="887">
        <v>6.5601844589807738</v>
      </c>
      <c r="E524" s="887">
        <v>12.361171759055759</v>
      </c>
      <c r="F524" s="887">
        <v>30.582335185547656</v>
      </c>
      <c r="G524" s="887">
        <v>15.037182212705206</v>
      </c>
      <c r="H524" s="888">
        <v>12.396090568118835</v>
      </c>
      <c r="I524" s="872">
        <v>11.835681622778814</v>
      </c>
      <c r="J524" s="872">
        <v>0</v>
      </c>
      <c r="K524" s="896">
        <v>7.4478739160765546</v>
      </c>
      <c r="L524" s="896">
        <v>6.0406884952671271</v>
      </c>
      <c r="M524" s="886">
        <v>7.1941024135922405</v>
      </c>
      <c r="N524" s="896">
        <v>6.6225115908423522</v>
      </c>
      <c r="O524" s="872">
        <v>7.0183469936882323</v>
      </c>
      <c r="P524" s="870">
        <v>0</v>
      </c>
      <c r="Q524" s="896">
        <v>0</v>
      </c>
      <c r="R524" s="896">
        <v>0</v>
      </c>
      <c r="S524" s="914">
        <v>0</v>
      </c>
      <c r="T524" s="870">
        <v>0</v>
      </c>
      <c r="U524" s="870">
        <v>0</v>
      </c>
      <c r="V524" s="872">
        <v>0</v>
      </c>
      <c r="W524" s="870">
        <v>0</v>
      </c>
      <c r="X524" s="877">
        <v>10.658206969543231</v>
      </c>
    </row>
    <row r="525" spans="1:24">
      <c r="A525" s="862"/>
      <c r="B525" s="859" t="s">
        <v>1590</v>
      </c>
      <c r="C525" s="866">
        <v>1117997</v>
      </c>
      <c r="D525" s="896">
        <v>418390</v>
      </c>
      <c r="E525" s="896">
        <v>990127</v>
      </c>
      <c r="F525" s="866">
        <v>34143</v>
      </c>
      <c r="G525" s="896">
        <v>186985</v>
      </c>
      <c r="H525" s="896"/>
      <c r="I525" s="872">
        <v>2747642</v>
      </c>
      <c r="J525" s="872"/>
      <c r="K525" s="896"/>
      <c r="L525" s="896">
        <v>27000</v>
      </c>
      <c r="M525" s="896">
        <v>49155</v>
      </c>
      <c r="N525" s="896"/>
      <c r="O525" s="872">
        <v>76155</v>
      </c>
      <c r="P525" s="870"/>
      <c r="Q525" s="896"/>
      <c r="R525" s="896"/>
      <c r="S525" s="914"/>
      <c r="T525" s="870"/>
      <c r="U525" s="870"/>
      <c r="V525" s="872"/>
      <c r="W525" s="870"/>
      <c r="X525" s="877">
        <v>2823797</v>
      </c>
    </row>
    <row r="526" spans="1:24" s="216" customFormat="1">
      <c r="A526" s="862"/>
      <c r="B526" s="859" t="s">
        <v>1319</v>
      </c>
      <c r="C526" s="873">
        <v>1117997</v>
      </c>
      <c r="D526" s="896">
        <v>418390</v>
      </c>
      <c r="E526" s="896">
        <v>990127</v>
      </c>
      <c r="F526" s="873">
        <v>34143</v>
      </c>
      <c r="G526" s="896">
        <v>186985</v>
      </c>
      <c r="H526" s="896"/>
      <c r="I526" s="872">
        <v>2747642</v>
      </c>
      <c r="J526" s="872"/>
      <c r="K526" s="896"/>
      <c r="L526" s="896">
        <v>27000</v>
      </c>
      <c r="M526" s="896">
        <v>49155</v>
      </c>
      <c r="N526" s="896"/>
      <c r="O526" s="872">
        <v>76155</v>
      </c>
      <c r="P526" s="870"/>
      <c r="Q526" s="896"/>
      <c r="R526" s="896"/>
      <c r="S526" s="914"/>
      <c r="T526" s="870"/>
      <c r="U526" s="870"/>
      <c r="V526" s="872"/>
      <c r="W526" s="870"/>
      <c r="X526" s="877">
        <v>2823797</v>
      </c>
    </row>
    <row r="527" spans="1:24" s="215" customFormat="1" ht="13.5" thickBot="1">
      <c r="A527" s="862"/>
      <c r="B527" s="859" t="s">
        <v>1330</v>
      </c>
      <c r="C527" s="886">
        <v>0</v>
      </c>
      <c r="D527" s="896">
        <v>0</v>
      </c>
      <c r="E527" s="896">
        <v>0</v>
      </c>
      <c r="F527" s="886">
        <v>0</v>
      </c>
      <c r="G527" s="896">
        <v>0</v>
      </c>
      <c r="H527" s="896">
        <v>0</v>
      </c>
      <c r="I527" s="872">
        <v>0</v>
      </c>
      <c r="J527" s="872">
        <v>0</v>
      </c>
      <c r="K527" s="896">
        <v>0</v>
      </c>
      <c r="L527" s="896">
        <v>0</v>
      </c>
      <c r="M527" s="896">
        <v>0</v>
      </c>
      <c r="N527" s="896">
        <v>0</v>
      </c>
      <c r="O527" s="872">
        <v>0</v>
      </c>
      <c r="P527" s="870">
        <v>0</v>
      </c>
      <c r="Q527" s="896">
        <v>0</v>
      </c>
      <c r="R527" s="896">
        <v>0</v>
      </c>
      <c r="S527" s="914">
        <v>0</v>
      </c>
      <c r="T527" s="870">
        <v>0</v>
      </c>
      <c r="U527" s="870">
        <v>0</v>
      </c>
      <c r="V527" s="872">
        <v>0</v>
      </c>
      <c r="W527" s="870">
        <v>0</v>
      </c>
      <c r="X527" s="877">
        <v>0</v>
      </c>
    </row>
    <row r="528" spans="1:24">
      <c r="A528" s="862"/>
      <c r="B528" s="859" t="s">
        <v>1889</v>
      </c>
      <c r="C528" s="870">
        <v>1661348895</v>
      </c>
      <c r="D528" s="896">
        <v>155575704</v>
      </c>
      <c r="E528" s="896">
        <v>919993974</v>
      </c>
      <c r="F528" s="896">
        <v>44175903</v>
      </c>
      <c r="G528" s="896">
        <v>49801972</v>
      </c>
      <c r="H528" s="896">
        <v>10524189</v>
      </c>
      <c r="I528" s="872">
        <v>2841420637</v>
      </c>
      <c r="J528" s="872"/>
      <c r="K528" s="896">
        <v>545957376</v>
      </c>
      <c r="L528" s="896">
        <v>184794167</v>
      </c>
      <c r="M528" s="896">
        <v>35709031</v>
      </c>
      <c r="N528" s="896">
        <v>151910659</v>
      </c>
      <c r="O528" s="872">
        <v>918371233</v>
      </c>
      <c r="P528" s="870"/>
      <c r="Q528" s="896"/>
      <c r="R528" s="896"/>
      <c r="S528" s="914"/>
      <c r="T528" s="870">
        <v>0</v>
      </c>
      <c r="U528" s="870">
        <v>0</v>
      </c>
      <c r="V528" s="872">
        <v>0</v>
      </c>
      <c r="W528" s="870">
        <v>0</v>
      </c>
      <c r="X528" s="877">
        <v>3759791870</v>
      </c>
    </row>
    <row r="529" spans="1:24" s="216" customFormat="1">
      <c r="A529" s="862"/>
      <c r="B529" s="859" t="s">
        <v>626</v>
      </c>
      <c r="C529" s="870">
        <v>1851282078</v>
      </c>
      <c r="D529" s="896">
        <v>165754310</v>
      </c>
      <c r="E529" s="896">
        <v>1033593618</v>
      </c>
      <c r="F529" s="896">
        <v>57675484</v>
      </c>
      <c r="G529" s="896">
        <v>57262668</v>
      </c>
      <c r="H529" s="896">
        <v>11828777</v>
      </c>
      <c r="I529" s="872">
        <v>3177396935</v>
      </c>
      <c r="J529" s="872"/>
      <c r="K529" s="896">
        <v>586619593</v>
      </c>
      <c r="L529" s="896">
        <v>195955376</v>
      </c>
      <c r="M529" s="896">
        <v>38274439</v>
      </c>
      <c r="N529" s="896">
        <v>161970960</v>
      </c>
      <c r="O529" s="872">
        <v>982820368</v>
      </c>
      <c r="P529" s="870"/>
      <c r="Q529" s="896"/>
      <c r="R529" s="896"/>
      <c r="S529" s="914"/>
      <c r="T529" s="870">
        <v>0</v>
      </c>
      <c r="U529" s="870">
        <v>0</v>
      </c>
      <c r="V529" s="872">
        <v>0</v>
      </c>
      <c r="W529" s="870">
        <v>0</v>
      </c>
      <c r="X529" s="877">
        <v>4160217303</v>
      </c>
    </row>
    <row r="530" spans="1:24" s="215" customFormat="1" ht="13.5" thickBot="1">
      <c r="A530" s="862"/>
      <c r="B530" s="859" t="s">
        <v>456</v>
      </c>
      <c r="C530" s="870">
        <v>11.432468133070868</v>
      </c>
      <c r="D530" s="896">
        <v>6.5425421439841269</v>
      </c>
      <c r="E530" s="896">
        <v>12.347868269841515</v>
      </c>
      <c r="F530" s="896">
        <v>30.558698483197954</v>
      </c>
      <c r="G530" s="896">
        <v>14.980724056469089</v>
      </c>
      <c r="H530" s="896">
        <v>12.396090568118835</v>
      </c>
      <c r="I530" s="872">
        <v>11.82423656761806</v>
      </c>
      <c r="J530" s="872">
        <v>0</v>
      </c>
      <c r="K530" s="896">
        <v>7.4478739160765546</v>
      </c>
      <c r="L530" s="896">
        <v>6.0398058992846888</v>
      </c>
      <c r="M530" s="896">
        <v>7.1841994256298918</v>
      </c>
      <c r="N530" s="896">
        <v>6.6225115908423522</v>
      </c>
      <c r="O530" s="872">
        <v>7.0177650044053586</v>
      </c>
      <c r="P530" s="870">
        <v>0</v>
      </c>
      <c r="Q530" s="896">
        <v>0</v>
      </c>
      <c r="R530" s="896">
        <v>0</v>
      </c>
      <c r="S530" s="914">
        <v>0</v>
      </c>
      <c r="T530" s="870">
        <v>0</v>
      </c>
      <c r="U530" s="870">
        <v>0</v>
      </c>
      <c r="V530" s="872">
        <v>0</v>
      </c>
      <c r="W530" s="870">
        <v>0</v>
      </c>
      <c r="X530" s="877">
        <v>10.650202108128926</v>
      </c>
    </row>
    <row r="531" spans="1:24">
      <c r="A531" s="862"/>
      <c r="B531" s="859" t="s">
        <v>628</v>
      </c>
      <c r="C531" s="870"/>
      <c r="D531" s="896"/>
      <c r="E531" s="896"/>
      <c r="F531" s="896"/>
      <c r="G531" s="896"/>
      <c r="H531" s="896"/>
      <c r="I531" s="872"/>
      <c r="J531" s="872"/>
      <c r="K531" s="896"/>
      <c r="L531" s="896"/>
      <c r="M531" s="896"/>
      <c r="N531" s="896"/>
      <c r="O531" s="872"/>
      <c r="P531" s="870"/>
      <c r="Q531" s="896"/>
      <c r="R531" s="896"/>
      <c r="S531" s="914"/>
      <c r="T531" s="866"/>
      <c r="U531" s="870"/>
      <c r="V531" s="872">
        <v>505042477</v>
      </c>
      <c r="W531" s="866">
        <v>505042477</v>
      </c>
      <c r="X531" s="877">
        <v>505042477</v>
      </c>
    </row>
    <row r="532" spans="1:24" s="216" customFormat="1">
      <c r="A532" s="862"/>
      <c r="B532" s="859" t="s">
        <v>630</v>
      </c>
      <c r="C532" s="870"/>
      <c r="D532" s="896"/>
      <c r="E532" s="896"/>
      <c r="F532" s="896"/>
      <c r="G532" s="896"/>
      <c r="H532" s="896"/>
      <c r="I532" s="872"/>
      <c r="J532" s="872"/>
      <c r="K532" s="896"/>
      <c r="L532" s="896"/>
      <c r="M532" s="896"/>
      <c r="N532" s="896"/>
      <c r="O532" s="872"/>
      <c r="P532" s="870"/>
      <c r="Q532" s="896"/>
      <c r="R532" s="896"/>
      <c r="S532" s="914"/>
      <c r="T532" s="873"/>
      <c r="U532" s="870"/>
      <c r="V532" s="872">
        <v>461715784</v>
      </c>
      <c r="W532" s="873">
        <v>461715784</v>
      </c>
      <c r="X532" s="877">
        <v>461715784</v>
      </c>
    </row>
    <row r="533" spans="1:24" s="215" customFormat="1" ht="13.5" thickBot="1">
      <c r="A533" s="862"/>
      <c r="B533" s="859" t="s">
        <v>632</v>
      </c>
      <c r="C533" s="870">
        <v>0</v>
      </c>
      <c r="D533" s="896">
        <v>0</v>
      </c>
      <c r="E533" s="896">
        <v>0</v>
      </c>
      <c r="F533" s="896">
        <v>0</v>
      </c>
      <c r="G533" s="896">
        <v>0</v>
      </c>
      <c r="H533" s="896">
        <v>0</v>
      </c>
      <c r="I533" s="872">
        <v>0</v>
      </c>
      <c r="J533" s="872">
        <v>0</v>
      </c>
      <c r="K533" s="896">
        <v>0</v>
      </c>
      <c r="L533" s="896">
        <v>0</v>
      </c>
      <c r="M533" s="896">
        <v>0</v>
      </c>
      <c r="N533" s="896">
        <v>0</v>
      </c>
      <c r="O533" s="872">
        <v>0</v>
      </c>
      <c r="P533" s="870">
        <v>0</v>
      </c>
      <c r="Q533" s="896">
        <v>0</v>
      </c>
      <c r="R533" s="896">
        <v>0</v>
      </c>
      <c r="S533" s="914">
        <v>0</v>
      </c>
      <c r="T533" s="886">
        <v>0</v>
      </c>
      <c r="U533" s="870">
        <v>0</v>
      </c>
      <c r="V533" s="872">
        <v>-8.5788215790015627</v>
      </c>
      <c r="W533" s="886">
        <v>-8.5788215790015627</v>
      </c>
      <c r="X533" s="877">
        <v>-8.5788215790015627</v>
      </c>
    </row>
    <row r="534" spans="1:24">
      <c r="A534" s="862"/>
      <c r="B534" s="859" t="s">
        <v>1608</v>
      </c>
      <c r="C534" s="870"/>
      <c r="D534" s="896"/>
      <c r="E534" s="896"/>
      <c r="F534" s="896"/>
      <c r="G534" s="896"/>
      <c r="H534" s="896"/>
      <c r="I534" s="872"/>
      <c r="J534" s="872"/>
      <c r="K534" s="896"/>
      <c r="L534" s="896"/>
      <c r="M534" s="896"/>
      <c r="N534" s="896"/>
      <c r="O534" s="872"/>
      <c r="P534" s="870"/>
      <c r="Q534" s="896"/>
      <c r="R534" s="896"/>
      <c r="S534" s="914"/>
      <c r="T534" s="870"/>
      <c r="U534" s="870"/>
      <c r="V534" s="872"/>
      <c r="W534" s="870"/>
      <c r="X534" s="877"/>
    </row>
    <row r="535" spans="1:24" s="216" customFormat="1">
      <c r="A535" s="862"/>
      <c r="B535" s="859" t="s">
        <v>1291</v>
      </c>
      <c r="C535" s="870"/>
      <c r="D535" s="896"/>
      <c r="E535" s="896"/>
      <c r="F535" s="896"/>
      <c r="G535" s="896"/>
      <c r="H535" s="896"/>
      <c r="I535" s="872"/>
      <c r="J535" s="872"/>
      <c r="K535" s="896"/>
      <c r="L535" s="896"/>
      <c r="M535" s="896"/>
      <c r="N535" s="896"/>
      <c r="O535" s="872"/>
      <c r="P535" s="870"/>
      <c r="Q535" s="896"/>
      <c r="R535" s="896"/>
      <c r="S535" s="914"/>
      <c r="T535" s="870"/>
      <c r="U535" s="870"/>
      <c r="V535" s="872"/>
      <c r="W535" s="870"/>
      <c r="X535" s="877"/>
    </row>
    <row r="536" spans="1:24" s="215" customFormat="1">
      <c r="A536" s="862"/>
      <c r="B536" s="859" t="s">
        <v>458</v>
      </c>
      <c r="C536" s="870">
        <v>0</v>
      </c>
      <c r="D536" s="896">
        <v>0</v>
      </c>
      <c r="E536" s="896">
        <v>0</v>
      </c>
      <c r="F536" s="896">
        <v>0</v>
      </c>
      <c r="G536" s="896">
        <v>0</v>
      </c>
      <c r="H536" s="896">
        <v>0</v>
      </c>
      <c r="I536" s="872">
        <v>0</v>
      </c>
      <c r="J536" s="872">
        <v>0</v>
      </c>
      <c r="K536" s="896">
        <v>0</v>
      </c>
      <c r="L536" s="896">
        <v>0</v>
      </c>
      <c r="M536" s="896">
        <v>0</v>
      </c>
      <c r="N536" s="896">
        <v>0</v>
      </c>
      <c r="O536" s="872">
        <v>0</v>
      </c>
      <c r="P536" s="870">
        <v>0</v>
      </c>
      <c r="Q536" s="896">
        <v>0</v>
      </c>
      <c r="R536" s="896">
        <v>0</v>
      </c>
      <c r="S536" s="914">
        <v>0</v>
      </c>
      <c r="T536" s="870">
        <v>0</v>
      </c>
      <c r="U536" s="870">
        <v>0</v>
      </c>
      <c r="V536" s="872">
        <v>0</v>
      </c>
      <c r="W536" s="870">
        <v>0</v>
      </c>
      <c r="X536" s="877">
        <v>0</v>
      </c>
    </row>
    <row r="537" spans="1:24">
      <c r="A537" s="862"/>
      <c r="B537" s="859" t="s">
        <v>1287</v>
      </c>
      <c r="C537" s="870"/>
      <c r="D537" s="896"/>
      <c r="E537" s="896"/>
      <c r="F537" s="896"/>
      <c r="G537" s="896"/>
      <c r="H537" s="896"/>
      <c r="I537" s="872"/>
      <c r="J537" s="872"/>
      <c r="K537" s="896"/>
      <c r="L537" s="896"/>
      <c r="M537" s="896"/>
      <c r="N537" s="896"/>
      <c r="O537" s="872"/>
      <c r="P537" s="870"/>
      <c r="Q537" s="896"/>
      <c r="R537" s="896"/>
      <c r="S537" s="914"/>
      <c r="T537" s="870"/>
      <c r="U537" s="870"/>
      <c r="V537" s="872"/>
      <c r="W537" s="870"/>
      <c r="X537" s="877"/>
    </row>
    <row r="538" spans="1:24" s="216" customFormat="1">
      <c r="A538" s="862"/>
      <c r="B538" s="859" t="s">
        <v>673</v>
      </c>
      <c r="C538" s="870"/>
      <c r="D538" s="896"/>
      <c r="E538" s="896"/>
      <c r="F538" s="896"/>
      <c r="G538" s="896"/>
      <c r="H538" s="896"/>
      <c r="I538" s="872"/>
      <c r="J538" s="872"/>
      <c r="K538" s="896"/>
      <c r="L538" s="896"/>
      <c r="M538" s="896"/>
      <c r="N538" s="896"/>
      <c r="O538" s="872"/>
      <c r="P538" s="870"/>
      <c r="Q538" s="896"/>
      <c r="R538" s="896"/>
      <c r="S538" s="914"/>
      <c r="T538" s="870"/>
      <c r="U538" s="870"/>
      <c r="V538" s="872"/>
      <c r="W538" s="870"/>
      <c r="X538" s="877"/>
    </row>
    <row r="539" spans="1:24" s="215" customFormat="1">
      <c r="A539" s="862"/>
      <c r="B539" s="859" t="s">
        <v>877</v>
      </c>
      <c r="C539" s="870">
        <v>0</v>
      </c>
      <c r="D539" s="896">
        <v>0</v>
      </c>
      <c r="E539" s="896">
        <v>0</v>
      </c>
      <c r="F539" s="896">
        <v>0</v>
      </c>
      <c r="G539" s="896">
        <v>0</v>
      </c>
      <c r="H539" s="896">
        <v>0</v>
      </c>
      <c r="I539" s="872">
        <v>0</v>
      </c>
      <c r="J539" s="872">
        <v>0</v>
      </c>
      <c r="K539" s="896">
        <v>0</v>
      </c>
      <c r="L539" s="896">
        <v>0</v>
      </c>
      <c r="M539" s="896">
        <v>0</v>
      </c>
      <c r="N539" s="896">
        <v>0</v>
      </c>
      <c r="O539" s="872">
        <v>0</v>
      </c>
      <c r="P539" s="870">
        <v>0</v>
      </c>
      <c r="Q539" s="896">
        <v>0</v>
      </c>
      <c r="R539" s="896">
        <v>0</v>
      </c>
      <c r="S539" s="914">
        <v>0</v>
      </c>
      <c r="T539" s="870">
        <v>0</v>
      </c>
      <c r="U539" s="870">
        <v>0</v>
      </c>
      <c r="V539" s="872">
        <v>0</v>
      </c>
      <c r="W539" s="870">
        <v>0</v>
      </c>
      <c r="X539" s="877">
        <v>0</v>
      </c>
    </row>
    <row r="540" spans="1:24">
      <c r="A540" s="862"/>
      <c r="B540" s="859" t="s">
        <v>1289</v>
      </c>
      <c r="C540" s="870">
        <v>0</v>
      </c>
      <c r="D540" s="896">
        <v>0</v>
      </c>
      <c r="E540" s="896">
        <v>0</v>
      </c>
      <c r="F540" s="896">
        <v>0</v>
      </c>
      <c r="G540" s="896">
        <v>0</v>
      </c>
      <c r="H540" s="896">
        <v>0</v>
      </c>
      <c r="I540" s="872">
        <v>0</v>
      </c>
      <c r="J540" s="872"/>
      <c r="K540" s="896">
        <v>0</v>
      </c>
      <c r="L540" s="896">
        <v>0</v>
      </c>
      <c r="M540" s="896">
        <v>0</v>
      </c>
      <c r="N540" s="896">
        <v>0</v>
      </c>
      <c r="O540" s="872">
        <v>0</v>
      </c>
      <c r="P540" s="870"/>
      <c r="Q540" s="896"/>
      <c r="R540" s="896"/>
      <c r="S540" s="914"/>
      <c r="T540" s="870">
        <v>0</v>
      </c>
      <c r="U540" s="870">
        <v>0</v>
      </c>
      <c r="V540" s="872">
        <v>0</v>
      </c>
      <c r="W540" s="870">
        <v>0</v>
      </c>
      <c r="X540" s="877">
        <v>0</v>
      </c>
    </row>
    <row r="541" spans="1:24" s="216" customFormat="1">
      <c r="A541" s="862"/>
      <c r="B541" s="859" t="s">
        <v>675</v>
      </c>
      <c r="C541" s="870">
        <v>0</v>
      </c>
      <c r="D541" s="896">
        <v>0</v>
      </c>
      <c r="E541" s="896">
        <v>0</v>
      </c>
      <c r="F541" s="896">
        <v>0</v>
      </c>
      <c r="G541" s="896">
        <v>0</v>
      </c>
      <c r="H541" s="896">
        <v>0</v>
      </c>
      <c r="I541" s="872">
        <v>0</v>
      </c>
      <c r="J541" s="872"/>
      <c r="K541" s="896">
        <v>0</v>
      </c>
      <c r="L541" s="896">
        <v>0</v>
      </c>
      <c r="M541" s="896">
        <v>0</v>
      </c>
      <c r="N541" s="896">
        <v>0</v>
      </c>
      <c r="O541" s="872">
        <v>0</v>
      </c>
      <c r="P541" s="870"/>
      <c r="Q541" s="896"/>
      <c r="R541" s="896"/>
      <c r="S541" s="914"/>
      <c r="T541" s="870">
        <v>0</v>
      </c>
      <c r="U541" s="870">
        <v>0</v>
      </c>
      <c r="V541" s="872">
        <v>0</v>
      </c>
      <c r="W541" s="870">
        <v>0</v>
      </c>
      <c r="X541" s="877">
        <v>0</v>
      </c>
    </row>
    <row r="542" spans="1:24" s="215" customFormat="1" ht="13.5" thickBot="1">
      <c r="A542" s="862"/>
      <c r="B542" s="859" t="s">
        <v>1339</v>
      </c>
      <c r="C542" s="870">
        <v>0</v>
      </c>
      <c r="D542" s="896">
        <v>0</v>
      </c>
      <c r="E542" s="896">
        <v>0</v>
      </c>
      <c r="F542" s="896">
        <v>0</v>
      </c>
      <c r="G542" s="896">
        <v>0</v>
      </c>
      <c r="H542" s="896">
        <v>0</v>
      </c>
      <c r="I542" s="872">
        <v>0</v>
      </c>
      <c r="J542" s="872">
        <v>0</v>
      </c>
      <c r="K542" s="896">
        <v>0</v>
      </c>
      <c r="L542" s="896">
        <v>0</v>
      </c>
      <c r="M542" s="896">
        <v>0</v>
      </c>
      <c r="N542" s="896">
        <v>0</v>
      </c>
      <c r="O542" s="872">
        <v>0</v>
      </c>
      <c r="P542" s="870">
        <v>0</v>
      </c>
      <c r="Q542" s="896">
        <v>0</v>
      </c>
      <c r="R542" s="896">
        <v>0</v>
      </c>
      <c r="S542" s="914">
        <v>0</v>
      </c>
      <c r="T542" s="870">
        <v>0</v>
      </c>
      <c r="U542" s="870">
        <v>0</v>
      </c>
      <c r="V542" s="872">
        <v>0</v>
      </c>
      <c r="W542" s="870">
        <v>0</v>
      </c>
      <c r="X542" s="877">
        <v>0</v>
      </c>
    </row>
    <row r="543" spans="1:24">
      <c r="A543" s="862"/>
      <c r="B543" s="859" t="s">
        <v>634</v>
      </c>
      <c r="C543" s="870">
        <v>26800942</v>
      </c>
      <c r="D543" s="896"/>
      <c r="E543" s="896"/>
      <c r="F543" s="896"/>
      <c r="G543" s="896"/>
      <c r="H543" s="896"/>
      <c r="I543" s="872">
        <v>26800942</v>
      </c>
      <c r="J543" s="872"/>
      <c r="K543" s="896"/>
      <c r="L543" s="896"/>
      <c r="M543" s="896"/>
      <c r="N543" s="896"/>
      <c r="O543" s="872"/>
      <c r="P543" s="870"/>
      <c r="Q543" s="896"/>
      <c r="R543" s="896"/>
      <c r="S543" s="914"/>
      <c r="T543" s="870">
        <v>1211196852</v>
      </c>
      <c r="U543" s="870">
        <v>1211196852</v>
      </c>
      <c r="V543" s="872">
        <v>67677989</v>
      </c>
      <c r="W543" s="866">
        <v>67677989</v>
      </c>
      <c r="X543" s="877">
        <v>1305675783</v>
      </c>
    </row>
    <row r="544" spans="1:24" s="216" customFormat="1">
      <c r="A544" s="862"/>
      <c r="B544" s="859" t="s">
        <v>636</v>
      </c>
      <c r="C544" s="870">
        <v>26800942</v>
      </c>
      <c r="D544" s="896"/>
      <c r="E544" s="896"/>
      <c r="F544" s="896"/>
      <c r="G544" s="896"/>
      <c r="H544" s="896"/>
      <c r="I544" s="872">
        <v>26800942</v>
      </c>
      <c r="J544" s="872"/>
      <c r="K544" s="896"/>
      <c r="L544" s="896"/>
      <c r="M544" s="896"/>
      <c r="N544" s="896"/>
      <c r="O544" s="872"/>
      <c r="P544" s="870"/>
      <c r="Q544" s="896"/>
      <c r="R544" s="896"/>
      <c r="S544" s="914"/>
      <c r="T544" s="870">
        <v>1208549244</v>
      </c>
      <c r="U544" s="870">
        <v>1208549244</v>
      </c>
      <c r="V544" s="872">
        <v>63933418</v>
      </c>
      <c r="W544" s="873">
        <v>63933418</v>
      </c>
      <c r="X544" s="877">
        <v>1299283604</v>
      </c>
    </row>
    <row r="545" spans="1:24" s="215" customFormat="1" ht="13.5" thickBot="1">
      <c r="A545" s="862"/>
      <c r="B545" s="859" t="s">
        <v>1540</v>
      </c>
      <c r="C545" s="870">
        <v>0</v>
      </c>
      <c r="D545" s="896">
        <v>0</v>
      </c>
      <c r="E545" s="896">
        <v>0</v>
      </c>
      <c r="F545" s="896">
        <v>0</v>
      </c>
      <c r="G545" s="896">
        <v>0</v>
      </c>
      <c r="H545" s="896">
        <v>0</v>
      </c>
      <c r="I545" s="872">
        <v>0</v>
      </c>
      <c r="J545" s="872">
        <v>0</v>
      </c>
      <c r="K545" s="896">
        <v>0</v>
      </c>
      <c r="L545" s="896">
        <v>0</v>
      </c>
      <c r="M545" s="896">
        <v>0</v>
      </c>
      <c r="N545" s="896">
        <v>0</v>
      </c>
      <c r="O545" s="872">
        <v>0</v>
      </c>
      <c r="P545" s="870">
        <v>0</v>
      </c>
      <c r="Q545" s="896">
        <v>0</v>
      </c>
      <c r="R545" s="896">
        <v>0</v>
      </c>
      <c r="S545" s="914">
        <v>0</v>
      </c>
      <c r="T545" s="870">
        <v>-0.2185943594245735</v>
      </c>
      <c r="U545" s="870">
        <v>-0.2185943594245735</v>
      </c>
      <c r="V545" s="872">
        <v>-5.5329229714553136</v>
      </c>
      <c r="W545" s="886">
        <v>-5.5329229714553136</v>
      </c>
      <c r="X545" s="877">
        <v>-0.48956862670095186</v>
      </c>
    </row>
    <row r="546" spans="1:24">
      <c r="A546" s="862"/>
      <c r="B546" s="859" t="s">
        <v>637</v>
      </c>
      <c r="C546" s="870">
        <v>7018485</v>
      </c>
      <c r="D546" s="896"/>
      <c r="E546" s="896"/>
      <c r="F546" s="896"/>
      <c r="G546" s="896"/>
      <c r="H546" s="896"/>
      <c r="I546" s="872">
        <v>7018485</v>
      </c>
      <c r="J546" s="872"/>
      <c r="K546" s="896"/>
      <c r="L546" s="896"/>
      <c r="M546" s="896"/>
      <c r="N546" s="896"/>
      <c r="O546" s="872"/>
      <c r="P546" s="870"/>
      <c r="Q546" s="896"/>
      <c r="R546" s="896"/>
      <c r="S546" s="914"/>
      <c r="T546" s="866">
        <v>124634135</v>
      </c>
      <c r="U546" s="870">
        <v>124634135</v>
      </c>
      <c r="V546" s="872"/>
      <c r="W546" s="870"/>
      <c r="X546" s="877">
        <v>131652620</v>
      </c>
    </row>
    <row r="547" spans="1:24" s="216" customFormat="1">
      <c r="A547" s="862"/>
      <c r="B547" s="859" t="s">
        <v>1890</v>
      </c>
      <c r="C547" s="870">
        <v>7320246</v>
      </c>
      <c r="D547" s="896"/>
      <c r="E547" s="896"/>
      <c r="F547" s="896"/>
      <c r="G547" s="896"/>
      <c r="H547" s="896"/>
      <c r="I547" s="872">
        <v>7320246</v>
      </c>
      <c r="J547" s="872"/>
      <c r="K547" s="896"/>
      <c r="L547" s="896"/>
      <c r="M547" s="896"/>
      <c r="N547" s="896"/>
      <c r="O547" s="872"/>
      <c r="P547" s="870"/>
      <c r="Q547" s="896"/>
      <c r="R547" s="896"/>
      <c r="S547" s="914"/>
      <c r="T547" s="873">
        <v>143155508</v>
      </c>
      <c r="U547" s="870">
        <v>143155508</v>
      </c>
      <c r="V547" s="872"/>
      <c r="W547" s="870"/>
      <c r="X547" s="877">
        <v>150475754</v>
      </c>
    </row>
    <row r="548" spans="1:24" s="215" customFormat="1" ht="13.5" thickBot="1">
      <c r="A548" s="862"/>
      <c r="B548" s="859" t="s">
        <v>1603</v>
      </c>
      <c r="C548" s="870">
        <v>4.29951763094172</v>
      </c>
      <c r="D548" s="896">
        <v>0</v>
      </c>
      <c r="E548" s="896">
        <v>0</v>
      </c>
      <c r="F548" s="896">
        <v>0</v>
      </c>
      <c r="G548" s="896">
        <v>0</v>
      </c>
      <c r="H548" s="896">
        <v>0</v>
      </c>
      <c r="I548" s="872">
        <v>4.29951763094172</v>
      </c>
      <c r="J548" s="872">
        <v>0</v>
      </c>
      <c r="K548" s="896">
        <v>0</v>
      </c>
      <c r="L548" s="896">
        <v>0</v>
      </c>
      <c r="M548" s="896">
        <v>0</v>
      </c>
      <c r="N548" s="896">
        <v>0</v>
      </c>
      <c r="O548" s="872">
        <v>0</v>
      </c>
      <c r="P548" s="870">
        <v>0</v>
      </c>
      <c r="Q548" s="896">
        <v>0</v>
      </c>
      <c r="R548" s="896">
        <v>0</v>
      </c>
      <c r="S548" s="914">
        <v>0</v>
      </c>
      <c r="T548" s="886">
        <v>14.860594170288902</v>
      </c>
      <c r="U548" s="870">
        <v>14.860594170288902</v>
      </c>
      <c r="V548" s="872">
        <v>0</v>
      </c>
      <c r="W548" s="870">
        <v>0</v>
      </c>
      <c r="X548" s="877">
        <v>14.297576455371718</v>
      </c>
    </row>
    <row r="549" spans="1:24">
      <c r="A549" s="862"/>
      <c r="B549" s="859" t="s">
        <v>377</v>
      </c>
      <c r="C549" s="870">
        <v>3388012799</v>
      </c>
      <c r="D549" s="896">
        <v>308116680</v>
      </c>
      <c r="E549" s="896">
        <v>1851753608</v>
      </c>
      <c r="F549" s="896">
        <v>135167326</v>
      </c>
      <c r="G549" s="896">
        <v>105089369</v>
      </c>
      <c r="H549" s="896">
        <v>25239871</v>
      </c>
      <c r="I549" s="872">
        <v>5813379653</v>
      </c>
      <c r="J549" s="872"/>
      <c r="K549" s="896">
        <v>1907157719</v>
      </c>
      <c r="L549" s="896">
        <v>646350404</v>
      </c>
      <c r="M549" s="896">
        <v>125946211</v>
      </c>
      <c r="N549" s="896">
        <v>603143961</v>
      </c>
      <c r="O549" s="872">
        <v>3282598295</v>
      </c>
      <c r="P549" s="870"/>
      <c r="Q549" s="896"/>
      <c r="R549" s="896"/>
      <c r="S549" s="914"/>
      <c r="T549" s="870">
        <v>0</v>
      </c>
      <c r="U549" s="870">
        <v>0</v>
      </c>
      <c r="V549" s="872">
        <v>18551951</v>
      </c>
      <c r="W549" s="870">
        <v>18551951</v>
      </c>
      <c r="X549" s="877">
        <v>9114529899</v>
      </c>
    </row>
    <row r="550" spans="1:24" s="216" customFormat="1">
      <c r="A550" s="862"/>
      <c r="B550" s="859" t="s">
        <v>379</v>
      </c>
      <c r="C550" s="870">
        <v>3603948614</v>
      </c>
      <c r="D550" s="896">
        <v>318714453</v>
      </c>
      <c r="E550" s="896">
        <v>1961787812</v>
      </c>
      <c r="F550" s="896">
        <v>149010118</v>
      </c>
      <c r="G550" s="896">
        <v>112752858</v>
      </c>
      <c r="H550" s="896">
        <v>26594970</v>
      </c>
      <c r="I550" s="872">
        <v>6172808825</v>
      </c>
      <c r="J550" s="872"/>
      <c r="K550" s="896">
        <v>1921542283</v>
      </c>
      <c r="L550" s="896">
        <v>615631461</v>
      </c>
      <c r="M550" s="896">
        <v>125517758</v>
      </c>
      <c r="N550" s="896">
        <v>592429496</v>
      </c>
      <c r="O550" s="872">
        <v>3255120998</v>
      </c>
      <c r="P550" s="870"/>
      <c r="Q550" s="896"/>
      <c r="R550" s="896"/>
      <c r="S550" s="914"/>
      <c r="T550" s="870">
        <v>0</v>
      </c>
      <c r="U550" s="870">
        <v>0</v>
      </c>
      <c r="V550" s="872">
        <v>101853029</v>
      </c>
      <c r="W550" s="870">
        <v>101853029</v>
      </c>
      <c r="X550" s="877">
        <v>9529782852</v>
      </c>
    </row>
    <row r="551" spans="1:24" s="228" customFormat="1">
      <c r="A551" s="897"/>
      <c r="B551" s="859" t="s">
        <v>381</v>
      </c>
      <c r="C551" s="870">
        <v>6.3735241810106285</v>
      </c>
      <c r="D551" s="896">
        <v>3.4395323875357868</v>
      </c>
      <c r="E551" s="896">
        <v>5.9421622576906028</v>
      </c>
      <c r="F551" s="896">
        <v>10.241226492858193</v>
      </c>
      <c r="G551" s="896">
        <v>7.2923541866542179</v>
      </c>
      <c r="H551" s="896">
        <v>5.3688824320853303</v>
      </c>
      <c r="I551" s="872">
        <v>6.1827919980164419</v>
      </c>
      <c r="J551" s="872">
        <v>0</v>
      </c>
      <c r="K551" s="896">
        <v>0.7542409238991733</v>
      </c>
      <c r="L551" s="896">
        <v>-4.7526763826390361</v>
      </c>
      <c r="M551" s="896">
        <v>-0.3401872883655071</v>
      </c>
      <c r="N551" s="896">
        <v>-1.7764357587590933</v>
      </c>
      <c r="O551" s="872">
        <v>-0.83705938194913976</v>
      </c>
      <c r="P551" s="870">
        <v>0</v>
      </c>
      <c r="Q551" s="896">
        <v>0</v>
      </c>
      <c r="R551" s="896">
        <v>0</v>
      </c>
      <c r="S551" s="914">
        <v>0</v>
      </c>
      <c r="T551" s="870">
        <v>0</v>
      </c>
      <c r="U551" s="870">
        <v>0</v>
      </c>
      <c r="V551" s="872">
        <v>449.01518983097787</v>
      </c>
      <c r="W551" s="870">
        <v>449.01518983097787</v>
      </c>
      <c r="X551" s="877">
        <v>4.5559448221850634</v>
      </c>
    </row>
    <row r="552" spans="1:24">
      <c r="A552" s="858" t="s">
        <v>1284</v>
      </c>
      <c r="B552" s="858" t="s">
        <v>1347</v>
      </c>
      <c r="C552" s="863">
        <v>403779339</v>
      </c>
      <c r="D552" s="864">
        <v>305510129</v>
      </c>
      <c r="E552" s="864">
        <v>121115142</v>
      </c>
      <c r="F552" s="864">
        <v>103244540</v>
      </c>
      <c r="G552" s="864">
        <v>47958120</v>
      </c>
      <c r="H552" s="864">
        <v>14327467</v>
      </c>
      <c r="I552" s="865">
        <v>995934737</v>
      </c>
      <c r="J552" s="865"/>
      <c r="K552" s="864"/>
      <c r="L552" s="864"/>
      <c r="M552" s="864">
        <v>5705412</v>
      </c>
      <c r="N552" s="864">
        <v>358820186</v>
      </c>
      <c r="O552" s="865">
        <v>364525598</v>
      </c>
      <c r="P552" s="863"/>
      <c r="Q552" s="864"/>
      <c r="R552" s="864"/>
      <c r="S552" s="913"/>
      <c r="T552" s="863"/>
      <c r="U552" s="863"/>
      <c r="V552" s="865"/>
      <c r="W552" s="863"/>
      <c r="X552" s="869">
        <v>1360460335</v>
      </c>
    </row>
    <row r="553" spans="1:24" s="216" customFormat="1">
      <c r="A553" s="862"/>
      <c r="B553" s="859" t="s">
        <v>60</v>
      </c>
      <c r="C553" s="870">
        <v>408721813</v>
      </c>
      <c r="D553" s="896">
        <v>313300377</v>
      </c>
      <c r="E553" s="896">
        <v>126166206</v>
      </c>
      <c r="F553" s="896">
        <v>106251426</v>
      </c>
      <c r="G553" s="896">
        <v>50873931</v>
      </c>
      <c r="H553" s="896">
        <v>14514147</v>
      </c>
      <c r="I553" s="872">
        <v>1019827900</v>
      </c>
      <c r="J553" s="872"/>
      <c r="K553" s="896"/>
      <c r="L553" s="896"/>
      <c r="M553" s="896">
        <v>5846156</v>
      </c>
      <c r="N553" s="896">
        <v>363892312</v>
      </c>
      <c r="O553" s="872">
        <v>369738468</v>
      </c>
      <c r="P553" s="870"/>
      <c r="Q553" s="896"/>
      <c r="R553" s="896"/>
      <c r="S553" s="914"/>
      <c r="T553" s="870"/>
      <c r="U553" s="870"/>
      <c r="V553" s="872"/>
      <c r="W553" s="870"/>
      <c r="X553" s="877">
        <v>1389566368</v>
      </c>
    </row>
    <row r="554" spans="1:24" s="215" customFormat="1" ht="13.5" thickBot="1">
      <c r="A554" s="862"/>
      <c r="B554" s="859" t="s">
        <v>906</v>
      </c>
      <c r="C554" s="870">
        <v>1.2240532198206406</v>
      </c>
      <c r="D554" s="896">
        <v>2.5499148016791287</v>
      </c>
      <c r="E554" s="896">
        <v>4.1704644989806479</v>
      </c>
      <c r="F554" s="896">
        <v>2.9123922679107292</v>
      </c>
      <c r="G554" s="896">
        <v>6.0799109723233515</v>
      </c>
      <c r="H554" s="896">
        <v>1.3029518755827532</v>
      </c>
      <c r="I554" s="872">
        <v>2.3990691470378946</v>
      </c>
      <c r="J554" s="872">
        <v>0</v>
      </c>
      <c r="K554" s="896">
        <v>0</v>
      </c>
      <c r="L554" s="896">
        <v>0</v>
      </c>
      <c r="M554" s="896">
        <v>2.4668507725647157</v>
      </c>
      <c r="N554" s="896">
        <v>1.4135564825775995</v>
      </c>
      <c r="O554" s="872">
        <v>1.4300422325896576</v>
      </c>
      <c r="P554" s="870">
        <v>0</v>
      </c>
      <c r="Q554" s="896">
        <v>0</v>
      </c>
      <c r="R554" s="896">
        <v>0</v>
      </c>
      <c r="S554" s="914">
        <v>0</v>
      </c>
      <c r="T554" s="870">
        <v>0</v>
      </c>
      <c r="U554" s="870">
        <v>0</v>
      </c>
      <c r="V554" s="872">
        <v>0</v>
      </c>
      <c r="W554" s="870">
        <v>0</v>
      </c>
      <c r="X554" s="877">
        <v>2.1394253291478726</v>
      </c>
    </row>
    <row r="555" spans="1:24">
      <c r="A555" s="862"/>
      <c r="B555" s="859" t="s">
        <v>1370</v>
      </c>
      <c r="C555" s="870">
        <v>75812442</v>
      </c>
      <c r="D555" s="896">
        <v>26697121</v>
      </c>
      <c r="E555" s="896"/>
      <c r="F555" s="866">
        <v>4748867</v>
      </c>
      <c r="G555" s="896"/>
      <c r="H555" s="896"/>
      <c r="I555" s="872">
        <v>107258430</v>
      </c>
      <c r="J555" s="872"/>
      <c r="K555" s="896"/>
      <c r="L555" s="896"/>
      <c r="M555" s="896"/>
      <c r="N555" s="896"/>
      <c r="O555" s="872"/>
      <c r="P555" s="870"/>
      <c r="Q555" s="896"/>
      <c r="R555" s="896"/>
      <c r="S555" s="914"/>
      <c r="T555" s="870"/>
      <c r="U555" s="870"/>
      <c r="V555" s="872">
        <v>85556228</v>
      </c>
      <c r="W555" s="866">
        <v>85556228</v>
      </c>
      <c r="X555" s="877">
        <v>192814658</v>
      </c>
    </row>
    <row r="556" spans="1:24" s="216" customFormat="1">
      <c r="A556" s="862"/>
      <c r="B556" s="859" t="s">
        <v>1611</v>
      </c>
      <c r="C556" s="870">
        <v>68930748</v>
      </c>
      <c r="D556" s="896">
        <v>24733229</v>
      </c>
      <c r="E556" s="896"/>
      <c r="F556" s="873">
        <v>4964380</v>
      </c>
      <c r="G556" s="896"/>
      <c r="H556" s="896"/>
      <c r="I556" s="872">
        <v>98628357</v>
      </c>
      <c r="J556" s="872"/>
      <c r="K556" s="896"/>
      <c r="L556" s="896"/>
      <c r="M556" s="896"/>
      <c r="N556" s="896"/>
      <c r="O556" s="872"/>
      <c r="P556" s="870"/>
      <c r="Q556" s="896"/>
      <c r="R556" s="896"/>
      <c r="S556" s="914"/>
      <c r="T556" s="870"/>
      <c r="U556" s="870"/>
      <c r="V556" s="872">
        <v>92843702</v>
      </c>
      <c r="W556" s="873">
        <v>92843702</v>
      </c>
      <c r="X556" s="877">
        <v>191472059</v>
      </c>
    </row>
    <row r="557" spans="1:24" s="215" customFormat="1" ht="13.5" thickBot="1">
      <c r="A557" s="862"/>
      <c r="B557" s="859" t="s">
        <v>1613</v>
      </c>
      <c r="C557" s="870">
        <v>-9.07726201459122</v>
      </c>
      <c r="D557" s="896">
        <v>-7.3561939506510843</v>
      </c>
      <c r="E557" s="896">
        <v>0</v>
      </c>
      <c r="F557" s="886">
        <v>4.5381982691871556</v>
      </c>
      <c r="G557" s="896">
        <v>0</v>
      </c>
      <c r="H557" s="896">
        <v>0</v>
      </c>
      <c r="I557" s="872">
        <v>-8.0460556806583874</v>
      </c>
      <c r="J557" s="872">
        <v>0</v>
      </c>
      <c r="K557" s="896">
        <v>0</v>
      </c>
      <c r="L557" s="896">
        <v>0</v>
      </c>
      <c r="M557" s="896">
        <v>0</v>
      </c>
      <c r="N557" s="896">
        <v>0</v>
      </c>
      <c r="O557" s="872">
        <v>0</v>
      </c>
      <c r="P557" s="870">
        <v>0</v>
      </c>
      <c r="Q557" s="896">
        <v>0</v>
      </c>
      <c r="R557" s="896">
        <v>0</v>
      </c>
      <c r="S557" s="914">
        <v>0</v>
      </c>
      <c r="T557" s="870">
        <v>0</v>
      </c>
      <c r="U557" s="870">
        <v>0</v>
      </c>
      <c r="V557" s="872">
        <v>8.5177598058670831</v>
      </c>
      <c r="W557" s="886">
        <v>8.5177598058670831</v>
      </c>
      <c r="X557" s="877">
        <v>-0.69631583714968392</v>
      </c>
    </row>
    <row r="558" spans="1:24">
      <c r="A558" s="862"/>
      <c r="B558" s="859" t="s">
        <v>61</v>
      </c>
      <c r="C558" s="870"/>
      <c r="D558" s="896"/>
      <c r="E558" s="896"/>
      <c r="F558" s="896"/>
      <c r="G558" s="896"/>
      <c r="H558" s="896"/>
      <c r="I558" s="872"/>
      <c r="J558" s="872"/>
      <c r="K558" s="896"/>
      <c r="L558" s="896"/>
      <c r="M558" s="896"/>
      <c r="N558" s="896">
        <v>5960000</v>
      </c>
      <c r="O558" s="872">
        <v>5960000</v>
      </c>
      <c r="P558" s="870"/>
      <c r="Q558" s="896"/>
      <c r="R558" s="896"/>
      <c r="S558" s="914"/>
      <c r="T558" s="870"/>
      <c r="U558" s="870"/>
      <c r="V558" s="872"/>
      <c r="W558" s="870"/>
      <c r="X558" s="877">
        <v>5960000</v>
      </c>
    </row>
    <row r="559" spans="1:24" s="216" customFormat="1">
      <c r="A559" s="862"/>
      <c r="B559" s="859" t="s">
        <v>62</v>
      </c>
      <c r="C559" s="870"/>
      <c r="D559" s="896"/>
      <c r="E559" s="896"/>
      <c r="F559" s="896"/>
      <c r="G559" s="896"/>
      <c r="H559" s="896"/>
      <c r="I559" s="872"/>
      <c r="J559" s="872"/>
      <c r="K559" s="896"/>
      <c r="L559" s="896"/>
      <c r="M559" s="896"/>
      <c r="N559" s="896">
        <v>9714492</v>
      </c>
      <c r="O559" s="872">
        <v>9714492</v>
      </c>
      <c r="P559" s="870"/>
      <c r="Q559" s="896"/>
      <c r="R559" s="896"/>
      <c r="S559" s="914"/>
      <c r="T559" s="870"/>
      <c r="U559" s="870"/>
      <c r="V559" s="872"/>
      <c r="W559" s="870"/>
      <c r="X559" s="877">
        <v>9714492</v>
      </c>
    </row>
    <row r="560" spans="1:24" s="215" customFormat="1" ht="13.5" thickBot="1">
      <c r="A560" s="862"/>
      <c r="B560" s="859" t="s">
        <v>1816</v>
      </c>
      <c r="C560" s="870">
        <v>0</v>
      </c>
      <c r="D560" s="896">
        <v>0</v>
      </c>
      <c r="E560" s="896">
        <v>0</v>
      </c>
      <c r="F560" s="896">
        <v>0</v>
      </c>
      <c r="G560" s="896">
        <v>0</v>
      </c>
      <c r="H560" s="896">
        <v>0</v>
      </c>
      <c r="I560" s="872">
        <v>0</v>
      </c>
      <c r="J560" s="872">
        <v>0</v>
      </c>
      <c r="K560" s="896">
        <v>0</v>
      </c>
      <c r="L560" s="896">
        <v>0</v>
      </c>
      <c r="M560" s="896">
        <v>0</v>
      </c>
      <c r="N560" s="896">
        <v>62.994832214765097</v>
      </c>
      <c r="O560" s="872">
        <v>62.994832214765097</v>
      </c>
      <c r="P560" s="870">
        <v>0</v>
      </c>
      <c r="Q560" s="896">
        <v>0</v>
      </c>
      <c r="R560" s="896">
        <v>0</v>
      </c>
      <c r="S560" s="914">
        <v>0</v>
      </c>
      <c r="T560" s="870">
        <v>0</v>
      </c>
      <c r="U560" s="870">
        <v>0</v>
      </c>
      <c r="V560" s="872">
        <v>0</v>
      </c>
      <c r="W560" s="870">
        <v>0</v>
      </c>
      <c r="X560" s="877">
        <v>62.994832214765097</v>
      </c>
    </row>
    <row r="561" spans="1:24">
      <c r="A561" s="862"/>
      <c r="B561" s="859" t="s">
        <v>1588</v>
      </c>
      <c r="C561" s="870">
        <v>673008509</v>
      </c>
      <c r="D561" s="896">
        <v>324458649</v>
      </c>
      <c r="E561" s="866">
        <v>166096259</v>
      </c>
      <c r="F561" s="896">
        <v>77075531</v>
      </c>
      <c r="G561" s="866">
        <v>51853421</v>
      </c>
      <c r="H561" s="896">
        <v>5735200</v>
      </c>
      <c r="I561" s="872">
        <v>1298227569</v>
      </c>
      <c r="J561" s="872"/>
      <c r="K561" s="896"/>
      <c r="L561" s="896"/>
      <c r="M561" s="866">
        <v>2710500</v>
      </c>
      <c r="N561" s="896">
        <v>291663741</v>
      </c>
      <c r="O561" s="872">
        <v>294374241</v>
      </c>
      <c r="P561" s="870"/>
      <c r="Q561" s="896"/>
      <c r="R561" s="896"/>
      <c r="S561" s="914"/>
      <c r="T561" s="870"/>
      <c r="U561" s="870"/>
      <c r="V561" s="872"/>
      <c r="W561" s="870"/>
      <c r="X561" s="877">
        <v>1592601810</v>
      </c>
    </row>
    <row r="562" spans="1:24" s="216" customFormat="1">
      <c r="A562" s="862"/>
      <c r="B562" s="859" t="s">
        <v>251</v>
      </c>
      <c r="C562" s="870">
        <v>737459630</v>
      </c>
      <c r="D562" s="896">
        <v>356634007</v>
      </c>
      <c r="E562" s="873">
        <v>179197425</v>
      </c>
      <c r="F562" s="896">
        <v>79390115</v>
      </c>
      <c r="G562" s="873">
        <v>54743471</v>
      </c>
      <c r="H562" s="896">
        <v>5914200</v>
      </c>
      <c r="I562" s="872">
        <v>1413338848</v>
      </c>
      <c r="J562" s="872"/>
      <c r="K562" s="896"/>
      <c r="L562" s="896"/>
      <c r="M562" s="873">
        <v>3166500</v>
      </c>
      <c r="N562" s="896">
        <v>323122065</v>
      </c>
      <c r="O562" s="872">
        <v>326288565</v>
      </c>
      <c r="P562" s="870"/>
      <c r="Q562" s="896"/>
      <c r="R562" s="896"/>
      <c r="S562" s="914"/>
      <c r="T562" s="870"/>
      <c r="U562" s="870"/>
      <c r="V562" s="872"/>
      <c r="W562" s="870"/>
      <c r="X562" s="877">
        <v>1739627413</v>
      </c>
    </row>
    <row r="563" spans="1:24" s="215" customFormat="1" ht="13.5" thickBot="1">
      <c r="A563" s="862"/>
      <c r="B563" s="859" t="s">
        <v>1759</v>
      </c>
      <c r="C563" s="870">
        <v>9.5765685185415688</v>
      </c>
      <c r="D563" s="896">
        <v>9.9166282357293554</v>
      </c>
      <c r="E563" s="886">
        <v>7.8876948095501653</v>
      </c>
      <c r="F563" s="896">
        <v>3.0030075303665438</v>
      </c>
      <c r="G563" s="886">
        <v>5.5734991911141218</v>
      </c>
      <c r="H563" s="896">
        <v>3.1210768586971684</v>
      </c>
      <c r="I563" s="872">
        <v>8.8668028432540549</v>
      </c>
      <c r="J563" s="872">
        <v>0</v>
      </c>
      <c r="K563" s="896">
        <v>0</v>
      </c>
      <c r="L563" s="896">
        <v>0</v>
      </c>
      <c r="M563" s="886">
        <v>16.823464305478694</v>
      </c>
      <c r="N563" s="896">
        <v>10.785819276726619</v>
      </c>
      <c r="O563" s="872">
        <v>10.841411901933363</v>
      </c>
      <c r="P563" s="870">
        <v>0</v>
      </c>
      <c r="Q563" s="896">
        <v>0</v>
      </c>
      <c r="R563" s="896">
        <v>0</v>
      </c>
      <c r="S563" s="914">
        <v>0</v>
      </c>
      <c r="T563" s="870">
        <v>0</v>
      </c>
      <c r="U563" s="870">
        <v>0</v>
      </c>
      <c r="V563" s="872">
        <v>0</v>
      </c>
      <c r="W563" s="870">
        <v>0</v>
      </c>
      <c r="X563" s="877">
        <v>9.2317867577960371</v>
      </c>
    </row>
    <row r="564" spans="1:24">
      <c r="A564" s="862"/>
      <c r="B564" s="859" t="s">
        <v>1590</v>
      </c>
      <c r="C564" s="870">
        <v>1866210</v>
      </c>
      <c r="D564" s="896">
        <v>724002</v>
      </c>
      <c r="E564" s="896">
        <v>528972</v>
      </c>
      <c r="F564" s="896">
        <v>266718</v>
      </c>
      <c r="G564" s="896">
        <v>123850</v>
      </c>
      <c r="H564" s="896">
        <v>7800</v>
      </c>
      <c r="I564" s="872">
        <v>3517552</v>
      </c>
      <c r="J564" s="872"/>
      <c r="K564" s="896"/>
      <c r="L564" s="896"/>
      <c r="M564" s="896">
        <v>1448</v>
      </c>
      <c r="N564" s="896">
        <v>415738</v>
      </c>
      <c r="O564" s="872">
        <v>417186</v>
      </c>
      <c r="P564" s="870"/>
      <c r="Q564" s="896"/>
      <c r="R564" s="896"/>
      <c r="S564" s="914"/>
      <c r="T564" s="870"/>
      <c r="U564" s="870"/>
      <c r="V564" s="872"/>
      <c r="W564" s="870"/>
      <c r="X564" s="877">
        <v>3934738</v>
      </c>
    </row>
    <row r="565" spans="1:24" s="216" customFormat="1">
      <c r="A565" s="862"/>
      <c r="B565" s="859" t="s">
        <v>1319</v>
      </c>
      <c r="C565" s="870">
        <v>1866210</v>
      </c>
      <c r="D565" s="896">
        <v>724002</v>
      </c>
      <c r="E565" s="896">
        <v>528972</v>
      </c>
      <c r="F565" s="896">
        <v>266718</v>
      </c>
      <c r="G565" s="896">
        <v>123850</v>
      </c>
      <c r="H565" s="896">
        <v>7800</v>
      </c>
      <c r="I565" s="872">
        <v>3517552</v>
      </c>
      <c r="J565" s="872"/>
      <c r="K565" s="896"/>
      <c r="L565" s="896"/>
      <c r="M565" s="896">
        <v>1448</v>
      </c>
      <c r="N565" s="896">
        <v>415738</v>
      </c>
      <c r="O565" s="872">
        <v>417186</v>
      </c>
      <c r="P565" s="870"/>
      <c r="Q565" s="896"/>
      <c r="R565" s="896"/>
      <c r="S565" s="914"/>
      <c r="T565" s="870"/>
      <c r="U565" s="870"/>
      <c r="V565" s="872"/>
      <c r="W565" s="870"/>
      <c r="X565" s="877">
        <v>3934738</v>
      </c>
    </row>
    <row r="566" spans="1:24" s="215" customFormat="1">
      <c r="A566" s="862"/>
      <c r="B566" s="859" t="s">
        <v>1330</v>
      </c>
      <c r="C566" s="870">
        <v>0</v>
      </c>
      <c r="D566" s="896">
        <v>0</v>
      </c>
      <c r="E566" s="896">
        <v>0</v>
      </c>
      <c r="F566" s="896">
        <v>0</v>
      </c>
      <c r="G566" s="896">
        <v>0</v>
      </c>
      <c r="H566" s="896">
        <v>0</v>
      </c>
      <c r="I566" s="872">
        <v>0</v>
      </c>
      <c r="J566" s="872">
        <v>0</v>
      </c>
      <c r="K566" s="896">
        <v>0</v>
      </c>
      <c r="L566" s="896">
        <v>0</v>
      </c>
      <c r="M566" s="896">
        <v>0</v>
      </c>
      <c r="N566" s="896">
        <v>0</v>
      </c>
      <c r="O566" s="872">
        <v>0</v>
      </c>
      <c r="P566" s="870">
        <v>0</v>
      </c>
      <c r="Q566" s="896">
        <v>0</v>
      </c>
      <c r="R566" s="896">
        <v>0</v>
      </c>
      <c r="S566" s="914">
        <v>0</v>
      </c>
      <c r="T566" s="870">
        <v>0</v>
      </c>
      <c r="U566" s="870">
        <v>0</v>
      </c>
      <c r="V566" s="872">
        <v>0</v>
      </c>
      <c r="W566" s="870">
        <v>0</v>
      </c>
      <c r="X566" s="877">
        <v>0</v>
      </c>
    </row>
    <row r="567" spans="1:24">
      <c r="A567" s="862"/>
      <c r="B567" s="859" t="s">
        <v>1889</v>
      </c>
      <c r="C567" s="870">
        <v>674874719</v>
      </c>
      <c r="D567" s="896">
        <v>325182651</v>
      </c>
      <c r="E567" s="896">
        <v>166625231</v>
      </c>
      <c r="F567" s="896">
        <v>77342249</v>
      </c>
      <c r="G567" s="896">
        <v>51977271</v>
      </c>
      <c r="H567" s="896">
        <v>5743000</v>
      </c>
      <c r="I567" s="872">
        <v>1301745121</v>
      </c>
      <c r="J567" s="872"/>
      <c r="K567" s="896">
        <v>0</v>
      </c>
      <c r="L567" s="896">
        <v>0</v>
      </c>
      <c r="M567" s="896">
        <v>2711948</v>
      </c>
      <c r="N567" s="896">
        <v>292079479</v>
      </c>
      <c r="O567" s="872">
        <v>294791427</v>
      </c>
      <c r="P567" s="870"/>
      <c r="Q567" s="896"/>
      <c r="R567" s="896"/>
      <c r="S567" s="914"/>
      <c r="T567" s="870">
        <v>0</v>
      </c>
      <c r="U567" s="870">
        <v>0</v>
      </c>
      <c r="V567" s="872">
        <v>0</v>
      </c>
      <c r="W567" s="870">
        <v>0</v>
      </c>
      <c r="X567" s="877">
        <v>1596536548</v>
      </c>
    </row>
    <row r="568" spans="1:24" s="216" customFormat="1">
      <c r="A568" s="862"/>
      <c r="B568" s="859" t="s">
        <v>626</v>
      </c>
      <c r="C568" s="870">
        <v>739325840</v>
      </c>
      <c r="D568" s="896">
        <v>357358009</v>
      </c>
      <c r="E568" s="896">
        <v>179726397</v>
      </c>
      <c r="F568" s="896">
        <v>79656833</v>
      </c>
      <c r="G568" s="896">
        <v>54867321</v>
      </c>
      <c r="H568" s="896">
        <v>5922000</v>
      </c>
      <c r="I568" s="872">
        <v>1416856400</v>
      </c>
      <c r="J568" s="872"/>
      <c r="K568" s="896">
        <v>0</v>
      </c>
      <c r="L568" s="896">
        <v>0</v>
      </c>
      <c r="M568" s="896">
        <v>3167948</v>
      </c>
      <c r="N568" s="896">
        <v>323537803</v>
      </c>
      <c r="O568" s="872">
        <v>326705751</v>
      </c>
      <c r="P568" s="870"/>
      <c r="Q568" s="896"/>
      <c r="R568" s="896"/>
      <c r="S568" s="914"/>
      <c r="T568" s="870">
        <v>0</v>
      </c>
      <c r="U568" s="870">
        <v>0</v>
      </c>
      <c r="V568" s="872">
        <v>0</v>
      </c>
      <c r="W568" s="870">
        <v>0</v>
      </c>
      <c r="X568" s="877">
        <v>1743562151</v>
      </c>
    </row>
    <row r="569" spans="1:24" s="215" customFormat="1">
      <c r="A569" s="862"/>
      <c r="B569" s="859" t="s">
        <v>456</v>
      </c>
      <c r="C569" s="870">
        <v>9.5500867324680456</v>
      </c>
      <c r="D569" s="896">
        <v>9.8945493866460907</v>
      </c>
      <c r="E569" s="896">
        <v>7.8626543659525368</v>
      </c>
      <c r="F569" s="896">
        <v>2.9926515325407723</v>
      </c>
      <c r="G569" s="896">
        <v>5.5602188117956404</v>
      </c>
      <c r="H569" s="896">
        <v>3.116837889604736</v>
      </c>
      <c r="I569" s="872">
        <v>8.8428431298111239</v>
      </c>
      <c r="J569" s="872">
        <v>0</v>
      </c>
      <c r="K569" s="896">
        <v>0</v>
      </c>
      <c r="L569" s="896">
        <v>0</v>
      </c>
      <c r="M569" s="896">
        <v>16.814481693601795</v>
      </c>
      <c r="N569" s="896">
        <v>10.770467034419765</v>
      </c>
      <c r="O569" s="872">
        <v>10.826069239795091</v>
      </c>
      <c r="P569" s="870">
        <v>0</v>
      </c>
      <c r="Q569" s="896">
        <v>0</v>
      </c>
      <c r="R569" s="896">
        <v>0</v>
      </c>
      <c r="S569" s="914">
        <v>0</v>
      </c>
      <c r="T569" s="870">
        <v>0</v>
      </c>
      <c r="U569" s="870">
        <v>0</v>
      </c>
      <c r="V569" s="872">
        <v>0</v>
      </c>
      <c r="W569" s="870">
        <v>0</v>
      </c>
      <c r="X569" s="877">
        <v>9.2090345933001476</v>
      </c>
    </row>
    <row r="570" spans="1:24">
      <c r="A570" s="862"/>
      <c r="B570" s="859" t="s">
        <v>628</v>
      </c>
      <c r="C570" s="870"/>
      <c r="D570" s="896"/>
      <c r="E570" s="896"/>
      <c r="F570" s="896"/>
      <c r="G570" s="896"/>
      <c r="H570" s="896"/>
      <c r="I570" s="872"/>
      <c r="J570" s="872"/>
      <c r="K570" s="896"/>
      <c r="L570" s="896"/>
      <c r="M570" s="896"/>
      <c r="N570" s="896"/>
      <c r="O570" s="872"/>
      <c r="P570" s="870"/>
      <c r="Q570" s="896"/>
      <c r="R570" s="896"/>
      <c r="S570" s="914"/>
      <c r="T570" s="870">
        <v>14938857</v>
      </c>
      <c r="U570" s="870">
        <v>14938857</v>
      </c>
      <c r="V570" s="872">
        <v>216985794</v>
      </c>
      <c r="W570" s="870">
        <v>216985794</v>
      </c>
      <c r="X570" s="877">
        <v>231924651</v>
      </c>
    </row>
    <row r="571" spans="1:24" s="216" customFormat="1">
      <c r="A571" s="862"/>
      <c r="B571" s="859" t="s">
        <v>630</v>
      </c>
      <c r="C571" s="870"/>
      <c r="D571" s="896"/>
      <c r="E571" s="896"/>
      <c r="F571" s="896"/>
      <c r="G571" s="896"/>
      <c r="H571" s="896"/>
      <c r="I571" s="872"/>
      <c r="J571" s="872"/>
      <c r="K571" s="896"/>
      <c r="L571" s="896"/>
      <c r="M571" s="896"/>
      <c r="N571" s="896"/>
      <c r="O571" s="872"/>
      <c r="P571" s="870"/>
      <c r="Q571" s="896"/>
      <c r="R571" s="896"/>
      <c r="S571" s="914"/>
      <c r="T571" s="870">
        <v>13401541</v>
      </c>
      <c r="U571" s="870">
        <v>13401541</v>
      </c>
      <c r="V571" s="872">
        <v>225505584</v>
      </c>
      <c r="W571" s="870">
        <v>225505584</v>
      </c>
      <c r="X571" s="877">
        <v>238907125</v>
      </c>
    </row>
    <row r="572" spans="1:24" s="215" customFormat="1">
      <c r="A572" s="862"/>
      <c r="B572" s="859" t="s">
        <v>632</v>
      </c>
      <c r="C572" s="870">
        <v>0</v>
      </c>
      <c r="D572" s="896">
        <v>0</v>
      </c>
      <c r="E572" s="896">
        <v>0</v>
      </c>
      <c r="F572" s="896">
        <v>0</v>
      </c>
      <c r="G572" s="896">
        <v>0</v>
      </c>
      <c r="H572" s="896">
        <v>0</v>
      </c>
      <c r="I572" s="872">
        <v>0</v>
      </c>
      <c r="J572" s="872">
        <v>0</v>
      </c>
      <c r="K572" s="896">
        <v>0</v>
      </c>
      <c r="L572" s="896">
        <v>0</v>
      </c>
      <c r="M572" s="896">
        <v>0</v>
      </c>
      <c r="N572" s="896">
        <v>0</v>
      </c>
      <c r="O572" s="872">
        <v>0</v>
      </c>
      <c r="P572" s="870">
        <v>0</v>
      </c>
      <c r="Q572" s="896">
        <v>0</v>
      </c>
      <c r="R572" s="896">
        <v>0</v>
      </c>
      <c r="S572" s="914">
        <v>0</v>
      </c>
      <c r="T572" s="870">
        <v>-10.290720367696137</v>
      </c>
      <c r="U572" s="870">
        <v>-10.290720367696137</v>
      </c>
      <c r="V572" s="872">
        <v>3.926427552211091</v>
      </c>
      <c r="W572" s="870">
        <v>3.926427552211091</v>
      </c>
      <c r="X572" s="877">
        <v>3.0106648732221224</v>
      </c>
    </row>
    <row r="573" spans="1:24">
      <c r="A573" s="862"/>
      <c r="B573" s="859" t="s">
        <v>1608</v>
      </c>
      <c r="C573" s="870"/>
      <c r="D573" s="896"/>
      <c r="E573" s="896"/>
      <c r="F573" s="896"/>
      <c r="G573" s="896"/>
      <c r="H573" s="896"/>
      <c r="I573" s="872"/>
      <c r="J573" s="872"/>
      <c r="K573" s="896"/>
      <c r="L573" s="896"/>
      <c r="M573" s="896"/>
      <c r="N573" s="896"/>
      <c r="O573" s="872"/>
      <c r="P573" s="870"/>
      <c r="Q573" s="896"/>
      <c r="R573" s="896"/>
      <c r="S573" s="914"/>
      <c r="T573" s="870">
        <v>15928056</v>
      </c>
      <c r="U573" s="870">
        <v>15928056</v>
      </c>
      <c r="V573" s="872"/>
      <c r="W573" s="870"/>
      <c r="X573" s="877">
        <v>15928056</v>
      </c>
    </row>
    <row r="574" spans="1:24" s="216" customFormat="1">
      <c r="A574" s="862"/>
      <c r="B574" s="859" t="s">
        <v>1291</v>
      </c>
      <c r="C574" s="870"/>
      <c r="D574" s="896"/>
      <c r="E574" s="896"/>
      <c r="F574" s="896"/>
      <c r="G574" s="896"/>
      <c r="H574" s="896"/>
      <c r="I574" s="872"/>
      <c r="J574" s="872"/>
      <c r="K574" s="896"/>
      <c r="L574" s="896"/>
      <c r="M574" s="896"/>
      <c r="N574" s="896"/>
      <c r="O574" s="872"/>
      <c r="P574" s="870"/>
      <c r="Q574" s="896"/>
      <c r="R574" s="896"/>
      <c r="S574" s="914"/>
      <c r="T574" s="870">
        <v>17758056</v>
      </c>
      <c r="U574" s="870">
        <v>17758056</v>
      </c>
      <c r="V574" s="872"/>
      <c r="W574" s="870"/>
      <c r="X574" s="877">
        <v>17758056</v>
      </c>
    </row>
    <row r="575" spans="1:24" s="215" customFormat="1">
      <c r="A575" s="862"/>
      <c r="B575" s="859" t="s">
        <v>458</v>
      </c>
      <c r="C575" s="870">
        <v>0</v>
      </c>
      <c r="D575" s="896">
        <v>0</v>
      </c>
      <c r="E575" s="896">
        <v>0</v>
      </c>
      <c r="F575" s="896">
        <v>0</v>
      </c>
      <c r="G575" s="896">
        <v>0</v>
      </c>
      <c r="H575" s="896">
        <v>0</v>
      </c>
      <c r="I575" s="872">
        <v>0</v>
      </c>
      <c r="J575" s="872">
        <v>0</v>
      </c>
      <c r="K575" s="896">
        <v>0</v>
      </c>
      <c r="L575" s="896">
        <v>0</v>
      </c>
      <c r="M575" s="896">
        <v>0</v>
      </c>
      <c r="N575" s="896">
        <v>0</v>
      </c>
      <c r="O575" s="872">
        <v>0</v>
      </c>
      <c r="P575" s="870">
        <v>0</v>
      </c>
      <c r="Q575" s="896">
        <v>0</v>
      </c>
      <c r="R575" s="896">
        <v>0</v>
      </c>
      <c r="S575" s="914">
        <v>0</v>
      </c>
      <c r="T575" s="870">
        <v>11.489161012492673</v>
      </c>
      <c r="U575" s="870">
        <v>11.489161012492673</v>
      </c>
      <c r="V575" s="872">
        <v>0</v>
      </c>
      <c r="W575" s="870">
        <v>0</v>
      </c>
      <c r="X575" s="877">
        <v>11.489161012492673</v>
      </c>
    </row>
    <row r="576" spans="1:24">
      <c r="A576" s="862"/>
      <c r="B576" s="859" t="s">
        <v>1287</v>
      </c>
      <c r="C576" s="870"/>
      <c r="D576" s="896"/>
      <c r="E576" s="896"/>
      <c r="F576" s="896"/>
      <c r="G576" s="896"/>
      <c r="H576" s="896"/>
      <c r="I576" s="872"/>
      <c r="J576" s="872"/>
      <c r="K576" s="896"/>
      <c r="L576" s="896"/>
      <c r="M576" s="896"/>
      <c r="N576" s="896"/>
      <c r="O576" s="872"/>
      <c r="P576" s="870"/>
      <c r="Q576" s="896"/>
      <c r="R576" s="896"/>
      <c r="S576" s="914"/>
      <c r="T576" s="870">
        <v>65262</v>
      </c>
      <c r="U576" s="870">
        <v>65262</v>
      </c>
      <c r="V576" s="872"/>
      <c r="W576" s="870"/>
      <c r="X576" s="877">
        <v>65262</v>
      </c>
    </row>
    <row r="577" spans="1:24" s="216" customFormat="1">
      <c r="A577" s="862"/>
      <c r="B577" s="859" t="s">
        <v>673</v>
      </c>
      <c r="C577" s="870"/>
      <c r="D577" s="896"/>
      <c r="E577" s="896"/>
      <c r="F577" s="896"/>
      <c r="G577" s="896"/>
      <c r="H577" s="896"/>
      <c r="I577" s="872"/>
      <c r="J577" s="872"/>
      <c r="K577" s="896"/>
      <c r="L577" s="896"/>
      <c r="M577" s="896"/>
      <c r="N577" s="896"/>
      <c r="O577" s="872"/>
      <c r="P577" s="870"/>
      <c r="Q577" s="896"/>
      <c r="R577" s="896"/>
      <c r="S577" s="914"/>
      <c r="T577" s="870">
        <v>65262</v>
      </c>
      <c r="U577" s="870">
        <v>65262</v>
      </c>
      <c r="V577" s="872"/>
      <c r="W577" s="870"/>
      <c r="X577" s="877">
        <v>65262</v>
      </c>
    </row>
    <row r="578" spans="1:24" s="215" customFormat="1">
      <c r="A578" s="862"/>
      <c r="B578" s="859" t="s">
        <v>877</v>
      </c>
      <c r="C578" s="870">
        <v>0</v>
      </c>
      <c r="D578" s="896">
        <v>0</v>
      </c>
      <c r="E578" s="896">
        <v>0</v>
      </c>
      <c r="F578" s="896">
        <v>0</v>
      </c>
      <c r="G578" s="896">
        <v>0</v>
      </c>
      <c r="H578" s="896">
        <v>0</v>
      </c>
      <c r="I578" s="872">
        <v>0</v>
      </c>
      <c r="J578" s="872">
        <v>0</v>
      </c>
      <c r="K578" s="896">
        <v>0</v>
      </c>
      <c r="L578" s="896">
        <v>0</v>
      </c>
      <c r="M578" s="896">
        <v>0</v>
      </c>
      <c r="N578" s="896">
        <v>0</v>
      </c>
      <c r="O578" s="872">
        <v>0</v>
      </c>
      <c r="P578" s="870">
        <v>0</v>
      </c>
      <c r="Q578" s="896">
        <v>0</v>
      </c>
      <c r="R578" s="896">
        <v>0</v>
      </c>
      <c r="S578" s="914">
        <v>0</v>
      </c>
      <c r="T578" s="870">
        <v>0</v>
      </c>
      <c r="U578" s="870">
        <v>0</v>
      </c>
      <c r="V578" s="872">
        <v>0</v>
      </c>
      <c r="W578" s="870">
        <v>0</v>
      </c>
      <c r="X578" s="877">
        <v>0</v>
      </c>
    </row>
    <row r="579" spans="1:24">
      <c r="A579" s="862"/>
      <c r="B579" s="859" t="s">
        <v>1289</v>
      </c>
      <c r="C579" s="870">
        <v>0</v>
      </c>
      <c r="D579" s="896">
        <v>0</v>
      </c>
      <c r="E579" s="896">
        <v>0</v>
      </c>
      <c r="F579" s="896">
        <v>0</v>
      </c>
      <c r="G579" s="896">
        <v>0</v>
      </c>
      <c r="H579" s="896">
        <v>0</v>
      </c>
      <c r="I579" s="872">
        <v>0</v>
      </c>
      <c r="J579" s="872"/>
      <c r="K579" s="896">
        <v>0</v>
      </c>
      <c r="L579" s="896">
        <v>0</v>
      </c>
      <c r="M579" s="896">
        <v>0</v>
      </c>
      <c r="N579" s="896">
        <v>0</v>
      </c>
      <c r="O579" s="872">
        <v>0</v>
      </c>
      <c r="P579" s="870"/>
      <c r="Q579" s="896"/>
      <c r="R579" s="896"/>
      <c r="S579" s="914"/>
      <c r="T579" s="870">
        <v>15993318</v>
      </c>
      <c r="U579" s="870">
        <v>15993318</v>
      </c>
      <c r="V579" s="872">
        <v>0</v>
      </c>
      <c r="W579" s="870">
        <v>0</v>
      </c>
      <c r="X579" s="877">
        <v>15993318</v>
      </c>
    </row>
    <row r="580" spans="1:24" s="216" customFormat="1">
      <c r="A580" s="862"/>
      <c r="B580" s="859" t="s">
        <v>675</v>
      </c>
      <c r="C580" s="870">
        <v>0</v>
      </c>
      <c r="D580" s="896">
        <v>0</v>
      </c>
      <c r="E580" s="896">
        <v>0</v>
      </c>
      <c r="F580" s="896">
        <v>0</v>
      </c>
      <c r="G580" s="896">
        <v>0</v>
      </c>
      <c r="H580" s="896">
        <v>0</v>
      </c>
      <c r="I580" s="872">
        <v>0</v>
      </c>
      <c r="J580" s="872"/>
      <c r="K580" s="896">
        <v>0</v>
      </c>
      <c r="L580" s="896">
        <v>0</v>
      </c>
      <c r="M580" s="896">
        <v>0</v>
      </c>
      <c r="N580" s="896">
        <v>0</v>
      </c>
      <c r="O580" s="872">
        <v>0</v>
      </c>
      <c r="P580" s="870"/>
      <c r="Q580" s="896"/>
      <c r="R580" s="896"/>
      <c r="S580" s="914"/>
      <c r="T580" s="870">
        <v>17823318</v>
      </c>
      <c r="U580" s="870">
        <v>17823318</v>
      </c>
      <c r="V580" s="872">
        <v>0</v>
      </c>
      <c r="W580" s="870">
        <v>0</v>
      </c>
      <c r="X580" s="877">
        <v>17823318</v>
      </c>
    </row>
    <row r="581" spans="1:24" s="215" customFormat="1" ht="13.5" thickBot="1">
      <c r="A581" s="862"/>
      <c r="B581" s="859" t="s">
        <v>1339</v>
      </c>
      <c r="C581" s="870">
        <v>0</v>
      </c>
      <c r="D581" s="896">
        <v>0</v>
      </c>
      <c r="E581" s="896">
        <v>0</v>
      </c>
      <c r="F581" s="896">
        <v>0</v>
      </c>
      <c r="G581" s="896">
        <v>0</v>
      </c>
      <c r="H581" s="896">
        <v>0</v>
      </c>
      <c r="I581" s="872">
        <v>0</v>
      </c>
      <c r="J581" s="872">
        <v>0</v>
      </c>
      <c r="K581" s="896">
        <v>0</v>
      </c>
      <c r="L581" s="896">
        <v>0</v>
      </c>
      <c r="M581" s="896">
        <v>0</v>
      </c>
      <c r="N581" s="896">
        <v>0</v>
      </c>
      <c r="O581" s="872">
        <v>0</v>
      </c>
      <c r="P581" s="870">
        <v>0</v>
      </c>
      <c r="Q581" s="896">
        <v>0</v>
      </c>
      <c r="R581" s="896">
        <v>0</v>
      </c>
      <c r="S581" s="914">
        <v>0</v>
      </c>
      <c r="T581" s="870">
        <v>11.442278581592639</v>
      </c>
      <c r="U581" s="870">
        <v>11.442278581592639</v>
      </c>
      <c r="V581" s="872">
        <v>0</v>
      </c>
      <c r="W581" s="870">
        <v>0</v>
      </c>
      <c r="X581" s="877">
        <v>11.442278581592639</v>
      </c>
    </row>
    <row r="582" spans="1:24">
      <c r="A582" s="862"/>
      <c r="B582" s="859" t="s">
        <v>634</v>
      </c>
      <c r="C582" s="866">
        <v>32677414</v>
      </c>
      <c r="D582" s="896">
        <v>30350551</v>
      </c>
      <c r="E582" s="896"/>
      <c r="F582" s="896"/>
      <c r="G582" s="896"/>
      <c r="H582" s="896"/>
      <c r="I582" s="872">
        <v>63027965</v>
      </c>
      <c r="J582" s="872"/>
      <c r="K582" s="896"/>
      <c r="L582" s="896"/>
      <c r="M582" s="896"/>
      <c r="N582" s="896"/>
      <c r="O582" s="872"/>
      <c r="P582" s="870"/>
      <c r="Q582" s="896"/>
      <c r="R582" s="896"/>
      <c r="S582" s="914"/>
      <c r="T582" s="870"/>
      <c r="U582" s="870"/>
      <c r="V582" s="872">
        <v>17862303</v>
      </c>
      <c r="W582" s="870">
        <v>17862303</v>
      </c>
      <c r="X582" s="877">
        <v>80890268</v>
      </c>
    </row>
    <row r="583" spans="1:24" s="216" customFormat="1">
      <c r="A583" s="862"/>
      <c r="B583" s="859" t="s">
        <v>636</v>
      </c>
      <c r="C583" s="873">
        <v>32318985</v>
      </c>
      <c r="D583" s="896">
        <v>30424890</v>
      </c>
      <c r="E583" s="896"/>
      <c r="F583" s="896"/>
      <c r="G583" s="896"/>
      <c r="H583" s="896"/>
      <c r="I583" s="872">
        <v>62743875</v>
      </c>
      <c r="J583" s="872"/>
      <c r="K583" s="896"/>
      <c r="L583" s="896"/>
      <c r="M583" s="896"/>
      <c r="N583" s="896"/>
      <c r="O583" s="872"/>
      <c r="P583" s="870"/>
      <c r="Q583" s="896"/>
      <c r="R583" s="896"/>
      <c r="S583" s="914"/>
      <c r="T583" s="870"/>
      <c r="U583" s="870"/>
      <c r="V583" s="872">
        <v>16624658</v>
      </c>
      <c r="W583" s="870">
        <v>16624658</v>
      </c>
      <c r="X583" s="877">
        <v>79368533</v>
      </c>
    </row>
    <row r="584" spans="1:24" s="215" customFormat="1" ht="13.5" thickBot="1">
      <c r="A584" s="862"/>
      <c r="B584" s="859" t="s">
        <v>1540</v>
      </c>
      <c r="C584" s="886">
        <v>-1.0968707621723064</v>
      </c>
      <c r="D584" s="896">
        <v>0.24493459772773155</v>
      </c>
      <c r="E584" s="896">
        <v>0</v>
      </c>
      <c r="F584" s="896">
        <v>0</v>
      </c>
      <c r="G584" s="896">
        <v>0</v>
      </c>
      <c r="H584" s="896">
        <v>0</v>
      </c>
      <c r="I584" s="872">
        <v>-0.45073643104295058</v>
      </c>
      <c r="J584" s="872">
        <v>0</v>
      </c>
      <c r="K584" s="896">
        <v>0</v>
      </c>
      <c r="L584" s="896">
        <v>0</v>
      </c>
      <c r="M584" s="896">
        <v>0</v>
      </c>
      <c r="N584" s="896">
        <v>0</v>
      </c>
      <c r="O584" s="872">
        <v>0</v>
      </c>
      <c r="P584" s="870">
        <v>0</v>
      </c>
      <c r="Q584" s="896">
        <v>0</v>
      </c>
      <c r="R584" s="896">
        <v>0</v>
      </c>
      <c r="S584" s="914">
        <v>0</v>
      </c>
      <c r="T584" s="870">
        <v>0</v>
      </c>
      <c r="U584" s="870">
        <v>0</v>
      </c>
      <c r="V584" s="872">
        <v>-6.9288097956909587</v>
      </c>
      <c r="W584" s="870">
        <v>-6.9288097956909587</v>
      </c>
      <c r="X584" s="877">
        <v>-1.8812337227019698</v>
      </c>
    </row>
    <row r="585" spans="1:24">
      <c r="A585" s="862"/>
      <c r="B585" s="859" t="s">
        <v>637</v>
      </c>
      <c r="C585" s="870">
        <v>41540570</v>
      </c>
      <c r="D585" s="896">
        <v>29236135</v>
      </c>
      <c r="E585" s="896"/>
      <c r="F585" s="896"/>
      <c r="G585" s="896"/>
      <c r="H585" s="896"/>
      <c r="I585" s="872">
        <v>70776705</v>
      </c>
      <c r="J585" s="872"/>
      <c r="K585" s="896"/>
      <c r="L585" s="896"/>
      <c r="M585" s="896"/>
      <c r="N585" s="896"/>
      <c r="O585" s="872"/>
      <c r="P585" s="870"/>
      <c r="Q585" s="896"/>
      <c r="R585" s="896"/>
      <c r="S585" s="914"/>
      <c r="T585" s="870"/>
      <c r="U585" s="870"/>
      <c r="V585" s="872"/>
      <c r="W585" s="870"/>
      <c r="X585" s="877">
        <v>70776705</v>
      </c>
    </row>
    <row r="586" spans="1:24" s="216" customFormat="1">
      <c r="A586" s="862"/>
      <c r="B586" s="859" t="s">
        <v>1890</v>
      </c>
      <c r="C586" s="870">
        <v>43806541</v>
      </c>
      <c r="D586" s="896">
        <v>30935471</v>
      </c>
      <c r="E586" s="896"/>
      <c r="F586" s="896"/>
      <c r="G586" s="896"/>
      <c r="H586" s="896"/>
      <c r="I586" s="872">
        <v>74742012</v>
      </c>
      <c r="J586" s="872"/>
      <c r="K586" s="896"/>
      <c r="L586" s="896"/>
      <c r="M586" s="896"/>
      <c r="N586" s="896"/>
      <c r="O586" s="872"/>
      <c r="P586" s="870"/>
      <c r="Q586" s="896"/>
      <c r="R586" s="896"/>
      <c r="S586" s="914"/>
      <c r="T586" s="870"/>
      <c r="U586" s="870"/>
      <c r="V586" s="872"/>
      <c r="W586" s="870"/>
      <c r="X586" s="877">
        <v>74742012</v>
      </c>
    </row>
    <row r="587" spans="1:24" s="215" customFormat="1">
      <c r="A587" s="862"/>
      <c r="B587" s="859" t="s">
        <v>1603</v>
      </c>
      <c r="C587" s="870">
        <v>5.4548384868094013</v>
      </c>
      <c r="D587" s="896">
        <v>5.8124509275935408</v>
      </c>
      <c r="E587" s="896">
        <v>0</v>
      </c>
      <c r="F587" s="896">
        <v>0</v>
      </c>
      <c r="G587" s="896">
        <v>0</v>
      </c>
      <c r="H587" s="896">
        <v>0</v>
      </c>
      <c r="I587" s="872">
        <v>5.6025594862038295</v>
      </c>
      <c r="J587" s="872">
        <v>0</v>
      </c>
      <c r="K587" s="896">
        <v>0</v>
      </c>
      <c r="L587" s="896">
        <v>0</v>
      </c>
      <c r="M587" s="896">
        <v>0</v>
      </c>
      <c r="N587" s="896">
        <v>0</v>
      </c>
      <c r="O587" s="872">
        <v>0</v>
      </c>
      <c r="P587" s="870">
        <v>0</v>
      </c>
      <c r="Q587" s="896">
        <v>0</v>
      </c>
      <c r="R587" s="896">
        <v>0</v>
      </c>
      <c r="S587" s="914">
        <v>0</v>
      </c>
      <c r="T587" s="870">
        <v>0</v>
      </c>
      <c r="U587" s="870">
        <v>0</v>
      </c>
      <c r="V587" s="872">
        <v>0</v>
      </c>
      <c r="W587" s="870">
        <v>0</v>
      </c>
      <c r="X587" s="877">
        <v>5.6025594862038295</v>
      </c>
    </row>
    <row r="588" spans="1:24">
      <c r="A588" s="862"/>
      <c r="B588" s="859" t="s">
        <v>377</v>
      </c>
      <c r="C588" s="870">
        <v>1152600290</v>
      </c>
      <c r="D588" s="896">
        <v>656665899</v>
      </c>
      <c r="E588" s="896">
        <v>287211401</v>
      </c>
      <c r="F588" s="896">
        <v>185068938</v>
      </c>
      <c r="G588" s="896">
        <v>99811541</v>
      </c>
      <c r="H588" s="896">
        <v>20062667</v>
      </c>
      <c r="I588" s="872">
        <v>2401420736</v>
      </c>
      <c r="J588" s="872"/>
      <c r="K588" s="896">
        <v>0</v>
      </c>
      <c r="L588" s="896">
        <v>0</v>
      </c>
      <c r="M588" s="896">
        <v>8415912</v>
      </c>
      <c r="N588" s="896">
        <v>656443927</v>
      </c>
      <c r="O588" s="872">
        <v>664859839</v>
      </c>
      <c r="P588" s="870"/>
      <c r="Q588" s="896"/>
      <c r="R588" s="896"/>
      <c r="S588" s="914"/>
      <c r="T588" s="870">
        <v>0</v>
      </c>
      <c r="U588" s="870">
        <v>0</v>
      </c>
      <c r="V588" s="872">
        <v>85556228</v>
      </c>
      <c r="W588" s="870">
        <v>85556228</v>
      </c>
      <c r="X588" s="877">
        <v>3151836803</v>
      </c>
    </row>
    <row r="589" spans="1:24" s="216" customFormat="1">
      <c r="A589" s="862"/>
      <c r="B589" s="859" t="s">
        <v>379</v>
      </c>
      <c r="C589" s="870">
        <v>1215112191</v>
      </c>
      <c r="D589" s="896">
        <v>694667613</v>
      </c>
      <c r="E589" s="896">
        <v>305363631</v>
      </c>
      <c r="F589" s="896">
        <v>190605921</v>
      </c>
      <c r="G589" s="896">
        <v>105617402</v>
      </c>
      <c r="H589" s="896">
        <v>20428347</v>
      </c>
      <c r="I589" s="872">
        <v>2531795105</v>
      </c>
      <c r="J589" s="872"/>
      <c r="K589" s="896">
        <v>0</v>
      </c>
      <c r="L589" s="896">
        <v>0</v>
      </c>
      <c r="M589" s="896">
        <v>9012656</v>
      </c>
      <c r="N589" s="896">
        <v>696728869</v>
      </c>
      <c r="O589" s="872">
        <v>705741525</v>
      </c>
      <c r="P589" s="870"/>
      <c r="Q589" s="896"/>
      <c r="R589" s="896"/>
      <c r="S589" s="914"/>
      <c r="T589" s="870">
        <v>0</v>
      </c>
      <c r="U589" s="870">
        <v>0</v>
      </c>
      <c r="V589" s="872">
        <v>92843702</v>
      </c>
      <c r="W589" s="870">
        <v>92843702</v>
      </c>
      <c r="X589" s="877">
        <v>3330380332</v>
      </c>
    </row>
    <row r="590" spans="1:24" s="228" customFormat="1" ht="13.5" thickBot="1">
      <c r="A590" s="897"/>
      <c r="B590" s="859" t="s">
        <v>381</v>
      </c>
      <c r="C590" s="870">
        <v>5.423554162041726</v>
      </c>
      <c r="D590" s="896">
        <v>5.7870698109755203</v>
      </c>
      <c r="E590" s="896">
        <v>6.3201634533999576</v>
      </c>
      <c r="F590" s="896">
        <v>2.9918489076756898</v>
      </c>
      <c r="G590" s="896">
        <v>5.81682332707397</v>
      </c>
      <c r="H590" s="896">
        <v>1.8226888778047303</v>
      </c>
      <c r="I590" s="872">
        <v>5.4290515212741131</v>
      </c>
      <c r="J590" s="872">
        <v>0</v>
      </c>
      <c r="K590" s="896">
        <v>0</v>
      </c>
      <c r="L590" s="896">
        <v>0</v>
      </c>
      <c r="M590" s="896">
        <v>7.0906634955308467</v>
      </c>
      <c r="N590" s="896">
        <v>6.1368443431421982</v>
      </c>
      <c r="O590" s="872">
        <v>6.1489179526152729</v>
      </c>
      <c r="P590" s="870">
        <v>0</v>
      </c>
      <c r="Q590" s="896">
        <v>0</v>
      </c>
      <c r="R590" s="896">
        <v>0</v>
      </c>
      <c r="S590" s="914">
        <v>0</v>
      </c>
      <c r="T590" s="870">
        <v>0</v>
      </c>
      <c r="U590" s="870">
        <v>0</v>
      </c>
      <c r="V590" s="872">
        <v>8.5177598058670831</v>
      </c>
      <c r="W590" s="870">
        <v>8.5177598058670831</v>
      </c>
      <c r="X590" s="877">
        <v>5.6647453583274876</v>
      </c>
    </row>
    <row r="591" spans="1:24">
      <c r="A591" s="858" t="s">
        <v>1285</v>
      </c>
      <c r="B591" s="858" t="s">
        <v>1347</v>
      </c>
      <c r="C591" s="866">
        <v>78511727</v>
      </c>
      <c r="D591" s="864"/>
      <c r="E591" s="864">
        <v>43354786</v>
      </c>
      <c r="F591" s="864"/>
      <c r="G591" s="864"/>
      <c r="H591" s="864">
        <v>74457501</v>
      </c>
      <c r="I591" s="865">
        <v>196324014</v>
      </c>
      <c r="J591" s="865">
        <v>8953448</v>
      </c>
      <c r="K591" s="864"/>
      <c r="L591" s="866">
        <v>8230927</v>
      </c>
      <c r="M591" s="864">
        <v>43187169</v>
      </c>
      <c r="N591" s="864"/>
      <c r="O591" s="865">
        <v>60371544</v>
      </c>
      <c r="P591" s="863"/>
      <c r="Q591" s="864"/>
      <c r="R591" s="864"/>
      <c r="S591" s="913"/>
      <c r="T591" s="863"/>
      <c r="U591" s="863"/>
      <c r="V591" s="865"/>
      <c r="W591" s="863"/>
      <c r="X591" s="869">
        <v>256695558</v>
      </c>
    </row>
    <row r="592" spans="1:24" s="216" customFormat="1">
      <c r="A592" s="862"/>
      <c r="B592" s="859" t="s">
        <v>60</v>
      </c>
      <c r="C592" s="873">
        <v>81100464</v>
      </c>
      <c r="D592" s="896"/>
      <c r="E592" s="896">
        <v>47104987</v>
      </c>
      <c r="F592" s="896"/>
      <c r="G592" s="896"/>
      <c r="H592" s="896">
        <v>79713137</v>
      </c>
      <c r="I592" s="872">
        <v>207918588</v>
      </c>
      <c r="J592" s="872">
        <v>10235011</v>
      </c>
      <c r="K592" s="896"/>
      <c r="L592" s="873">
        <v>8328385</v>
      </c>
      <c r="M592" s="896">
        <v>45786338</v>
      </c>
      <c r="N592" s="896"/>
      <c r="O592" s="872">
        <v>64349734</v>
      </c>
      <c r="P592" s="870"/>
      <c r="Q592" s="896"/>
      <c r="R592" s="896"/>
      <c r="S592" s="914"/>
      <c r="T592" s="870"/>
      <c r="U592" s="870"/>
      <c r="V592" s="872"/>
      <c r="W592" s="870"/>
      <c r="X592" s="877">
        <v>272268322</v>
      </c>
    </row>
    <row r="593" spans="1:24" s="215" customFormat="1" ht="13.5" thickBot="1">
      <c r="A593" s="862"/>
      <c r="B593" s="859" t="s">
        <v>906</v>
      </c>
      <c r="C593" s="886">
        <v>3.2972615670522698</v>
      </c>
      <c r="D593" s="896">
        <v>0</v>
      </c>
      <c r="E593" s="896">
        <v>8.6500277039771341</v>
      </c>
      <c r="F593" s="896">
        <v>0</v>
      </c>
      <c r="G593" s="896">
        <v>0</v>
      </c>
      <c r="H593" s="896">
        <v>7.0585715736014301</v>
      </c>
      <c r="I593" s="872">
        <v>5.9058358495054</v>
      </c>
      <c r="J593" s="872">
        <v>14.313625320658588</v>
      </c>
      <c r="K593" s="896">
        <v>0</v>
      </c>
      <c r="L593" s="886">
        <v>1.1840464628103251</v>
      </c>
      <c r="M593" s="896">
        <v>6.0183824505838759</v>
      </c>
      <c r="N593" s="896">
        <v>0</v>
      </c>
      <c r="O593" s="872">
        <v>6.5895117739576108</v>
      </c>
      <c r="P593" s="870">
        <v>0</v>
      </c>
      <c r="Q593" s="896">
        <v>0</v>
      </c>
      <c r="R593" s="896">
        <v>0</v>
      </c>
      <c r="S593" s="914">
        <v>0</v>
      </c>
      <c r="T593" s="870">
        <v>0</v>
      </c>
      <c r="U593" s="870">
        <v>0</v>
      </c>
      <c r="V593" s="872">
        <v>0</v>
      </c>
      <c r="W593" s="870">
        <v>0</v>
      </c>
      <c r="X593" s="877">
        <v>6.0666277676686562</v>
      </c>
    </row>
    <row r="594" spans="1:24">
      <c r="A594" s="862"/>
      <c r="B594" s="859" t="s">
        <v>1370</v>
      </c>
      <c r="C594" s="870">
        <v>34072236</v>
      </c>
      <c r="D594" s="896"/>
      <c r="E594" s="866">
        <v>2015780</v>
      </c>
      <c r="F594" s="896"/>
      <c r="G594" s="896"/>
      <c r="H594" s="896">
        <v>2265000</v>
      </c>
      <c r="I594" s="872">
        <v>38353016</v>
      </c>
      <c r="J594" s="872">
        <v>1695265</v>
      </c>
      <c r="K594" s="896"/>
      <c r="L594" s="896">
        <v>1529330</v>
      </c>
      <c r="M594" s="896">
        <v>11726615</v>
      </c>
      <c r="N594" s="896"/>
      <c r="O594" s="872">
        <v>14951210</v>
      </c>
      <c r="P594" s="870"/>
      <c r="Q594" s="896"/>
      <c r="R594" s="896"/>
      <c r="S594" s="914"/>
      <c r="T594" s="870"/>
      <c r="U594" s="870"/>
      <c r="V594" s="898">
        <v>68131688</v>
      </c>
      <c r="W594" s="866">
        <v>68131688</v>
      </c>
      <c r="X594" s="877">
        <v>121435914</v>
      </c>
    </row>
    <row r="595" spans="1:24" s="216" customFormat="1">
      <c r="A595" s="862"/>
      <c r="B595" s="859" t="s">
        <v>1611</v>
      </c>
      <c r="C595" s="870">
        <v>36799395</v>
      </c>
      <c r="D595" s="896"/>
      <c r="E595" s="873">
        <v>2982019</v>
      </c>
      <c r="F595" s="896"/>
      <c r="G595" s="896"/>
      <c r="H595" s="896">
        <v>0</v>
      </c>
      <c r="I595" s="872">
        <v>39781414</v>
      </c>
      <c r="J595" s="872"/>
      <c r="K595" s="896"/>
      <c r="L595" s="896"/>
      <c r="M595" s="896"/>
      <c r="N595" s="896"/>
      <c r="O595" s="872"/>
      <c r="P595" s="870"/>
      <c r="Q595" s="896"/>
      <c r="R595" s="896"/>
      <c r="S595" s="914"/>
      <c r="T595" s="870"/>
      <c r="U595" s="870"/>
      <c r="V595" s="899">
        <v>6213500</v>
      </c>
      <c r="W595" s="873">
        <v>6213500</v>
      </c>
      <c r="X595" s="877">
        <v>45994914</v>
      </c>
    </row>
    <row r="596" spans="1:24" s="215" customFormat="1" ht="13.5" thickBot="1">
      <c r="A596" s="862"/>
      <c r="B596" s="859" t="s">
        <v>1613</v>
      </c>
      <c r="C596" s="870">
        <v>8.0040505706757852</v>
      </c>
      <c r="D596" s="896">
        <v>0</v>
      </c>
      <c r="E596" s="886">
        <v>47.933752691265916</v>
      </c>
      <c r="F596" s="896">
        <v>0</v>
      </c>
      <c r="G596" s="896">
        <v>0</v>
      </c>
      <c r="H596" s="896">
        <v>-100</v>
      </c>
      <c r="I596" s="872">
        <v>3.7243433476000947</v>
      </c>
      <c r="J596" s="872">
        <v>-100</v>
      </c>
      <c r="K596" s="896">
        <v>0</v>
      </c>
      <c r="L596" s="896">
        <v>-100</v>
      </c>
      <c r="M596" s="896">
        <v>-100</v>
      </c>
      <c r="N596" s="896">
        <v>0</v>
      </c>
      <c r="O596" s="872">
        <v>-100</v>
      </c>
      <c r="P596" s="870">
        <v>0</v>
      </c>
      <c r="Q596" s="896">
        <v>0</v>
      </c>
      <c r="R596" s="896">
        <v>0</v>
      </c>
      <c r="S596" s="914">
        <v>0</v>
      </c>
      <c r="T596" s="870">
        <v>0</v>
      </c>
      <c r="U596" s="870">
        <v>0</v>
      </c>
      <c r="V596" s="900">
        <v>-90.880161372194394</v>
      </c>
      <c r="W596" s="886">
        <v>-90.880161372194394</v>
      </c>
      <c r="X596" s="877">
        <v>-62.124125816683851</v>
      </c>
    </row>
    <row r="597" spans="1:24">
      <c r="A597" s="862"/>
      <c r="B597" s="859" t="s">
        <v>61</v>
      </c>
      <c r="C597" s="870"/>
      <c r="D597" s="896"/>
      <c r="E597" s="896"/>
      <c r="F597" s="896"/>
      <c r="G597" s="896"/>
      <c r="H597" s="896"/>
      <c r="I597" s="872"/>
      <c r="J597" s="872"/>
      <c r="K597" s="896"/>
      <c r="L597" s="896"/>
      <c r="M597" s="896"/>
      <c r="N597" s="896"/>
      <c r="O597" s="872"/>
      <c r="P597" s="870"/>
      <c r="Q597" s="896"/>
      <c r="R597" s="896"/>
      <c r="S597" s="914"/>
      <c r="T597" s="870"/>
      <c r="U597" s="870"/>
      <c r="V597" s="872"/>
      <c r="W597" s="870"/>
      <c r="X597" s="877"/>
    </row>
    <row r="598" spans="1:24" s="216" customFormat="1">
      <c r="A598" s="862"/>
      <c r="B598" s="859" t="s">
        <v>62</v>
      </c>
      <c r="C598" s="870"/>
      <c r="D598" s="896"/>
      <c r="E598" s="896"/>
      <c r="F598" s="896"/>
      <c r="G598" s="896"/>
      <c r="H598" s="896"/>
      <c r="I598" s="872"/>
      <c r="J598" s="872"/>
      <c r="K598" s="896"/>
      <c r="L598" s="896"/>
      <c r="M598" s="896"/>
      <c r="N598" s="896"/>
      <c r="O598" s="872"/>
      <c r="P598" s="870"/>
      <c r="Q598" s="896"/>
      <c r="R598" s="896"/>
      <c r="S598" s="914"/>
      <c r="T598" s="870"/>
      <c r="U598" s="870"/>
      <c r="V598" s="872"/>
      <c r="W598" s="870"/>
      <c r="X598" s="877"/>
    </row>
    <row r="599" spans="1:24" s="215" customFormat="1" ht="13.5" thickBot="1">
      <c r="A599" s="862"/>
      <c r="B599" s="859" t="s">
        <v>1816</v>
      </c>
      <c r="C599" s="870">
        <v>0</v>
      </c>
      <c r="D599" s="896">
        <v>0</v>
      </c>
      <c r="E599" s="896">
        <v>0</v>
      </c>
      <c r="F599" s="896">
        <v>0</v>
      </c>
      <c r="G599" s="896">
        <v>0</v>
      </c>
      <c r="H599" s="896">
        <v>0</v>
      </c>
      <c r="I599" s="872">
        <v>0</v>
      </c>
      <c r="J599" s="872">
        <v>0</v>
      </c>
      <c r="K599" s="896">
        <v>0</v>
      </c>
      <c r="L599" s="896">
        <v>0</v>
      </c>
      <c r="M599" s="896">
        <v>0</v>
      </c>
      <c r="N599" s="896">
        <v>0</v>
      </c>
      <c r="O599" s="872">
        <v>0</v>
      </c>
      <c r="P599" s="870">
        <v>0</v>
      </c>
      <c r="Q599" s="896">
        <v>0</v>
      </c>
      <c r="R599" s="896">
        <v>0</v>
      </c>
      <c r="S599" s="914">
        <v>0</v>
      </c>
      <c r="T599" s="870">
        <v>0</v>
      </c>
      <c r="U599" s="870">
        <v>0</v>
      </c>
      <c r="V599" s="872">
        <v>0</v>
      </c>
      <c r="W599" s="870">
        <v>0</v>
      </c>
      <c r="X599" s="877">
        <v>0</v>
      </c>
    </row>
    <row r="600" spans="1:24">
      <c r="A600" s="862"/>
      <c r="B600" s="859" t="s">
        <v>1588</v>
      </c>
      <c r="C600" s="870">
        <v>224238927</v>
      </c>
      <c r="D600" s="896"/>
      <c r="E600" s="896">
        <v>62349657</v>
      </c>
      <c r="F600" s="896"/>
      <c r="G600" s="896"/>
      <c r="H600" s="866">
        <v>92266867</v>
      </c>
      <c r="I600" s="872">
        <v>378855451</v>
      </c>
      <c r="J600" s="898">
        <v>6127964</v>
      </c>
      <c r="K600" s="885"/>
      <c r="L600" s="885">
        <v>6658643</v>
      </c>
      <c r="M600" s="868">
        <v>31315487</v>
      </c>
      <c r="N600" s="896"/>
      <c r="O600" s="872">
        <v>44102094</v>
      </c>
      <c r="P600" s="870"/>
      <c r="Q600" s="896"/>
      <c r="R600" s="896"/>
      <c r="S600" s="914"/>
      <c r="T600" s="870"/>
      <c r="U600" s="870"/>
      <c r="V600" s="872"/>
      <c r="W600" s="870"/>
      <c r="X600" s="877">
        <v>422957545</v>
      </c>
    </row>
    <row r="601" spans="1:24" s="216" customFormat="1">
      <c r="A601" s="862"/>
      <c r="B601" s="859" t="s">
        <v>251</v>
      </c>
      <c r="C601" s="870">
        <v>240153072</v>
      </c>
      <c r="D601" s="896"/>
      <c r="E601" s="896">
        <v>65485355</v>
      </c>
      <c r="F601" s="896"/>
      <c r="G601" s="896"/>
      <c r="H601" s="873">
        <v>98306607</v>
      </c>
      <c r="I601" s="872">
        <v>403945034</v>
      </c>
      <c r="J601" s="899">
        <v>6426230</v>
      </c>
      <c r="K601" s="871"/>
      <c r="L601" s="871">
        <v>6865727</v>
      </c>
      <c r="M601" s="876">
        <v>32364113</v>
      </c>
      <c r="N601" s="896"/>
      <c r="O601" s="872">
        <v>45656070</v>
      </c>
      <c r="P601" s="870"/>
      <c r="Q601" s="896"/>
      <c r="R601" s="896"/>
      <c r="S601" s="914"/>
      <c r="T601" s="870"/>
      <c r="U601" s="870"/>
      <c r="V601" s="872"/>
      <c r="W601" s="870"/>
      <c r="X601" s="877">
        <v>449601104</v>
      </c>
    </row>
    <row r="602" spans="1:24" s="215" customFormat="1" ht="13.5" thickBot="1">
      <c r="A602" s="862"/>
      <c r="B602" s="859" t="s">
        <v>1759</v>
      </c>
      <c r="C602" s="870">
        <v>7.0969591287778506</v>
      </c>
      <c r="D602" s="896">
        <v>0</v>
      </c>
      <c r="E602" s="896">
        <v>5.0292145151656564</v>
      </c>
      <c r="F602" s="896">
        <v>0</v>
      </c>
      <c r="G602" s="896">
        <v>0</v>
      </c>
      <c r="H602" s="886">
        <v>6.5459467698193325</v>
      </c>
      <c r="I602" s="872">
        <v>6.622468525601338</v>
      </c>
      <c r="J602" s="900">
        <v>4.8672936068162285</v>
      </c>
      <c r="K602" s="887">
        <v>0</v>
      </c>
      <c r="L602" s="887">
        <v>3.1100030441638031</v>
      </c>
      <c r="M602" s="888">
        <v>3.3485859568462084</v>
      </c>
      <c r="N602" s="896">
        <v>0</v>
      </c>
      <c r="O602" s="872">
        <v>3.5235877915456806</v>
      </c>
      <c r="P602" s="870">
        <v>0</v>
      </c>
      <c r="Q602" s="896">
        <v>0</v>
      </c>
      <c r="R602" s="896">
        <v>0</v>
      </c>
      <c r="S602" s="914">
        <v>0</v>
      </c>
      <c r="T602" s="870">
        <v>0</v>
      </c>
      <c r="U602" s="870">
        <v>0</v>
      </c>
      <c r="V602" s="872">
        <v>0</v>
      </c>
      <c r="W602" s="870">
        <v>0</v>
      </c>
      <c r="X602" s="877">
        <v>6.2993459544503461</v>
      </c>
    </row>
    <row r="603" spans="1:24">
      <c r="A603" s="862"/>
      <c r="B603" s="859" t="s">
        <v>1590</v>
      </c>
      <c r="C603" s="870">
        <v>9855350</v>
      </c>
      <c r="D603" s="896"/>
      <c r="E603" s="896">
        <v>4694021</v>
      </c>
      <c r="F603" s="896"/>
      <c r="G603" s="896"/>
      <c r="H603" s="866">
        <v>3403599</v>
      </c>
      <c r="I603" s="872">
        <v>17952970</v>
      </c>
      <c r="J603" s="872">
        <v>124036</v>
      </c>
      <c r="K603" s="896"/>
      <c r="L603" s="896"/>
      <c r="M603" s="866">
        <v>252714</v>
      </c>
      <c r="N603" s="896"/>
      <c r="O603" s="872">
        <v>376750</v>
      </c>
      <c r="P603" s="870"/>
      <c r="Q603" s="896"/>
      <c r="R603" s="896"/>
      <c r="S603" s="914"/>
      <c r="T603" s="870"/>
      <c r="U603" s="870"/>
      <c r="V603" s="872"/>
      <c r="W603" s="870"/>
      <c r="X603" s="877">
        <v>18329720</v>
      </c>
    </row>
    <row r="604" spans="1:24" s="216" customFormat="1">
      <c r="A604" s="862"/>
      <c r="B604" s="859" t="s">
        <v>1319</v>
      </c>
      <c r="C604" s="870">
        <v>9849355</v>
      </c>
      <c r="D604" s="896"/>
      <c r="E604" s="896">
        <v>4692966</v>
      </c>
      <c r="F604" s="896"/>
      <c r="G604" s="896"/>
      <c r="H604" s="873">
        <v>3376506</v>
      </c>
      <c r="I604" s="872">
        <v>17918827</v>
      </c>
      <c r="J604" s="872">
        <v>123990</v>
      </c>
      <c r="K604" s="896"/>
      <c r="L604" s="896"/>
      <c r="M604" s="873">
        <v>250905</v>
      </c>
      <c r="N604" s="896"/>
      <c r="O604" s="872">
        <v>374895</v>
      </c>
      <c r="P604" s="870"/>
      <c r="Q604" s="896"/>
      <c r="R604" s="896"/>
      <c r="S604" s="914"/>
      <c r="T604" s="870"/>
      <c r="U604" s="870"/>
      <c r="V604" s="872"/>
      <c r="W604" s="870"/>
      <c r="X604" s="877">
        <v>18293722</v>
      </c>
    </row>
    <row r="605" spans="1:24" s="215" customFormat="1" ht="13.5" thickBot="1">
      <c r="A605" s="862"/>
      <c r="B605" s="859" t="s">
        <v>1330</v>
      </c>
      <c r="C605" s="870">
        <v>-6.0829904569599254E-2</v>
      </c>
      <c r="D605" s="896">
        <v>0</v>
      </c>
      <c r="E605" s="896">
        <v>-2.24754000887512E-2</v>
      </c>
      <c r="F605" s="896">
        <v>0</v>
      </c>
      <c r="G605" s="896">
        <v>0</v>
      </c>
      <c r="H605" s="886">
        <v>-0.79601034081864508</v>
      </c>
      <c r="I605" s="872">
        <v>-0.19018023201732079</v>
      </c>
      <c r="J605" s="872">
        <v>-3.708600728820665E-2</v>
      </c>
      <c r="K605" s="896">
        <v>0</v>
      </c>
      <c r="L605" s="896">
        <v>0</v>
      </c>
      <c r="M605" s="886">
        <v>-0.71582896080153857</v>
      </c>
      <c r="N605" s="896">
        <v>0</v>
      </c>
      <c r="O605" s="872">
        <v>-0.49236894492368943</v>
      </c>
      <c r="P605" s="870">
        <v>0</v>
      </c>
      <c r="Q605" s="896">
        <v>0</v>
      </c>
      <c r="R605" s="896">
        <v>0</v>
      </c>
      <c r="S605" s="914">
        <v>0</v>
      </c>
      <c r="T605" s="870">
        <v>0</v>
      </c>
      <c r="U605" s="870">
        <v>0</v>
      </c>
      <c r="V605" s="872">
        <v>0</v>
      </c>
      <c r="W605" s="870">
        <v>0</v>
      </c>
      <c r="X605" s="877">
        <v>-0.1963914342390391</v>
      </c>
    </row>
    <row r="606" spans="1:24">
      <c r="A606" s="862"/>
      <c r="B606" s="859" t="s">
        <v>1889</v>
      </c>
      <c r="C606" s="870">
        <v>234094277</v>
      </c>
      <c r="D606" s="896"/>
      <c r="E606" s="896">
        <v>67043678</v>
      </c>
      <c r="F606" s="896"/>
      <c r="G606" s="896"/>
      <c r="H606" s="896">
        <v>95670466</v>
      </c>
      <c r="I606" s="872">
        <v>396808421</v>
      </c>
      <c r="J606" s="872">
        <v>6252000</v>
      </c>
      <c r="K606" s="896"/>
      <c r="L606" s="896">
        <v>6658643</v>
      </c>
      <c r="M606" s="896">
        <v>31568201</v>
      </c>
      <c r="N606" s="896"/>
      <c r="O606" s="872">
        <v>44478844</v>
      </c>
      <c r="P606" s="870"/>
      <c r="Q606" s="896"/>
      <c r="R606" s="896"/>
      <c r="S606" s="914"/>
      <c r="T606" s="870">
        <v>0</v>
      </c>
      <c r="U606" s="870">
        <v>0</v>
      </c>
      <c r="V606" s="872">
        <v>0</v>
      </c>
      <c r="W606" s="870">
        <v>0</v>
      </c>
      <c r="X606" s="877">
        <v>441287265</v>
      </c>
    </row>
    <row r="607" spans="1:24" s="216" customFormat="1">
      <c r="A607" s="862"/>
      <c r="B607" s="859" t="s">
        <v>626</v>
      </c>
      <c r="C607" s="870">
        <v>250002427</v>
      </c>
      <c r="D607" s="896"/>
      <c r="E607" s="896">
        <v>70178321</v>
      </c>
      <c r="F607" s="896"/>
      <c r="G607" s="896"/>
      <c r="H607" s="896">
        <v>101683113</v>
      </c>
      <c r="I607" s="872">
        <v>421863861</v>
      </c>
      <c r="J607" s="872">
        <v>6550220</v>
      </c>
      <c r="K607" s="896"/>
      <c r="L607" s="896">
        <v>6865727</v>
      </c>
      <c r="M607" s="896">
        <v>32615018</v>
      </c>
      <c r="N607" s="896"/>
      <c r="O607" s="872">
        <v>46030965</v>
      </c>
      <c r="P607" s="870"/>
      <c r="Q607" s="896"/>
      <c r="R607" s="896"/>
      <c r="S607" s="914"/>
      <c r="T607" s="870">
        <v>0</v>
      </c>
      <c r="U607" s="870">
        <v>0</v>
      </c>
      <c r="V607" s="872">
        <v>0</v>
      </c>
      <c r="W607" s="870">
        <v>0</v>
      </c>
      <c r="X607" s="877">
        <v>467894826</v>
      </c>
    </row>
    <row r="608" spans="1:24" s="215" customFormat="1" ht="13.5" thickBot="1">
      <c r="A608" s="862"/>
      <c r="B608" s="859" t="s">
        <v>456</v>
      </c>
      <c r="C608" s="870">
        <v>6.7956167933144309</v>
      </c>
      <c r="D608" s="896">
        <v>0</v>
      </c>
      <c r="E608" s="896">
        <v>4.6755236190950029</v>
      </c>
      <c r="F608" s="896">
        <v>0</v>
      </c>
      <c r="G608" s="896">
        <v>0</v>
      </c>
      <c r="H608" s="896">
        <v>6.2847472698627813</v>
      </c>
      <c r="I608" s="872">
        <v>6.3142409974207681</v>
      </c>
      <c r="J608" s="872">
        <v>4.7699936020473448</v>
      </c>
      <c r="K608" s="896">
        <v>0</v>
      </c>
      <c r="L608" s="896">
        <v>3.1100030441638031</v>
      </c>
      <c r="M608" s="896">
        <v>3.3160489569868106</v>
      </c>
      <c r="N608" s="896">
        <v>0</v>
      </c>
      <c r="O608" s="872">
        <v>3.4895713566656541</v>
      </c>
      <c r="P608" s="870">
        <v>0</v>
      </c>
      <c r="Q608" s="896">
        <v>0</v>
      </c>
      <c r="R608" s="896">
        <v>0</v>
      </c>
      <c r="S608" s="914">
        <v>0</v>
      </c>
      <c r="T608" s="870">
        <v>0</v>
      </c>
      <c r="U608" s="870">
        <v>0</v>
      </c>
      <c r="V608" s="872">
        <v>0</v>
      </c>
      <c r="W608" s="870">
        <v>0</v>
      </c>
      <c r="X608" s="877">
        <v>6.0295329392748283</v>
      </c>
    </row>
    <row r="609" spans="1:24">
      <c r="A609" s="862"/>
      <c r="B609" s="859" t="s">
        <v>628</v>
      </c>
      <c r="C609" s="870"/>
      <c r="D609" s="896"/>
      <c r="E609" s="896"/>
      <c r="F609" s="896"/>
      <c r="G609" s="896"/>
      <c r="H609" s="896"/>
      <c r="I609" s="872"/>
      <c r="J609" s="872"/>
      <c r="K609" s="896"/>
      <c r="L609" s="896"/>
      <c r="M609" s="896"/>
      <c r="N609" s="896"/>
      <c r="O609" s="872"/>
      <c r="P609" s="870"/>
      <c r="Q609" s="896"/>
      <c r="R609" s="896"/>
      <c r="S609" s="914"/>
      <c r="T609" s="870"/>
      <c r="U609" s="870"/>
      <c r="V609" s="898">
        <v>96689822</v>
      </c>
      <c r="W609" s="870">
        <v>96689822</v>
      </c>
      <c r="X609" s="877">
        <v>96689822</v>
      </c>
    </row>
    <row r="610" spans="1:24" s="216" customFormat="1">
      <c r="A610" s="862"/>
      <c r="B610" s="859" t="s">
        <v>630</v>
      </c>
      <c r="C610" s="870"/>
      <c r="D610" s="896"/>
      <c r="E610" s="896"/>
      <c r="F610" s="896"/>
      <c r="G610" s="896"/>
      <c r="H610" s="896"/>
      <c r="I610" s="872"/>
      <c r="J610" s="872"/>
      <c r="K610" s="896"/>
      <c r="L610" s="896"/>
      <c r="M610" s="896"/>
      <c r="N610" s="896"/>
      <c r="O610" s="872"/>
      <c r="P610" s="870"/>
      <c r="Q610" s="896"/>
      <c r="R610" s="896"/>
      <c r="S610" s="914"/>
      <c r="T610" s="870"/>
      <c r="U610" s="870"/>
      <c r="V610" s="899">
        <v>101656555</v>
      </c>
      <c r="W610" s="870">
        <v>101656555</v>
      </c>
      <c r="X610" s="877">
        <v>101656555</v>
      </c>
    </row>
    <row r="611" spans="1:24" s="215" customFormat="1" ht="13.5" thickBot="1">
      <c r="A611" s="862"/>
      <c r="B611" s="859" t="s">
        <v>632</v>
      </c>
      <c r="C611" s="870">
        <v>0</v>
      </c>
      <c r="D611" s="896">
        <v>0</v>
      </c>
      <c r="E611" s="896">
        <v>0</v>
      </c>
      <c r="F611" s="896">
        <v>0</v>
      </c>
      <c r="G611" s="896">
        <v>0</v>
      </c>
      <c r="H611" s="896">
        <v>0</v>
      </c>
      <c r="I611" s="872">
        <v>0</v>
      </c>
      <c r="J611" s="872">
        <v>0</v>
      </c>
      <c r="K611" s="896">
        <v>0</v>
      </c>
      <c r="L611" s="896">
        <v>0</v>
      </c>
      <c r="M611" s="896">
        <v>0</v>
      </c>
      <c r="N611" s="896">
        <v>0</v>
      </c>
      <c r="O611" s="872">
        <v>0</v>
      </c>
      <c r="P611" s="870">
        <v>0</v>
      </c>
      <c r="Q611" s="896">
        <v>0</v>
      </c>
      <c r="R611" s="896">
        <v>0</v>
      </c>
      <c r="S611" s="914">
        <v>0</v>
      </c>
      <c r="T611" s="870">
        <v>0</v>
      </c>
      <c r="U611" s="870">
        <v>0</v>
      </c>
      <c r="V611" s="900">
        <v>5.136769204105061</v>
      </c>
      <c r="W611" s="870">
        <v>5.136769204105061</v>
      </c>
      <c r="X611" s="877">
        <v>5.136769204105061</v>
      </c>
    </row>
    <row r="612" spans="1:24">
      <c r="A612" s="862"/>
      <c r="B612" s="859" t="s">
        <v>1608</v>
      </c>
      <c r="C612" s="870">
        <v>0</v>
      </c>
      <c r="D612" s="896"/>
      <c r="E612" s="896"/>
      <c r="F612" s="896"/>
      <c r="G612" s="896"/>
      <c r="H612" s="896"/>
      <c r="I612" s="872">
        <v>0</v>
      </c>
      <c r="J612" s="872"/>
      <c r="K612" s="896"/>
      <c r="L612" s="896"/>
      <c r="M612" s="896"/>
      <c r="N612" s="896"/>
      <c r="O612" s="872"/>
      <c r="P612" s="870"/>
      <c r="Q612" s="896"/>
      <c r="R612" s="896"/>
      <c r="S612" s="914"/>
      <c r="T612" s="870"/>
      <c r="U612" s="870"/>
      <c r="V612" s="872"/>
      <c r="W612" s="870"/>
      <c r="X612" s="877">
        <v>0</v>
      </c>
    </row>
    <row r="613" spans="1:24" s="216" customFormat="1">
      <c r="A613" s="862"/>
      <c r="B613" s="859" t="s">
        <v>1291</v>
      </c>
      <c r="C613" s="870"/>
      <c r="D613" s="896"/>
      <c r="E613" s="896"/>
      <c r="F613" s="896"/>
      <c r="G613" s="896"/>
      <c r="H613" s="896"/>
      <c r="I613" s="872"/>
      <c r="J613" s="872"/>
      <c r="K613" s="896"/>
      <c r="L613" s="896"/>
      <c r="M613" s="896"/>
      <c r="N613" s="896"/>
      <c r="O613" s="872"/>
      <c r="P613" s="870"/>
      <c r="Q613" s="896"/>
      <c r="R613" s="896"/>
      <c r="S613" s="914"/>
      <c r="T613" s="870"/>
      <c r="U613" s="870"/>
      <c r="V613" s="872"/>
      <c r="W613" s="870"/>
      <c r="X613" s="877"/>
    </row>
    <row r="614" spans="1:24" s="215" customFormat="1">
      <c r="A614" s="862"/>
      <c r="B614" s="859" t="s">
        <v>458</v>
      </c>
      <c r="C614" s="870">
        <v>0</v>
      </c>
      <c r="D614" s="896">
        <v>0</v>
      </c>
      <c r="E614" s="896">
        <v>0</v>
      </c>
      <c r="F614" s="896">
        <v>0</v>
      </c>
      <c r="G614" s="896">
        <v>0</v>
      </c>
      <c r="H614" s="896">
        <v>0</v>
      </c>
      <c r="I614" s="872">
        <v>0</v>
      </c>
      <c r="J614" s="872">
        <v>0</v>
      </c>
      <c r="K614" s="896">
        <v>0</v>
      </c>
      <c r="L614" s="896">
        <v>0</v>
      </c>
      <c r="M614" s="896">
        <v>0</v>
      </c>
      <c r="N614" s="896">
        <v>0</v>
      </c>
      <c r="O614" s="872">
        <v>0</v>
      </c>
      <c r="P614" s="870">
        <v>0</v>
      </c>
      <c r="Q614" s="896">
        <v>0</v>
      </c>
      <c r="R614" s="896">
        <v>0</v>
      </c>
      <c r="S614" s="914">
        <v>0</v>
      </c>
      <c r="T614" s="870">
        <v>0</v>
      </c>
      <c r="U614" s="870">
        <v>0</v>
      </c>
      <c r="V614" s="872">
        <v>0</v>
      </c>
      <c r="W614" s="870">
        <v>0</v>
      </c>
      <c r="X614" s="877">
        <v>0</v>
      </c>
    </row>
    <row r="615" spans="1:24">
      <c r="A615" s="862"/>
      <c r="B615" s="859" t="s">
        <v>1287</v>
      </c>
      <c r="C615" s="870">
        <v>0</v>
      </c>
      <c r="D615" s="896"/>
      <c r="E615" s="896"/>
      <c r="F615" s="896"/>
      <c r="G615" s="896"/>
      <c r="H615" s="896"/>
      <c r="I615" s="872">
        <v>0</v>
      </c>
      <c r="J615" s="872"/>
      <c r="K615" s="896"/>
      <c r="L615" s="896"/>
      <c r="M615" s="896"/>
      <c r="N615" s="896"/>
      <c r="O615" s="872"/>
      <c r="P615" s="870"/>
      <c r="Q615" s="896"/>
      <c r="R615" s="896"/>
      <c r="S615" s="914"/>
      <c r="T615" s="870"/>
      <c r="U615" s="870"/>
      <c r="V615" s="872"/>
      <c r="W615" s="870"/>
      <c r="X615" s="877">
        <v>0</v>
      </c>
    </row>
    <row r="616" spans="1:24" s="216" customFormat="1">
      <c r="A616" s="862"/>
      <c r="B616" s="859" t="s">
        <v>673</v>
      </c>
      <c r="C616" s="870"/>
      <c r="D616" s="896"/>
      <c r="E616" s="896"/>
      <c r="F616" s="896"/>
      <c r="G616" s="896"/>
      <c r="H616" s="896"/>
      <c r="I616" s="872"/>
      <c r="J616" s="872"/>
      <c r="K616" s="896"/>
      <c r="L616" s="896"/>
      <c r="M616" s="896"/>
      <c r="N616" s="896"/>
      <c r="O616" s="872"/>
      <c r="P616" s="870"/>
      <c r="Q616" s="896"/>
      <c r="R616" s="896"/>
      <c r="S616" s="914"/>
      <c r="T616" s="870"/>
      <c r="U616" s="870"/>
      <c r="V616" s="872"/>
      <c r="W616" s="870"/>
      <c r="X616" s="877"/>
    </row>
    <row r="617" spans="1:24" s="215" customFormat="1">
      <c r="A617" s="862"/>
      <c r="B617" s="859" t="s">
        <v>877</v>
      </c>
      <c r="C617" s="870">
        <v>0</v>
      </c>
      <c r="D617" s="896">
        <v>0</v>
      </c>
      <c r="E617" s="896">
        <v>0</v>
      </c>
      <c r="F617" s="896">
        <v>0</v>
      </c>
      <c r="G617" s="896">
        <v>0</v>
      </c>
      <c r="H617" s="896">
        <v>0</v>
      </c>
      <c r="I617" s="872">
        <v>0</v>
      </c>
      <c r="J617" s="872">
        <v>0</v>
      </c>
      <c r="K617" s="896">
        <v>0</v>
      </c>
      <c r="L617" s="896">
        <v>0</v>
      </c>
      <c r="M617" s="896">
        <v>0</v>
      </c>
      <c r="N617" s="896">
        <v>0</v>
      </c>
      <c r="O617" s="872">
        <v>0</v>
      </c>
      <c r="P617" s="870">
        <v>0</v>
      </c>
      <c r="Q617" s="896">
        <v>0</v>
      </c>
      <c r="R617" s="896">
        <v>0</v>
      </c>
      <c r="S617" s="914">
        <v>0</v>
      </c>
      <c r="T617" s="870">
        <v>0</v>
      </c>
      <c r="U617" s="870">
        <v>0</v>
      </c>
      <c r="V617" s="872">
        <v>0</v>
      </c>
      <c r="W617" s="870">
        <v>0</v>
      </c>
      <c r="X617" s="877">
        <v>0</v>
      </c>
    </row>
    <row r="618" spans="1:24">
      <c r="A618" s="862"/>
      <c r="B618" s="859" t="s">
        <v>1289</v>
      </c>
      <c r="C618" s="870">
        <v>0</v>
      </c>
      <c r="D618" s="896"/>
      <c r="E618" s="896">
        <v>0</v>
      </c>
      <c r="F618" s="896"/>
      <c r="G618" s="896"/>
      <c r="H618" s="896">
        <v>0</v>
      </c>
      <c r="I618" s="872">
        <v>0</v>
      </c>
      <c r="J618" s="872">
        <v>0</v>
      </c>
      <c r="K618" s="896"/>
      <c r="L618" s="896">
        <v>0</v>
      </c>
      <c r="M618" s="896">
        <v>0</v>
      </c>
      <c r="N618" s="896"/>
      <c r="O618" s="872">
        <v>0</v>
      </c>
      <c r="P618" s="870"/>
      <c r="Q618" s="896"/>
      <c r="R618" s="896"/>
      <c r="S618" s="914"/>
      <c r="T618" s="870">
        <v>0</v>
      </c>
      <c r="U618" s="870">
        <v>0</v>
      </c>
      <c r="V618" s="872">
        <v>0</v>
      </c>
      <c r="W618" s="870">
        <v>0</v>
      </c>
      <c r="X618" s="877">
        <v>0</v>
      </c>
    </row>
    <row r="619" spans="1:24" s="216" customFormat="1">
      <c r="A619" s="862"/>
      <c r="B619" s="859" t="s">
        <v>675</v>
      </c>
      <c r="C619" s="870">
        <v>0</v>
      </c>
      <c r="D619" s="896"/>
      <c r="E619" s="896">
        <v>0</v>
      </c>
      <c r="F619" s="896"/>
      <c r="G619" s="896"/>
      <c r="H619" s="896">
        <v>0</v>
      </c>
      <c r="I619" s="872">
        <v>0</v>
      </c>
      <c r="J619" s="872">
        <v>0</v>
      </c>
      <c r="K619" s="896"/>
      <c r="L619" s="896">
        <v>0</v>
      </c>
      <c r="M619" s="896">
        <v>0</v>
      </c>
      <c r="N619" s="896"/>
      <c r="O619" s="872">
        <v>0</v>
      </c>
      <c r="P619" s="870"/>
      <c r="Q619" s="896"/>
      <c r="R619" s="896"/>
      <c r="S619" s="914"/>
      <c r="T619" s="870">
        <v>0</v>
      </c>
      <c r="U619" s="870">
        <v>0</v>
      </c>
      <c r="V619" s="872">
        <v>0</v>
      </c>
      <c r="W619" s="870">
        <v>0</v>
      </c>
      <c r="X619" s="877">
        <v>0</v>
      </c>
    </row>
    <row r="620" spans="1:24" s="215" customFormat="1" ht="13.5" thickBot="1">
      <c r="A620" s="862"/>
      <c r="B620" s="859" t="s">
        <v>1339</v>
      </c>
      <c r="C620" s="870">
        <v>0</v>
      </c>
      <c r="D620" s="896">
        <v>0</v>
      </c>
      <c r="E620" s="896">
        <v>0</v>
      </c>
      <c r="F620" s="896">
        <v>0</v>
      </c>
      <c r="G620" s="896">
        <v>0</v>
      </c>
      <c r="H620" s="896">
        <v>0</v>
      </c>
      <c r="I620" s="872">
        <v>0</v>
      </c>
      <c r="J620" s="872">
        <v>0</v>
      </c>
      <c r="K620" s="896">
        <v>0</v>
      </c>
      <c r="L620" s="896">
        <v>0</v>
      </c>
      <c r="M620" s="896">
        <v>0</v>
      </c>
      <c r="N620" s="896">
        <v>0</v>
      </c>
      <c r="O620" s="872">
        <v>0</v>
      </c>
      <c r="P620" s="870">
        <v>0</v>
      </c>
      <c r="Q620" s="896">
        <v>0</v>
      </c>
      <c r="R620" s="896">
        <v>0</v>
      </c>
      <c r="S620" s="914">
        <v>0</v>
      </c>
      <c r="T620" s="870">
        <v>0</v>
      </c>
      <c r="U620" s="870">
        <v>0</v>
      </c>
      <c r="V620" s="872">
        <v>0</v>
      </c>
      <c r="W620" s="870">
        <v>0</v>
      </c>
      <c r="X620" s="877">
        <v>0</v>
      </c>
    </row>
    <row r="621" spans="1:24">
      <c r="A621" s="862"/>
      <c r="B621" s="859" t="s">
        <v>634</v>
      </c>
      <c r="C621" s="870">
        <v>67423476</v>
      </c>
      <c r="D621" s="896"/>
      <c r="E621" s="896">
        <v>19599834</v>
      </c>
      <c r="F621" s="896"/>
      <c r="G621" s="896"/>
      <c r="H621" s="896"/>
      <c r="I621" s="872">
        <v>87023310</v>
      </c>
      <c r="J621" s="872"/>
      <c r="K621" s="896"/>
      <c r="L621" s="896"/>
      <c r="M621" s="896"/>
      <c r="N621" s="896"/>
      <c r="O621" s="872"/>
      <c r="P621" s="870"/>
      <c r="Q621" s="896"/>
      <c r="R621" s="896"/>
      <c r="S621" s="914"/>
      <c r="T621" s="866">
        <v>7408822</v>
      </c>
      <c r="U621" s="870">
        <v>7408822</v>
      </c>
      <c r="V621" s="872"/>
      <c r="W621" s="870"/>
      <c r="X621" s="877">
        <v>94432132</v>
      </c>
    </row>
    <row r="622" spans="1:24" s="216" customFormat="1">
      <c r="A622" s="862"/>
      <c r="B622" s="859" t="s">
        <v>636</v>
      </c>
      <c r="C622" s="870">
        <v>70418867</v>
      </c>
      <c r="D622" s="896"/>
      <c r="E622" s="896">
        <v>19971828</v>
      </c>
      <c r="F622" s="896"/>
      <c r="G622" s="896"/>
      <c r="H622" s="896"/>
      <c r="I622" s="872">
        <v>90390695</v>
      </c>
      <c r="J622" s="872"/>
      <c r="K622" s="896"/>
      <c r="L622" s="896"/>
      <c r="M622" s="896"/>
      <c r="N622" s="896"/>
      <c r="O622" s="872"/>
      <c r="P622" s="870"/>
      <c r="Q622" s="896"/>
      <c r="R622" s="896"/>
      <c r="S622" s="914"/>
      <c r="T622" s="873">
        <v>7623090</v>
      </c>
      <c r="U622" s="870">
        <v>7623090</v>
      </c>
      <c r="V622" s="872"/>
      <c r="W622" s="870"/>
      <c r="X622" s="877">
        <v>98013785</v>
      </c>
    </row>
    <row r="623" spans="1:24" s="215" customFormat="1" ht="13.5" thickBot="1">
      <c r="A623" s="862"/>
      <c r="B623" s="859" t="s">
        <v>1540</v>
      </c>
      <c r="C623" s="870">
        <v>4.4426528825063833</v>
      </c>
      <c r="D623" s="896">
        <v>0</v>
      </c>
      <c r="E623" s="896">
        <v>1.8979446458577149</v>
      </c>
      <c r="F623" s="896">
        <v>0</v>
      </c>
      <c r="G623" s="896">
        <v>0</v>
      </c>
      <c r="H623" s="896">
        <v>0</v>
      </c>
      <c r="I623" s="872">
        <v>3.869520706578502</v>
      </c>
      <c r="J623" s="872">
        <v>0</v>
      </c>
      <c r="K623" s="896">
        <v>0</v>
      </c>
      <c r="L623" s="896">
        <v>0</v>
      </c>
      <c r="M623" s="896">
        <v>0</v>
      </c>
      <c r="N623" s="896">
        <v>0</v>
      </c>
      <c r="O623" s="872">
        <v>0</v>
      </c>
      <c r="P623" s="870">
        <v>0</v>
      </c>
      <c r="Q623" s="896">
        <v>0</v>
      </c>
      <c r="R623" s="896">
        <v>0</v>
      </c>
      <c r="S623" s="914">
        <v>0</v>
      </c>
      <c r="T623" s="886">
        <v>2.8920657022128484</v>
      </c>
      <c r="U623" s="870">
        <v>2.8920657022128484</v>
      </c>
      <c r="V623" s="872">
        <v>0</v>
      </c>
      <c r="W623" s="870">
        <v>0</v>
      </c>
      <c r="X623" s="877">
        <v>3.7928329310620672</v>
      </c>
    </row>
    <row r="624" spans="1:24">
      <c r="A624" s="862"/>
      <c r="B624" s="859" t="s">
        <v>637</v>
      </c>
      <c r="C624" s="866">
        <v>29323723</v>
      </c>
      <c r="D624" s="896"/>
      <c r="E624" s="896">
        <v>5376994</v>
      </c>
      <c r="F624" s="896"/>
      <c r="G624" s="896"/>
      <c r="H624" s="896"/>
      <c r="I624" s="872">
        <v>34700717</v>
      </c>
      <c r="J624" s="872"/>
      <c r="K624" s="896"/>
      <c r="L624" s="896"/>
      <c r="M624" s="896"/>
      <c r="N624" s="896"/>
      <c r="O624" s="872"/>
      <c r="P624" s="870"/>
      <c r="Q624" s="896"/>
      <c r="R624" s="896"/>
      <c r="S624" s="914"/>
      <c r="T624" s="873">
        <v>22632861</v>
      </c>
      <c r="U624" s="870">
        <v>22632861</v>
      </c>
      <c r="V624" s="872"/>
      <c r="W624" s="870"/>
      <c r="X624" s="877">
        <v>57333578</v>
      </c>
    </row>
    <row r="625" spans="1:24" s="216" customFormat="1">
      <c r="A625" s="862"/>
      <c r="B625" s="859" t="s">
        <v>1890</v>
      </c>
      <c r="C625" s="873">
        <v>34515355</v>
      </c>
      <c r="D625" s="896"/>
      <c r="E625" s="896">
        <v>6196520</v>
      </c>
      <c r="F625" s="896"/>
      <c r="G625" s="896"/>
      <c r="H625" s="896"/>
      <c r="I625" s="872">
        <v>40711875</v>
      </c>
      <c r="J625" s="872"/>
      <c r="K625" s="896"/>
      <c r="L625" s="896"/>
      <c r="M625" s="896"/>
      <c r="N625" s="896"/>
      <c r="O625" s="872"/>
      <c r="P625" s="870"/>
      <c r="Q625" s="896"/>
      <c r="R625" s="896"/>
      <c r="S625" s="914"/>
      <c r="T625" s="873">
        <v>23314110</v>
      </c>
      <c r="U625" s="870">
        <v>23314110</v>
      </c>
      <c r="V625" s="872"/>
      <c r="W625" s="870"/>
      <c r="X625" s="877">
        <v>64025985</v>
      </c>
    </row>
    <row r="626" spans="1:24" s="215" customFormat="1" ht="13.5" thickBot="1">
      <c r="A626" s="862"/>
      <c r="B626" s="859" t="s">
        <v>1603</v>
      </c>
      <c r="C626" s="886">
        <v>17.704545906398039</v>
      </c>
      <c r="D626" s="896">
        <v>0</v>
      </c>
      <c r="E626" s="896">
        <v>15.241341165714523</v>
      </c>
      <c r="F626" s="896">
        <v>0</v>
      </c>
      <c r="G626" s="896">
        <v>0</v>
      </c>
      <c r="H626" s="896">
        <v>0</v>
      </c>
      <c r="I626" s="872">
        <v>17.322863962724458</v>
      </c>
      <c r="J626" s="872">
        <v>0</v>
      </c>
      <c r="K626" s="896">
        <v>0</v>
      </c>
      <c r="L626" s="896">
        <v>0</v>
      </c>
      <c r="M626" s="896">
        <v>0</v>
      </c>
      <c r="N626" s="896">
        <v>0</v>
      </c>
      <c r="O626" s="872">
        <v>0</v>
      </c>
      <c r="P626" s="870">
        <v>0</v>
      </c>
      <c r="Q626" s="896">
        <v>0</v>
      </c>
      <c r="R626" s="896">
        <v>0</v>
      </c>
      <c r="S626" s="914">
        <v>0</v>
      </c>
      <c r="T626" s="886">
        <v>3.009999487029059</v>
      </c>
      <c r="U626" s="870">
        <v>3.009999487029059</v>
      </c>
      <c r="V626" s="872">
        <v>0</v>
      </c>
      <c r="W626" s="870">
        <v>0</v>
      </c>
      <c r="X626" s="877">
        <v>11.672753094181564</v>
      </c>
    </row>
    <row r="627" spans="1:24">
      <c r="A627" s="862"/>
      <c r="B627" s="859" t="s">
        <v>377</v>
      </c>
      <c r="C627" s="870">
        <v>336822890</v>
      </c>
      <c r="D627" s="896"/>
      <c r="E627" s="896">
        <v>107720223</v>
      </c>
      <c r="F627" s="896"/>
      <c r="G627" s="896"/>
      <c r="H627" s="896">
        <v>168989368</v>
      </c>
      <c r="I627" s="872">
        <v>613532481</v>
      </c>
      <c r="J627" s="872">
        <v>16776677</v>
      </c>
      <c r="K627" s="896"/>
      <c r="L627" s="896">
        <v>16418900</v>
      </c>
      <c r="M627" s="896">
        <v>86229271</v>
      </c>
      <c r="N627" s="896"/>
      <c r="O627" s="872">
        <v>119424848</v>
      </c>
      <c r="P627" s="870"/>
      <c r="Q627" s="896"/>
      <c r="R627" s="896"/>
      <c r="S627" s="914"/>
      <c r="T627" s="870">
        <v>0</v>
      </c>
      <c r="U627" s="870">
        <v>0</v>
      </c>
      <c r="V627" s="872">
        <v>68131688</v>
      </c>
      <c r="W627" s="870">
        <v>68131688</v>
      </c>
      <c r="X627" s="877">
        <v>801089017</v>
      </c>
    </row>
    <row r="628" spans="1:24" s="216" customFormat="1">
      <c r="A628" s="862"/>
      <c r="B628" s="859" t="s">
        <v>379</v>
      </c>
      <c r="C628" s="870">
        <v>358052931</v>
      </c>
      <c r="D628" s="896"/>
      <c r="E628" s="896">
        <v>115572361</v>
      </c>
      <c r="F628" s="896"/>
      <c r="G628" s="896"/>
      <c r="H628" s="896">
        <v>178019744</v>
      </c>
      <c r="I628" s="872">
        <v>651645036</v>
      </c>
      <c r="J628" s="872">
        <v>16661241</v>
      </c>
      <c r="K628" s="896"/>
      <c r="L628" s="896">
        <v>15194112</v>
      </c>
      <c r="M628" s="896">
        <v>78150451</v>
      </c>
      <c r="N628" s="896"/>
      <c r="O628" s="872">
        <v>110005804</v>
      </c>
      <c r="P628" s="870"/>
      <c r="Q628" s="896"/>
      <c r="R628" s="896"/>
      <c r="S628" s="914"/>
      <c r="T628" s="870">
        <v>0</v>
      </c>
      <c r="U628" s="870">
        <v>0</v>
      </c>
      <c r="V628" s="872">
        <v>6213500</v>
      </c>
      <c r="W628" s="870">
        <v>6213500</v>
      </c>
      <c r="X628" s="877">
        <v>767864340</v>
      </c>
    </row>
    <row r="629" spans="1:24" s="228" customFormat="1">
      <c r="A629" s="897"/>
      <c r="B629" s="859" t="s">
        <v>381</v>
      </c>
      <c r="C629" s="870">
        <v>6.3030279800758189</v>
      </c>
      <c r="D629" s="896">
        <v>0</v>
      </c>
      <c r="E629" s="896">
        <v>7.2893814933895937</v>
      </c>
      <c r="F629" s="896">
        <v>0</v>
      </c>
      <c r="G629" s="896">
        <v>0</v>
      </c>
      <c r="H629" s="896">
        <v>5.3437539336794249</v>
      </c>
      <c r="I629" s="872">
        <v>6.2119865174668725</v>
      </c>
      <c r="J629" s="872">
        <v>-0.68807428312531738</v>
      </c>
      <c r="K629" s="896">
        <v>0</v>
      </c>
      <c r="L629" s="896">
        <v>-7.4596227518286859</v>
      </c>
      <c r="M629" s="896">
        <v>-9.3689995361319944</v>
      </c>
      <c r="N629" s="896">
        <v>0</v>
      </c>
      <c r="O629" s="872">
        <v>-7.8870052235695542</v>
      </c>
      <c r="P629" s="870">
        <v>0</v>
      </c>
      <c r="Q629" s="896">
        <v>0</v>
      </c>
      <c r="R629" s="896">
        <v>0</v>
      </c>
      <c r="S629" s="914">
        <v>0</v>
      </c>
      <c r="T629" s="870">
        <v>0</v>
      </c>
      <c r="U629" s="870">
        <v>0</v>
      </c>
      <c r="V629" s="872">
        <v>-90.880161372194394</v>
      </c>
      <c r="W629" s="870">
        <v>-90.880161372194394</v>
      </c>
      <c r="X629" s="877">
        <v>-4.1474388357517578</v>
      </c>
    </row>
    <row r="630" spans="1:24">
      <c r="A630" s="858" t="s">
        <v>63</v>
      </c>
      <c r="B630" s="861"/>
      <c r="C630" s="863">
        <v>7082933112</v>
      </c>
      <c r="D630" s="864">
        <v>2075027226</v>
      </c>
      <c r="E630" s="864">
        <v>3622722407</v>
      </c>
      <c r="F630" s="864">
        <v>1301839662</v>
      </c>
      <c r="G630" s="864">
        <v>704865597</v>
      </c>
      <c r="H630" s="864">
        <v>374200128</v>
      </c>
      <c r="I630" s="865">
        <v>15161588132</v>
      </c>
      <c r="J630" s="865">
        <v>330152782</v>
      </c>
      <c r="K630" s="864">
        <v>2331225899</v>
      </c>
      <c r="L630" s="864">
        <v>1833735999</v>
      </c>
      <c r="M630" s="864">
        <v>632504402</v>
      </c>
      <c r="N630" s="864">
        <v>582190356</v>
      </c>
      <c r="O630" s="865">
        <v>5709809438</v>
      </c>
      <c r="P630" s="863">
        <v>322429274.85000002</v>
      </c>
      <c r="Q630" s="864">
        <v>107769940</v>
      </c>
      <c r="R630" s="864">
        <v>79775157</v>
      </c>
      <c r="S630" s="913">
        <v>509974371.85000002</v>
      </c>
      <c r="T630" s="863">
        <v>30173194</v>
      </c>
      <c r="U630" s="863">
        <v>30173194</v>
      </c>
      <c r="V630" s="865"/>
      <c r="W630" s="863"/>
      <c r="X630" s="869">
        <v>21411545135.849998</v>
      </c>
    </row>
    <row r="631" spans="1:24">
      <c r="A631" s="858" t="s">
        <v>64</v>
      </c>
      <c r="B631" s="861"/>
      <c r="C631" s="863">
        <v>6909775293.4799995</v>
      </c>
      <c r="D631" s="864">
        <v>2066894394.6199999</v>
      </c>
      <c r="E631" s="864">
        <v>3580965740</v>
      </c>
      <c r="F631" s="864">
        <v>1286625421.6599998</v>
      </c>
      <c r="G631" s="864">
        <v>685219274.10000002</v>
      </c>
      <c r="H631" s="864">
        <v>383414741</v>
      </c>
      <c r="I631" s="865">
        <v>14912894864.860001</v>
      </c>
      <c r="J631" s="865">
        <v>309488257</v>
      </c>
      <c r="K631" s="864">
        <v>2132215964.5900002</v>
      </c>
      <c r="L631" s="864">
        <v>1742937035.98</v>
      </c>
      <c r="M631" s="864">
        <v>622316476.38999999</v>
      </c>
      <c r="N631" s="864">
        <v>541096643</v>
      </c>
      <c r="O631" s="865">
        <v>5348054376.96</v>
      </c>
      <c r="P631" s="863">
        <v>316611066.94999999</v>
      </c>
      <c r="Q631" s="864">
        <v>101970263.16</v>
      </c>
      <c r="R631" s="864">
        <v>79489015</v>
      </c>
      <c r="S631" s="913">
        <v>498070345.11000001</v>
      </c>
      <c r="T631" s="863">
        <v>33694651.75</v>
      </c>
      <c r="U631" s="863">
        <v>33694651.75</v>
      </c>
      <c r="V631" s="865"/>
      <c r="W631" s="863"/>
      <c r="X631" s="869">
        <v>20792714238.68</v>
      </c>
    </row>
    <row r="632" spans="1:24">
      <c r="A632" s="858" t="s">
        <v>907</v>
      </c>
      <c r="B632" s="861"/>
      <c r="C632" s="863">
        <v>-2.4447190984570244</v>
      </c>
      <c r="D632" s="864">
        <v>-0.39193853835245418</v>
      </c>
      <c r="E632" s="864">
        <v>-1.1526322557675339</v>
      </c>
      <c r="F632" s="864">
        <v>-1.1686723629718505</v>
      </c>
      <c r="G632" s="864">
        <v>-2.7872438353662448</v>
      </c>
      <c r="H632" s="864">
        <v>2.4624825889958006</v>
      </c>
      <c r="I632" s="865">
        <v>-1.6402850741942274</v>
      </c>
      <c r="J632" s="865">
        <v>-6.2590794706676141</v>
      </c>
      <c r="K632" s="864">
        <v>-8.5367074248517465</v>
      </c>
      <c r="L632" s="864">
        <v>-4.9515831651620417</v>
      </c>
      <c r="M632" s="864">
        <v>-1.6107280167197973</v>
      </c>
      <c r="N632" s="864">
        <v>-7.0584668015352694</v>
      </c>
      <c r="O632" s="865">
        <v>-6.3356766100185906</v>
      </c>
      <c r="P632" s="863">
        <v>-1.804491202824797</v>
      </c>
      <c r="Q632" s="864">
        <v>-5.3815348138822419</v>
      </c>
      <c r="R632" s="864">
        <v>-0.35868559932762023</v>
      </c>
      <c r="S632" s="913">
        <v>-2.3342401887405764</v>
      </c>
      <c r="T632" s="863">
        <v>11.670815327008469</v>
      </c>
      <c r="U632" s="863">
        <v>11.670815327008469</v>
      </c>
      <c r="V632" s="865">
        <v>0</v>
      </c>
      <c r="W632" s="863">
        <v>0</v>
      </c>
      <c r="X632" s="869">
        <v>-2.890173937675665</v>
      </c>
    </row>
    <row r="633" spans="1:24">
      <c r="A633" s="858" t="s">
        <v>1371</v>
      </c>
      <c r="B633" s="861"/>
      <c r="C633" s="863">
        <v>1396825673</v>
      </c>
      <c r="D633" s="864">
        <v>66873189</v>
      </c>
      <c r="E633" s="864">
        <v>52620818</v>
      </c>
      <c r="F633" s="864">
        <v>21408656</v>
      </c>
      <c r="G633" s="864">
        <v>35677132</v>
      </c>
      <c r="H633" s="864">
        <v>5477746</v>
      </c>
      <c r="I633" s="865">
        <v>1578883214</v>
      </c>
      <c r="J633" s="865">
        <v>2219620</v>
      </c>
      <c r="K633" s="864">
        <v>31796546</v>
      </c>
      <c r="L633" s="864">
        <v>60852037</v>
      </c>
      <c r="M633" s="864">
        <v>29984197</v>
      </c>
      <c r="N633" s="864"/>
      <c r="O633" s="865">
        <v>124852400</v>
      </c>
      <c r="P633" s="863">
        <v>100000</v>
      </c>
      <c r="Q633" s="864">
        <v>569000</v>
      </c>
      <c r="R633" s="864"/>
      <c r="S633" s="913">
        <v>669000</v>
      </c>
      <c r="T633" s="863"/>
      <c r="U633" s="863"/>
      <c r="V633" s="865">
        <v>804953642</v>
      </c>
      <c r="W633" s="863">
        <v>804953642</v>
      </c>
      <c r="X633" s="869">
        <v>2509358256</v>
      </c>
    </row>
    <row r="634" spans="1:24">
      <c r="A634" s="858" t="s">
        <v>1612</v>
      </c>
      <c r="B634" s="861"/>
      <c r="C634" s="863">
        <v>1354030325.6599998</v>
      </c>
      <c r="D634" s="864">
        <v>78839004.099999994</v>
      </c>
      <c r="E634" s="864">
        <v>38709183</v>
      </c>
      <c r="F634" s="864">
        <v>19681860.859999999</v>
      </c>
      <c r="G634" s="864">
        <v>27221136</v>
      </c>
      <c r="H634" s="864">
        <v>2088872</v>
      </c>
      <c r="I634" s="865">
        <v>1520570381.6199999</v>
      </c>
      <c r="J634" s="865">
        <v>318607</v>
      </c>
      <c r="K634" s="864">
        <v>32764725</v>
      </c>
      <c r="L634" s="864">
        <v>57362431</v>
      </c>
      <c r="M634" s="864">
        <v>16823269</v>
      </c>
      <c r="N634" s="864"/>
      <c r="O634" s="865">
        <v>107269032</v>
      </c>
      <c r="P634" s="863">
        <v>50000</v>
      </c>
      <c r="Q634" s="864">
        <v>125000</v>
      </c>
      <c r="R634" s="864"/>
      <c r="S634" s="913">
        <v>175000</v>
      </c>
      <c r="T634" s="863"/>
      <c r="U634" s="863"/>
      <c r="V634" s="865">
        <v>663017973.27999997</v>
      </c>
      <c r="W634" s="863">
        <v>663017973.27999997</v>
      </c>
      <c r="X634" s="869">
        <v>2291032386.9000001</v>
      </c>
    </row>
    <row r="635" spans="1:24">
      <c r="A635" s="858" t="s">
        <v>1815</v>
      </c>
      <c r="B635" s="861"/>
      <c r="C635" s="863">
        <v>-3.0637572151782861</v>
      </c>
      <c r="D635" s="864">
        <v>17.893292183209621</v>
      </c>
      <c r="E635" s="864">
        <v>-26.437511860800033</v>
      </c>
      <c r="F635" s="864">
        <v>-8.0658736354117728</v>
      </c>
      <c r="G635" s="864">
        <v>-23.701445508568344</v>
      </c>
      <c r="H635" s="864">
        <v>-61.86621285470337</v>
      </c>
      <c r="I635" s="865">
        <v>-3.693296113540169</v>
      </c>
      <c r="J635" s="865">
        <v>-85.645876321172082</v>
      </c>
      <c r="K635" s="864">
        <v>3.0449187782849116</v>
      </c>
      <c r="L635" s="864">
        <v>-5.7345754916963587</v>
      </c>
      <c r="M635" s="864">
        <v>-43.892881306776367</v>
      </c>
      <c r="N635" s="864">
        <v>0</v>
      </c>
      <c r="O635" s="865">
        <v>-14.083323988966171</v>
      </c>
      <c r="P635" s="863">
        <v>-50</v>
      </c>
      <c r="Q635" s="864">
        <v>-78.031634446397192</v>
      </c>
      <c r="R635" s="864">
        <v>0</v>
      </c>
      <c r="S635" s="913">
        <v>-73.841554559043345</v>
      </c>
      <c r="T635" s="863">
        <v>0</v>
      </c>
      <c r="U635" s="863">
        <v>0</v>
      </c>
      <c r="V635" s="865">
        <v>-17.632775518270162</v>
      </c>
      <c r="W635" s="863">
        <v>-17.632775518270162</v>
      </c>
      <c r="X635" s="869">
        <v>-8.7004662876642627</v>
      </c>
    </row>
    <row r="636" spans="1:24">
      <c r="A636" s="858" t="s">
        <v>65</v>
      </c>
      <c r="B636" s="861"/>
      <c r="C636" s="863"/>
      <c r="D636" s="864"/>
      <c r="E636" s="864"/>
      <c r="F636" s="864"/>
      <c r="G636" s="864"/>
      <c r="H636" s="864">
        <v>5700152</v>
      </c>
      <c r="I636" s="865">
        <v>5700152</v>
      </c>
      <c r="J636" s="865"/>
      <c r="K636" s="864">
        <v>1052298823</v>
      </c>
      <c r="L636" s="864">
        <v>352517457.82999998</v>
      </c>
      <c r="M636" s="864">
        <v>78809407.780000001</v>
      </c>
      <c r="N636" s="864">
        <v>233823132</v>
      </c>
      <c r="O636" s="865">
        <v>1717448820.6100001</v>
      </c>
      <c r="P636" s="863"/>
      <c r="Q636" s="864"/>
      <c r="R636" s="864"/>
      <c r="S636" s="913"/>
      <c r="T636" s="863"/>
      <c r="U636" s="863"/>
      <c r="V636" s="865"/>
      <c r="W636" s="863"/>
      <c r="X636" s="869">
        <v>1723148972.6100001</v>
      </c>
    </row>
    <row r="637" spans="1:24">
      <c r="A637" s="858" t="s">
        <v>66</v>
      </c>
      <c r="B637" s="861"/>
      <c r="C637" s="863"/>
      <c r="D637" s="864"/>
      <c r="E637" s="864"/>
      <c r="F637" s="864"/>
      <c r="G637" s="864">
        <v>233670</v>
      </c>
      <c r="H637" s="864">
        <v>5700000</v>
      </c>
      <c r="I637" s="865">
        <v>5933670</v>
      </c>
      <c r="J637" s="865"/>
      <c r="K637" s="864">
        <v>1198731408</v>
      </c>
      <c r="L637" s="864">
        <v>392003095</v>
      </c>
      <c r="M637" s="864">
        <v>86111498</v>
      </c>
      <c r="N637" s="864">
        <v>262968697</v>
      </c>
      <c r="O637" s="865">
        <v>1939814698</v>
      </c>
      <c r="P637" s="863"/>
      <c r="Q637" s="864"/>
      <c r="R637" s="864"/>
      <c r="S637" s="913"/>
      <c r="T637" s="863"/>
      <c r="U637" s="863"/>
      <c r="V637" s="865"/>
      <c r="W637" s="863"/>
      <c r="X637" s="869">
        <v>1945748368</v>
      </c>
    </row>
    <row r="638" spans="1:24">
      <c r="A638" s="858" t="s">
        <v>1817</v>
      </c>
      <c r="B638" s="861"/>
      <c r="C638" s="863">
        <v>0</v>
      </c>
      <c r="D638" s="864">
        <v>0</v>
      </c>
      <c r="E638" s="864">
        <v>0</v>
      </c>
      <c r="F638" s="864">
        <v>0</v>
      </c>
      <c r="G638" s="864">
        <v>0</v>
      </c>
      <c r="H638" s="864">
        <v>-2.6665955574518012E-3</v>
      </c>
      <c r="I638" s="865">
        <v>4.0966977722699323</v>
      </c>
      <c r="J638" s="865">
        <v>0</v>
      </c>
      <c r="K638" s="864">
        <v>13.915494515382537</v>
      </c>
      <c r="L638" s="864">
        <v>11.201044456936312</v>
      </c>
      <c r="M638" s="864">
        <v>9.2655057634541702</v>
      </c>
      <c r="N638" s="864">
        <v>12.464791122548132</v>
      </c>
      <c r="O638" s="865">
        <v>12.947452915133761</v>
      </c>
      <c r="P638" s="863">
        <v>0</v>
      </c>
      <c r="Q638" s="864">
        <v>0</v>
      </c>
      <c r="R638" s="864">
        <v>0</v>
      </c>
      <c r="S638" s="913">
        <v>0</v>
      </c>
      <c r="T638" s="863">
        <v>0</v>
      </c>
      <c r="U638" s="863">
        <v>0</v>
      </c>
      <c r="V638" s="865">
        <v>0</v>
      </c>
      <c r="W638" s="863">
        <v>0</v>
      </c>
      <c r="X638" s="869">
        <v>12.918174744510655</v>
      </c>
    </row>
    <row r="639" spans="1:24">
      <c r="A639" s="858" t="s">
        <v>1589</v>
      </c>
      <c r="B639" s="861"/>
      <c r="C639" s="863">
        <v>6763088257</v>
      </c>
      <c r="D639" s="864">
        <v>1484068891</v>
      </c>
      <c r="E639" s="864">
        <v>3108622703.4200001</v>
      </c>
      <c r="F639" s="864">
        <v>1026710997</v>
      </c>
      <c r="G639" s="864">
        <v>556993886</v>
      </c>
      <c r="H639" s="864">
        <v>304821296</v>
      </c>
      <c r="I639" s="865">
        <v>13244306030.42</v>
      </c>
      <c r="J639" s="865">
        <v>172004937</v>
      </c>
      <c r="K639" s="864">
        <v>1625175143.6800001</v>
      </c>
      <c r="L639" s="864">
        <v>1020680418.89</v>
      </c>
      <c r="M639" s="864">
        <v>317009927.75</v>
      </c>
      <c r="N639" s="864">
        <v>443574400</v>
      </c>
      <c r="O639" s="865">
        <v>3578444827.3199997</v>
      </c>
      <c r="P639" s="863">
        <v>144560617.69999999</v>
      </c>
      <c r="Q639" s="864">
        <v>32465042.009999998</v>
      </c>
      <c r="R639" s="864">
        <v>14232522</v>
      </c>
      <c r="S639" s="913">
        <v>191258181.71000001</v>
      </c>
      <c r="T639" s="863">
        <v>4049182</v>
      </c>
      <c r="U639" s="863">
        <v>4049182</v>
      </c>
      <c r="V639" s="865"/>
      <c r="W639" s="863"/>
      <c r="X639" s="869">
        <v>17018058221.450001</v>
      </c>
    </row>
    <row r="640" spans="1:24">
      <c r="A640" s="858" t="s">
        <v>252</v>
      </c>
      <c r="B640" s="861"/>
      <c r="C640" s="863">
        <v>7301743540</v>
      </c>
      <c r="D640" s="864">
        <v>1591390008</v>
      </c>
      <c r="E640" s="864">
        <v>3368572335</v>
      </c>
      <c r="F640" s="864">
        <v>1103570579</v>
      </c>
      <c r="G640" s="864">
        <v>599074351</v>
      </c>
      <c r="H640" s="864">
        <v>327436722</v>
      </c>
      <c r="I640" s="865">
        <v>14291787535</v>
      </c>
      <c r="J640" s="865">
        <v>183427002</v>
      </c>
      <c r="K640" s="864">
        <v>1725122008</v>
      </c>
      <c r="L640" s="864">
        <v>1097556411</v>
      </c>
      <c r="M640" s="864">
        <v>335754733.69999999</v>
      </c>
      <c r="N640" s="864">
        <v>485093025</v>
      </c>
      <c r="O640" s="865">
        <v>3826953179.6999998</v>
      </c>
      <c r="P640" s="863">
        <v>146222950</v>
      </c>
      <c r="Q640" s="864">
        <v>34586567</v>
      </c>
      <c r="R640" s="864">
        <v>13850833</v>
      </c>
      <c r="S640" s="913">
        <v>194660350</v>
      </c>
      <c r="T640" s="863">
        <v>6193381</v>
      </c>
      <c r="U640" s="863">
        <v>6193381</v>
      </c>
      <c r="V640" s="865">
        <v>0</v>
      </c>
      <c r="W640" s="863">
        <v>0</v>
      </c>
      <c r="X640" s="869">
        <v>18319594445.700001</v>
      </c>
    </row>
    <row r="641" spans="1:24">
      <c r="A641" s="858" t="s">
        <v>1760</v>
      </c>
      <c r="B641" s="861"/>
      <c r="C641" s="863">
        <v>7.9646348314688264</v>
      </c>
      <c r="D641" s="864">
        <v>7.2315454929915379</v>
      </c>
      <c r="E641" s="864">
        <v>8.3622123487038884</v>
      </c>
      <c r="F641" s="864">
        <v>7.4859996848752957</v>
      </c>
      <c r="G641" s="864">
        <v>7.554924040943602</v>
      </c>
      <c r="H641" s="864">
        <v>7.4192408131484351</v>
      </c>
      <c r="I641" s="865">
        <v>7.9089195173692488</v>
      </c>
      <c r="J641" s="865">
        <v>6.6405448583141542</v>
      </c>
      <c r="K641" s="864">
        <v>6.1499134237115589</v>
      </c>
      <c r="L641" s="864">
        <v>7.5318376533179121</v>
      </c>
      <c r="M641" s="864">
        <v>5.9130028144678475</v>
      </c>
      <c r="N641" s="864">
        <v>9.3600137879913721</v>
      </c>
      <c r="O641" s="865">
        <v>6.9445908592117425</v>
      </c>
      <c r="P641" s="863">
        <v>1.1499205844912574</v>
      </c>
      <c r="Q641" s="864">
        <v>6.5347982280340648</v>
      </c>
      <c r="R641" s="864">
        <v>-2.6818086070761038</v>
      </c>
      <c r="S641" s="913">
        <v>1.7788354252779703</v>
      </c>
      <c r="T641" s="863">
        <v>52.953880561555401</v>
      </c>
      <c r="U641" s="863">
        <v>52.953880561555401</v>
      </c>
      <c r="V641" s="865">
        <v>0</v>
      </c>
      <c r="W641" s="863">
        <v>0</v>
      </c>
      <c r="X641" s="869">
        <v>7.6479713919976486</v>
      </c>
    </row>
    <row r="642" spans="1:24">
      <c r="A642" s="858" t="s">
        <v>1607</v>
      </c>
      <c r="B642" s="861"/>
      <c r="C642" s="863">
        <v>83109949</v>
      </c>
      <c r="D642" s="864">
        <v>10191027</v>
      </c>
      <c r="E642" s="864">
        <v>44856005</v>
      </c>
      <c r="F642" s="864">
        <v>11706642</v>
      </c>
      <c r="G642" s="864">
        <v>6414862</v>
      </c>
      <c r="H642" s="864">
        <v>8035137</v>
      </c>
      <c r="I642" s="865">
        <v>164313622</v>
      </c>
      <c r="J642" s="865">
        <v>209607</v>
      </c>
      <c r="K642" s="864">
        <v>14440059.449999999</v>
      </c>
      <c r="L642" s="864">
        <v>21808664.420000002</v>
      </c>
      <c r="M642" s="864">
        <v>5123837.97</v>
      </c>
      <c r="N642" s="864">
        <v>415738</v>
      </c>
      <c r="O642" s="865">
        <v>41997906.840000004</v>
      </c>
      <c r="P642" s="863">
        <v>397982</v>
      </c>
      <c r="Q642" s="864">
        <v>544736.66</v>
      </c>
      <c r="R642" s="864"/>
      <c r="S642" s="913">
        <v>942718.66</v>
      </c>
      <c r="T642" s="863">
        <v>2228138</v>
      </c>
      <c r="U642" s="863">
        <v>2228138</v>
      </c>
      <c r="V642" s="865"/>
      <c r="W642" s="863"/>
      <c r="X642" s="869">
        <v>209482385.5</v>
      </c>
    </row>
    <row r="643" spans="1:24">
      <c r="A643" s="858" t="s">
        <v>1320</v>
      </c>
      <c r="B643" s="861"/>
      <c r="C643" s="863">
        <v>90611402</v>
      </c>
      <c r="D643" s="864">
        <v>10469790</v>
      </c>
      <c r="E643" s="864">
        <v>50777687</v>
      </c>
      <c r="F643" s="864">
        <v>15583153</v>
      </c>
      <c r="G643" s="864">
        <v>11187995</v>
      </c>
      <c r="H643" s="864">
        <v>8112834</v>
      </c>
      <c r="I643" s="865">
        <v>186742861</v>
      </c>
      <c r="J643" s="865">
        <v>222695</v>
      </c>
      <c r="K643" s="864">
        <v>16605604</v>
      </c>
      <c r="L643" s="864">
        <v>20786170</v>
      </c>
      <c r="M643" s="864">
        <v>4521121</v>
      </c>
      <c r="N643" s="864">
        <v>415738</v>
      </c>
      <c r="O643" s="865">
        <v>42551328</v>
      </c>
      <c r="P643" s="863">
        <v>394958</v>
      </c>
      <c r="Q643" s="864">
        <v>547791</v>
      </c>
      <c r="R643" s="864"/>
      <c r="S643" s="913">
        <v>942749</v>
      </c>
      <c r="T643" s="863">
        <v>2198532</v>
      </c>
      <c r="U643" s="863">
        <v>2198532</v>
      </c>
      <c r="V643" s="865"/>
      <c r="W643" s="863"/>
      <c r="X643" s="869">
        <v>232435470</v>
      </c>
    </row>
    <row r="644" spans="1:24">
      <c r="A644" s="858" t="s">
        <v>1331</v>
      </c>
      <c r="B644" s="861"/>
      <c r="C644" s="863">
        <v>9.025938639428114</v>
      </c>
      <c r="D644" s="864">
        <v>2.7353769153982221</v>
      </c>
      <c r="E644" s="864">
        <v>13.20153678420537</v>
      </c>
      <c r="F644" s="864">
        <v>33.113774214672318</v>
      </c>
      <c r="G644" s="864">
        <v>74.407415155618324</v>
      </c>
      <c r="H644" s="864">
        <v>0.96696546679913475</v>
      </c>
      <c r="I644" s="865">
        <v>13.650261449412879</v>
      </c>
      <c r="J644" s="865">
        <v>6.2440662764125241</v>
      </c>
      <c r="K644" s="864">
        <v>14.996784171826944</v>
      </c>
      <c r="L644" s="864">
        <v>-4.6884779384394859</v>
      </c>
      <c r="M644" s="864">
        <v>-11.762998235480888</v>
      </c>
      <c r="N644" s="864">
        <v>0</v>
      </c>
      <c r="O644" s="865">
        <v>1.3177351007238827</v>
      </c>
      <c r="P644" s="863">
        <v>-0.75983335929765672</v>
      </c>
      <c r="Q644" s="864">
        <v>0.56070028406018557</v>
      </c>
      <c r="R644" s="864">
        <v>0</v>
      </c>
      <c r="S644" s="913">
        <v>3.218351485687936E-3</v>
      </c>
      <c r="T644" s="863">
        <v>-1.3287327804651239</v>
      </c>
      <c r="U644" s="863">
        <v>-1.3287327804651239</v>
      </c>
      <c r="V644" s="865">
        <v>0</v>
      </c>
      <c r="W644" s="863">
        <v>0</v>
      </c>
      <c r="X644" s="869">
        <v>10.957047507939516</v>
      </c>
    </row>
    <row r="645" spans="1:24">
      <c r="A645" s="858" t="s">
        <v>677</v>
      </c>
      <c r="B645" s="861"/>
      <c r="C645" s="863">
        <v>6846198206</v>
      </c>
      <c r="D645" s="864">
        <v>1494259918</v>
      </c>
      <c r="E645" s="864">
        <v>3153478708.4200001</v>
      </c>
      <c r="F645" s="864">
        <v>1038417639</v>
      </c>
      <c r="G645" s="864">
        <v>563408748</v>
      </c>
      <c r="H645" s="864">
        <v>312856433</v>
      </c>
      <c r="I645" s="865">
        <v>13408619652.42</v>
      </c>
      <c r="J645" s="865">
        <v>172214544</v>
      </c>
      <c r="K645" s="864">
        <v>1639615203.1300001</v>
      </c>
      <c r="L645" s="864">
        <v>1042489083.3099999</v>
      </c>
      <c r="M645" s="864">
        <v>322133765.72000003</v>
      </c>
      <c r="N645" s="864">
        <v>443990138</v>
      </c>
      <c r="O645" s="865">
        <v>3620442734.1599998</v>
      </c>
      <c r="P645" s="863">
        <v>144958599.69999999</v>
      </c>
      <c r="Q645" s="864">
        <v>33009778.670000002</v>
      </c>
      <c r="R645" s="864">
        <v>14232522</v>
      </c>
      <c r="S645" s="913">
        <v>192200900.37</v>
      </c>
      <c r="T645" s="863">
        <v>6277320</v>
      </c>
      <c r="U645" s="863">
        <v>6277320</v>
      </c>
      <c r="V645" s="865">
        <v>0</v>
      </c>
      <c r="W645" s="863">
        <v>0</v>
      </c>
      <c r="X645" s="869">
        <v>17227540606.950001</v>
      </c>
    </row>
    <row r="646" spans="1:24">
      <c r="A646" s="858" t="s">
        <v>627</v>
      </c>
      <c r="B646" s="861"/>
      <c r="C646" s="863">
        <v>7392354942</v>
      </c>
      <c r="D646" s="864">
        <v>1601859798</v>
      </c>
      <c r="E646" s="864">
        <v>3419350022</v>
      </c>
      <c r="F646" s="864">
        <v>1119153732</v>
      </c>
      <c r="G646" s="864">
        <v>610262346</v>
      </c>
      <c r="H646" s="864">
        <v>335549556</v>
      </c>
      <c r="I646" s="865">
        <v>14478530396</v>
      </c>
      <c r="J646" s="865">
        <v>183649697</v>
      </c>
      <c r="K646" s="864">
        <v>1741727612</v>
      </c>
      <c r="L646" s="864">
        <v>1118342581</v>
      </c>
      <c r="M646" s="864">
        <v>340275854.69999999</v>
      </c>
      <c r="N646" s="864">
        <v>485508763</v>
      </c>
      <c r="O646" s="865">
        <v>3869504507.6999998</v>
      </c>
      <c r="P646" s="863">
        <v>146617908</v>
      </c>
      <c r="Q646" s="864">
        <v>35134358</v>
      </c>
      <c r="R646" s="864">
        <v>13850833</v>
      </c>
      <c r="S646" s="913">
        <v>195603099</v>
      </c>
      <c r="T646" s="863">
        <v>8391913</v>
      </c>
      <c r="U646" s="863">
        <v>8391913</v>
      </c>
      <c r="V646" s="865">
        <v>0</v>
      </c>
      <c r="W646" s="863">
        <v>0</v>
      </c>
      <c r="X646" s="869">
        <v>18552029915.700001</v>
      </c>
    </row>
    <row r="647" spans="1:24">
      <c r="A647" s="858" t="s">
        <v>457</v>
      </c>
      <c r="B647" s="861"/>
      <c r="C647" s="863">
        <v>7.9775186105676701</v>
      </c>
      <c r="D647" s="864">
        <v>7.2008810986523422</v>
      </c>
      <c r="E647" s="864">
        <v>8.4310483172157031</v>
      </c>
      <c r="F647" s="864">
        <v>7.7749154066517168</v>
      </c>
      <c r="G647" s="864">
        <v>8.316093451924889</v>
      </c>
      <c r="H647" s="864">
        <v>7.2535260925895688</v>
      </c>
      <c r="I647" s="865">
        <v>7.9792758040302934</v>
      </c>
      <c r="J647" s="865">
        <v>6.6400622934611144</v>
      </c>
      <c r="K647" s="864">
        <v>6.2278276436488804</v>
      </c>
      <c r="L647" s="864">
        <v>7.2761910800214933</v>
      </c>
      <c r="M647" s="864">
        <v>5.6318495328953304</v>
      </c>
      <c r="N647" s="864">
        <v>9.3512493739219043</v>
      </c>
      <c r="O647" s="865">
        <v>6.8793181339404956</v>
      </c>
      <c r="P647" s="863">
        <v>1.1446773792200284</v>
      </c>
      <c r="Q647" s="864">
        <v>6.4362119820295982</v>
      </c>
      <c r="R647" s="864">
        <v>-2.6818086070761038</v>
      </c>
      <c r="S647" s="913">
        <v>1.7701262707149279</v>
      </c>
      <c r="T647" s="863">
        <v>33.686238713336266</v>
      </c>
      <c r="U647" s="863">
        <v>33.686238713336266</v>
      </c>
      <c r="V647" s="865">
        <v>0</v>
      </c>
      <c r="W647" s="863">
        <v>0</v>
      </c>
      <c r="X647" s="869">
        <v>7.6882088916143339</v>
      </c>
    </row>
    <row r="648" spans="1:24">
      <c r="A648" s="858" t="s">
        <v>629</v>
      </c>
      <c r="B648" s="861"/>
      <c r="C648" s="863"/>
      <c r="D648" s="864"/>
      <c r="E648" s="864"/>
      <c r="F648" s="864"/>
      <c r="G648" s="864"/>
      <c r="H648" s="864"/>
      <c r="I648" s="865"/>
      <c r="J648" s="865"/>
      <c r="K648" s="864"/>
      <c r="L648" s="864"/>
      <c r="M648" s="864"/>
      <c r="N648" s="864"/>
      <c r="O648" s="865"/>
      <c r="P648" s="863"/>
      <c r="Q648" s="864"/>
      <c r="R648" s="864"/>
      <c r="S648" s="913"/>
      <c r="T648" s="863">
        <v>97989727</v>
      </c>
      <c r="U648" s="863">
        <v>97989727</v>
      </c>
      <c r="V648" s="865">
        <v>3887957064.1999998</v>
      </c>
      <c r="W648" s="863">
        <v>3887957064.1999998</v>
      </c>
      <c r="X648" s="869">
        <v>3985946791.1999998</v>
      </c>
    </row>
    <row r="649" spans="1:24">
      <c r="A649" s="858" t="s">
        <v>631</v>
      </c>
      <c r="B649" s="861"/>
      <c r="C649" s="863"/>
      <c r="D649" s="864"/>
      <c r="E649" s="864"/>
      <c r="F649" s="864"/>
      <c r="G649" s="864"/>
      <c r="H649" s="864"/>
      <c r="I649" s="865"/>
      <c r="J649" s="865"/>
      <c r="K649" s="864"/>
      <c r="L649" s="864"/>
      <c r="M649" s="864"/>
      <c r="N649" s="864"/>
      <c r="O649" s="865"/>
      <c r="P649" s="863"/>
      <c r="Q649" s="864"/>
      <c r="R649" s="864"/>
      <c r="S649" s="913"/>
      <c r="T649" s="863">
        <v>96157332</v>
      </c>
      <c r="U649" s="863">
        <v>96157332</v>
      </c>
      <c r="V649" s="865">
        <v>3971178552.27</v>
      </c>
      <c r="W649" s="863">
        <v>3971178552.27</v>
      </c>
      <c r="X649" s="869">
        <v>4067335884.27</v>
      </c>
    </row>
    <row r="650" spans="1:24">
      <c r="A650" s="858" t="s">
        <v>633</v>
      </c>
      <c r="B650" s="861"/>
      <c r="C650" s="863">
        <v>0</v>
      </c>
      <c r="D650" s="864">
        <v>0</v>
      </c>
      <c r="E650" s="864">
        <v>0</v>
      </c>
      <c r="F650" s="864">
        <v>0</v>
      </c>
      <c r="G650" s="864">
        <v>0</v>
      </c>
      <c r="H650" s="864">
        <v>0</v>
      </c>
      <c r="I650" s="865">
        <v>0</v>
      </c>
      <c r="J650" s="865">
        <v>0</v>
      </c>
      <c r="K650" s="864">
        <v>0</v>
      </c>
      <c r="L650" s="864">
        <v>0</v>
      </c>
      <c r="M650" s="864">
        <v>0</v>
      </c>
      <c r="N650" s="864">
        <v>0</v>
      </c>
      <c r="O650" s="865">
        <v>0</v>
      </c>
      <c r="P650" s="863">
        <v>0</v>
      </c>
      <c r="Q650" s="864">
        <v>0</v>
      </c>
      <c r="R650" s="864">
        <v>0</v>
      </c>
      <c r="S650" s="913">
        <v>0</v>
      </c>
      <c r="T650" s="863">
        <v>-1.8699868405593172</v>
      </c>
      <c r="U650" s="863">
        <v>-1.8699868405593172</v>
      </c>
      <c r="V650" s="865">
        <v>2.1404940099852703</v>
      </c>
      <c r="W650" s="863">
        <v>2.1404940099852703</v>
      </c>
      <c r="X650" s="869">
        <v>2.0419011425262243</v>
      </c>
    </row>
    <row r="651" spans="1:24">
      <c r="A651" s="858" t="s">
        <v>1609</v>
      </c>
      <c r="B651" s="861"/>
      <c r="C651" s="863">
        <v>0</v>
      </c>
      <c r="D651" s="864"/>
      <c r="E651" s="864"/>
      <c r="F651" s="864"/>
      <c r="G651" s="864"/>
      <c r="H651" s="864"/>
      <c r="I651" s="865">
        <v>0</v>
      </c>
      <c r="J651" s="865"/>
      <c r="K651" s="864"/>
      <c r="L651" s="864"/>
      <c r="M651" s="864"/>
      <c r="N651" s="864"/>
      <c r="O651" s="865"/>
      <c r="P651" s="863"/>
      <c r="Q651" s="864"/>
      <c r="R651" s="864"/>
      <c r="S651" s="913"/>
      <c r="T651" s="863">
        <v>253711247</v>
      </c>
      <c r="U651" s="863">
        <v>253711247</v>
      </c>
      <c r="V651" s="865">
        <v>0</v>
      </c>
      <c r="W651" s="863">
        <v>0</v>
      </c>
      <c r="X651" s="869">
        <v>253711247</v>
      </c>
    </row>
    <row r="652" spans="1:24">
      <c r="A652" s="858" t="s">
        <v>1292</v>
      </c>
      <c r="B652" s="861"/>
      <c r="C652" s="863"/>
      <c r="D652" s="864"/>
      <c r="E652" s="864"/>
      <c r="F652" s="864"/>
      <c r="G652" s="864"/>
      <c r="H652" s="864"/>
      <c r="I652" s="865"/>
      <c r="J652" s="865"/>
      <c r="K652" s="864"/>
      <c r="L652" s="864"/>
      <c r="M652" s="864"/>
      <c r="N652" s="864"/>
      <c r="O652" s="865"/>
      <c r="P652" s="863"/>
      <c r="Q652" s="864"/>
      <c r="R652" s="864"/>
      <c r="S652" s="913"/>
      <c r="T652" s="863">
        <v>256261530</v>
      </c>
      <c r="U652" s="863">
        <v>256261530</v>
      </c>
      <c r="V652" s="865">
        <v>0</v>
      </c>
      <c r="W652" s="863">
        <v>0</v>
      </c>
      <c r="X652" s="869">
        <v>256261530</v>
      </c>
    </row>
    <row r="653" spans="1:24">
      <c r="A653" s="858" t="s">
        <v>1810</v>
      </c>
      <c r="B653" s="861"/>
      <c r="C653" s="863">
        <v>0</v>
      </c>
      <c r="D653" s="864">
        <v>0</v>
      </c>
      <c r="E653" s="864">
        <v>0</v>
      </c>
      <c r="F653" s="864">
        <v>0</v>
      </c>
      <c r="G653" s="864">
        <v>0</v>
      </c>
      <c r="H653" s="864">
        <v>0</v>
      </c>
      <c r="I653" s="865">
        <v>0</v>
      </c>
      <c r="J653" s="865">
        <v>0</v>
      </c>
      <c r="K653" s="864">
        <v>0</v>
      </c>
      <c r="L653" s="864">
        <v>0</v>
      </c>
      <c r="M653" s="864">
        <v>0</v>
      </c>
      <c r="N653" s="864">
        <v>0</v>
      </c>
      <c r="O653" s="865">
        <v>0</v>
      </c>
      <c r="P653" s="863">
        <v>0</v>
      </c>
      <c r="Q653" s="864">
        <v>0</v>
      </c>
      <c r="R653" s="864">
        <v>0</v>
      </c>
      <c r="S653" s="913">
        <v>0</v>
      </c>
      <c r="T653" s="863">
        <v>1.0051911494487273</v>
      </c>
      <c r="U653" s="863">
        <v>1.0051911494487273</v>
      </c>
      <c r="V653" s="865">
        <v>0</v>
      </c>
      <c r="W653" s="863">
        <v>0</v>
      </c>
      <c r="X653" s="869">
        <v>1.0051911494487273</v>
      </c>
    </row>
    <row r="654" spans="1:24">
      <c r="A654" s="858" t="s">
        <v>1288</v>
      </c>
      <c r="B654" s="861"/>
      <c r="C654" s="863">
        <v>0</v>
      </c>
      <c r="D654" s="864"/>
      <c r="E654" s="864"/>
      <c r="F654" s="864"/>
      <c r="G654" s="864"/>
      <c r="H654" s="864"/>
      <c r="I654" s="865">
        <v>0</v>
      </c>
      <c r="J654" s="865"/>
      <c r="K654" s="864"/>
      <c r="L654" s="864"/>
      <c r="M654" s="864"/>
      <c r="N654" s="864"/>
      <c r="O654" s="865"/>
      <c r="P654" s="863"/>
      <c r="Q654" s="864"/>
      <c r="R654" s="864"/>
      <c r="S654" s="913"/>
      <c r="T654" s="863">
        <v>191962</v>
      </c>
      <c r="U654" s="863">
        <v>191962</v>
      </c>
      <c r="V654" s="865"/>
      <c r="W654" s="863"/>
      <c r="X654" s="869">
        <v>191962</v>
      </c>
    </row>
    <row r="655" spans="1:24">
      <c r="A655" s="858" t="s">
        <v>674</v>
      </c>
      <c r="B655" s="861"/>
      <c r="C655" s="863"/>
      <c r="D655" s="864"/>
      <c r="E655" s="864"/>
      <c r="F655" s="864"/>
      <c r="G655" s="864"/>
      <c r="H655" s="864"/>
      <c r="I655" s="865"/>
      <c r="J655" s="865"/>
      <c r="K655" s="864"/>
      <c r="L655" s="864"/>
      <c r="M655" s="864"/>
      <c r="N655" s="864"/>
      <c r="O655" s="865"/>
      <c r="P655" s="863"/>
      <c r="Q655" s="864"/>
      <c r="R655" s="864"/>
      <c r="S655" s="913"/>
      <c r="T655" s="863">
        <v>270262</v>
      </c>
      <c r="U655" s="863">
        <v>270262</v>
      </c>
      <c r="V655" s="865"/>
      <c r="W655" s="863"/>
      <c r="X655" s="869">
        <v>270262</v>
      </c>
    </row>
    <row r="656" spans="1:24">
      <c r="A656" s="858" t="s">
        <v>1338</v>
      </c>
      <c r="B656" s="861"/>
      <c r="C656" s="863">
        <v>0</v>
      </c>
      <c r="D656" s="864">
        <v>0</v>
      </c>
      <c r="E656" s="864">
        <v>0</v>
      </c>
      <c r="F656" s="864">
        <v>0</v>
      </c>
      <c r="G656" s="864">
        <v>0</v>
      </c>
      <c r="H656" s="864">
        <v>0</v>
      </c>
      <c r="I656" s="865">
        <v>0</v>
      </c>
      <c r="J656" s="865">
        <v>0</v>
      </c>
      <c r="K656" s="864">
        <v>0</v>
      </c>
      <c r="L656" s="864">
        <v>0</v>
      </c>
      <c r="M656" s="864">
        <v>0</v>
      </c>
      <c r="N656" s="864">
        <v>0</v>
      </c>
      <c r="O656" s="865">
        <v>0</v>
      </c>
      <c r="P656" s="863">
        <v>0</v>
      </c>
      <c r="Q656" s="864">
        <v>0</v>
      </c>
      <c r="R656" s="864">
        <v>0</v>
      </c>
      <c r="S656" s="913">
        <v>0</v>
      </c>
      <c r="T656" s="863">
        <v>40.789322886821353</v>
      </c>
      <c r="U656" s="863">
        <v>40.789322886821353</v>
      </c>
      <c r="V656" s="865">
        <v>0</v>
      </c>
      <c r="W656" s="863">
        <v>0</v>
      </c>
      <c r="X656" s="869">
        <v>40.789322886821353</v>
      </c>
    </row>
    <row r="657" spans="1:24">
      <c r="A657" s="858" t="s">
        <v>1290</v>
      </c>
      <c r="B657" s="861"/>
      <c r="C657" s="863">
        <v>0</v>
      </c>
      <c r="D657" s="864">
        <v>0</v>
      </c>
      <c r="E657" s="864">
        <v>0</v>
      </c>
      <c r="F657" s="864">
        <v>0</v>
      </c>
      <c r="G657" s="864">
        <v>0</v>
      </c>
      <c r="H657" s="864">
        <v>0</v>
      </c>
      <c r="I657" s="865">
        <v>0</v>
      </c>
      <c r="J657" s="865">
        <v>0</v>
      </c>
      <c r="K657" s="864">
        <v>0</v>
      </c>
      <c r="L657" s="864">
        <v>0</v>
      </c>
      <c r="M657" s="864">
        <v>0</v>
      </c>
      <c r="N657" s="864">
        <v>0</v>
      </c>
      <c r="O657" s="865">
        <v>0</v>
      </c>
      <c r="P657" s="863">
        <v>0</v>
      </c>
      <c r="Q657" s="864">
        <v>0</v>
      </c>
      <c r="R657" s="864">
        <v>0</v>
      </c>
      <c r="S657" s="913">
        <v>0</v>
      </c>
      <c r="T657" s="863">
        <v>253903209</v>
      </c>
      <c r="U657" s="863">
        <v>253903209</v>
      </c>
      <c r="V657" s="865">
        <v>0</v>
      </c>
      <c r="W657" s="863">
        <v>0</v>
      </c>
      <c r="X657" s="869">
        <v>253903209</v>
      </c>
    </row>
    <row r="658" spans="1:24">
      <c r="A658" s="858" t="s">
        <v>1512</v>
      </c>
      <c r="B658" s="861"/>
      <c r="C658" s="863">
        <v>0</v>
      </c>
      <c r="D658" s="864">
        <v>0</v>
      </c>
      <c r="E658" s="864">
        <v>0</v>
      </c>
      <c r="F658" s="864">
        <v>0</v>
      </c>
      <c r="G658" s="864">
        <v>0</v>
      </c>
      <c r="H658" s="864">
        <v>0</v>
      </c>
      <c r="I658" s="865">
        <v>0</v>
      </c>
      <c r="J658" s="865">
        <v>0</v>
      </c>
      <c r="K658" s="864">
        <v>0</v>
      </c>
      <c r="L658" s="864">
        <v>0</v>
      </c>
      <c r="M658" s="864">
        <v>0</v>
      </c>
      <c r="N658" s="864">
        <v>0</v>
      </c>
      <c r="O658" s="865">
        <v>0</v>
      </c>
      <c r="P658" s="863">
        <v>0</v>
      </c>
      <c r="Q658" s="864">
        <v>0</v>
      </c>
      <c r="R658" s="864">
        <v>0</v>
      </c>
      <c r="S658" s="913">
        <v>0</v>
      </c>
      <c r="T658" s="863">
        <v>256531792</v>
      </c>
      <c r="U658" s="863">
        <v>256531792</v>
      </c>
      <c r="V658" s="865">
        <v>0</v>
      </c>
      <c r="W658" s="863">
        <v>0</v>
      </c>
      <c r="X658" s="869">
        <v>256531792</v>
      </c>
    </row>
    <row r="659" spans="1:24">
      <c r="A659" s="858" t="s">
        <v>1340</v>
      </c>
      <c r="B659" s="861"/>
      <c r="C659" s="863">
        <v>0</v>
      </c>
      <c r="D659" s="864">
        <v>0</v>
      </c>
      <c r="E659" s="864">
        <v>0</v>
      </c>
      <c r="F659" s="864">
        <v>0</v>
      </c>
      <c r="G659" s="864">
        <v>0</v>
      </c>
      <c r="H659" s="864">
        <v>0</v>
      </c>
      <c r="I659" s="865">
        <v>0</v>
      </c>
      <c r="J659" s="865">
        <v>0</v>
      </c>
      <c r="K659" s="864">
        <v>0</v>
      </c>
      <c r="L659" s="864">
        <v>0</v>
      </c>
      <c r="M659" s="864">
        <v>0</v>
      </c>
      <c r="N659" s="864">
        <v>0</v>
      </c>
      <c r="O659" s="865">
        <v>0</v>
      </c>
      <c r="P659" s="863">
        <v>0</v>
      </c>
      <c r="Q659" s="864">
        <v>0</v>
      </c>
      <c r="R659" s="864">
        <v>0</v>
      </c>
      <c r="S659" s="913">
        <v>0</v>
      </c>
      <c r="T659" s="863">
        <v>1.0352697038972831</v>
      </c>
      <c r="U659" s="863">
        <v>1.0352697038972831</v>
      </c>
      <c r="V659" s="865">
        <v>0</v>
      </c>
      <c r="W659" s="863">
        <v>0</v>
      </c>
      <c r="X659" s="869">
        <v>1.0352697038972831</v>
      </c>
    </row>
    <row r="660" spans="1:24">
      <c r="A660" s="858" t="s">
        <v>635</v>
      </c>
      <c r="B660" s="861"/>
      <c r="C660" s="863">
        <v>1210357569</v>
      </c>
      <c r="D660" s="864">
        <v>35622801</v>
      </c>
      <c r="E660" s="864">
        <v>189026648</v>
      </c>
      <c r="F660" s="864"/>
      <c r="G660" s="864"/>
      <c r="H660" s="864"/>
      <c r="I660" s="865">
        <v>1435007018</v>
      </c>
      <c r="J660" s="865"/>
      <c r="K660" s="864"/>
      <c r="L660" s="864"/>
      <c r="M660" s="864"/>
      <c r="N660" s="864"/>
      <c r="O660" s="865"/>
      <c r="P660" s="863"/>
      <c r="Q660" s="864"/>
      <c r="R660" s="864"/>
      <c r="S660" s="913"/>
      <c r="T660" s="863">
        <v>2312887727</v>
      </c>
      <c r="U660" s="863">
        <v>2312887727</v>
      </c>
      <c r="V660" s="865">
        <v>85540292</v>
      </c>
      <c r="W660" s="863">
        <v>85540292</v>
      </c>
      <c r="X660" s="869">
        <v>3833435037</v>
      </c>
    </row>
    <row r="661" spans="1:24">
      <c r="A661" s="858" t="s">
        <v>1539</v>
      </c>
      <c r="B661" s="861"/>
      <c r="C661" s="863">
        <v>1161957439</v>
      </c>
      <c r="D661" s="864">
        <v>41884753</v>
      </c>
      <c r="E661" s="864">
        <v>177236695</v>
      </c>
      <c r="F661" s="864"/>
      <c r="G661" s="864"/>
      <c r="H661" s="864"/>
      <c r="I661" s="865">
        <v>1381078887</v>
      </c>
      <c r="J661" s="865"/>
      <c r="K661" s="864"/>
      <c r="L661" s="864"/>
      <c r="M661" s="864"/>
      <c r="N661" s="864"/>
      <c r="O661" s="865"/>
      <c r="P661" s="863"/>
      <c r="Q661" s="864"/>
      <c r="R661" s="864"/>
      <c r="S661" s="913"/>
      <c r="T661" s="863">
        <v>2344641118.2799997</v>
      </c>
      <c r="U661" s="863">
        <v>2344641118.2799997</v>
      </c>
      <c r="V661" s="865">
        <v>80558076</v>
      </c>
      <c r="W661" s="863">
        <v>80558076</v>
      </c>
      <c r="X661" s="869">
        <v>3806278081.2799997</v>
      </c>
    </row>
    <row r="662" spans="1:24">
      <c r="A662" s="858" t="s">
        <v>1541</v>
      </c>
      <c r="B662" s="861"/>
      <c r="C662" s="863">
        <v>-3.9988290435518401</v>
      </c>
      <c r="D662" s="864">
        <v>17.57849417848978</v>
      </c>
      <c r="E662" s="864">
        <v>-6.2371909594460995</v>
      </c>
      <c r="F662" s="864">
        <v>0</v>
      </c>
      <c r="G662" s="864">
        <v>0</v>
      </c>
      <c r="H662" s="864">
        <v>0</v>
      </c>
      <c r="I662" s="865">
        <v>-3.7580395303683458</v>
      </c>
      <c r="J662" s="865">
        <v>0</v>
      </c>
      <c r="K662" s="864">
        <v>0</v>
      </c>
      <c r="L662" s="864">
        <v>0</v>
      </c>
      <c r="M662" s="864">
        <v>0</v>
      </c>
      <c r="N662" s="864">
        <v>0</v>
      </c>
      <c r="O662" s="865">
        <v>0</v>
      </c>
      <c r="P662" s="863">
        <v>0</v>
      </c>
      <c r="Q662" s="864">
        <v>0</v>
      </c>
      <c r="R662" s="864">
        <v>0</v>
      </c>
      <c r="S662" s="913">
        <v>0</v>
      </c>
      <c r="T662" s="863">
        <v>1.3728894364097135</v>
      </c>
      <c r="U662" s="863">
        <v>1.3728894364097135</v>
      </c>
      <c r="V662" s="865">
        <v>-5.8244084553744564</v>
      </c>
      <c r="W662" s="863">
        <v>-5.8244084553744564</v>
      </c>
      <c r="X662" s="869">
        <v>-0.70842352766861993</v>
      </c>
    </row>
    <row r="663" spans="1:24">
      <c r="A663" s="858" t="s">
        <v>638</v>
      </c>
      <c r="B663" s="861"/>
      <c r="C663" s="863">
        <v>336635625</v>
      </c>
      <c r="D663" s="864">
        <v>29236135</v>
      </c>
      <c r="E663" s="864">
        <v>34409192</v>
      </c>
      <c r="F663" s="864"/>
      <c r="G663" s="864"/>
      <c r="H663" s="864"/>
      <c r="I663" s="865">
        <v>400280952</v>
      </c>
      <c r="J663" s="865"/>
      <c r="K663" s="864"/>
      <c r="L663" s="864"/>
      <c r="M663" s="864"/>
      <c r="N663" s="864"/>
      <c r="O663" s="865"/>
      <c r="P663" s="863"/>
      <c r="Q663" s="864"/>
      <c r="R663" s="864"/>
      <c r="S663" s="913"/>
      <c r="T663" s="863">
        <v>394322981</v>
      </c>
      <c r="U663" s="863">
        <v>394322981</v>
      </c>
      <c r="V663" s="865">
        <v>0</v>
      </c>
      <c r="W663" s="863">
        <v>0</v>
      </c>
      <c r="X663" s="869">
        <v>794603933</v>
      </c>
    </row>
    <row r="664" spans="1:24">
      <c r="A664" s="858" t="s">
        <v>1602</v>
      </c>
      <c r="B664" s="861"/>
      <c r="C664" s="863">
        <v>369500578</v>
      </c>
      <c r="D664" s="864">
        <v>30935471</v>
      </c>
      <c r="E664" s="864">
        <v>38365403</v>
      </c>
      <c r="F664" s="864"/>
      <c r="G664" s="864"/>
      <c r="H664" s="864"/>
      <c r="I664" s="865">
        <v>438801452</v>
      </c>
      <c r="J664" s="865"/>
      <c r="K664" s="864"/>
      <c r="L664" s="864"/>
      <c r="M664" s="864"/>
      <c r="N664" s="864"/>
      <c r="O664" s="865"/>
      <c r="P664" s="863"/>
      <c r="Q664" s="864"/>
      <c r="R664" s="864"/>
      <c r="S664" s="913"/>
      <c r="T664" s="863">
        <v>441442885</v>
      </c>
      <c r="U664" s="863">
        <v>441442885</v>
      </c>
      <c r="V664" s="865">
        <v>0</v>
      </c>
      <c r="W664" s="863">
        <v>0</v>
      </c>
      <c r="X664" s="869">
        <v>880244337</v>
      </c>
    </row>
    <row r="665" spans="1:24">
      <c r="A665" s="858" t="s">
        <v>1604</v>
      </c>
      <c r="B665" s="861"/>
      <c r="C665" s="863">
        <v>9.762767383873884</v>
      </c>
      <c r="D665" s="864">
        <v>5.8124509275935408</v>
      </c>
      <c r="E665" s="864">
        <v>11.497541122151315</v>
      </c>
      <c r="F665" s="864">
        <v>0</v>
      </c>
      <c r="G665" s="864">
        <v>0</v>
      </c>
      <c r="H665" s="864">
        <v>0</v>
      </c>
      <c r="I665" s="865">
        <v>9.6233657403712787</v>
      </c>
      <c r="J665" s="865">
        <v>0</v>
      </c>
      <c r="K665" s="864">
        <v>0</v>
      </c>
      <c r="L665" s="864">
        <v>0</v>
      </c>
      <c r="M665" s="864">
        <v>0</v>
      </c>
      <c r="N665" s="864">
        <v>0</v>
      </c>
      <c r="O665" s="865">
        <v>0</v>
      </c>
      <c r="P665" s="863">
        <v>0</v>
      </c>
      <c r="Q665" s="864">
        <v>0</v>
      </c>
      <c r="R665" s="864">
        <v>0</v>
      </c>
      <c r="S665" s="913">
        <v>0</v>
      </c>
      <c r="T665" s="863">
        <v>11.949570851920498</v>
      </c>
      <c r="U665" s="863">
        <v>11.949570851920498</v>
      </c>
      <c r="V665" s="865">
        <v>0</v>
      </c>
      <c r="W665" s="863">
        <v>0</v>
      </c>
      <c r="X665" s="869">
        <v>10.777747308230351</v>
      </c>
    </row>
    <row r="666" spans="1:24">
      <c r="A666" s="858" t="s">
        <v>378</v>
      </c>
      <c r="B666" s="861"/>
      <c r="C666" s="863">
        <v>15242847042</v>
      </c>
      <c r="D666" s="864">
        <v>3625969306</v>
      </c>
      <c r="E666" s="864">
        <v>6783965928.4200001</v>
      </c>
      <c r="F666" s="864">
        <v>2349959315</v>
      </c>
      <c r="G666" s="864">
        <v>1297536615</v>
      </c>
      <c r="H666" s="864">
        <v>690199322</v>
      </c>
      <c r="I666" s="865">
        <v>29990477528.419998</v>
      </c>
      <c r="J666" s="865">
        <v>504377339</v>
      </c>
      <c r="K666" s="864">
        <v>5040496411.6800003</v>
      </c>
      <c r="L666" s="864">
        <v>3267785912.7200003</v>
      </c>
      <c r="M666" s="864">
        <v>1058307934.53</v>
      </c>
      <c r="N666" s="864">
        <v>1259587888</v>
      </c>
      <c r="O666" s="865">
        <v>11130555485.93</v>
      </c>
      <c r="P666" s="863">
        <v>467089892.55000001</v>
      </c>
      <c r="Q666" s="864">
        <v>140803982.00999999</v>
      </c>
      <c r="R666" s="864">
        <v>94007679</v>
      </c>
      <c r="S666" s="913">
        <v>701901553.55999994</v>
      </c>
      <c r="T666" s="863">
        <v>34222376</v>
      </c>
      <c r="U666" s="863">
        <v>34222376</v>
      </c>
      <c r="V666" s="865">
        <v>804953642</v>
      </c>
      <c r="W666" s="863">
        <v>804953642</v>
      </c>
      <c r="X666" s="869">
        <v>42662110585.910004</v>
      </c>
    </row>
    <row r="667" spans="1:24">
      <c r="A667" s="858" t="s">
        <v>380</v>
      </c>
      <c r="B667" s="861"/>
      <c r="C667" s="863">
        <v>15565549159.139999</v>
      </c>
      <c r="D667" s="864">
        <v>3737123406.7200003</v>
      </c>
      <c r="E667" s="864">
        <v>6988247258</v>
      </c>
      <c r="F667" s="864">
        <v>2409877861.52</v>
      </c>
      <c r="G667" s="864">
        <v>1311748431.0999999</v>
      </c>
      <c r="H667" s="864">
        <v>718640335</v>
      </c>
      <c r="I667" s="865">
        <v>30731186451.48</v>
      </c>
      <c r="J667" s="865">
        <v>493233866</v>
      </c>
      <c r="K667" s="864">
        <v>5088834105.5900002</v>
      </c>
      <c r="L667" s="864">
        <v>3289858972.98</v>
      </c>
      <c r="M667" s="864">
        <v>1061005977.09</v>
      </c>
      <c r="N667" s="864">
        <v>1289158365</v>
      </c>
      <c r="O667" s="865">
        <v>11222091286.66</v>
      </c>
      <c r="P667" s="863">
        <v>462884016.94999999</v>
      </c>
      <c r="Q667" s="864">
        <v>136681830.15999997</v>
      </c>
      <c r="R667" s="864">
        <v>93339848</v>
      </c>
      <c r="S667" s="913">
        <v>692905695.11000001</v>
      </c>
      <c r="T667" s="863">
        <v>39888032.75</v>
      </c>
      <c r="U667" s="863">
        <v>39888032.75</v>
      </c>
      <c r="V667" s="865">
        <v>663017973.27999997</v>
      </c>
      <c r="W667" s="863">
        <v>663017973.27999997</v>
      </c>
      <c r="X667" s="869">
        <v>43349089439.279999</v>
      </c>
    </row>
    <row r="668" spans="1:24">
      <c r="A668" s="903" t="s">
        <v>382</v>
      </c>
      <c r="B668" s="904"/>
      <c r="C668" s="905">
        <v>2.1170724619280699</v>
      </c>
      <c r="D668" s="906">
        <v>3.0655003211436394</v>
      </c>
      <c r="E668" s="906">
        <v>3.0112375524205719</v>
      </c>
      <c r="F668" s="906">
        <v>2.5497695273928596</v>
      </c>
      <c r="G668" s="906">
        <v>1.0952921047241433</v>
      </c>
      <c r="H668" s="906">
        <v>4.1206955865424622</v>
      </c>
      <c r="I668" s="907">
        <v>2.4698137012259322</v>
      </c>
      <c r="J668" s="907">
        <v>-2.2093524308791359</v>
      </c>
      <c r="K668" s="906">
        <v>0.95898677356440909</v>
      </c>
      <c r="L668" s="906">
        <v>0.67547449097198797</v>
      </c>
      <c r="M668" s="906">
        <v>0.25493927352989909</v>
      </c>
      <c r="N668" s="906">
        <v>2.3476311007525346</v>
      </c>
      <c r="O668" s="907">
        <v>0.82238304140084328</v>
      </c>
      <c r="P668" s="905">
        <v>-0.90044243454696515</v>
      </c>
      <c r="Q668" s="906">
        <v>-2.9275818703104624</v>
      </c>
      <c r="R668" s="906">
        <v>-0.71040047696529129</v>
      </c>
      <c r="S668" s="937">
        <v>-1.2816410512804122</v>
      </c>
      <c r="T668" s="905">
        <v>16.555416111376957</v>
      </c>
      <c r="U668" s="905">
        <v>16.555416111376957</v>
      </c>
      <c r="V668" s="907">
        <v>-17.632775518270162</v>
      </c>
      <c r="W668" s="905">
        <v>-17.632775518270162</v>
      </c>
      <c r="X668" s="908">
        <v>1.6102786381995908</v>
      </c>
    </row>
    <row r="669" spans="1:2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</row>
    <row r="670" spans="1:2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</row>
    <row r="671" spans="1:2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</row>
    <row r="672" spans="1:2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</row>
    <row r="673" spans="1:2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</row>
    <row r="674" spans="1:2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</row>
    <row r="675" spans="1:2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</row>
    <row r="676" spans="1:2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</row>
    <row r="677" spans="1:2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</row>
    <row r="678" spans="1:2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</row>
    <row r="679" spans="1:2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</row>
    <row r="680" spans="1:2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</row>
    <row r="681" spans="1:2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</row>
    <row r="682" spans="1:2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</row>
    <row r="683" spans="1:2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</row>
    <row r="684" spans="1:2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</row>
    <row r="685" spans="1:2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</row>
    <row r="686" spans="1:2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</row>
    <row r="687" spans="1:2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</row>
    <row r="688" spans="1:2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</row>
    <row r="689" spans="1:2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</row>
    <row r="690" spans="1:2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</row>
    <row r="691" spans="1:2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</row>
    <row r="692" spans="1:2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</row>
    <row r="693" spans="1:2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</row>
    <row r="694" spans="1:2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</row>
    <row r="695" spans="1:2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</row>
    <row r="696" spans="1:2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</row>
    <row r="697" spans="1:2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</row>
    <row r="698" spans="1:2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</row>
    <row r="699" spans="1:2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</row>
    <row r="700" spans="1:2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</row>
    <row r="701" spans="1:2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</row>
    <row r="702" spans="1:2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</row>
    <row r="703" spans="1:2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</row>
    <row r="704" spans="1:2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</row>
    <row r="705" spans="1:2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</row>
    <row r="706" spans="1:2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</row>
    <row r="707" spans="1:2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</row>
  </sheetData>
  <phoneticPr fontId="5" type="noConversion"/>
  <conditionalFormatting pivot="1" sqref="C8:X8 C11:X11 C14:X14 C17:X17 C20:X20 C23:X23 C26:X26 C29:X29 C32:X32 C35:X35 C38:X38 C41:X41 C44:X44 C47:X47 C50:X50 C53:X53 C56:X56 C59:X59 C62:X62 C65:X65 C68:X68 C71:X71 C74:X74 C77:X77 C80:X80 C83:X83 C86:X86 C89:X89 C92:X92 C95:X95 C98:X98 C101:X101 C104:X104 C107:X107 C110:X110 C113:X113 C116:X116 C119:X119 C122:X122 C125:X125 C128:X128 C131:X131 C134:X134 C137:X137 C140:X140 C143:X143 C146:X146 C149:X149 C152:X152 C155:X155 C158:X158 C161:X161 C164:X164 C167:X167 C170:X170 C173:X173 C176:X176 C179:X179 C182:X182 C185:X185 C188:X188 C191:X191 C194:X194 C197:X197 C200:X200 C203:X203 C206:X206 C209:X209 C212:X212 C215:X215 C218:X218 C221:X221 C224:X224 C227:X227 C230:X230 C233:X233 C236:X236 C239:X239 C242:X242 C245:X245 C248:X248 C251:X251 C254:X254 C257:X257 C260:X260 C263:X263 C266:X266 C269:X269 C272:X272 C275:X275 C278:X278 C281:X281 C284:X284 C287:X287 C290:X290 C293:X293 C296:X296 C299:X299 C302:X302 C305:X305 C308:X308 C311:X311 C314:X314 C317:X317 C320:X320 C323:X323 C326:X326 C329:X329 C332:X332 C335:X335 C338:X338 C341:X341 C344:X344 C347:X347 C350:X350 C353:X353 C356:X356 C359:X359 C362:X362 C365:X365 C368:X368 C371:X371 C374:X374 C377:X377 C380:X380 C383:X383 C386:X386 C389:X389 C392:X392 C395:X395 C398:X398 C401:X401 C404:X404 C407:X407 C410:X410 C413:X413 C416:X416 C419:X419 C422:X422 C425:X425 C428:X428 C431:X431 C434:X434 C437:X437 C440:X440 C443:X443 C446:X446 C449:X449 C452:X452 C455:X455 C458:X458 C461:X461 C464:X464 C467:X467 C470:X470 C473:X473 C476:X476 C479:X479 C482:X482 C485:X485 C488:X488 C491:X491 C494:X494 C497:X497 C500:X500 C503:X503 C506:X506 C509:X509 C512:X512 C515:X515 C518:X518 C521:X521 C524:X524 C527:X527 C530:X530 C533:X533 C536:X536 C539:X539 C542:X542 C545:X545 C548:X548 C551:X551 C554:X554 C557:X557 C560:X560 C563:X563 C566:X566 C569:X569 C572:X572 C575:X575 C578:X578 C581:X581 C584:X584 C587:X587 C590:X590 C593:X593 C596:X596 C599:X599 C602:X602 C605:X605 C608:X608 C611:X611 C614:X614 C617:X617 C620:X620 C623:X623 C626:X626 C629:X629 C632:X632 C635:X635 C638:X638 C641:X641 C644:X644 C647:X647 C650:X650 C653:X653 C656:X656 C659:X659 C662:X662 C665:X665 C668:X668">
    <cfRule type="cellIs" dxfId="1866" priority="9" stopIfTrue="1" operator="greaterThanOrEqual">
      <formula>10</formula>
    </cfRule>
  </conditionalFormatting>
  <conditionalFormatting pivot="1" sqref="C8:X8 C11:X11 C14:X14 C17:X17 C20:X20 C23:X23 C26:X26 C29:X29 C32:X32 C35:X35 C38:X38 C41:X41 C44:X44 C47:X47 C50:X50 C53:X53 C56:X56 C59:X59 C62:X62 C65:X65 C68:X68 C71:X71 C74:X74 C77:X77 C80:X80 C83:X83 C86:X86 C89:X89 C92:X92 C95:X95 C98:X98 C101:X101 C104:X104 C107:X107 C110:X110 C113:X113 C116:X116 C119:X119 C122:X122 C125:X125 C128:X128 C131:X131 C134:X134 C137:X137 C140:X140 C143:X143 C146:X146 C149:X149 C152:X152 C155:X155 C158:X158 C161:X161 C164:X164 C167:X167 C170:X170 C173:X173 C176:X176 C179:X179 C182:X182 C185:X185 C188:X188 C191:X191 C194:X194 C197:X197 C200:X200 C203:X203 C206:X206 C209:X209 C212:X212 C215:X215 C218:X218 C221:X221 C224:X224 C227:X227 C230:X230 C233:X233 C236:X236 C239:X239 C242:X242 C245:X245 C248:X248 C251:X251 C254:X254 C257:X257 C260:X260 C263:X263 C266:X266 C269:X269 C272:X272 C275:X275 C278:X278 C281:X281 C284:X284 C287:X287 C290:X290 C293:X293 C296:X296 C299:X299 C302:X302 C305:X305 C308:X308 C311:X311 C314:X314 C317:X317 C320:X320 C323:X323 C326:X326 C329:X329 C332:X332 C335:X335 C338:X338 C341:X341 C344:X344 C347:X347 C350:X350 C353:X353 C356:X356 C359:X359 C362:X362 C365:X365 C368:X368 C371:X371 C374:X374 C377:X377 C380:X380 C383:X383 C386:X386 C389:X389 C392:X392 C395:X395 C398:X398 C401:X401 C404:X404 C407:X407 C410:X410 C413:X413 C416:X416 C419:X419 C422:X422 C425:X425 C428:X428 C431:X431 C434:X434 C437:X437 C440:X440 C443:X443 C446:X446 C449:X449 C452:X452 C455:X455 C458:X458 C461:X461 C464:X464 C467:X467 C470:X470 C473:X473 C476:X476 C479:X479 C482:X482 C485:X485 C488:X488 C491:X491 C494:X494 C497:X497 C500:X500 C503:X503 C506:X506 C509:X509 C512:X512 C515:X515 C518:X518 C521:X521 C524:X524 C527:X527 C530:X530 C533:X533 C536:X536 C539:X539 C542:X542 C545:X545 C548:X548 C551:X551 C554:X554 C557:X557 C560:X560 C563:X563 C566:X566 C569:X569 C572:X572 C575:X575 C578:X578 C581:X581 C584:X584 C587:X587 C590:X590 C593:X593 C596:X596 C599:X599 C602:X602 C605:X605 C608:X608 C611:X611 C614:X614 C617:X617 C620:X620 C623:X623 C626:X626 C629:X629 C632:X632 C635:X635 C638:X638 C641:X641 C644:X644 C647:X647 C650:X650 C653:X653 C656:X656 C659:X659 C662:X662 C665:X665 C668:X668">
    <cfRule type="cellIs" dxfId="1865" priority="10" stopIfTrue="1" operator="lessThan">
      <formula>-5</formula>
    </cfRule>
  </conditionalFormatting>
  <conditionalFormatting pivot="1" sqref="C8:X8 C11:X11 C14:X14 C17:X17 C20:X20 C23:X23 C26:X26 C29:X29 C32:X32 C35:X35 C38:X38 C41:X41 C44:X44 C47:X47 C50:X50 C53:X53 C56:X56 C59:X59 C62:X62 C65:X65 C68:X68 C71:X71 C74:X74 C77:X77 C80:X80 C83:X83 C86:X86 C89:X89 C92:X92 C95:X95 C98:X98 C101:X101 C104:X104 C107:X107 C110:X110 C113:X113 C116:X116 C119:X119 C122:X122 C125:X125 C128:X128 C131:X131 C134:X134 C137:X137 C140:X140 C143:X143 C146:X146 C149:X149 C152:X152 C155:X155 C158:X158 C161:X161 C164:X164 C167:X167 C170:X170 C173:X173 C176:X176 C179:X179 C182:X182 C185:X185 C188:X188 C191:X191 C194:X194 C197:X197 C200:X200 C203:X203 C206:X206 C209:X209 C212:X212 C215:X215 C218:X218 C221:X221 C224:X224 C227:X227 C230:X230 C233:X233 C236:X236 C239:X239 C242:X242 C245:X245 C248:X248 C251:X251 C254:X254 C257:X257 C260:X260 C263:X263 C266:X266 C269:X269 C272:X272 C275:X275 C278:X278 C281:X281 C284:X284 C287:X287 C290:X290 C293:X293 C296:X296 C299:X299 C302:X302 C305:X305 C308:X308 C311:X311 C314:X314 C317:X317 C320:X320 C323:X323 C326:X326 C329:X329 C332:X332 C335:X335 C338:X338 C341:X341 C344:X344 C347:X347 C350:X350 C353:X353 C356:X356 C359:X359 C362:X362 C365:X365 C368:X368 C371:X371 C374:X374 C377:X377 C380:X380 C383:X383 C386:X386 C389:X389 C392:X392 C395:X395 C398:X398 C401:X401 C404:X404 C407:X407 C410:X410 C413:X413 C416:X416 C419:X419 C422:X422 C425:X425 C428:X428 C431:X431 C434:X434 C437:X437 C440:X440 C443:X443 C446:X446 C449:X449 C452:X452 C455:X455 C458:X458 C461:X461 C464:X464 C467:X467 C470:X470 C473:X473 C476:X476 C479:X479 C482:X482 C485:X485 C488:X488 C491:X491 C494:X494 C497:X497 C500:X500 C503:X503 C506:X506 C509:X509 C512:X512 C515:X515 C518:X518 C521:X521 C524:X524 C527:X527 C530:X530 C533:X533 C536:X536 C539:X539 C542:X542 C545:X545 C548:X548 C551:X551 C554:X554 C557:X557 C560:X560 C563:X563 C566:X566 C569:X569 C572:X572 C575:X575 C578:X578 C581:X581 C584:X584 C587:X587 C590:X590 C593:X593 C596:X596 C599:X599 C602:X602 C605:X605 C608:X608 C611:X611 C614:X614 C617:X617 C620:X620 C623:X623 C626:X626 C629:X629 C632:X632 C635:X635 C638:X638 C641:X641 C644:X644 C647:X647 C650:X650 C653:X653 C656:X656 C659:X659 C662:X662 C665:X665 C668:X668">
    <cfRule type="cellIs" dxfId="1864" priority="7" stopIfTrue="1" operator="greaterThanOrEqual">
      <formula>10</formula>
    </cfRule>
    <cfRule type="cellIs" dxfId="1863" priority="8" stopIfTrue="1" operator="lessThan">
      <formula>-5</formula>
    </cfRule>
  </conditionalFormatting>
  <conditionalFormatting pivot="1" sqref="C8:X8 C11:X11 C14:X14 C17:X17 C20:X20 C23:X23 C26:X26 C29:X29 C32:X32 C35:X35 C38:X38 C41:X41 C44:X44 C47:X47 C50:X50 C53:X53 C56:X56 C59:X59 C62:X62 C65:X65 C68:X68 C71:X71 C74:X74 C77:X77 C80:X80 C83:X83 C86:X86 C89:X89 C92:X92 C95:X95 C98:X98 C101:X101 C104:X104 C107:X107 C110:X110 C113:X113 C116:X116 C119:X119 C122:X122 C125:X125 C128:X128 C131:X131 C134:X134 C137:X137 C140:X140 C143:X143 C146:X146 C149:X149 C152:X152 C155:X155 C158:X158 C161:X161 C164:X164 C167:X167 C170:X170 C173:X173 C176:X176 C179:X179 C182:X182 C185:X185 C188:X188 C191:X191 C194:X194 C197:X197 C200:X200 C203:X203 C206:X206 C209:X209 C212:X212 C215:X215 C218:X218 C221:X221 C224:X224 C227:X227 C230:X230 C233:X233 C236:X236 C239:X239 C242:X242 C245:X245 C248:X248 C251:X251 C254:X254 C257:X257 C260:X260 C263:X263 C266:X266 C269:X269 C272:X272 C275:X275 C278:X278 C281:X281 C284:X284 C287:X287 C290:X290 C293:X293 C296:X296 C299:X299 C302:X302 C305:X305 C308:X308 C311:X311 C314:X314 C317:X317 C320:X320 C323:X323 C326:X326 C329:X329 C332:X332 C335:X335 C338:X338 C341:X341 C344:X344 C347:X347 C350:X350 C353:X353 C356:X356 C359:X359 C362:X362 C365:X365 C368:X368 C371:X371 C374:X374 C377:X377 C380:X380 C383:X383 C386:X386 C389:X389 C392:X392 C395:X395 C398:X398 C401:X401 C404:X404 C407:X407 C410:X410 C413:X413 C416:X416 C419:X419 C422:X422 C425:X425 C428:X428 C431:X431 C434:X434 C437:X437 C440:X440 C443:X443 C446:X446 C449:X449 C452:X452 C455:X455 C458:X458 C461:X461 C464:X464 C467:X467 C470:X470 C473:X473 C476:X476 C479:X479 C482:X482 C485:X485 C488:X488 C491:X491 C494:X494 C497:X497 C500:X500 C503:X503 C506:X506 C509:X509 C512:X512 C515:X515 C518:X518 C521:X521 C524:X524 C527:X527 C530:X530 C533:X533 C536:X536 C539:X539 C542:X542 C545:X545 C548:X548 C551:X551 C554:X554 C557:X557 C560:X560 C563:X563 C566:X566 C569:X569 C572:X572 C575:X575 C578:X578 C581:X581 C584:X584 C587:X587 C590:X590 C593:X593 C596:X596 C599:X599 C602:X602 C605:X605 C608:X608 C611:X611 C614:X614 C617:X617 C620:X620 C623:X623 C626:X626 C629:X629 C632:X632 C635:X635 C638:X638 C641:X641 C644:X644 C647:X647 C650:X650 C653:X653 C656:X656 C659:X659 C662:X662 C665:X665 C668:X668">
    <cfRule type="cellIs" dxfId="1862" priority="5" stopIfTrue="1" operator="greaterThanOrEqual">
      <formula>10</formula>
    </cfRule>
    <cfRule type="cellIs" dxfId="1861" priority="6" stopIfTrue="1" operator="lessThan">
      <formula>-5</formula>
    </cfRule>
  </conditionalFormatting>
  <conditionalFormatting pivot="1" sqref="C8:X8 C11:X11 C14:X14 C17:X17 C20:X20 C23:X23 C26:X26 C29:X29 C32:X32 C35:X35 C38:X38 C41:X41 C44:X44 C47:X47 C50:X50 C53:X53 C56:X56 C59:X59 C62:X62 C65:X65 C68:X68 C71:X71 C74:X74 C77:X77 C80:X80 C83:X83 C86:X86 C89:X89 C92:X92 C95:X95 C98:X98 C101:X101 C104:X104 C107:X107 C110:X110 C113:X113 C116:X116 C119:X119 C122:X122 C125:X125 C128:X128 C131:X131 C134:X134 C137:X137 C140:X140 C143:X143 C146:X146 C149:X149 C152:X152 C155:X155 C158:X158 C161:X161 C164:X164 C167:X167 C170:X170 C173:X173 C176:X176 C179:X179 C182:X182 C185:X185 C188:X188 C191:X191 C194:X194 C197:X197 C200:X200 C203:X203 C206:X206 C209:X209 C212:X212 C215:X215 C218:X218 C221:X221 C224:X224 C227:X227 C230:X230 C233:X233 C236:X236 C239:X239 C242:X242 C245:X245 C248:X248 C251:X251 C254:X254 C257:X257 C260:X260 C263:X263 C266:X266 C269:X269 C272:X272 C275:X275 C278:X278 C281:X281 C284:X284 C287:X287 C290:X290 C293:X293 C296:X296 C299:X299 C302:X302 C305:X305 C308:X308 C311:X311 C314:X314 C317:X317 C320:X320 C323:X323 C326:X326 C329:X329 C332:X332 C335:X335 C338:X338 C341:X341 C344:X344 C347:X347 C350:X350 C353:X353 C356:X356 C359:X359 C362:X362 C365:X365 C368:X368 C371:X371 C374:X374 C377:X377 C380:X380 C383:X383 C386:X386 C389:X389 C392:X392 C395:X395 C398:X398 C401:X401 C404:X404 C407:X407 C410:X410 C413:X413 C416:X416 C419:X419 C422:X422 C425:X425 C428:X428 C431:X431 C434:X434 C437:X437 C440:X440 C443:X443 C446:X446 C449:X449 C452:X452 C455:X455 C458:X458 C461:X461 C464:X464 C467:X467 C470:X470 C473:X473 C476:X476 C479:X479 C482:X482 C485:X485 C488:X488 C491:X491 C494:X494 C497:X497 C500:X500 C503:X503 C506:X506 C509:X509 C512:X512 C515:X515 C518:X518 C521:X521 C524:X524 C527:X527 C530:X530 C533:X533 C536:X536 C539:X539 C542:X542 C545:X545 C548:X548 C551:X551 C554:X554 C557:X557 C560:X560 C563:X563 C566:X566 C569:X569 C572:X572 C575:X575 C578:X578 C581:X581 C584:X584 C587:X587 C590:X590 C593:X593 C596:X596 C599:X599 C602:X602 C605:X605 C608:X608 C611:X611 C614:X614 C617:X617 C620:X620 C623:X623 C626:X626 C629:X629 C632:X632 C635:X635 C638:X638 C641:X641 C644:X644 C647:X647 C650:X650 C653:X653 C656:X656 C659:X659 C662:X662 C665:X665 C668:X668">
    <cfRule type="cellIs" dxfId="1860" priority="4" stopIfTrue="1" operator="greaterThanOrEqual">
      <formula>10</formula>
    </cfRule>
  </conditionalFormatting>
  <conditionalFormatting pivot="1" sqref="C8:X8 C11:X11 C14:X14 C17:X17 C20:X20 C23:X23 C26:X26 C29:X29 C32:X32 C35:X35 C38:X38 C41:X41 C44:X44 C47:X47 C50:X50 C53:X53 C56:X56 C59:X59 C62:X62 C65:X65 C68:X68 C71:X71 C74:X74 C77:X77 C80:X80 C83:X83 C86:X86 C89:X89 C92:X92 C95:X95 C98:X98 C101:X101 C104:X104 C107:X107 C110:X110 C113:X113 C116:X116 C119:X119 C122:X122 C125:X125 C128:X128 C131:X131 C134:X134 C137:X137 C140:X140 C143:X143 C146:X146 C149:X149 C152:X152 C155:X155 C158:X158 C161:X161 C164:X164 C167:X167 C170:X170 C173:X173 C176:X176 C179:X179 C182:X182 C185:X185 C188:X188 C191:X191 C194:X194 C197:X197 C200:X200 C203:X203 C206:X206 C209:X209 C212:X212 C215:X215 C218:X218 C221:X221 C224:X224 C227:X227 C230:X230 C233:X233 C236:X236 C239:X239 C242:X242 C245:X245 C248:X248 C251:X251 C254:X254 C257:X257 C260:X260 C263:X263 C266:X266 C269:X269 C272:X272 C275:X275 C278:X278 C281:X281 C284:X284 C287:X287 C290:X290 C293:X293 C296:X296 C299:X299 C302:X302 C305:X305 C308:X308 C311:X311 C314:X314 C317:X317 C320:X320 C323:X323 C326:X326 C329:X329 C332:X332 C335:X335 C338:X338 C341:X341 C344:X344 C347:X347 C350:X350 C353:X353 C356:X356 C359:X359 C362:X362 C365:X365 C368:X368 C371:X371 C374:X374 C377:X377 C380:X380 C383:X383 C386:X386 C389:X389 C392:X392 C395:X395 C398:X398 C401:X401 C404:X404 C407:X407 C410:X410 C413:X413 C416:X416 C419:X419 C422:X422 C425:X425 C428:X428 C431:X431 C434:X434 C437:X437 C440:X440 C443:X443 C446:X446 C449:X449 C452:X452 C455:X455 C458:X458 C461:X461 C464:X464 C467:X467 C470:X470 C473:X473 C476:X476 C479:X479 C482:X482 C485:X485 C488:X488 C491:X491 C494:X494 C497:X497 C500:X500 C503:X503 C506:X506 C509:X509 C512:X512 C515:X515 C518:X518 C521:X521 C524:X524 C527:X527 C530:X530 C533:X533 C536:X536 C539:X539 C542:X542 C545:X545 C548:X548 C551:X551 C554:X554 C557:X557 C560:X560 C563:X563 C566:X566 C569:X569 C572:X572 C575:X575 C578:X578 C581:X581 C584:X584 C587:X587 C590:X590 C593:X593 C596:X596 C599:X599 C602:X602 C605:X605 C608:X608 C611:X611 C614:X614 C617:X617 C620:X620 C623:X623 C626:X626 C629:X629 C632:X632 C635:X635 C638:X638 C641:X641 C644:X644 C647:X647 C650:X650 C653:X653 C656:X656 C659:X659 C662:X662 C665:X665 C668:X668">
    <cfRule type="cellIs" dxfId="1859" priority="3" stopIfTrue="1" operator="lessThan">
      <formula>-5</formula>
    </cfRule>
  </conditionalFormatting>
  <conditionalFormatting pivot="1" sqref="C8:X8 C11:X11 C14:X14 C17:X17 C20:X20 C23:X23 C26:X26 C29:X29 C32:X32 C35:X35 C38:X38 C41:X41 C44:X44 C47:X47 C50:X50 C53:X53 C56:X56 C59:X59 C62:X62 C65:X65 C68:X68 C71:X71 C74:X74 C77:X77 C80:X80 C83:X83 C86:X86 C89:X89 C92:X92 C95:X95 C98:X98 C101:X101 C104:X104 C107:X107 C110:X110 C113:X113 C116:X116 C119:X119 C122:X122 C125:X125 C128:X128 C131:X131 C134:X134 C137:X137 C140:X140 C143:X143 C146:X146 C149:X149 C152:X152 C155:X155 C158:X158 C161:X161 C164:X164 C167:X167 C170:X170 C173:X173 C176:X176 C179:X179 C182:X182 C185:X185 C188:X188 C191:X191 C194:X194 C197:X197 C200:X200 C203:X203 C206:X206 C209:X209 C212:X212 C215:X215 C218:X218 C221:X221 C224:X224 C227:X227 C230:X230 C233:X233 C236:X236 C239:X239 C242:X242 C245:X245 C248:X248 C251:X251 C254:X254 C257:X257 C260:X260 C263:X263 C266:X266 C269:X269 C272:X272 C275:X275 C278:X278 C281:X281 C284:X284 C287:X287 C290:X290 C293:X293 C296:X296 C299:X299 C302:X302 C305:X305 C308:X308 C311:X311 C314:X314 C317:X317 C320:X320 C323:X323 C326:X326 C329:X329 C332:X332 C335:X335 C338:X338 C341:X341 C344:X344 C347:X347 C350:X350 C353:X353 C356:X356 C359:X359 C362:X362 C365:X365 C368:X368 C371:X371 C374:X374 C377:X377 C380:X380 C383:X383 C386:X386 C389:X389 C392:X392 C395:X395 C398:X398 C401:X401 C404:X404 C407:X407 C410:X410 C413:X413 C416:X416 C419:X419 C422:X422 C425:X425 C428:X428 C431:X431 C434:X434 C437:X437 C440:X440 C443:X443 C446:X446 C449:X449 C452:X452 C455:X455 C458:X458 C461:X461 C464:X464 C467:X467 C470:X470 C473:X473 C476:X476 C479:X479 C482:X482 C485:X485 C488:X488 C491:X491 C494:X494 C497:X497 C500:X500 C503:X503 C506:X506 C509:X509 C512:X512 C515:X515 C518:X518 C521:X521 C524:X524 C527:X527 C530:X530 C533:X533 C536:X536 C539:X539 C542:X542 C545:X545 C548:X548 C551:X551 C554:X554 C557:X557 C560:X560 C563:X563 C566:X566 C569:X569 C572:X572 C575:X575 C578:X578 C581:X581 C584:X584 C587:X587 C590:X590 C593:X593 C596:X596 C599:X599 C602:X602 C605:X605 C608:X608 C611:X611 C614:X614 C617:X617 C620:X620 C623:X623 C626:X626 C629:X629 C632:X632 C635:X635 C638:X638 C641:X641 C644:X644 C647:X647 C650:X650 C653:X653 C656:X656 C659:X659 C662:X662 C665:X665 C668:X668">
    <cfRule type="cellIs" dxfId="1858" priority="1" stopIfTrue="1" operator="greaterThanOrEqual">
      <formula>10</formula>
    </cfRule>
    <cfRule type="cellIs" dxfId="1857" priority="2" stopIfTrue="1" operator="lessThan">
      <formula>-5</formula>
    </cfRule>
  </conditionalFormatting>
  <pageMargins left="0.5" right="0.5" top="1" bottom="1" header="0.5" footer="0.5"/>
  <pageSetup scale="74" pageOrder="overThenDown" orientation="landscape" r:id="rId2"/>
  <headerFooter alignWithMargins="0">
    <oddHeader>&amp;L&amp;"Arial,Bold"SREB-State Data Exchange&amp;C&amp;"Arial,Bold"Preliminary Tables&amp;R&amp;"Arial,Bold"Part 6: Funding by Type</oddHeader>
    <oddFooter>&amp;L&amp;"Arial,Bold"For Agency Review Only&amp;R&amp;"Arial,Bold"October 2009</oddFooter>
  </headerFooter>
  <rowBreaks count="15" manualBreakCount="15">
    <brk id="44" min="2" max="22" man="1"/>
    <brk id="83" min="2" max="22" man="1"/>
    <brk id="122" min="2" max="22" man="1"/>
    <brk id="161" min="2" max="22" man="1"/>
    <brk id="200" min="2" max="22" man="1"/>
    <brk id="239" min="2" max="22" man="1"/>
    <brk id="278" min="2" max="22" man="1"/>
    <brk id="317" min="2" max="22" man="1"/>
    <brk id="356" min="2" max="22" man="1"/>
    <brk id="395" min="2" max="22" man="1"/>
    <brk id="434" min="2" max="22" man="1"/>
    <brk id="473" min="2" max="22" man="1"/>
    <brk id="512" min="2" max="22" man="1"/>
    <brk id="551" min="2" max="22" man="1"/>
    <brk id="590" min="2" max="22" man="1"/>
  </rowBreaks>
  <colBreaks count="2" manualBreakCount="2">
    <brk id="9" min="6" max="628" man="1"/>
    <brk id="15" min="6" max="6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indexed="16"/>
    <pageSetUpPr fitToPage="1"/>
  </sheetPr>
  <dimension ref="A1:T24"/>
  <sheetViews>
    <sheetView view="pageBreakPreview" zoomScale="90" zoomScaleNormal="100" zoomScaleSheetLayoutView="90" workbookViewId="0">
      <selection activeCell="T22" sqref="T22"/>
    </sheetView>
  </sheetViews>
  <sheetFormatPr defaultRowHeight="12.75"/>
  <cols>
    <col min="1" max="1" width="12.625" style="48" customWidth="1"/>
    <col min="2" max="2" width="17" style="10" customWidth="1"/>
    <col min="3" max="3" width="6" style="2" hidden="1" customWidth="1"/>
    <col min="4" max="10" width="6" style="10" customWidth="1"/>
    <col min="11" max="12" width="6" style="6" customWidth="1"/>
    <col min="13" max="13" width="6" style="188" customWidth="1"/>
    <col min="14" max="19" width="6" style="10" customWidth="1"/>
    <col min="20" max="20" width="6" style="48" customWidth="1"/>
    <col min="21" max="16384" width="9" style="10"/>
  </cols>
  <sheetData>
    <row r="1" spans="1:20" ht="18">
      <c r="A1" s="62" t="s">
        <v>385</v>
      </c>
      <c r="B1" s="42"/>
      <c r="C1" s="221"/>
      <c r="D1" s="42"/>
      <c r="E1" s="42"/>
      <c r="F1" s="42"/>
      <c r="G1" s="42"/>
      <c r="H1" s="42"/>
      <c r="I1" s="42"/>
      <c r="J1" s="42"/>
      <c r="K1" s="183"/>
      <c r="L1" s="183"/>
      <c r="M1" s="184"/>
      <c r="N1" s="42"/>
      <c r="O1" s="42"/>
      <c r="P1" s="42"/>
      <c r="Q1" s="42"/>
      <c r="R1" s="42"/>
      <c r="S1" s="42"/>
      <c r="T1" s="43"/>
    </row>
    <row r="2" spans="1:20" s="69" customFormat="1" ht="15.75">
      <c r="A2" s="1164" t="s">
        <v>1928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164"/>
      <c r="M2" s="1164"/>
      <c r="N2" s="1164"/>
      <c r="O2" s="1164"/>
      <c r="P2" s="1164"/>
      <c r="Q2" s="1164"/>
      <c r="R2" s="1164"/>
      <c r="S2" s="1164"/>
      <c r="T2" s="1164"/>
    </row>
    <row r="3" spans="1:20" s="69" customFormat="1" ht="15.75">
      <c r="A3" s="1164" t="s">
        <v>102</v>
      </c>
      <c r="B3" s="1164"/>
      <c r="C3" s="1164"/>
      <c r="D3" s="1164"/>
      <c r="E3" s="1164"/>
      <c r="F3" s="1164"/>
      <c r="G3" s="1164"/>
      <c r="H3" s="1164"/>
      <c r="I3" s="1164"/>
      <c r="J3" s="1164"/>
      <c r="K3" s="1164"/>
      <c r="L3" s="1164"/>
      <c r="M3" s="1164"/>
      <c r="N3" s="1164"/>
      <c r="O3" s="1164"/>
      <c r="P3" s="1164"/>
      <c r="Q3" s="1164"/>
      <c r="R3" s="1164"/>
      <c r="S3" s="1164"/>
      <c r="T3" s="1164"/>
    </row>
    <row r="4" spans="1:20" ht="29.25" customHeight="1">
      <c r="A4" s="44"/>
      <c r="B4" s="41"/>
      <c r="C4" s="222" t="s">
        <v>1775</v>
      </c>
      <c r="D4" s="11" t="s">
        <v>1323</v>
      </c>
      <c r="E4" s="12" t="s">
        <v>1270</v>
      </c>
      <c r="F4" s="13" t="s">
        <v>1271</v>
      </c>
      <c r="G4" s="13" t="s">
        <v>1276</v>
      </c>
      <c r="H4" s="13" t="s">
        <v>1277</v>
      </c>
      <c r="I4" s="13" t="s">
        <v>1272</v>
      </c>
      <c r="J4" s="14" t="s">
        <v>1278</v>
      </c>
      <c r="K4" s="14" t="s">
        <v>1273</v>
      </c>
      <c r="L4" s="14" t="s">
        <v>1279</v>
      </c>
      <c r="M4" s="185" t="s">
        <v>1280</v>
      </c>
      <c r="N4" s="14" t="s">
        <v>1281</v>
      </c>
      <c r="O4" s="14" t="s">
        <v>1282</v>
      </c>
      <c r="P4" s="14" t="s">
        <v>1274</v>
      </c>
      <c r="Q4" s="14" t="s">
        <v>1283</v>
      </c>
      <c r="R4" s="14" t="s">
        <v>1275</v>
      </c>
      <c r="S4" s="14" t="s">
        <v>1284</v>
      </c>
      <c r="T4" s="14" t="s">
        <v>1285</v>
      </c>
    </row>
    <row r="5" spans="1:20" ht="33" customHeight="1">
      <c r="A5" s="1165" t="s">
        <v>1925</v>
      </c>
      <c r="B5" s="942" t="s">
        <v>1982</v>
      </c>
      <c r="C5" s="804" t="s">
        <v>1776</v>
      </c>
      <c r="D5" s="1118">
        <f>IF('78. Distrib by purpose (detail)'!D5&gt;0.0005=0,,IF('78. Distrib by purpose (detail)'!D5&gt;0.0005,'78. Distrib by purpose (detail)'!D5,"*"))</f>
        <v>0.78349560440556687</v>
      </c>
      <c r="E5" s="1119">
        <f>IF('78. Distrib by purpose (detail)'!E5&gt;0.0005=0,,IF('78. Distrib by purpose (detail)'!E5&gt;0.0005,'78. Distrib by purpose (detail)'!E5,"*"))</f>
        <v>0.74220623252298201</v>
      </c>
      <c r="F5" s="1120">
        <f>IF('78. Distrib by purpose (detail)'!F5&gt;0.0005=0,,IF('78. Distrib by purpose (detail)'!F5&gt;0.0005,'78. Distrib by purpose (detail)'!F5,"*"))</f>
        <v>0.79972564729861462</v>
      </c>
      <c r="G5" s="1121">
        <f>IF('78. Distrib by purpose (detail)'!G5&gt;0.0005=0,,IF('78. Distrib by purpose (detail)'!G5&gt;0.0005,'78. Distrib by purpose (detail)'!G5,"*"))</f>
        <v>0.9527192031805064</v>
      </c>
      <c r="H5" s="1120">
        <f>IF('78. Distrib by purpose (detail)'!H5&gt;0.0005=0,,IF('78. Distrib by purpose (detail)'!H5&gt;0.0005,'78. Distrib by purpose (detail)'!H5,"*"))</f>
        <v>0.78325326119283634</v>
      </c>
      <c r="I5" s="1120">
        <f>IF('78. Distrib by purpose (detail)'!I5&gt;0.0005=0,,IF('78. Distrib by purpose (detail)'!I5&gt;0.0005,'78. Distrib by purpose (detail)'!I5,"*"))</f>
        <v>0.76411851422167965</v>
      </c>
      <c r="J5" s="1120">
        <f>IF('78. Distrib by purpose (detail)'!J5&gt;0.0005=0,,IF('78. Distrib by purpose (detail)'!J5&gt;0.0005,'78. Distrib by purpose (detail)'!J5,"*"))</f>
        <v>0.78684653334226062</v>
      </c>
      <c r="K5" s="1120">
        <f>IF('78. Distrib by purpose (detail)'!K5&gt;0.0005=0,,IF('78. Distrib by purpose (detail)'!K5&gt;0.0005,'78. Distrib by purpose (detail)'!K5,"*"))</f>
        <v>0.71615413089102442</v>
      </c>
      <c r="L5" s="1120">
        <f>IF('78. Distrib by purpose (detail)'!L5&gt;0.0005=0,,IF('78. Distrib by purpose (detail)'!L5&gt;0.0005,'78. Distrib by purpose (detail)'!L5,"*"))</f>
        <v>0.7770419331442594</v>
      </c>
      <c r="M5" s="1120">
        <f>IF('78. Distrib by purpose (detail)'!M5&gt;0.0005=0,,IF('78. Distrib by purpose (detail)'!M5&gt;0.0005,'78. Distrib by purpose (detail)'!M5,"*"))</f>
        <v>0.73565003300573484</v>
      </c>
      <c r="N5" s="1120">
        <f>IF('78. Distrib by purpose (detail)'!N5&gt;0.0005=0,,IF('78. Distrib by purpose (detail)'!N5&gt;0.0005,'78. Distrib by purpose (detail)'!N5,"*"))</f>
        <v>0.79632476530836871</v>
      </c>
      <c r="O5" s="1120">
        <f>IF('78. Distrib by purpose (detail)'!O5&gt;0.0005=0,,IF('78. Distrib by purpose (detail)'!O5&gt;0.0005,'78. Distrib by purpose (detail)'!O5,"*"))</f>
        <v>0.80545397744341773</v>
      </c>
      <c r="P5" s="1120">
        <f>IF('78. Distrib by purpose (detail)'!P5&gt;0.0005=0,,IF('78. Distrib by purpose (detail)'!P5&gt;0.0005,'78. Distrib by purpose (detail)'!P5,"*"))</f>
        <v>0.74581755593183463</v>
      </c>
      <c r="Q5" s="1120">
        <f>IF('78. Distrib by purpose (detail)'!Q5&gt;0.0005=0,,IF('78. Distrib by purpose (detail)'!Q5&gt;0.0005,'78. Distrib by purpose (detail)'!Q5,"*"))</f>
        <v>0.73448190174507333</v>
      </c>
      <c r="R5" s="1120">
        <f>IF('78. Distrib by purpose (detail)'!R5&gt;0.0005=0,,IF('78. Distrib by purpose (detail)'!R5&gt;0.0005,'78. Distrib by purpose (detail)'!R5,"*"))</f>
        <v>0.80767143428161736</v>
      </c>
      <c r="S5" s="1120">
        <f>IF('78. Distrib by purpose (detail)'!S5&gt;0.0005=0,,IF('78. Distrib by purpose (detail)'!S5&gt;0.0005,'78. Distrib by purpose (detail)'!S5,"*"))</f>
        <v>0.84242730699794832</v>
      </c>
      <c r="T5" s="1120">
        <f>IF('78. Distrib by purpose (detail)'!T5&gt;0.0005=0,,IF('78. Distrib by purpose (detail)'!T5&gt;0.0005,'78. Distrib by purpose (detail)'!T5,"*"))</f>
        <v>0.69978378440787092</v>
      </c>
    </row>
    <row r="6" spans="1:20" ht="37.5" customHeight="1">
      <c r="A6" s="1166"/>
      <c r="B6" s="942" t="s">
        <v>1983</v>
      </c>
      <c r="C6" s="804" t="s">
        <v>1777</v>
      </c>
      <c r="D6" s="1118">
        <f>IF('78. Distrib by purpose (detail)'!D6&gt;0.0005=0,,IF('78. Distrib by purpose (detail)'!D6&gt;0.0005,'78. Distrib by purpose (detail)'!D6,"*"))</f>
        <v>2.5502332907429922E-2</v>
      </c>
      <c r="E6" s="1122">
        <f>IF('78. Distrib by purpose (detail)'!E6&gt;0.0005=0,,IF('78. Distrib by purpose (detail)'!E6&gt;0.0005,'78. Distrib by purpose (detail)'!E6,"*"))</f>
        <v>3.6016781273292477E-2</v>
      </c>
      <c r="F6" s="1123">
        <f>IF('78. Distrib by purpose (detail)'!F6&gt;0.0005=0,,IF('78. Distrib by purpose (detail)'!F6&gt;0.0005,'78. Distrib by purpose (detail)'!F6,"*"))</f>
        <v>1.707807438085629E-2</v>
      </c>
      <c r="G6" s="1124">
        <f>IF('78. Distrib by purpose (detail)'!G6&gt;0.0005=0,,IF('78. Distrib by purpose (detail)'!G6&gt;0.0005,'78. Distrib by purpose (detail)'!G6,"*"))</f>
        <v>1.4644898591017948E-2</v>
      </c>
      <c r="H6" s="1123">
        <f>IF('78. Distrib by purpose (detail)'!H6&gt;0.0005=0,,IF('78. Distrib by purpose (detail)'!H6&gt;0.0005,'78. Distrib by purpose (detail)'!H6,"*"))</f>
        <v>4.2961806387872482E-2</v>
      </c>
      <c r="I6" s="1123">
        <f>IF('78. Distrib by purpose (detail)'!I6&gt;0.0005=0,,IF('78. Distrib by purpose (detail)'!I6&gt;0.0005,'78. Distrib by purpose (detail)'!I6,"*"))</f>
        <v>2.6083843732500177E-2</v>
      </c>
      <c r="J6" s="1123">
        <f>IF('78. Distrib by purpose (detail)'!J6&gt;0.0005=0,,IF('78. Distrib by purpose (detail)'!J6&gt;0.0005,'78. Distrib by purpose (detail)'!J6,"*"))</f>
        <v>3.9739198579242102E-2</v>
      </c>
      <c r="K6" s="1123"/>
      <c r="L6" s="1123">
        <f>IF('78. Distrib by purpose (detail)'!L6&gt;0.0005=0,,IF('78. Distrib by purpose (detail)'!L6&gt;0.0005,'78. Distrib by purpose (detail)'!L6,"*"))</f>
        <v>2.2439830381204277E-2</v>
      </c>
      <c r="M6" s="1123">
        <f>IF('78. Distrib by purpose (detail)'!M6&gt;0.0005=0,,IF('78. Distrib by purpose (detail)'!M6&gt;0.0005,'78. Distrib by purpose (detail)'!M6,"*"))</f>
        <v>4.8053596000132037E-2</v>
      </c>
      <c r="N6" s="1123">
        <f>IF('78. Distrib by purpose (detail)'!N6&gt;0.0005=0,,IF('78. Distrib by purpose (detail)'!N6&gt;0.0005,'78. Distrib by purpose (detail)'!N6,"*"))</f>
        <v>2.2721024212576962E-2</v>
      </c>
      <c r="O6" s="1123">
        <f>IF('78. Distrib by purpose (detail)'!O6&gt;0.0005=0,,IF('78. Distrib by purpose (detail)'!O6&gt;0.0005,'78. Distrib by purpose (detail)'!O6,"*"))</f>
        <v>3.3266856388143751E-2</v>
      </c>
      <c r="P6" s="1123">
        <f>IF('78. Distrib by purpose (detail)'!P6&gt;0.0005=0,,IF('78. Distrib by purpose (detail)'!P6&gt;0.0005,'78. Distrib by purpose (detail)'!P6,"*"))</f>
        <v>3.7491801547764811E-2</v>
      </c>
      <c r="Q6" s="1123">
        <f>IF('78. Distrib by purpose (detail)'!Q6&gt;0.0005=0,,IF('78. Distrib by purpose (detail)'!Q6&gt;0.0005,'78. Distrib by purpose (detail)'!Q6,"*"))</f>
        <v>2.5192272093515884E-2</v>
      </c>
      <c r="R6" s="1123">
        <f>IF('78. Distrib by purpose (detail)'!R6&gt;0.0005=0,,IF('78. Distrib by purpose (detail)'!R6&gt;0.0005,'78. Distrib by purpose (detail)'!R6,"*"))</f>
        <v>1.5584365905699022E-2</v>
      </c>
      <c r="S6" s="1123">
        <f>IF('78. Distrib by purpose (detail)'!S6&gt;0.0005=0,,IF('78. Distrib by purpose (detail)'!S6&gt;0.0005,'78. Distrib by purpose (detail)'!S6,"*"))</f>
        <v>2.2956702599012509E-2</v>
      </c>
      <c r="T6" s="1123">
        <f>IF('78. Distrib by purpose (detail)'!T6&gt;0.0005=0,,IF('78. Distrib by purpose (detail)'!T6&gt;0.0005,'78. Distrib by purpose (detail)'!T6,"*"))</f>
        <v>3.5006771996293595E-2</v>
      </c>
    </row>
    <row r="7" spans="1:20" ht="22.5">
      <c r="A7" s="1166"/>
      <c r="B7" s="1022" t="s">
        <v>2047</v>
      </c>
      <c r="C7" s="1021">
        <f>+D6+D5</f>
        <v>0.80899793731299674</v>
      </c>
      <c r="D7" s="1091">
        <f>+D6+D5</f>
        <v>0.80899793731299674</v>
      </c>
      <c r="E7" s="432">
        <f t="shared" ref="E7:T7" si="0">+E6+E5</f>
        <v>0.77822301379627445</v>
      </c>
      <c r="F7" s="415">
        <f t="shared" si="0"/>
        <v>0.81680372167947091</v>
      </c>
      <c r="G7" s="415">
        <f t="shared" si="0"/>
        <v>0.96736410177152432</v>
      </c>
      <c r="H7" s="415">
        <f t="shared" si="0"/>
        <v>0.82621506758070884</v>
      </c>
      <c r="I7" s="415">
        <f t="shared" si="0"/>
        <v>0.79020235795417981</v>
      </c>
      <c r="J7" s="415">
        <f t="shared" si="0"/>
        <v>0.82658573192150275</v>
      </c>
      <c r="K7" s="415">
        <f t="shared" si="0"/>
        <v>0.71615413089102442</v>
      </c>
      <c r="L7" s="415">
        <f t="shared" si="0"/>
        <v>0.79948176352546363</v>
      </c>
      <c r="M7" s="415">
        <f t="shared" si="0"/>
        <v>0.78370362900586688</v>
      </c>
      <c r="N7" s="415">
        <f t="shared" si="0"/>
        <v>0.81904578952094564</v>
      </c>
      <c r="O7" s="415">
        <f t="shared" si="0"/>
        <v>0.83872083383156149</v>
      </c>
      <c r="P7" s="415">
        <f t="shared" si="0"/>
        <v>0.7833093574795994</v>
      </c>
      <c r="Q7" s="415">
        <f t="shared" si="0"/>
        <v>0.75967417383858926</v>
      </c>
      <c r="R7" s="415">
        <f t="shared" si="0"/>
        <v>0.82325580018731637</v>
      </c>
      <c r="S7" s="415">
        <f t="shared" si="0"/>
        <v>0.86538400959696082</v>
      </c>
      <c r="T7" s="415">
        <f t="shared" si="0"/>
        <v>0.73479055640416457</v>
      </c>
    </row>
    <row r="8" spans="1:20" ht="35.25" customHeight="1">
      <c r="A8" s="1166"/>
      <c r="B8" s="942" t="s">
        <v>249</v>
      </c>
      <c r="C8" s="223" t="s">
        <v>1785</v>
      </c>
      <c r="D8" s="1091">
        <f>IF('78. Distrib by purpose (detail)'!D15&gt;0.0005=0,,IF('78. Distrib by purpose (detail)'!D15&gt;0.0005,'78. Distrib by purpose (detail)'!D15,"*"))</f>
        <v>1.2793222794149132E-2</v>
      </c>
      <c r="E8" s="432">
        <f>IF('78. Distrib by purpose (detail)'!E15&gt;0.0005=0,,IF('78. Distrib by purpose (detail)'!E15&gt;0.0005,'78. Distrib by purpose (detail)'!E15,"*"))</f>
        <v>3.0337459328090725E-2</v>
      </c>
      <c r="F8" s="415">
        <f>IF('78. Distrib by purpose (detail)'!F15&gt;0.0005=0,,IF('78. Distrib by purpose (detail)'!F15&gt;0.0005,'78. Distrib by purpose (detail)'!F15,"*"))</f>
        <v>5.2458343886837774E-2</v>
      </c>
      <c r="G8" s="415" t="str">
        <f>IF('78. Distrib by purpose (detail)'!G15&gt;0.0005=0,,IF('78. Distrib by purpose (detail)'!G15&gt;0.0005,'78. Distrib by purpose (detail)'!G15,"*"))</f>
        <v>*</v>
      </c>
      <c r="H8" s="415">
        <f>IF('78. Distrib by purpose (detail)'!H15&gt;0.0005=0,,IF('78. Distrib by purpose (detail)'!H15&gt;0.0005,'78. Distrib by purpose (detail)'!H15,"*"))</f>
        <v>2.2808660527270487E-3</v>
      </c>
      <c r="I8" s="415" t="str">
        <f>IF('78. Distrib by purpose (detail)'!I15&gt;0.0005=0,,IF('78. Distrib by purpose (detail)'!I15&gt;0.0005,'78. Distrib by purpose (detail)'!I15,"*"))</f>
        <v>*</v>
      </c>
      <c r="J8" s="415">
        <f>IF('78. Distrib by purpose (detail)'!J15&gt;0.0005=0,,IF('78. Distrib by purpose (detail)'!J15&gt;0.0005,'78. Distrib by purpose (detail)'!J15,"*"))</f>
        <v>8.4069503698976089E-3</v>
      </c>
      <c r="K8" s="415">
        <f>IF('78. Distrib by purpose (detail)'!K15&gt;0.0005=0,,IF('78. Distrib by purpose (detail)'!K15&gt;0.0005,'78. Distrib by purpose (detail)'!K15,"*"))</f>
        <v>6.1739006929243709E-2</v>
      </c>
      <c r="L8" s="415" t="str">
        <f>IF('78. Distrib by purpose (detail)'!L15&gt;0.0005=0,,IF('78. Distrib by purpose (detail)'!L15&gt;0.0005,'78. Distrib by purpose (detail)'!L15,"*"))</f>
        <v>*</v>
      </c>
      <c r="M8" s="415">
        <f>IF('78. Distrib by purpose (detail)'!M15&gt;0.0005=0,,IF('78. Distrib by purpose (detail)'!M15&gt;0.0005,'78. Distrib by purpose (detail)'!M15,"*"))</f>
        <v>1.4873718212664873E-2</v>
      </c>
      <c r="N8" s="415">
        <f>IF('78. Distrib by purpose (detail)'!N15&gt;0.0005=0,,IF('78. Distrib by purpose (detail)'!N15&gt;0.0005,'78. Distrib by purpose (detail)'!N15,"*"))</f>
        <v>4.3779552157044418E-2</v>
      </c>
      <c r="O8" s="415" t="str">
        <f>IF('78. Distrib by purpose (detail)'!O15&gt;0.0005=0,,IF('78. Distrib by purpose (detail)'!O15&gt;0.0005,'78. Distrib by purpose (detail)'!O15,"*"))</f>
        <v>*</v>
      </c>
      <c r="P8" s="415" t="str">
        <f>IF('78. Distrib by purpose (detail)'!P15&gt;0.0005=0,,IF('78. Distrib by purpose (detail)'!P15&gt;0.0005,'78. Distrib by purpose (detail)'!P15,"*"))</f>
        <v>*</v>
      </c>
      <c r="Q8" s="415" t="str">
        <f>IF('78. Distrib by purpose (detail)'!Q15&gt;0.0005=0,,IF('78. Distrib by purpose (detail)'!Q15&gt;0.0005,'78. Distrib by purpose (detail)'!Q15,"*"))</f>
        <v>*</v>
      </c>
      <c r="R8" s="415">
        <f>IF('78. Distrib by purpose (detail)'!R15&gt;0.0005=0,,IF('78. Distrib by purpose (detail)'!R15&gt;0.0005,'78. Distrib by purpose (detail)'!R15,"*"))</f>
        <v>6.3612966369753898E-3</v>
      </c>
      <c r="S8" s="415">
        <f>IF('78. Distrib by purpose (detail)'!S15&gt;0.0005=0,,IF('78. Distrib by purpose (detail)'!S15&gt;0.0005,'78. Distrib by purpose (detail)'!S15,"*"))</f>
        <v>2.4520588977793452E-3</v>
      </c>
      <c r="T8" s="415">
        <f>IF('78. Distrib by purpose (detail)'!T15&gt;0.0005=0,,IF('78. Distrib by purpose (detail)'!T15&gt;0.0005,'78. Distrib by purpose (detail)'!T15,"*"))</f>
        <v>6.1804479526175035E-3</v>
      </c>
    </row>
    <row r="9" spans="1:20" ht="33" customHeight="1">
      <c r="A9" s="1167"/>
      <c r="B9" s="943" t="s">
        <v>642</v>
      </c>
      <c r="C9" s="224" t="s">
        <v>1821</v>
      </c>
      <c r="D9" s="1092">
        <f>IF('78. Distrib by purpose (detail)'!D23&gt;0.0005=0,,IF('78. Distrib by purpose (detail)'!D23&gt;0.0005,'78. Distrib by purpose (detail)'!D23,"*"))</f>
        <v>8.2929505108781769E-3</v>
      </c>
      <c r="E9" s="418">
        <f>IF('78. Distrib by purpose (detail)'!E23&gt;0.0005=0,,IF('78. Distrib by purpose (detail)'!E23&gt;0.0005,'78. Distrib by purpose (detail)'!E23,"*"))</f>
        <v>4.4365219751486456E-3</v>
      </c>
      <c r="F9" s="419" t="str">
        <f>IF('78. Distrib by purpose (detail)'!F23&gt;0.0005=0,,IF('78. Distrib by purpose (detail)'!F23&gt;0.0005,'78. Distrib by purpose (detail)'!F23,"*"))</f>
        <v>*</v>
      </c>
      <c r="G9" s="419">
        <f>IF('78. Distrib by purpose (detail)'!G23&gt;0.0005=0,,IF('78. Distrib by purpose (detail)'!G23&gt;0.0005,'78. Distrib by purpose (detail)'!G23,"*"))</f>
        <v>3.5129690008811093E-3</v>
      </c>
      <c r="H9" s="419" t="str">
        <f>IF('78. Distrib by purpose (detail)'!H23&gt;0.0005=0,,IF('78. Distrib by purpose (detail)'!H23&gt;0.0005,'78. Distrib by purpose (detail)'!H23,"*"))</f>
        <v>*</v>
      </c>
      <c r="I9" s="419">
        <f>IF('78. Distrib by purpose (detail)'!I23&gt;0.0005=0,,IF('78. Distrib by purpose (detail)'!I23&gt;0.0005,'78. Distrib by purpose (detail)'!I23,"*"))</f>
        <v>1.1508241389071777E-2</v>
      </c>
      <c r="J9" s="419">
        <f>IF('78. Distrib by purpose (detail)'!J23&gt;0.0005=0,,IF('78. Distrib by purpose (detail)'!J23&gt;0.0005,'78. Distrib by purpose (detail)'!J23,"*"))</f>
        <v>1.9184594661156806E-2</v>
      </c>
      <c r="K9" s="419">
        <f>IF('78. Distrib by purpose (detail)'!K23&gt;0.0005=0,,IF('78. Distrib by purpose (detail)'!K23&gt;0.0005,'78. Distrib by purpose (detail)'!K23,"*"))</f>
        <v>1.9769950476776071E-2</v>
      </c>
      <c r="L9" s="419">
        <f>IF('78. Distrib by purpose (detail)'!L23&gt;0.0005=0,,IF('78. Distrib by purpose (detail)'!L23&gt;0.0005,'78. Distrib by purpose (detail)'!L23,"*"))</f>
        <v>1.4711681733631649E-3</v>
      </c>
      <c r="M9" s="419">
        <f>IF('78. Distrib by purpose (detail)'!M23&gt;0.0005=0,,IF('78. Distrib by purpose (detail)'!M23&gt;0.0005,'78. Distrib by purpose (detail)'!M23,"*"))</f>
        <v>2.0685268777875691E-2</v>
      </c>
      <c r="N9" s="419" t="str">
        <f>IF('78. Distrib by purpose (detail)'!N23&gt;0.0005=0,,IF('78. Distrib by purpose (detail)'!N23&gt;0.0005,'78. Distrib by purpose (detail)'!N23,"*"))</f>
        <v>*</v>
      </c>
      <c r="O9" s="419">
        <f>IF('78. Distrib by purpose (detail)'!O23&gt;0.0005=0,,IF('78. Distrib by purpose (detail)'!O23&gt;0.0005,'78. Distrib by purpose (detail)'!O23,"*"))</f>
        <v>9.7266920181210866E-3</v>
      </c>
      <c r="P9" s="419">
        <f>IF('78. Distrib by purpose (detail)'!P23&gt;0.0005=0,,IF('78. Distrib by purpose (detail)'!P23&gt;0.0005,'78. Distrib by purpose (detail)'!P23,"*"))</f>
        <v>3.3324864200507875E-3</v>
      </c>
      <c r="Q9" s="419" t="str">
        <f>IF('78. Distrib by purpose (detail)'!Q23&gt;0.0005=0,,IF('78. Distrib by purpose (detail)'!Q23&gt;0.0005,'78. Distrib by purpose (detail)'!Q23,"*"))</f>
        <v>*</v>
      </c>
      <c r="R9" s="419">
        <f>IF('78. Distrib by purpose (detail)'!R23&gt;0.0005=0,,IF('78. Distrib by purpose (detail)'!R23&gt;0.0005,'78. Distrib by purpose (detail)'!R23,"*"))</f>
        <v>8.902257868270565E-3</v>
      </c>
      <c r="S9" s="419">
        <f>IF('78. Distrib by purpose (detail)'!S23&gt;0.0005=0,,IF('78. Distrib by purpose (detail)'!S23&gt;0.0005,'78. Distrib by purpose (detail)'!S23,"*"))</f>
        <v>2.6438356076724772E-2</v>
      </c>
      <c r="T9" s="419">
        <f>IF('78. Distrib by purpose (detail)'!T23&gt;0.0005=0,,IF('78. Distrib by purpose (detail)'!T23&gt;0.0005,'78. Distrib by purpose (detail)'!T23,"*"))</f>
        <v>1.5189131896571492E-2</v>
      </c>
    </row>
    <row r="10" spans="1:20" ht="24.75" customHeight="1">
      <c r="A10" s="1165" t="s">
        <v>1926</v>
      </c>
      <c r="B10" s="944" t="s">
        <v>911</v>
      </c>
      <c r="C10" s="225" t="s">
        <v>1794</v>
      </c>
      <c r="D10" s="1093">
        <f>IF('78. Distrib by purpose (detail)'!D27&gt;0.0005=0,,IF('78. Distrib by purpose (detail)'!D27&gt;0.0005,'78. Distrib by purpose (detail)'!D27,"*"))</f>
        <v>6.7140955608192519E-3</v>
      </c>
      <c r="E10" s="416">
        <f>IF('78. Distrib by purpose (detail)'!E27&gt;0.0005=0,,IF('78. Distrib by purpose (detail)'!E27&gt;0.0005,'78. Distrib by purpose (detail)'!E27,"*"))</f>
        <v>3.3383132171011551E-3</v>
      </c>
      <c r="F10" s="26">
        <f>IF('78. Distrib by purpose (detail)'!F27&gt;0.0005=0,,IF('78. Distrib by purpose (detail)'!F27&gt;0.0005,'78. Distrib by purpose (detail)'!F27,"*"))</f>
        <v>7.3081671629419082E-3</v>
      </c>
      <c r="G10" s="26">
        <f>IF('78. Distrib by purpose (detail)'!G27&gt;0.0005=0,,IF('78. Distrib by purpose (detail)'!G27&gt;0.0005,'78. Distrib by purpose (detail)'!G27,"*"))</f>
        <v>1.6067104567679021E-2</v>
      </c>
      <c r="H10" s="26">
        <f>IF('78. Distrib by purpose (detail)'!H27&gt;0.0005=0,,IF('78. Distrib by purpose (detail)'!H27&gt;0.0005,'78. Distrib by purpose (detail)'!H27,"*"))</f>
        <v>1.1335517993845297E-3</v>
      </c>
      <c r="I10" s="26">
        <f>IF('78. Distrib by purpose (detail)'!I27&gt;0.0005=0,,IF('78. Distrib by purpose (detail)'!I27&gt;0.0005,'78. Distrib by purpose (detail)'!I27,"*"))</f>
        <v>9.4771859482395415E-3</v>
      </c>
      <c r="J10" s="26">
        <f>IF('78. Distrib by purpose (detail)'!J27&gt;0.0005=0,,IF('78. Distrib by purpose (detail)'!J27&gt;0.0005,'78. Distrib by purpose (detail)'!J27,"*"))</f>
        <v>8.7675574561798079E-3</v>
      </c>
      <c r="K10" s="26">
        <f>IF('78. Distrib by purpose (detail)'!K27&gt;0.0005=0,,IF('78. Distrib by purpose (detail)'!K27&gt;0.0005,'78. Distrib by purpose (detail)'!K27,"*"))</f>
        <v>2.0579718067505956E-2</v>
      </c>
      <c r="L10" s="26">
        <f>IF('78. Distrib by purpose (detail)'!L27&gt;0.0005=0,,IF('78. Distrib by purpose (detail)'!L27&gt;0.0005,'78. Distrib by purpose (detail)'!L27,"*"))</f>
        <v>4.430640288565847E-3</v>
      </c>
      <c r="M10" s="26">
        <f>IF('78. Distrib by purpose (detail)'!M27&gt;0.0005=0,,IF('78. Distrib by purpose (detail)'!M27&gt;0.0005,'78. Distrib by purpose (detail)'!M27,"*"))</f>
        <v>6.439456455963233E-3</v>
      </c>
      <c r="N10" s="26">
        <f>IF('78. Distrib by purpose (detail)'!N27&gt;0.0005=0,,IF('78. Distrib by purpose (detail)'!N27&gt;0.0005,'78. Distrib by purpose (detail)'!N27,"*"))</f>
        <v>1.3253981330756857E-2</v>
      </c>
      <c r="O10" s="26">
        <f>IF('78. Distrib by purpose (detail)'!O27&gt;0.0005=0,,IF('78. Distrib by purpose (detail)'!O27&gt;0.0005,'78. Distrib by purpose (detail)'!O27,"*"))</f>
        <v>5.2888674603149711E-3</v>
      </c>
      <c r="P10" s="26">
        <f>IF('78. Distrib by purpose (detail)'!P27&gt;0.0005=0,,IF('78. Distrib by purpose (detail)'!P27&gt;0.0005,'78. Distrib by purpose (detail)'!P27,"*"))</f>
        <v>7.6501515058312528E-3</v>
      </c>
      <c r="Q10" s="26">
        <f>IF('78. Distrib by purpose (detail)'!Q27&gt;0.0005=0,,IF('78. Distrib by purpose (detail)'!Q27&gt;0.0005,'78. Distrib by purpose (detail)'!Q27,"*"))</f>
        <v>4.9937427083409534E-3</v>
      </c>
      <c r="R10" s="26">
        <f>IF('78. Distrib by purpose (detail)'!R27&gt;0.0005=0,,IF('78. Distrib by purpose (detail)'!R27&gt;0.0005,'78. Distrib by purpose (detail)'!R27,"*"))</f>
        <v>4.620084000179046E-3</v>
      </c>
      <c r="S10" s="26">
        <f>IF('78. Distrib by purpose (detail)'!S27&gt;0.0005=0,,IF('78. Distrib by purpose (detail)'!S27&gt;0.0005,'78. Distrib by purpose (detail)'!S27,"*"))</f>
        <v>5.2691514853668801E-3</v>
      </c>
      <c r="T10" s="26">
        <f>IF('78. Distrib by purpose (detail)'!T27&gt;0.0005=0,,IF('78. Distrib by purpose (detail)'!T27&gt;0.0005,'78. Distrib by purpose (detail)'!T27,"*"))</f>
        <v>6.1685407517937888E-3</v>
      </c>
    </row>
    <row r="11" spans="1:20" ht="39" customHeight="1">
      <c r="A11" s="1166"/>
      <c r="B11" s="945" t="s">
        <v>1344</v>
      </c>
      <c r="C11" s="223" t="s">
        <v>1799</v>
      </c>
      <c r="D11" s="1091">
        <f>IF('78. Distrib by purpose (detail)'!D32&gt;0.0005=0,,IF('78. Distrib by purpose (detail)'!D32&gt;0.0005,'78. Distrib by purpose (detail)'!D32,"*"))</f>
        <v>3.7062412457860559E-3</v>
      </c>
      <c r="E11" s="432">
        <f>IF('78. Distrib by purpose (detail)'!E32&gt;0.0005=0,,IF('78. Distrib by purpose (detail)'!E32&gt;0.0005,'78. Distrib by purpose (detail)'!E32,"*"))</f>
        <v>5.4632727566859326E-3</v>
      </c>
      <c r="F11" s="415" t="str">
        <f>IF('78. Distrib by purpose (detail)'!F32&gt;0.0005=0,,IF('78. Distrib by purpose (detail)'!F32&gt;0.0005,'78. Distrib by purpose (detail)'!F32,"*"))</f>
        <v>*</v>
      </c>
      <c r="G11" s="415" t="str">
        <f>IF('78. Distrib by purpose (detail)'!G32&gt;0.0005=0,,IF('78. Distrib by purpose (detail)'!G32&gt;0.0005,'78. Distrib by purpose (detail)'!G32,"*"))</f>
        <v>*</v>
      </c>
      <c r="H11" s="415">
        <f>IF('78. Distrib by purpose (detail)'!H32&gt;0.0005=0,,IF('78. Distrib by purpose (detail)'!H32&gt;0.0005,'78. Distrib by purpose (detail)'!H32,"*"))</f>
        <v>5.1918693581181731E-3</v>
      </c>
      <c r="I11" s="415">
        <f>IF('78. Distrib by purpose (detail)'!I32&gt;0.0005=0,,IF('78. Distrib by purpose (detail)'!I32&gt;0.0005,'78. Distrib by purpose (detail)'!I32,"*"))</f>
        <v>9.4027415555982419E-3</v>
      </c>
      <c r="J11" s="415" t="str">
        <f>IF('78. Distrib by purpose (detail)'!J32&gt;0.0005=0,,IF('78. Distrib by purpose (detail)'!J32&gt;0.0005,'78. Distrib by purpose (detail)'!J32,"*"))</f>
        <v>*</v>
      </c>
      <c r="K11" s="415">
        <f>IF('78. Distrib by purpose (detail)'!K32&gt;0.0005=0,,IF('78. Distrib by purpose (detail)'!K32&gt;0.0005,'78. Distrib by purpose (detail)'!K32,"*"))</f>
        <v>1.6134303487584354E-3</v>
      </c>
      <c r="L11" s="415">
        <f>IF('78. Distrib by purpose (detail)'!L32&gt;0.0005=0,,IF('78. Distrib by purpose (detail)'!L32&gt;0.0005,'78. Distrib by purpose (detail)'!L32,"*"))</f>
        <v>1.4731509977871936E-2</v>
      </c>
      <c r="M11" s="415" t="str">
        <f>IF('78. Distrib by purpose (detail)'!M32&gt;0.0005=0,,IF('78. Distrib by purpose (detail)'!M32&gt;0.0005,'78. Distrib by purpose (detail)'!M32,"*"))</f>
        <v>*</v>
      </c>
      <c r="N11" s="415" t="str">
        <f>IF('78. Distrib by purpose (detail)'!N32&gt;0.0005=0,,IF('78. Distrib by purpose (detail)'!N32&gt;0.0005,'78. Distrib by purpose (detail)'!N32,"*"))</f>
        <v>*</v>
      </c>
      <c r="O11" s="415" t="str">
        <f>IF('78. Distrib by purpose (detail)'!O32&gt;0.0005=0,,IF('78. Distrib by purpose (detail)'!O32&gt;0.0005,'78. Distrib by purpose (detail)'!O32,"*"))</f>
        <v>*</v>
      </c>
      <c r="P11" s="415">
        <f>IF('78. Distrib by purpose (detail)'!P32&gt;0.0005=0,,IF('78. Distrib by purpose (detail)'!P32&gt;0.0005,'78. Distrib by purpose (detail)'!P32,"*"))</f>
        <v>1.7644920585993969E-3</v>
      </c>
      <c r="Q11" s="415" t="str">
        <f>IF('78. Distrib by purpose (detail)'!Q32&gt;0.0005=0,,IF('78. Distrib by purpose (detail)'!Q32&gt;0.0005,'78. Distrib by purpose (detail)'!Q32,"*"))</f>
        <v>*</v>
      </c>
      <c r="R11" s="415">
        <f>IF('78. Distrib by purpose (detail)'!R32&gt;0.0005=0,,IF('78. Distrib by purpose (detail)'!R32&gt;0.0005,'78. Distrib by purpose (detail)'!R32,"*"))</f>
        <v>4.4974991410022388E-3</v>
      </c>
      <c r="S11" s="415" t="str">
        <f>IF('78. Distrib by purpose (detail)'!S32&gt;0.0005=0,,IF('78. Distrib by purpose (detail)'!S32&gt;0.0005,'78. Distrib by purpose (detail)'!S32,"*"))</f>
        <v>*</v>
      </c>
      <c r="T11" s="415" t="str">
        <f>IF('78. Distrib by purpose (detail)'!T32&gt;0.0005=0,,IF('78. Distrib by purpose (detail)'!T32&gt;0.0005,'78. Distrib by purpose (detail)'!T32,"*"))</f>
        <v>*</v>
      </c>
    </row>
    <row r="12" spans="1:20" ht="25.5" customHeight="1">
      <c r="A12" s="1166"/>
      <c r="B12" s="945" t="s">
        <v>1345</v>
      </c>
      <c r="C12" s="223" t="s">
        <v>1800</v>
      </c>
      <c r="D12" s="1094" t="str">
        <f>IF('78. Distrib by purpose (detail)'!D33&gt;0.0005=0,,IF('78. Distrib by purpose (detail)'!D33&gt;0.0005,'78. Distrib by purpose (detail)'!D33,"*"))</f>
        <v>*</v>
      </c>
      <c r="E12" s="801" t="str">
        <f>IF('78. Distrib by purpose (detail)'!E33&gt;0.0005=0,,IF('78. Distrib by purpose (detail)'!E33&gt;0.0005,'78. Distrib by purpose (detail)'!E33,"*"))</f>
        <v>*</v>
      </c>
      <c r="F12" s="802">
        <f>IF('78. Distrib by purpose (detail)'!F33&gt;0.0005=0,,IF('78. Distrib by purpose (detail)'!F33&gt;0.0005,'78. Distrib by purpose (detail)'!F33,"*"))</f>
        <v>1.6857247520371446E-3</v>
      </c>
      <c r="G12" s="802">
        <f>IF('78. Distrib by purpose (detail)'!G33&gt;0.0005=0,,IF('78. Distrib by purpose (detail)'!G33&gt;0.0005,'78. Distrib by purpose (detail)'!G33,"*"))</f>
        <v>4.9316294824778822E-3</v>
      </c>
      <c r="H12" s="802" t="str">
        <f>IF('78. Distrib by purpose (detail)'!H33&gt;0.0005=0,,IF('78. Distrib by purpose (detail)'!H33&gt;0.0005,'78. Distrib by purpose (detail)'!H33,"*"))</f>
        <v>*</v>
      </c>
      <c r="I12" s="802">
        <f>IF('78. Distrib by purpose (detail)'!I33&gt;0.0005=0,,IF('78. Distrib by purpose (detail)'!I33&gt;0.0005,'78. Distrib by purpose (detail)'!I33,"*"))</f>
        <v>8.1516578756885612E-4</v>
      </c>
      <c r="J12" s="802">
        <f>IF('78. Distrib by purpose (detail)'!J33&gt;0.0005=0,,IF('78. Distrib by purpose (detail)'!J33&gt;0.0005,'78. Distrib by purpose (detail)'!J33,"*"))</f>
        <v>1.4138944589383025E-3</v>
      </c>
      <c r="K12" s="802">
        <f>IF('78. Distrib by purpose (detail)'!K33&gt;0.0005=0,,IF('78. Distrib by purpose (detail)'!K33&gt;0.0005,'78. Distrib by purpose (detail)'!K33,"*"))</f>
        <v>5.5555457086067643E-4</v>
      </c>
      <c r="L12" s="802" t="str">
        <f>IF('78. Distrib by purpose (detail)'!L33&gt;0.0005=0,,IF('78. Distrib by purpose (detail)'!L33&gt;0.0005,'78. Distrib by purpose (detail)'!L33,"*"))</f>
        <v>*</v>
      </c>
      <c r="M12" s="802" t="str">
        <f>IF('78. Distrib by purpose (detail)'!M33&gt;0.0005=0,,IF('78. Distrib by purpose (detail)'!M33&gt;0.0005,'78. Distrib by purpose (detail)'!M33,"*"))</f>
        <v>*</v>
      </c>
      <c r="N12" s="802" t="str">
        <f>IF('78. Distrib by purpose (detail)'!N33&gt;0.0005=0,,IF('78. Distrib by purpose (detail)'!N33&gt;0.0005,'78. Distrib by purpose (detail)'!N33,"*"))</f>
        <v>*</v>
      </c>
      <c r="O12" s="802" t="str">
        <f>IF('78. Distrib by purpose (detail)'!O33&gt;0.0005=0,,IF('78. Distrib by purpose (detail)'!O33&gt;0.0005,'78. Distrib by purpose (detail)'!O33,"*"))</f>
        <v>*</v>
      </c>
      <c r="P12" s="802">
        <f>IF('78. Distrib by purpose (detail)'!P33&gt;0.0005=0,,IF('78. Distrib by purpose (detail)'!P33&gt;0.0005,'78. Distrib by purpose (detail)'!P33,"*"))</f>
        <v>8.3454789382140181E-4</v>
      </c>
      <c r="Q12" s="802">
        <f>IF('78. Distrib by purpose (detail)'!Q33&gt;0.0005=0,,IF('78. Distrib by purpose (detail)'!Q33&gt;0.0005,'78. Distrib by purpose (detail)'!Q33,"*"))</f>
        <v>1.0125791689324464E-3</v>
      </c>
      <c r="R12" s="802" t="str">
        <f>IF('78. Distrib by purpose (detail)'!R33&gt;0.0005=0,,IF('78. Distrib by purpose (detail)'!R33&gt;0.0005,'78. Distrib by purpose (detail)'!R33,"*"))</f>
        <v>*</v>
      </c>
      <c r="S12" s="802" t="str">
        <f>IF('78. Distrib by purpose (detail)'!S33&gt;0.0005=0,,IF('78. Distrib by purpose (detail)'!S33&gt;0.0005,'78. Distrib by purpose (detail)'!S33,"*"))</f>
        <v>*</v>
      </c>
      <c r="T12" s="802" t="str">
        <f>IF('78. Distrib by purpose (detail)'!T33&gt;0.0005=0,,IF('78. Distrib by purpose (detail)'!T33&gt;0.0005,'78. Distrib by purpose (detail)'!T33,"*"))</f>
        <v>*</v>
      </c>
    </row>
    <row r="13" spans="1:20" ht="48.75" customHeight="1">
      <c r="A13" s="1166"/>
      <c r="B13" s="945" t="s">
        <v>1771</v>
      </c>
      <c r="C13" s="223" t="s">
        <v>1804</v>
      </c>
      <c r="D13" s="1091">
        <f>IF('78. Distrib by purpose (detail)'!D37&gt;0.0005=0,,IF('78. Distrib by purpose (detail)'!D37&gt;0.0005,'78. Distrib by purpose (detail)'!D37,"*"))</f>
        <v>6.2299489040316285E-2</v>
      </c>
      <c r="E13" s="432">
        <f>IF('78. Distrib by purpose (detail)'!E37&gt;0.0005=0,,IF('78. Distrib by purpose (detail)'!E37&gt;0.0005,'78. Distrib by purpose (detail)'!E37,"*"))</f>
        <v>1.213987451564826E-2</v>
      </c>
      <c r="F13" s="415">
        <f>IF('78. Distrib by purpose (detail)'!F37&gt;0.0005=0,,IF('78. Distrib by purpose (detail)'!F37&gt;0.0005,'78. Distrib by purpose (detail)'!F37,"*"))</f>
        <v>2.8646388376762817E-2</v>
      </c>
      <c r="G13" s="415">
        <f>IF('78. Distrib by purpose (detail)'!G37&gt;0.0005=0,,IF('78. Distrib by purpose (detail)'!G37&gt;0.0005,'78. Distrib by purpose (detail)'!G37,"*"))</f>
        <v>7.2355091319736319E-3</v>
      </c>
      <c r="H13" s="415">
        <f>IF('78. Distrib by purpose (detail)'!H37&gt;0.0005=0,,IF('78. Distrib by purpose (detail)'!H37&gt;0.0005,'78. Distrib by purpose (detail)'!H37,"*"))</f>
        <v>0.11629155001375155</v>
      </c>
      <c r="I13" s="415">
        <f>IF('78. Distrib by purpose (detail)'!I37&gt;0.0005=0,,IF('78. Distrib by purpose (detail)'!I37&gt;0.0005,'78. Distrib by purpose (detail)'!I37,"*"))</f>
        <v>0.10225724384855564</v>
      </c>
      <c r="J13" s="415">
        <f>IF('78. Distrib by purpose (detail)'!J37&gt;0.0005=0,,IF('78. Distrib by purpose (detail)'!J37&gt;0.0005,'78. Distrib by purpose (detail)'!J37,"*"))</f>
        <v>7.6866802394694705E-2</v>
      </c>
      <c r="K13" s="415">
        <f>IF('78. Distrib by purpose (detail)'!K37&gt;0.0005=0,,IF('78. Distrib by purpose (detail)'!K37&gt;0.0005,'78. Distrib by purpose (detail)'!K37,"*"))</f>
        <v>6.2323662335128101E-2</v>
      </c>
      <c r="L13" s="415">
        <f>IF('78. Distrib by purpose (detail)'!L37&gt;0.0005=0,,IF('78. Distrib by purpose (detail)'!L37&gt;0.0005,'78. Distrib by purpose (detail)'!L37,"*"))</f>
        <v>3.1557056930587905E-2</v>
      </c>
      <c r="M13" s="415">
        <f>IF('78. Distrib by purpose (detail)'!M37&gt;0.0005=0,,IF('78. Distrib by purpose (detail)'!M37&gt;0.0005,'78. Distrib by purpose (detail)'!M37,"*"))</f>
        <v>1.6077943425260928E-2</v>
      </c>
      <c r="N13" s="415">
        <f>IF('78. Distrib by purpose (detail)'!N37&gt;0.0005=0,,IF('78. Distrib by purpose (detail)'!N37&gt;0.0005,'78. Distrib by purpose (detail)'!N37,"*"))</f>
        <v>4.94328973746955E-2</v>
      </c>
      <c r="O13" s="415">
        <f>IF('78. Distrib by purpose (detail)'!O37&gt;0.0005=0,,IF('78. Distrib by purpose (detail)'!O37&gt;0.0005,'78. Distrib by purpose (detail)'!O37,"*"))</f>
        <v>4.3196034019308695E-2</v>
      </c>
      <c r="P13" s="415">
        <f>IF('78. Distrib by purpose (detail)'!P37&gt;0.0005=0,,IF('78. Distrib by purpose (detail)'!P37&gt;0.0005,'78. Distrib by purpose (detail)'!P37,"*"))</f>
        <v>0.13250033261479785</v>
      </c>
      <c r="Q13" s="415">
        <f>IF('78. Distrib by purpose (detail)'!Q37&gt;0.0005=0,,IF('78. Distrib by purpose (detail)'!Q37&gt;0.0005,'78. Distrib by purpose (detail)'!Q37,"*"))</f>
        <v>0.14330688594468946</v>
      </c>
      <c r="R13" s="415">
        <f>IF('78. Distrib by purpose (detail)'!R37&gt;0.0005=0,,IF('78. Distrib by purpose (detail)'!R37&gt;0.0005,'78. Distrib by purpose (detail)'!R37,"*"))</f>
        <v>3.1237750532976925E-2</v>
      </c>
      <c r="S13" s="415">
        <f>IF('78. Distrib by purpose (detail)'!S37&gt;0.0005=0,,IF('78. Distrib by purpose (detail)'!S37&gt;0.0005,'78. Distrib by purpose (detail)'!S37,"*"))</f>
        <v>5.4329351101343445E-2</v>
      </c>
      <c r="T13" s="415">
        <f>IF('78. Distrib by purpose (detail)'!T37&gt;0.0005=0,,IF('78. Distrib by purpose (detail)'!T37&gt;0.0005,'78. Distrib by purpose (detail)'!T37,"*"))</f>
        <v>7.7674218995157196E-2</v>
      </c>
    </row>
    <row r="14" spans="1:20" ht="36" customHeight="1">
      <c r="A14" s="1168"/>
      <c r="B14" s="942" t="s">
        <v>1363</v>
      </c>
      <c r="C14" s="223" t="s">
        <v>1793</v>
      </c>
      <c r="D14" s="1091">
        <f>IF('78. Distrib by purpose (detail)'!D53&gt;0.0005=0,,IF('78. Distrib by purpose (detail)'!D53&gt;0.0005,'78. Distrib by purpose (detail)'!D53,"*"))</f>
        <v>6.0609669323393976E-2</v>
      </c>
      <c r="E14" s="432">
        <f>IF('78. Distrib by purpose (detail)'!E53&gt;0.0005=0,,IF('78. Distrib by purpose (detail)'!E53&gt;0.0005,'78. Distrib by purpose (detail)'!E53,"*"))</f>
        <v>0.16195213839105127</v>
      </c>
      <c r="F14" s="415" t="str">
        <f>IF('78. Distrib by purpose (detail)'!F53&gt;0.0005=0,,IF('78. Distrib by purpose (detail)'!F53&gt;0.0005,'78. Distrib by purpose (detail)'!F53,"*"))</f>
        <v>*</v>
      </c>
      <c r="G14" s="415" t="str">
        <f>IF('78. Distrib by purpose (detail)'!G53&gt;0.0005=0,,IF('78. Distrib by purpose (detail)'!G53&gt;0.0005,'78. Distrib by purpose (detail)'!G53,"*"))</f>
        <v>*</v>
      </c>
      <c r="H14" s="415">
        <f>IF('78. Distrib by purpose (detail)'!H53&gt;0.0005=0,,IF('78. Distrib by purpose (detail)'!H53&gt;0.0005,'78. Distrib by purpose (detail)'!H53,"*"))</f>
        <v>4.7672589073846673E-2</v>
      </c>
      <c r="I14" s="415">
        <f>IF('78. Distrib by purpose (detail)'!I53&gt;0.0005=0,,IF('78. Distrib by purpose (detail)'!I53&gt;0.0005,'78. Distrib by purpose (detail)'!I53,"*"))</f>
        <v>4.9892168159845537E-3</v>
      </c>
      <c r="J14" s="415">
        <f>IF('78. Distrib by purpose (detail)'!J53&gt;0.0005=0,,IF('78. Distrib by purpose (detail)'!J53&gt;0.0005,'78. Distrib by purpose (detail)'!J53,"*"))</f>
        <v>5.8043282588446168E-2</v>
      </c>
      <c r="K14" s="415">
        <f>IF('78. Distrib by purpose (detail)'!K53&gt;0.0005=0,,IF('78. Distrib by purpose (detail)'!K53&gt;0.0005,'78. Distrib by purpose (detail)'!K53,"*"))</f>
        <v>1.3784140700813068E-2</v>
      </c>
      <c r="L14" s="415" t="str">
        <f>IF('78. Distrib by purpose (detail)'!L53&gt;0.0005=0,,IF('78. Distrib by purpose (detail)'!L53&gt;0.0005,'78. Distrib by purpose (detail)'!L53,"*"))</f>
        <v>*</v>
      </c>
      <c r="M14" s="415">
        <f>IF('78. Distrib by purpose (detail)'!M53&gt;0.0005=0,,IF('78. Distrib by purpose (detail)'!M53&gt;0.0005,'78. Distrib by purpose (detail)'!M53,"*"))</f>
        <v>1.3945559714976985E-2</v>
      </c>
      <c r="N14" s="415">
        <f>IF('78. Distrib by purpose (detail)'!N53&gt;0.0005=0,,IF('78. Distrib by purpose (detail)'!N53&gt;0.0005,'78. Distrib by purpose (detail)'!N53,"*"))</f>
        <v>6.8180978105375309E-2</v>
      </c>
      <c r="O14" s="415">
        <f>IF('78. Distrib by purpose (detail)'!O53&gt;0.0005=0,,IF('78. Distrib by purpose (detail)'!O53&gt;0.0005,'78. Distrib by purpose (detail)'!O53,"*"))</f>
        <v>0.10301178320283955</v>
      </c>
      <c r="P14" s="415">
        <f>IF('78. Distrib by purpose (detail)'!P53&gt;0.0005=0,,IF('78. Distrib by purpose (detail)'!P53&gt;0.0005,'78. Distrib by purpose (detail)'!P53,"*"))</f>
        <v>9.7212468532027179E-3</v>
      </c>
      <c r="Q14" s="415">
        <f>IF('78. Distrib by purpose (detail)'!Q53&gt;0.0005=0,,IF('78. Distrib by purpose (detail)'!Q53&gt;0.0005,'78. Distrib by purpose (detail)'!Q53,"*"))</f>
        <v>1.3701021033454917E-2</v>
      </c>
      <c r="R14" s="415">
        <f>IF('78. Distrib by purpose (detail)'!R53&gt;0.0005=0,,IF('78. Distrib by purpose (detail)'!R53&gt;0.0005,'78. Distrib by purpose (detail)'!R53,"*"))</f>
        <v>0.12112531163327947</v>
      </c>
      <c r="S14" s="415">
        <f>IF('78. Distrib by purpose (detail)'!S53&gt;0.0005=0,,IF('78. Distrib by purpose (detail)'!S53&gt;0.0005,'78. Distrib by purpose (detail)'!S53,"*"))</f>
        <v>3.6749572824155093E-2</v>
      </c>
      <c r="T14" s="415">
        <f>IF('78. Distrib by purpose (detail)'!T53&gt;0.0005=0,,IF('78. Distrib by purpose (detail)'!T53&gt;0.0005,'78. Distrib by purpose (detail)'!T53,"*"))</f>
        <v>0.12892294511830771</v>
      </c>
    </row>
    <row r="15" spans="1:20" ht="37.5" customHeight="1">
      <c r="A15" s="1168"/>
      <c r="B15" s="942" t="s">
        <v>1822</v>
      </c>
      <c r="C15" s="223" t="s">
        <v>1819</v>
      </c>
      <c r="D15" s="1091">
        <f>IF('78. Distrib by purpose (detail)'!D54&gt;0.0005=0,,IF('78. Distrib by purpose (detail)'!D54&gt;0.0005,'78. Distrib by purpose (detail)'!D54,"*"))</f>
        <v>2.7391643155536015E-2</v>
      </c>
      <c r="E15" s="432" t="str">
        <f>IF('78. Distrib by purpose (detail)'!E54&gt;0.0005=0,,IF('78. Distrib by purpose (detail)'!E54&gt;0.0005,'78. Distrib by purpose (detail)'!E54,"*"))</f>
        <v>*</v>
      </c>
      <c r="F15" s="415">
        <f>IF('78. Distrib by purpose (detail)'!F54&gt;0.0005=0,,IF('78. Distrib by purpose (detail)'!F54&gt;0.0005,'78. Distrib by purpose (detail)'!F54,"*"))</f>
        <v>9.1960677853073255E-2</v>
      </c>
      <c r="G15" s="415" t="str">
        <f>IF('78. Distrib by purpose (detail)'!G54&gt;0.0005=0,,IF('78. Distrib by purpose (detail)'!G54&gt;0.0005,'78. Distrib by purpose (detail)'!G54,"*"))</f>
        <v>*</v>
      </c>
      <c r="H15" s="415" t="str">
        <f>IF('78. Distrib by purpose (detail)'!H54&gt;0.0005=0,,IF('78. Distrib by purpose (detail)'!H54&gt;0.0005,'78. Distrib by purpose (detail)'!H54,"*"))</f>
        <v>*</v>
      </c>
      <c r="I15" s="415">
        <f>IF('78. Distrib by purpose (detail)'!I54&gt;0.0005=0,,IF('78. Distrib by purpose (detail)'!I54&gt;0.0005,'78. Distrib by purpose (detail)'!I54,"*"))</f>
        <v>5.2883749240625159E-2</v>
      </c>
      <c r="J15" s="415" t="str">
        <f>IF('78. Distrib by purpose (detail)'!J54&gt;0.0005=0,,IF('78. Distrib by purpose (detail)'!J54&gt;0.0005,'78. Distrib by purpose (detail)'!J54,"*"))</f>
        <v>*</v>
      </c>
      <c r="K15" s="415">
        <f>IF('78. Distrib by purpose (detail)'!K54&gt;0.0005=0,,IF('78. Distrib by purpose (detail)'!K54&gt;0.0005,'78. Distrib by purpose (detail)'!K54,"*"))</f>
        <v>0.1030476135398227</v>
      </c>
      <c r="L15" s="415">
        <f>IF('78. Distrib by purpose (detail)'!L54&gt;0.0005=0,,IF('78. Distrib by purpose (detail)'!L54&gt;0.0005,'78. Distrib by purpose (detail)'!L54,"*"))</f>
        <v>7.6634843741104824E-2</v>
      </c>
      <c r="M15" s="415">
        <f>IF('78. Distrib by purpose (detail)'!M54&gt;0.0005=0,,IF('78. Distrib by purpose (detail)'!M54&gt;0.0005,'78. Distrib by purpose (detail)'!M54,"*"))</f>
        <v>0.14311768885624185</v>
      </c>
      <c r="N15" s="415" t="str">
        <f>IF('78. Distrib by purpose (detail)'!N54&gt;0.0005=0,,IF('78. Distrib by purpose (detail)'!N54&gt;0.0005,'78. Distrib by purpose (detail)'!N54,"*"))</f>
        <v>*</v>
      </c>
      <c r="O15" s="415" t="str">
        <f>IF('78. Distrib by purpose (detail)'!O54&gt;0.0005=0,,IF('78. Distrib by purpose (detail)'!O54&gt;0.0005,'78. Distrib by purpose (detail)'!O54,"*"))</f>
        <v>*</v>
      </c>
      <c r="P15" s="415">
        <f>IF('78. Distrib by purpose (detail)'!P54&gt;0.0005=0,,IF('78. Distrib by purpose (detail)'!P54&gt;0.0005,'78. Distrib by purpose (detail)'!P54,"*"))</f>
        <v>6.0436476254311117E-2</v>
      </c>
      <c r="Q15" s="415">
        <f>IF('78. Distrib by purpose (detail)'!Q54&gt;0.0005=0,,IF('78. Distrib by purpose (detail)'!Q54&gt;0.0005,'78. Distrib by purpose (detail)'!Q54,"*"))</f>
        <v>7.3286039160551084E-2</v>
      </c>
      <c r="R15" s="415" t="str">
        <f>IF('78. Distrib by purpose (detail)'!R54&gt;0.0005=0,,IF('78. Distrib by purpose (detail)'!R54&gt;0.0005,'78. Distrib by purpose (detail)'!R54,"*"))</f>
        <v>*</v>
      </c>
      <c r="S15" s="415" t="str">
        <f>IF('78. Distrib by purpose (detail)'!S54&gt;0.0005=0,,IF('78. Distrib by purpose (detail)'!S54&gt;0.0005,'78. Distrib by purpose (detail)'!S54,"*"))</f>
        <v>*</v>
      </c>
      <c r="T15" s="415">
        <f>IF('78. Distrib by purpose (detail)'!T54&gt;0.0005=0,,IF('78. Distrib by purpose (detail)'!T54&gt;0.0005,'78. Distrib by purpose (detail)'!T54,"*"))</f>
        <v>2.9821537446854857E-2</v>
      </c>
    </row>
    <row r="16" spans="1:20" ht="45.75" customHeight="1">
      <c r="A16" s="1167"/>
      <c r="B16" s="946" t="s">
        <v>1823</v>
      </c>
      <c r="C16" s="1020" t="s">
        <v>1820</v>
      </c>
      <c r="D16" s="1095">
        <f>IF('78. Distrib by purpose (detail)'!D55&gt;0.0005=0,,IF('78. Distrib by purpose (detail)'!D55&gt;0.0005,'78. Distrib by purpose (detail)'!D55,"*"))</f>
        <v>7.4926054118442682E-3</v>
      </c>
      <c r="E16" s="417">
        <f>IF('78. Distrib by purpose (detail)'!E55&gt;0.0005=0,,IF('78. Distrib by purpose (detail)'!E55&gt;0.0005,'78. Distrib by purpose (detail)'!E55,"*"))</f>
        <v>3.474025043999416E-3</v>
      </c>
      <c r="F16" s="15" t="str">
        <f>IF('78. Distrib by purpose (detail)'!F55&gt;0.0005=0,,IF('78. Distrib by purpose (detail)'!F55&gt;0.0005,'78. Distrib by purpose (detail)'!F55,"*"))</f>
        <v>*</v>
      </c>
      <c r="G16" s="15" t="str">
        <f>IF('78. Distrib by purpose (detail)'!G55&gt;0.0005=0,,IF('78. Distrib by purpose (detail)'!G55&gt;0.0005,'78. Distrib by purpose (detail)'!G55,"*"))</f>
        <v>*</v>
      </c>
      <c r="H16" s="15" t="str">
        <f>IF('78. Distrib by purpose (detail)'!H55&gt;0.0005=0,,IF('78. Distrib by purpose (detail)'!H55&gt;0.0005,'78. Distrib by purpose (detail)'!H55,"*"))</f>
        <v>*</v>
      </c>
      <c r="I16" s="15">
        <f>IF('78. Distrib by purpose (detail)'!I55&gt;0.0005=0,,IF('78. Distrib by purpose (detail)'!I55&gt;0.0005,'78. Distrib by purpose (detail)'!I55,"*"))</f>
        <v>1.7560016035491073E-2</v>
      </c>
      <c r="J16" s="15" t="str">
        <f>IF('78. Distrib by purpose (detail)'!J55&gt;0.0005=0,,IF('78. Distrib by purpose (detail)'!J55&gt;0.0005,'78. Distrib by purpose (detail)'!J55,"*"))</f>
        <v>*</v>
      </c>
      <c r="K16" s="15" t="str">
        <f>IF('78. Distrib by purpose (detail)'!K55&gt;0.0005=0,,IF('78. Distrib by purpose (detail)'!K55&gt;0.0005,'78. Distrib by purpose (detail)'!K55,"*"))</f>
        <v>*</v>
      </c>
      <c r="L16" s="15">
        <f>IF('78. Distrib by purpose (detail)'!L55&gt;0.0005=0,,IF('78. Distrib by purpose (detail)'!L55&gt;0.0005,'78. Distrib by purpose (detail)'!L55,"*"))</f>
        <v>7.1291434310826046E-2</v>
      </c>
      <c r="M16" s="15" t="str">
        <f>IF('78. Distrib by purpose (detail)'!M55&gt;0.0005=0,,IF('78. Distrib by purpose (detail)'!M55&gt;0.0005,'78. Distrib by purpose (detail)'!M55,"*"))</f>
        <v>*</v>
      </c>
      <c r="N16" s="15">
        <f>IF('78. Distrib by purpose (detail)'!N55&gt;0.0005=0,,IF('78. Distrib by purpose (detail)'!N55&gt;0.0005,'78. Distrib by purpose (detail)'!N55,"*"))</f>
        <v>5.3205062889588621E-3</v>
      </c>
      <c r="O16" s="15" t="str">
        <f>IF('78. Distrib by purpose (detail)'!O55&gt;0.0005=0,,IF('78. Distrib by purpose (detail)'!O55&gt;0.0005,'78. Distrib by purpose (detail)'!O55,"*"))</f>
        <v>*</v>
      </c>
      <c r="P16" s="15" t="str">
        <f>IF('78. Distrib by purpose (detail)'!P55&gt;0.0005=0,,IF('78. Distrib by purpose (detail)'!P55&gt;0.0005,'78. Distrib by purpose (detail)'!P55,"*"))</f>
        <v>*</v>
      </c>
      <c r="Q16" s="15">
        <f>IF('78. Distrib by purpose (detail)'!Q55&gt;0.0005=0,,IF('78. Distrib by purpose (detail)'!Q55&gt;0.0005,'78. Distrib by purpose (detail)'!Q55,"*"))</f>
        <v>3.8755434052740669E-3</v>
      </c>
      <c r="R16" s="15" t="str">
        <f>IF('78. Distrib by purpose (detail)'!R55&gt;0.0005=0,,IF('78. Distrib by purpose (detail)'!R55&gt;0.0005,'78. Distrib by purpose (detail)'!R55,"*"))</f>
        <v>*</v>
      </c>
      <c r="S16" s="15">
        <f>IF('78. Distrib by purpose (detail)'!S55&gt;0.0005=0,,IF('78. Distrib by purpose (detail)'!S55&gt;0.0005,'78. Distrib by purpose (detail)'!S55,"*"))</f>
        <v>8.3288685414149057E-3</v>
      </c>
      <c r="T16" s="15" t="str">
        <f>IF('78. Distrib by purpose (detail)'!T55&gt;0.0005=0,,IF('78. Distrib by purpose (detail)'!T55&gt;0.0005,'78. Distrib by purpose (detail)'!T55,"*"))</f>
        <v>*</v>
      </c>
    </row>
    <row r="17" spans="1:20" s="123" customFormat="1" ht="16.5" customHeight="1">
      <c r="A17" s="73"/>
      <c r="B17" s="421" t="s">
        <v>44</v>
      </c>
      <c r="C17" s="422"/>
      <c r="D17" s="423">
        <f>SUM(D7:D8:D16)</f>
        <v>0.99829785435571983</v>
      </c>
      <c r="E17" s="423">
        <f>SUM(E7:E8:E16)</f>
        <v>0.99936461902399987</v>
      </c>
      <c r="F17" s="423">
        <f>SUM(F7:F8:F16)</f>
        <v>0.99886302371112379</v>
      </c>
      <c r="G17" s="423">
        <f>SUM(G7:G8:G16)</f>
        <v>0.99911131395453601</v>
      </c>
      <c r="H17" s="423">
        <f>SUM(H7:H8:H16)</f>
        <v>0.99878549387853688</v>
      </c>
      <c r="I17" s="423">
        <f>SUM(I7:I8:I16)</f>
        <v>0.99909591857531466</v>
      </c>
      <c r="J17" s="423">
        <f>SUM(J7:J8:J16)</f>
        <v>0.99926881385081612</v>
      </c>
      <c r="K17" s="423">
        <f>SUM(K7:K8:K16)</f>
        <v>0.99956720785993303</v>
      </c>
      <c r="L17" s="423">
        <f>SUM(L7:L8:L16)</f>
        <v>0.9995984169477834</v>
      </c>
      <c r="M17" s="423">
        <f>SUM(M7:M8:M16)</f>
        <v>0.99884326444885052</v>
      </c>
      <c r="N17" s="423">
        <f>SUM(N7:N8:N16)</f>
        <v>0.99901370477777651</v>
      </c>
      <c r="O17" s="423">
        <f>SUM(O7:O8:O16)</f>
        <v>0.99994421053214577</v>
      </c>
      <c r="P17" s="423">
        <f>SUM(P7:P8:P16)</f>
        <v>0.99954909108021406</v>
      </c>
      <c r="Q17" s="423">
        <f>SUM(Q7:Q8:Q16)</f>
        <v>0.99984998525983226</v>
      </c>
      <c r="R17" s="423">
        <f>SUM(R7:R8:R16)</f>
        <v>1</v>
      </c>
      <c r="S17" s="423">
        <f>SUM(S7:S8:S16)</f>
        <v>0.99895136852374522</v>
      </c>
      <c r="T17" s="947">
        <f>SUM(T7:T8:T16)</f>
        <v>0.99874737856546714</v>
      </c>
    </row>
    <row r="18" spans="1:20" ht="39.75" customHeight="1">
      <c r="A18" s="1162" t="s">
        <v>1927</v>
      </c>
      <c r="B18" s="1163"/>
      <c r="C18" s="1163"/>
      <c r="D18" s="1163"/>
      <c r="E18" s="1163"/>
      <c r="F18" s="1163"/>
      <c r="G18" s="1163"/>
      <c r="H18" s="1163"/>
      <c r="I18" s="1163"/>
      <c r="J18" s="1163"/>
      <c r="K18" s="1163"/>
      <c r="L18" s="1163"/>
      <c r="M18" s="1163"/>
      <c r="N18" s="1163"/>
      <c r="O18" s="1163"/>
      <c r="P18" s="1163"/>
      <c r="Q18" s="1163"/>
      <c r="R18" s="1163"/>
      <c r="S18" s="1163"/>
      <c r="T18" s="1163"/>
    </row>
    <row r="19" spans="1:20" ht="14.25" customHeight="1">
      <c r="A19" s="70" t="s">
        <v>639</v>
      </c>
      <c r="B19" s="71"/>
      <c r="C19" s="71"/>
      <c r="D19" s="71"/>
      <c r="E19" s="71"/>
      <c r="F19" s="71"/>
      <c r="G19" s="71"/>
      <c r="H19" s="71"/>
      <c r="I19" s="71"/>
      <c r="J19" s="71"/>
      <c r="K19" s="186"/>
      <c r="L19" s="186"/>
      <c r="M19" s="187"/>
      <c r="N19" s="71"/>
      <c r="O19" s="71"/>
      <c r="P19" s="71"/>
      <c r="Q19" s="71"/>
      <c r="R19" s="71"/>
      <c r="S19" s="71"/>
      <c r="T19" s="72"/>
    </row>
    <row r="20" spans="1:20" ht="15" customHeight="1">
      <c r="A20" s="70" t="s">
        <v>1599</v>
      </c>
      <c r="B20" s="71"/>
      <c r="C20" s="71"/>
      <c r="D20" s="71"/>
      <c r="E20" s="71"/>
      <c r="F20" s="71"/>
      <c r="G20" s="71"/>
      <c r="H20" s="71"/>
      <c r="I20" s="71"/>
      <c r="J20" s="71"/>
      <c r="K20" s="186"/>
      <c r="L20" s="186"/>
      <c r="M20" s="187"/>
      <c r="N20" s="71"/>
      <c r="O20" s="71"/>
      <c r="P20" s="71"/>
      <c r="Q20" s="71"/>
      <c r="R20" s="71"/>
      <c r="S20" s="71"/>
      <c r="T20" s="72"/>
    </row>
    <row r="21" spans="1:20" ht="12" customHeight="1">
      <c r="A21" s="72" t="s">
        <v>41</v>
      </c>
      <c r="B21" s="71"/>
      <c r="C21" s="71"/>
      <c r="D21" s="71"/>
      <c r="E21" s="71"/>
      <c r="F21" s="71"/>
      <c r="G21" s="71"/>
      <c r="H21" s="71"/>
      <c r="I21" s="71"/>
      <c r="J21" s="71"/>
      <c r="K21" s="186"/>
      <c r="L21" s="186"/>
      <c r="M21" s="187"/>
      <c r="N21" s="71"/>
      <c r="O21" s="71"/>
      <c r="P21" s="71"/>
      <c r="Q21" s="71"/>
      <c r="R21" s="71"/>
      <c r="S21" s="71"/>
      <c r="T21" s="72"/>
    </row>
    <row r="22" spans="1:20">
      <c r="T22" s="805" t="s">
        <v>2058</v>
      </c>
    </row>
    <row r="24" spans="1:20">
      <c r="H24" s="253"/>
    </row>
  </sheetData>
  <mergeCells count="5">
    <mergeCell ref="A18:T18"/>
    <mergeCell ref="A2:T2"/>
    <mergeCell ref="A3:T3"/>
    <mergeCell ref="A5:A9"/>
    <mergeCell ref="A10:A16"/>
  </mergeCells>
  <phoneticPr fontId="5" type="noConversion"/>
  <printOptions horizontalCentered="1"/>
  <pageMargins left="0.3" right="0.3" top="0.75" bottom="0.5" header="0.75" footer="0.5"/>
  <pageSetup scale="91" firstPageNumber="84" orientation="landscape" useFirstPageNumber="1" r:id="rId1"/>
  <headerFooter alignWithMargins="0">
    <oddHeader>&amp;R&amp;"Arial,Regular"&amp;8SREB-State Data Exchange</oddHeader>
    <oddFooter>&amp;C&amp;"Arial,Regular"&amp;P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indexed="16"/>
  </sheetPr>
  <dimension ref="A1:AX63"/>
  <sheetViews>
    <sheetView showGridLines="0" showZeros="0" view="pageBreakPreview" zoomScaleNormal="100" zoomScaleSheetLayoutView="100" workbookViewId="0">
      <pane xSplit="1" ySplit="4" topLeftCell="B5" activePane="bottomRight" state="frozen"/>
      <selection activeCell="O232" sqref="O232"/>
      <selection pane="topRight" activeCell="O232" sqref="O232"/>
      <selection pane="bottomLeft" activeCell="O232" sqref="O232"/>
      <selection pane="bottomRight" activeCell="T59" sqref="T59"/>
    </sheetView>
  </sheetViews>
  <sheetFormatPr defaultColWidth="8.875" defaultRowHeight="12.75"/>
  <cols>
    <col min="1" max="1" width="10" style="7" customWidth="1"/>
    <col min="2" max="2" width="29.625" style="61" customWidth="1"/>
    <col min="3" max="3" width="3.875" style="411" hidden="1" customWidth="1"/>
    <col min="4" max="4" width="5.875" style="18" customWidth="1"/>
    <col min="5" max="5" width="5.875" style="6" customWidth="1"/>
    <col min="6" max="6" width="6.125" style="6" customWidth="1"/>
    <col min="7" max="7" width="5.375" style="6" customWidth="1"/>
    <col min="8" max="8" width="5.875" style="46" customWidth="1"/>
    <col min="9" max="14" width="5.875" style="6" customWidth="1"/>
    <col min="15" max="15" width="5.5" style="6" customWidth="1"/>
    <col min="16" max="16" width="5.375" style="6" customWidth="1"/>
    <col min="17" max="17" width="5.625" style="6" customWidth="1"/>
    <col min="18" max="19" width="5.875" style="6" customWidth="1"/>
    <col min="20" max="20" width="5.875" style="7" customWidth="1"/>
    <col min="21" max="16384" width="8.875" style="6"/>
  </cols>
  <sheetData>
    <row r="1" spans="1:50" s="61" customFormat="1" ht="18">
      <c r="A1" s="136" t="s">
        <v>1372</v>
      </c>
      <c r="B1" s="124"/>
      <c r="C1" s="407"/>
      <c r="D1" s="124"/>
      <c r="E1" s="124"/>
      <c r="F1" s="124"/>
      <c r="G1" s="124"/>
      <c r="H1" s="137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01"/>
    </row>
    <row r="2" spans="1:50" s="140" customFormat="1" ht="18.75">
      <c r="A2" s="138" t="s">
        <v>383</v>
      </c>
      <c r="B2" s="125"/>
      <c r="C2" s="408"/>
      <c r="D2" s="414"/>
      <c r="E2" s="139"/>
      <c r="F2" s="139"/>
      <c r="G2" s="139"/>
      <c r="H2" s="101"/>
      <c r="I2" s="139"/>
      <c r="J2" s="139"/>
      <c r="K2" s="101"/>
      <c r="L2" s="101"/>
      <c r="M2" s="101"/>
      <c r="N2" s="139"/>
      <c r="O2" s="139"/>
      <c r="P2" s="139"/>
      <c r="Q2" s="139"/>
      <c r="R2" s="139"/>
      <c r="S2" s="139"/>
      <c r="T2" s="101"/>
    </row>
    <row r="3" spans="1:50" s="140" customFormat="1" ht="15.75">
      <c r="A3" s="138" t="s">
        <v>103</v>
      </c>
      <c r="B3" s="125"/>
      <c r="C3" s="408"/>
      <c r="D3" s="412"/>
      <c r="E3" s="139"/>
      <c r="F3" s="139"/>
      <c r="G3" s="139"/>
      <c r="H3" s="101"/>
      <c r="I3" s="139"/>
      <c r="J3" s="139"/>
      <c r="K3" s="101"/>
      <c r="L3" s="101"/>
      <c r="M3" s="101"/>
      <c r="N3" s="139"/>
      <c r="O3" s="139"/>
      <c r="P3" s="139"/>
      <c r="Q3" s="139"/>
      <c r="R3" s="139"/>
      <c r="S3" s="139"/>
      <c r="T3" s="101"/>
    </row>
    <row r="4" spans="1:50" s="84" customFormat="1" ht="12.75" customHeight="1">
      <c r="A4" s="80"/>
      <c r="B4" s="126"/>
      <c r="C4" s="409" t="s">
        <v>1775</v>
      </c>
      <c r="D4" s="79" t="s">
        <v>654</v>
      </c>
      <c r="E4" s="81" t="s">
        <v>1270</v>
      </c>
      <c r="F4" s="82" t="s">
        <v>1271</v>
      </c>
      <c r="G4" s="82" t="s">
        <v>1276</v>
      </c>
      <c r="H4" s="82" t="s">
        <v>1277</v>
      </c>
      <c r="I4" s="82" t="s">
        <v>1272</v>
      </c>
      <c r="J4" s="83" t="s">
        <v>1278</v>
      </c>
      <c r="K4" s="83" t="s">
        <v>1273</v>
      </c>
      <c r="L4" s="83" t="s">
        <v>1279</v>
      </c>
      <c r="M4" s="83" t="s">
        <v>1280</v>
      </c>
      <c r="N4" s="83" t="s">
        <v>1281</v>
      </c>
      <c r="O4" s="83" t="s">
        <v>1282</v>
      </c>
      <c r="P4" s="83" t="s">
        <v>1274</v>
      </c>
      <c r="Q4" s="83" t="s">
        <v>1283</v>
      </c>
      <c r="R4" s="83" t="s">
        <v>1275</v>
      </c>
      <c r="S4" s="83" t="s">
        <v>1284</v>
      </c>
      <c r="T4" s="83" t="s">
        <v>1285</v>
      </c>
    </row>
    <row r="5" spans="1:50" ht="27">
      <c r="A5" s="1169" t="s">
        <v>1925</v>
      </c>
      <c r="B5" s="803" t="s">
        <v>1929</v>
      </c>
      <c r="C5" s="812" t="s">
        <v>1776</v>
      </c>
      <c r="D5" s="806">
        <f>IF(GETPIVOTDATA("Total-New",'Distrib pivot table'!$C$2,"group","1A")/GETPIVOTDATA("Total-New",'Distrib pivot table'!$C$2)=0,,IF(GETPIVOTDATA("Total-New",'Distrib pivot table'!$C$2,"group","1A")/GETPIVOTDATA("Total-New",'Distrib pivot table'!$C$2)&gt;0.0005,GETPIVOTDATA("Total-New",'Distrib pivot table'!$C$2,"group","1A")/GETPIVOTDATA("Total-New",'Distrib pivot table'!$C$2),"*"))</f>
        <v>0.78349560440556687</v>
      </c>
      <c r="E5" s="807">
        <f>IF((GETPIVOTDATA("Total-New",'Distrib pivot table'!$C$2,"state","AL","group","1A")/GETPIVOTDATA("Total-New",'Distrib pivot table'!$C$2,"state","AL"))=0,,IF(GETPIVOTDATA("Total-New",'Distrib pivot table'!$C$2,"state","AL","group","1A")/GETPIVOTDATA("Total-New",'Distrib pivot table'!$C$2,"state","AL")&gt;0.0005,GETPIVOTDATA("Total-New",'Distrib pivot table'!$C$2,"state","AL","group","1A")/GETPIVOTDATA("Total-New",'Distrib pivot table'!$C$2,"state","AL"),"*"))</f>
        <v>0.74220623252298201</v>
      </c>
      <c r="F5" s="807">
        <f>IF((GETPIVOTDATA("Total-New",'Distrib pivot table'!$C$2,"state","AR","group","1A")/GETPIVOTDATA("Total-New",'Distrib pivot table'!$C$2,"state","AR"))=0,,IF(GETPIVOTDATA("Total-New",'Distrib pivot table'!$C$2,"state","AR","group","1A")/GETPIVOTDATA("Total-New",'Distrib pivot table'!$C$2,"state","AR")&gt;0.0005,GETPIVOTDATA("Total-New",'Distrib pivot table'!$C$2,"state","AR","group","1A")/GETPIVOTDATA("Total-New",'Distrib pivot table'!$C$2,"state","AR"),"*"))</f>
        <v>0.79972564729861462</v>
      </c>
      <c r="G5" s="807">
        <f>IF((GETPIVOTDATA("Total-New",'Distrib pivot table'!$C$2,"state","DE","group","1A")/GETPIVOTDATA("Total-New",'Distrib pivot table'!$C$2,"state","DE"))=0,,IF(GETPIVOTDATA("Total-New",'Distrib pivot table'!$C$2,"state","DE","group","1A")/GETPIVOTDATA("Total-New",'Distrib pivot table'!$C$2,"state","DE")&gt;0.0005,GETPIVOTDATA("Total-New",'Distrib pivot table'!$C$2,"state","DE","group","1A")/GETPIVOTDATA("Total-New",'Distrib pivot table'!$C$2,"state","DE"),"*"))</f>
        <v>0.9527192031805064</v>
      </c>
      <c r="H5" s="807">
        <f>IF((GETPIVOTDATA("Total-New",'Distrib pivot table'!$C$2,"state","FL","group","1A")/GETPIVOTDATA("Total-New",'Distrib pivot table'!$C$2,"state","FL"))=0,,IF(GETPIVOTDATA("Total-New",'Distrib pivot table'!$C$2,"state","FL","group","1A")/GETPIVOTDATA("Total-New",'Distrib pivot table'!$C$2,"state","FL")&gt;0.0005,GETPIVOTDATA("Total-New",'Distrib pivot table'!$C$2,"state","FL","group","1A")/GETPIVOTDATA("Total-New",'Distrib pivot table'!$C$2,"state","FL"),"*"))</f>
        <v>0.78325326119283634</v>
      </c>
      <c r="I5" s="807">
        <f>IF((GETPIVOTDATA("Total-New",'Distrib pivot table'!$C$2,"state","GA","group","1A")/GETPIVOTDATA("Total-New",'Distrib pivot table'!$C$2,"state","GA"))=0,,IF(GETPIVOTDATA("Total-New",'Distrib pivot table'!$C$2,"state","GA","group","1A")/GETPIVOTDATA("Total-New",'Distrib pivot table'!$C$2,"state","GA")&gt;0.0005,GETPIVOTDATA("Total-New",'Distrib pivot table'!$C$2,"state","GA","group","1A")/GETPIVOTDATA("Total-New",'Distrib pivot table'!$C$2,"state","GA"),"*"))</f>
        <v>0.76411851422167965</v>
      </c>
      <c r="J5" s="807">
        <f>IF((GETPIVOTDATA("Total-New",'Distrib pivot table'!$C$2,"state","KY","group","1A")/GETPIVOTDATA("Total-New",'Distrib pivot table'!$C$2,"state","KY"))=0,,IF(GETPIVOTDATA("Total-New",'Distrib pivot table'!$C$2,"state","KY","group","1A")/GETPIVOTDATA("Total-New",'Distrib pivot table'!$C$2,"state","KY")&gt;0.0005,GETPIVOTDATA("Total-New",'Distrib pivot table'!$C$2,"state","KY","group","1A")/GETPIVOTDATA("Total-New",'Distrib pivot table'!$C$2,"state","KY"),"*"))</f>
        <v>0.78684653334226062</v>
      </c>
      <c r="K5" s="807">
        <f>IF((GETPIVOTDATA("Total-New",'Distrib pivot table'!$C$2,"state","LA","group","1A")/GETPIVOTDATA("Total-New",'Distrib pivot table'!$C$2,"state","LA"))=0,,IF(GETPIVOTDATA("Total-New",'Distrib pivot table'!$C$2,"state","LA","group","1A")/GETPIVOTDATA("Total-New",'Distrib pivot table'!$C$2,"state","LA")&gt;0.0005,GETPIVOTDATA("Total-New",'Distrib pivot table'!$C$2,"state","LA","group","1A")/GETPIVOTDATA("Total-New",'Distrib pivot table'!$C$2,"state","LA"),"*"))</f>
        <v>0.71615413089102442</v>
      </c>
      <c r="L5" s="807">
        <f>IF((GETPIVOTDATA("Total-New",'Distrib pivot table'!$C$2,"state","MD","group","1A")/GETPIVOTDATA("Total-New",'Distrib pivot table'!$C$2,"state","MD"))=0,,IF(GETPIVOTDATA("Total-New",'Distrib pivot table'!$C$2,"state","MD","group","1A")/GETPIVOTDATA("Total-New",'Distrib pivot table'!$C$2,"state","MD")&gt;0.0005,GETPIVOTDATA("Total-New",'Distrib pivot table'!$C$2,"state","MD","group","1A")/GETPIVOTDATA("Total-New",'Distrib pivot table'!$C$2,"state","MD"),"*"))</f>
        <v>0.7770419331442594</v>
      </c>
      <c r="M5" s="807">
        <f>IF((GETPIVOTDATA("Total-New",'Distrib pivot table'!$C$2,"state","MS","group","1A")/GETPIVOTDATA("Total-New",'Distrib pivot table'!$C$2,"state","MS"))=0,,IF(GETPIVOTDATA("Total-New",'Distrib pivot table'!$C$2,"state","MS","group","1A")/GETPIVOTDATA("Total-New",'Distrib pivot table'!$C$2,"state","MS")&gt;0.0005,GETPIVOTDATA("Total-New",'Distrib pivot table'!$C$2,"state","MS","group","1A")/GETPIVOTDATA("Total-New",'Distrib pivot table'!$C$2,"state","MS"),"*"))</f>
        <v>0.73565003300573484</v>
      </c>
      <c r="N5" s="807">
        <f>IF((GETPIVOTDATA("Total-New",'Distrib pivot table'!$C$2,"state","NC","group","1A")/GETPIVOTDATA("Total-New",'Distrib pivot table'!$C$2,"state","NC"))=0,,IF(GETPIVOTDATA("Total-New",'Distrib pivot table'!$C$2,"state","NC","group","1A")/GETPIVOTDATA("Total-New",'Distrib pivot table'!$C$2,"state","NC")&gt;0.0005,GETPIVOTDATA("Total-New",'Distrib pivot table'!$C$2,"state","NC","group","1A")/GETPIVOTDATA("Total-New",'Distrib pivot table'!$C$2,"state","NC"),"*"))</f>
        <v>0.79632476530836871</v>
      </c>
      <c r="O5" s="807">
        <f>IF((GETPIVOTDATA("Total-New",'Distrib pivot table'!$C$2,"state","OK","group","1A")/GETPIVOTDATA("Total-New",'Distrib pivot table'!$C$2,"state","OK"))=0,,IF(GETPIVOTDATA("Total-New",'Distrib pivot table'!$C$2,"state","OK","group","1A")/GETPIVOTDATA("Total-New",'Distrib pivot table'!$C$2,"state","OK")&gt;0.0005,GETPIVOTDATA("Total-New",'Distrib pivot table'!$C$2,"state","OK","group","1A")/GETPIVOTDATA("Total-New",'Distrib pivot table'!$C$2,"state","OK"),"*"))</f>
        <v>0.80545397744341773</v>
      </c>
      <c r="P5" s="807">
        <f>IF((GETPIVOTDATA("Total-New",'Distrib pivot table'!$C$2,"state","SC","group","1A")/GETPIVOTDATA("Total-New",'Distrib pivot table'!$C$2,"state","SC"))=0,,IF(GETPIVOTDATA("Total-New",'Distrib pivot table'!$C$2,"state","SC","group","1A")/GETPIVOTDATA("Total-New",'Distrib pivot table'!$C$2,"state","SC")&gt;0.0005,GETPIVOTDATA("Total-New",'Distrib pivot table'!$C$2,"state","SC","group","1A")/GETPIVOTDATA("Total-New",'Distrib pivot table'!$C$2,"state","SC"),"*"))</f>
        <v>0.74581755593183463</v>
      </c>
      <c r="Q5" s="807">
        <f>IF((GETPIVOTDATA("Total-New",'Distrib pivot table'!$C$2,"state","TN","group","1A")/GETPIVOTDATA("Total-New",'Distrib pivot table'!$C$2,"state","TN"))=0,,IF(GETPIVOTDATA("Total-New",'Distrib pivot table'!$C$2,"state","TN","group","1A")/GETPIVOTDATA("Total-New",'Distrib pivot table'!$C$2,"state","TN")&gt;0.0005,GETPIVOTDATA("Total-New",'Distrib pivot table'!$C$2,"state","TN","group","1A")/GETPIVOTDATA("Total-New",'Distrib pivot table'!$C$2,"state","TN"),"*"))</f>
        <v>0.73448190174507333</v>
      </c>
      <c r="R5" s="807">
        <f>IF((GETPIVOTDATA("Total-New",'Distrib pivot table'!$C$2,"state","TX","group","1A")/GETPIVOTDATA("Total-New",'Distrib pivot table'!$C$2,"state","TX"))=0,,IF(GETPIVOTDATA("Total-New",'Distrib pivot table'!$C$2,"state","TX","group","1A")/GETPIVOTDATA("Total-New",'Distrib pivot table'!$C$2,"state","TX")&gt;0.0005,GETPIVOTDATA("Total-New",'Distrib pivot table'!$C$2,"state","TX","group","1A")/GETPIVOTDATA("Total-New",'Distrib pivot table'!$C$2,"state","TX"),"*"))</f>
        <v>0.80767143428161736</v>
      </c>
      <c r="S5" s="807">
        <f>IF((GETPIVOTDATA("Total-New",'Distrib pivot table'!$C$2,"state","VA","group","1A")/GETPIVOTDATA("Total-New",'Distrib pivot table'!$C$2,"state","VA"))=0,,IF(GETPIVOTDATA("Total-New",'Distrib pivot table'!$C$2,"state","VA","group","1A")/GETPIVOTDATA("Total-New",'Distrib pivot table'!$C$2,"state","VA")&gt;0.0005,GETPIVOTDATA("Total-New",'Distrib pivot table'!$C$2,"state","VA","group","1A")/GETPIVOTDATA("Total-New",'Distrib pivot table'!$C$2,"state","VA"),"*"))</f>
        <v>0.84242730699794832</v>
      </c>
      <c r="T5" s="808">
        <f>IF((GETPIVOTDATA("Total-New",'Distrib pivot table'!$C$2,"state","WV","group","1A")/GETPIVOTDATA("Total-New",'Distrib pivot table'!$C$2,"state","WV"))=0,,IF(GETPIVOTDATA("Total-New",'Distrib pivot table'!$C$2,"state","WV","group","1A")/GETPIVOTDATA("Total-New",'Distrib pivot table'!$C$2,"state","WV")&gt;0.0005,GETPIVOTDATA("Total-New",'Distrib pivot table'!$C$2,"state","WV","group","1A")/GETPIVOTDATA("Total-New",'Distrib pivot table'!$C$2,"state","WV"),"*"))</f>
        <v>0.69978378440787092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</row>
    <row r="6" spans="1:50" s="45" customFormat="1" ht="27">
      <c r="A6" s="1170"/>
      <c r="B6" s="803" t="s">
        <v>1930</v>
      </c>
      <c r="C6" s="813" t="s">
        <v>1777</v>
      </c>
      <c r="D6" s="809">
        <f>SUM(D8:D14)</f>
        <v>2.5502332907429922E-2</v>
      </c>
      <c r="E6" s="809">
        <f>SUM(E8:E14)</f>
        <v>3.6016781273292477E-2</v>
      </c>
      <c r="F6" s="809">
        <f>SUM(F8:F14)</f>
        <v>1.707807438085629E-2</v>
      </c>
      <c r="G6" s="809">
        <f t="shared" ref="G6:T6" si="0">SUM(G8:G14)</f>
        <v>1.4644898591017948E-2</v>
      </c>
      <c r="H6" s="809">
        <f t="shared" si="0"/>
        <v>4.2961806387872482E-2</v>
      </c>
      <c r="I6" s="809">
        <f t="shared" si="0"/>
        <v>2.6083843732500177E-2</v>
      </c>
      <c r="J6" s="809">
        <f t="shared" si="0"/>
        <v>3.9739198579242102E-2</v>
      </c>
      <c r="K6" s="809">
        <f t="shared" si="0"/>
        <v>0</v>
      </c>
      <c r="L6" s="809">
        <f t="shared" si="0"/>
        <v>2.2439830381204277E-2</v>
      </c>
      <c r="M6" s="809">
        <f t="shared" si="0"/>
        <v>4.8053596000132037E-2</v>
      </c>
      <c r="N6" s="809">
        <f t="shared" si="0"/>
        <v>2.2721024212576962E-2</v>
      </c>
      <c r="O6" s="809">
        <f t="shared" si="0"/>
        <v>3.3266856388143751E-2</v>
      </c>
      <c r="P6" s="809">
        <f t="shared" si="0"/>
        <v>3.7491801547764811E-2</v>
      </c>
      <c r="Q6" s="809">
        <f t="shared" si="0"/>
        <v>2.5192272093515884E-2</v>
      </c>
      <c r="R6" s="809">
        <f t="shared" si="0"/>
        <v>1.5584365905699022E-2</v>
      </c>
      <c r="S6" s="809">
        <f t="shared" si="0"/>
        <v>2.2956702599012509E-2</v>
      </c>
      <c r="T6" s="810">
        <f t="shared" si="0"/>
        <v>3.5006771996293595E-2</v>
      </c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</row>
    <row r="7" spans="1:50" s="45" customFormat="1" ht="25.5">
      <c r="A7" s="1170"/>
      <c r="B7" s="820" t="s">
        <v>2047</v>
      </c>
      <c r="C7" s="813"/>
      <c r="D7" s="809">
        <f>+D6+D5</f>
        <v>0.80899793731299674</v>
      </c>
      <c r="E7" s="809">
        <f t="shared" ref="E7:T7" si="1">+E6+E5</f>
        <v>0.77822301379627445</v>
      </c>
      <c r="F7" s="809">
        <f t="shared" si="1"/>
        <v>0.81680372167947091</v>
      </c>
      <c r="G7" s="809">
        <f t="shared" si="1"/>
        <v>0.96736410177152432</v>
      </c>
      <c r="H7" s="809">
        <f t="shared" si="1"/>
        <v>0.82621506758070884</v>
      </c>
      <c r="I7" s="809">
        <f t="shared" si="1"/>
        <v>0.79020235795417981</v>
      </c>
      <c r="J7" s="809">
        <f t="shared" si="1"/>
        <v>0.82658573192150275</v>
      </c>
      <c r="K7" s="809">
        <f t="shared" si="1"/>
        <v>0.71615413089102442</v>
      </c>
      <c r="L7" s="809">
        <f t="shared" si="1"/>
        <v>0.79948176352546363</v>
      </c>
      <c r="M7" s="809">
        <f t="shared" si="1"/>
        <v>0.78370362900586688</v>
      </c>
      <c r="N7" s="809">
        <f t="shared" si="1"/>
        <v>0.81904578952094564</v>
      </c>
      <c r="O7" s="809">
        <f t="shared" si="1"/>
        <v>0.83872083383156149</v>
      </c>
      <c r="P7" s="809">
        <f t="shared" si="1"/>
        <v>0.7833093574795994</v>
      </c>
      <c r="Q7" s="809">
        <f t="shared" si="1"/>
        <v>0.75967417383858926</v>
      </c>
      <c r="R7" s="809">
        <f t="shared" si="1"/>
        <v>0.82325580018731637</v>
      </c>
      <c r="S7" s="809">
        <f t="shared" si="1"/>
        <v>0.86538400959696082</v>
      </c>
      <c r="T7" s="810">
        <f t="shared" si="1"/>
        <v>0.73479055640416457</v>
      </c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</row>
    <row r="8" spans="1:50" ht="12.6" customHeight="1">
      <c r="A8" s="1170"/>
      <c r="B8" s="128" t="s">
        <v>1891</v>
      </c>
      <c r="C8" s="814" t="s">
        <v>1778</v>
      </c>
      <c r="D8" s="1125">
        <f>IF(GETPIVOTDATA("Total-New",'Distrib pivot table'!$C$2,"group","1b1")/GETPIVOTDATA("Total-New",'Distrib pivot table'!$C$2)=0,,IF(GETPIVOTDATA("Total-New",'Distrib pivot table'!$C$2,"group","1b1")/GETPIVOTDATA("Total-New",'Distrib pivot table'!$C$2)&gt;0.0005,GETPIVOTDATA("Total-New",'Distrib pivot table'!$C$2,"group","1b1")/GETPIVOTDATA("Total-New",'Distrib pivot table'!$C$2),"*"))</f>
        <v>2.9210727875198573E-3</v>
      </c>
      <c r="E8" s="1125">
        <f>IF((GETPIVOTDATA("Total-New",'Distrib pivot table'!$C$2,"state","AL","group","1b1")/GETPIVOTDATA("Total-New",'Distrib pivot table'!$C$2,"state","AL"))=0,,IF(GETPIVOTDATA("Total-New",'Distrib pivot table'!$C$2,"state","AL","group","1b1")/GETPIVOTDATA("Total-New",'Distrib pivot table'!$C$2,"state","AL")&gt;0.0005,GETPIVOTDATA("Total-New",'Distrib pivot table'!$C$2,"state","AL","group","1b1")/GETPIVOTDATA("Total-New",'Distrib pivot table'!$C$2,"state","AL"),"*"))</f>
        <v>4.7714382481797947E-3</v>
      </c>
      <c r="F8" s="1125">
        <f>IF((GETPIVOTDATA("Total-New",'Distrib pivot table'!$C$2,"state","AR","group","1b1")/GETPIVOTDATA("Total-New",'Distrib pivot table'!$C$2,"state","AR"))=0,,IF(GETPIVOTDATA("Total-New",'Distrib pivot table'!$C$2,"state","AR","group","1b1")/GETPIVOTDATA("Total-New",'Distrib pivot table'!$C$2,"state","AR")&gt;0.0005,GETPIVOTDATA("Total-New",'Distrib pivot table'!$C$2,"state","AR","group","1b1")/GETPIVOTDATA("Total-New",'Distrib pivot table'!$C$2,"state","AR"),"*"))</f>
        <v>1.707807438085629E-2</v>
      </c>
      <c r="G8" s="1125" t="str">
        <f>IF((GETPIVOTDATA("Total-New",'Distrib pivot table'!$C$2,"state","DE","group","1b1")/GETPIVOTDATA("Total-New",'Distrib pivot table'!$C$2,"state","DE"))=0,,IF(GETPIVOTDATA("Total-New",'Distrib pivot table'!$C$2,"state","DE","group","1b1")/GETPIVOTDATA("Total-New",'Distrib pivot table'!$C$2,"state","DE")&gt;0.0005,GETPIVOTDATA("Total-New",'Distrib pivot table'!$C$2,"state","DE","group","1b1")/GETPIVOTDATA("Total-New",'Distrib pivot table'!$C$2,"state","DE"),"*"))</f>
        <v>*</v>
      </c>
      <c r="H8" s="1125">
        <f>IF((GETPIVOTDATA("Total-New",'Distrib pivot table'!$C$2,"state","FL","group","1b1")/GETPIVOTDATA("Total-New",'Distrib pivot table'!$C$2,"state","FL"))=0,,IF(GETPIVOTDATA("Total-New",'Distrib pivot table'!$C$2,"state","FL","group","1b1")/GETPIVOTDATA("Total-New",'Distrib pivot table'!$C$2,"state","FL")&gt;0.0005,GETPIVOTDATA("Total-New",'Distrib pivot table'!$C$2,"state","FL","group","1b1")/GETPIVOTDATA("Total-New",'Distrib pivot table'!$C$2,"state","FL"),"*"))</f>
        <v>5.5543106721450564E-3</v>
      </c>
      <c r="I8" s="1125">
        <f>IF((GETPIVOTDATA("Total-New",'Distrib pivot table'!$C$2,"state","GA","group","1b1")/GETPIVOTDATA("Total-New",'Distrib pivot table'!$C$2,"state","GA"))=0,,IF(GETPIVOTDATA("Total-New",'Distrib pivot table'!$C$2,"state","GA","group","1b1")/GETPIVOTDATA("Total-New",'Distrib pivot table'!$C$2,"state","GA")&gt;0.0005,GETPIVOTDATA("Total-New",'Distrib pivot table'!$C$2,"state","GA","group","1b1")/GETPIVOTDATA("Total-New",'Distrib pivot table'!$C$2,"state","GA"),"*"))</f>
        <v>3.1195682047894494E-3</v>
      </c>
      <c r="J8" s="1125">
        <f>IF((GETPIVOTDATA("Total-New",'Distrib pivot table'!$C$2,"state","KY","group","1b1")/GETPIVOTDATA("Total-New",'Distrib pivot table'!$C$2,"state","KY"))=0,,IF(GETPIVOTDATA("Total-New",'Distrib pivot table'!$C$2,"state","KY","group","1b1")/GETPIVOTDATA("Total-New",'Distrib pivot table'!$C$2,"state","KY")&gt;0.0005,GETPIVOTDATA("Total-New",'Distrib pivot table'!$C$2,"state","KY","group","1b1")/GETPIVOTDATA("Total-New",'Distrib pivot table'!$C$2,"state","KY"),"*"))</f>
        <v>9.1247625888178328E-3</v>
      </c>
      <c r="K8" s="1125">
        <f>IF((GETPIVOTDATA("Total-New",'Distrib pivot table'!$C$2,"state","LA","group","1b1")/GETPIVOTDATA("Total-New",'Distrib pivot table'!$C$2,"state","LA"))=0,,IF(GETPIVOTDATA("Total-New",'Distrib pivot table'!$C$2,"state","LA","group","1b1")/GETPIVOTDATA("Total-New",'Distrib pivot table'!$C$2,"state","LA")&gt;0.0005,GETPIVOTDATA("Total-New",'Distrib pivot table'!$C$2,"state","LA","group","1b1")/GETPIVOTDATA("Total-New",'Distrib pivot table'!$C$2,"state","LA"),"*"))</f>
        <v>0</v>
      </c>
      <c r="L8" s="1125">
        <f>IF((GETPIVOTDATA("Total-New",'Distrib pivot table'!$C$2,"state","MD","group","1b1")/GETPIVOTDATA("Total-New",'Distrib pivot table'!$C$2,"state","MD"))=0,,IF(GETPIVOTDATA("Total-New",'Distrib pivot table'!$C$2,"state","MD","group","1b1")/GETPIVOTDATA("Total-New",'Distrib pivot table'!$C$2,"state","MD")&gt;0.0005,GETPIVOTDATA("Total-New",'Distrib pivot table'!$C$2,"state","MD","group","1b1")/GETPIVOTDATA("Total-New",'Distrib pivot table'!$C$2,"state","MD"),"*"))</f>
        <v>0</v>
      </c>
      <c r="M8" s="1125" t="str">
        <f>IF((GETPIVOTDATA("Total-New",'Distrib pivot table'!$C$2,"state","MS","group","1b1")/GETPIVOTDATA("Total-New",'Distrib pivot table'!$C$2,"state","MS"))=0,,IF(GETPIVOTDATA("Total-New",'Distrib pivot table'!$C$2,"state","MS","group","1b1")/GETPIVOTDATA("Total-New",'Distrib pivot table'!$C$2,"state","MS")&gt;0.0005,GETPIVOTDATA("Total-New",'Distrib pivot table'!$C$2,"state","MS","group","1b1")/GETPIVOTDATA("Total-New",'Distrib pivot table'!$C$2,"state","MS"),"*"))</f>
        <v>*</v>
      </c>
      <c r="N8" s="1125">
        <f>IF((GETPIVOTDATA("Total-New",'Distrib pivot table'!$C$2,"state","NC","group","1b1")/GETPIVOTDATA("Total-New",'Distrib pivot table'!$C$2,"state","NC"))=0,,IF(GETPIVOTDATA("Total-New",'Distrib pivot table'!$C$2,"state","NC","group","1b1")/GETPIVOTDATA("Total-New",'Distrib pivot table'!$C$2,"state","NC")&gt;0.0005,GETPIVOTDATA("Total-New",'Distrib pivot table'!$C$2,"state","NC","group","1b1")/GETPIVOTDATA("Total-New",'Distrib pivot table'!$C$2,"state","NC"),"*"))</f>
        <v>2.1002587016275415E-3</v>
      </c>
      <c r="O8" s="1125">
        <f>IF((GETPIVOTDATA("Total-New",'Distrib pivot table'!$C$2,"state","OK","group","1b1")/GETPIVOTDATA("Total-New",'Distrib pivot table'!$C$2,"state","OK"))=0,,IF(GETPIVOTDATA("Total-New",'Distrib pivot table'!$C$2,"state","OK","group","1b1")/GETPIVOTDATA("Total-New",'Distrib pivot table'!$C$2,"state","OK")&gt;0.0005,GETPIVOTDATA("Total-New",'Distrib pivot table'!$C$2,"state","OK","group","1b1")/GETPIVOTDATA("Total-New",'Distrib pivot table'!$C$2,"state","OK"),"*"))</f>
        <v>0</v>
      </c>
      <c r="P8" s="1125">
        <f>IF((GETPIVOTDATA("Total-New",'Distrib pivot table'!$C$2,"state","SC","group","1b1")/GETPIVOTDATA("Total-New",'Distrib pivot table'!$C$2,"state","SC"))=0,,IF(GETPIVOTDATA("Total-New",'Distrib pivot table'!$C$2,"state","SC","group","1b1")/GETPIVOTDATA("Total-New",'Distrib pivot table'!$C$2,"state","SC")&gt;0.0005,GETPIVOTDATA("Total-New",'Distrib pivot table'!$C$2,"state","SC","group","1b1")/GETPIVOTDATA("Total-New",'Distrib pivot table'!$C$2,"state","SC"),"*"))</f>
        <v>1.0329965077816761E-3</v>
      </c>
      <c r="Q8" s="1125">
        <f>IF((GETPIVOTDATA("Total-New",'Distrib pivot table'!$C$2,"state","TN","group","1b1")/GETPIVOTDATA("Total-New",'Distrib pivot table'!$C$2,"state","TN"))=0,,IF(GETPIVOTDATA("Total-New",'Distrib pivot table'!$C$2,"state","TN","group","1b1")/GETPIVOTDATA("Total-New",'Distrib pivot table'!$C$2,"state","TN")&gt;0.0005,GETPIVOTDATA("Total-New",'Distrib pivot table'!$C$2,"state","TN","group","1b1")/GETPIVOTDATA("Total-New",'Distrib pivot table'!$C$2,"state","TN"),"*"))</f>
        <v>3.6296249328417237E-3</v>
      </c>
      <c r="R8" s="1125">
        <f>IF((GETPIVOTDATA("Total-New",'Distrib pivot table'!$C$2,"state","TX","group","1b1")/GETPIVOTDATA("Total-New",'Distrib pivot table'!$C$2,"state","TX"))=0,,IF(GETPIVOTDATA("Total-New",'Distrib pivot table'!$C$2,"state","TX","group","1b1")/GETPIVOTDATA("Total-New",'Distrib pivot table'!$C$2,"state","TX")&gt;0.0005,GETPIVOTDATA("Total-New",'Distrib pivot table'!$C$2,"state","TX","group","1b1")/GETPIVOTDATA("Total-New",'Distrib pivot table'!$C$2,"state","TX"),"*"))</f>
        <v>2.4451369783524521E-3</v>
      </c>
      <c r="S8" s="1125">
        <f>IF((GETPIVOTDATA("Total-New",'Distrib pivot table'!$C$2,"state","VA","group","1b1")/GETPIVOTDATA("Total-New",'Distrib pivot table'!$C$2,"state","VA"))=0,,IF(GETPIVOTDATA("Total-New",'Distrib pivot table'!$C$2,"state","VA","group","1b1")/GETPIVOTDATA("Total-New",'Distrib pivot table'!$C$2,"state","VA")&gt;0.0005,GETPIVOTDATA("Total-New",'Distrib pivot table'!$C$2,"state","VA","group","1b1")/GETPIVOTDATA("Total-New",'Distrib pivot table'!$C$2,"state","VA"),"*"))</f>
        <v>0</v>
      </c>
      <c r="T8" s="1125">
        <f>IF((GETPIVOTDATA("Total-New",'Distrib pivot table'!$C$2,"state","WV","group","1b1")/GETPIVOTDATA("Total-New",'Distrib pivot table'!$C$2,"state","WV"))=0,,IF(GETPIVOTDATA("Total-New",'Distrib pivot table'!$C$2,"state","WV","group","1b1")/GETPIVOTDATA("Total-New",'Distrib pivot table'!$C$2,"state","WV")&gt;0.0005,GETPIVOTDATA("Total-New",'Distrib pivot table'!$C$2,"state","WV","group","1b1")/GETPIVOTDATA("Total-New",'Distrib pivot table'!$C$2,"state","WV"),"*"))</f>
        <v>0</v>
      </c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</row>
    <row r="9" spans="1:50" ht="12.6" customHeight="1">
      <c r="A9" s="1170"/>
      <c r="B9" s="128" t="s">
        <v>1770</v>
      </c>
      <c r="C9" s="814" t="s">
        <v>1779</v>
      </c>
      <c r="D9" s="1125" t="str">
        <f>IF(GETPIVOTDATA("Total-New",'Distrib pivot table'!$C$2,"group","1b2")/GETPIVOTDATA("Total-New",'Distrib pivot table'!$C$2)=0,,IF(GETPIVOTDATA("Total-New",'Distrib pivot table'!$C$2,"group","1b2")/GETPIVOTDATA("Total-New",'Distrib pivot table'!$C$2)&gt;0.0005,GETPIVOTDATA("Total-New",'Distrib pivot table'!$C$2,"group","1b2")/GETPIVOTDATA("Total-New",'Distrib pivot table'!$C$2),"*"))</f>
        <v>*</v>
      </c>
      <c r="E9" s="1125">
        <f>IF((GETPIVOTDATA("Total-New",'Distrib pivot table'!$C$2,"state","AL","group","1b2")/GETPIVOTDATA("Total-New",'Distrib pivot table'!$C$2,"state","AL"))=0,,IF(GETPIVOTDATA("Total-New",'Distrib pivot table'!$C$2,"state","AL","group","1b2")/GETPIVOTDATA("Total-New",'Distrib pivot table'!$C$2,"state","AL")&gt;0.0005,GETPIVOTDATA("Total-New",'Distrib pivot table'!$C$2,"state","AL","group","1b2")/GETPIVOTDATA("Total-New",'Distrib pivot table'!$C$2,"state","AL"),"*"))</f>
        <v>1.3211123486111009E-3</v>
      </c>
      <c r="F9" s="1125">
        <f>IF((GETPIVOTDATA("Total-New",'Distrib pivot table'!$C$2,"state","AR","group","1b2")/GETPIVOTDATA("Total-New",'Distrib pivot table'!$C$2,"state","AR"))=0,,IF(GETPIVOTDATA("Total-New",'Distrib pivot table'!$C$2,"state","AR","group","1b2")/GETPIVOTDATA("Total-New",'Distrib pivot table'!$C$2,"state","AR")&gt;0.0005,GETPIVOTDATA("Total-New",'Distrib pivot table'!$C$2,"state","AR","group","1b2")/GETPIVOTDATA("Total-New",'Distrib pivot table'!$C$2,"state","AR"),"*"))</f>
        <v>0</v>
      </c>
      <c r="G9" s="1125">
        <f>IF((GETPIVOTDATA("Total-New",'Distrib pivot table'!$C$2,"state","DE","group","1b2")/GETPIVOTDATA("Total-New",'Distrib pivot table'!$C$2,"state","DE"))=0,,IF(GETPIVOTDATA("Total-New",'Distrib pivot table'!$C$2,"state","DE","group","1b2")/GETPIVOTDATA("Total-New",'Distrib pivot table'!$C$2,"state","DE")&gt;0.0005,GETPIVOTDATA("Total-New",'Distrib pivot table'!$C$2,"state","DE","group","1b2")/GETPIVOTDATA("Total-New",'Distrib pivot table'!$C$2,"state","DE"),"*"))</f>
        <v>0</v>
      </c>
      <c r="H9" s="1125">
        <f>IF((GETPIVOTDATA("Total-New",'Distrib pivot table'!$C$2,"state","FL","group","1b2")/GETPIVOTDATA("Total-New",'Distrib pivot table'!$C$2,"state","FL"))=0,,IF(GETPIVOTDATA("Total-New",'Distrib pivot table'!$C$2,"state","FL","group","1b2")/GETPIVOTDATA("Total-New",'Distrib pivot table'!$C$2,"state","FL")&gt;0.0005,GETPIVOTDATA("Total-New",'Distrib pivot table'!$C$2,"state","FL","group","1b2")/GETPIVOTDATA("Total-New",'Distrib pivot table'!$C$2,"state","FL"),"*"))</f>
        <v>0</v>
      </c>
      <c r="I9" s="1125">
        <f>IF((GETPIVOTDATA("Total-New",'Distrib pivot table'!$C$2,"state","GA","group","1b2")/GETPIVOTDATA("Total-New",'Distrib pivot table'!$C$2,"state","GA"))=0,,IF(GETPIVOTDATA("Total-New",'Distrib pivot table'!$C$2,"state","GA","group","1b2")/GETPIVOTDATA("Total-New",'Distrib pivot table'!$C$2,"state","GA")&gt;0.0005,GETPIVOTDATA("Total-New",'Distrib pivot table'!$C$2,"state","GA","group","1b2")/GETPIVOTDATA("Total-New",'Distrib pivot table'!$C$2,"state","GA"),"*"))</f>
        <v>0</v>
      </c>
      <c r="J9" s="1125">
        <f>IF((GETPIVOTDATA("Total-New",'Distrib pivot table'!$C$2,"state","KY","group","1b2")/GETPIVOTDATA("Total-New",'Distrib pivot table'!$C$2,"state","KY"))=0,,IF(GETPIVOTDATA("Total-New",'Distrib pivot table'!$C$2,"state","KY","group","1b2")/GETPIVOTDATA("Total-New",'Distrib pivot table'!$C$2,"state","KY")&gt;0.0005,GETPIVOTDATA("Total-New",'Distrib pivot table'!$C$2,"state","KY","group","1b2")/GETPIVOTDATA("Total-New",'Distrib pivot table'!$C$2,"state","KY"),"*"))</f>
        <v>0</v>
      </c>
      <c r="K9" s="1125">
        <f>IF((GETPIVOTDATA("Total-New",'Distrib pivot table'!$C$2,"state","LA","group","1b2")/GETPIVOTDATA("Total-New",'Distrib pivot table'!$C$2,"state","LA"))=0,,IF(GETPIVOTDATA("Total-New",'Distrib pivot table'!$C$2,"state","LA","group","1b2")/GETPIVOTDATA("Total-New",'Distrib pivot table'!$C$2,"state","LA")&gt;0.0005,GETPIVOTDATA("Total-New",'Distrib pivot table'!$C$2,"state","LA","group","1b2")/GETPIVOTDATA("Total-New",'Distrib pivot table'!$C$2,"state","LA"),"*"))</f>
        <v>0</v>
      </c>
      <c r="L9" s="1125">
        <f>IF((GETPIVOTDATA("Total-New",'Distrib pivot table'!$C$2,"state","MD","group","1b2")/GETPIVOTDATA("Total-New",'Distrib pivot table'!$C$2,"state","MD"))=0,,IF(GETPIVOTDATA("Total-New",'Distrib pivot table'!$C$2,"state","MD","group","1b2")/GETPIVOTDATA("Total-New",'Distrib pivot table'!$C$2,"state","MD")&gt;0.0005,GETPIVOTDATA("Total-New",'Distrib pivot table'!$C$2,"state","MD","group","1b2")/GETPIVOTDATA("Total-New",'Distrib pivot table'!$C$2,"state","MD"),"*"))</f>
        <v>0</v>
      </c>
      <c r="M9" s="1125">
        <f>IF((GETPIVOTDATA("Total-New",'Distrib pivot table'!$C$2,"state","MS","group","1b2")/GETPIVOTDATA("Total-New",'Distrib pivot table'!$C$2,"state","MS"))=0,,IF(GETPIVOTDATA("Total-New",'Distrib pivot table'!$C$2,"state","MS","group","1b2")/GETPIVOTDATA("Total-New",'Distrib pivot table'!$C$2,"state","MS")&gt;0.0005,GETPIVOTDATA("Total-New",'Distrib pivot table'!$C$2,"state","MS","group","1b2")/GETPIVOTDATA("Total-New",'Distrib pivot table'!$C$2,"state","MS"),"*"))</f>
        <v>0</v>
      </c>
      <c r="N9" s="1125">
        <f>IF((GETPIVOTDATA("Total-New",'Distrib pivot table'!$C$2,"state","NC","group","1b2")/GETPIVOTDATA("Total-New",'Distrib pivot table'!$C$2,"state","NC"))=0,,IF(GETPIVOTDATA("Total-New",'Distrib pivot table'!$C$2,"state","NC","group","1b2")/GETPIVOTDATA("Total-New",'Distrib pivot table'!$C$2,"state","NC")&gt;0.0005,GETPIVOTDATA("Total-New",'Distrib pivot table'!$C$2,"state","NC","group","1b2")/GETPIVOTDATA("Total-New",'Distrib pivot table'!$C$2,"state","NC"),"*"))</f>
        <v>0</v>
      </c>
      <c r="O9" s="1125">
        <f>IF((GETPIVOTDATA("Total-New",'Distrib pivot table'!$C$2,"state","OK","group","1b2")/GETPIVOTDATA("Total-New",'Distrib pivot table'!$C$2,"state","OK"))=0,,IF(GETPIVOTDATA("Total-New",'Distrib pivot table'!$C$2,"state","OK","group","1b2")/GETPIVOTDATA("Total-New",'Distrib pivot table'!$C$2,"state","OK")&gt;0.0005,GETPIVOTDATA("Total-New",'Distrib pivot table'!$C$2,"state","OK","group","1b2")/GETPIVOTDATA("Total-New",'Distrib pivot table'!$C$2,"state","OK"),"*"))</f>
        <v>0</v>
      </c>
      <c r="P9" s="1125">
        <f>IF((GETPIVOTDATA("Total-New",'Distrib pivot table'!$C$2,"state","SC","group","1b2")/GETPIVOTDATA("Total-New",'Distrib pivot table'!$C$2,"state","SC"))=0,,IF(GETPIVOTDATA("Total-New",'Distrib pivot table'!$C$2,"state","SC","group","1b2")/GETPIVOTDATA("Total-New",'Distrib pivot table'!$C$2,"state","SC")&gt;0.0005,GETPIVOTDATA("Total-New",'Distrib pivot table'!$C$2,"state","SC","group","1b2")/GETPIVOTDATA("Total-New",'Distrib pivot table'!$C$2,"state","SC"),"*"))</f>
        <v>0</v>
      </c>
      <c r="Q9" s="1125">
        <f>IF((GETPIVOTDATA("Total-New",'Distrib pivot table'!$C$2,"state","TN","group","1b2")/GETPIVOTDATA("Total-New",'Distrib pivot table'!$C$2,"state","TN"))=0,,IF(GETPIVOTDATA("Total-New",'Distrib pivot table'!$C$2,"state","TN","group","1b2")/GETPIVOTDATA("Total-New",'Distrib pivot table'!$C$2,"state","TN")&gt;0.0005,GETPIVOTDATA("Total-New",'Distrib pivot table'!$C$2,"state","TN","group","1b2")/GETPIVOTDATA("Total-New",'Distrib pivot table'!$C$2,"state","TN"),"*"))</f>
        <v>0</v>
      </c>
      <c r="R9" s="1125">
        <f>IF((GETPIVOTDATA("Total-New",'Distrib pivot table'!$C$2,"state","TX","group","1b2")/GETPIVOTDATA("Total-New",'Distrib pivot table'!$C$2,"state","TX"))=0,,IF(GETPIVOTDATA("Total-New",'Distrib pivot table'!$C$2,"state","TX","group","1b2")/GETPIVOTDATA("Total-New",'Distrib pivot table'!$C$2,"state","TX")&gt;0.0005,GETPIVOTDATA("Total-New",'Distrib pivot table'!$C$2,"state","TX","group","1b2")/GETPIVOTDATA("Total-New",'Distrib pivot table'!$C$2,"state","TX"),"*"))</f>
        <v>0</v>
      </c>
      <c r="S9" s="1125">
        <f>IF((GETPIVOTDATA("Total-New",'Distrib pivot table'!$C$2,"state","VA","group","1b2")/GETPIVOTDATA("Total-New",'Distrib pivot table'!$C$2,"state","VA"))=0,,IF(GETPIVOTDATA("Total-New",'Distrib pivot table'!$C$2,"state","VA","group","1b2")/GETPIVOTDATA("Total-New",'Distrib pivot table'!$C$2,"state","VA")&gt;0.0005,GETPIVOTDATA("Total-New",'Distrib pivot table'!$C$2,"state","VA","group","1b2")/GETPIVOTDATA("Total-New",'Distrib pivot table'!$C$2,"state","VA"),"*"))</f>
        <v>0</v>
      </c>
      <c r="T9" s="1125">
        <f>IF((GETPIVOTDATA("Total-New",'Distrib pivot table'!$C$2,"state","WV","group","1b2")/GETPIVOTDATA("Total-New",'Distrib pivot table'!$C$2,"state","WV"))=0,,IF(GETPIVOTDATA("Total-New",'Distrib pivot table'!$C$2,"state","WV","group","1b2")/GETPIVOTDATA("Total-New",'Distrib pivot table'!$C$2,"state","WV")&gt;0.0005,GETPIVOTDATA("Total-New",'Distrib pivot table'!$C$2,"state","WV","group","1b2")/GETPIVOTDATA("Total-New",'Distrib pivot table'!$C$2,"state","WV"),"*"))</f>
        <v>0</v>
      </c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</row>
    <row r="10" spans="1:50" ht="12.6" customHeight="1">
      <c r="A10" s="1170"/>
      <c r="B10" s="128" t="s">
        <v>1769</v>
      </c>
      <c r="C10" s="814" t="s">
        <v>1780</v>
      </c>
      <c r="D10" s="1125">
        <f>IF(GETPIVOTDATA("Total-New",'Distrib pivot table'!$C$2,"group","1b3")/GETPIVOTDATA("Total-New",'Distrib pivot table'!$C$2)=0,,IF(GETPIVOTDATA("Total-New",'Distrib pivot table'!$C$2,"group","1b3")/GETPIVOTDATA("Total-New",'Distrib pivot table'!$C$2)&gt;0.0005,GETPIVOTDATA("Total-New",'Distrib pivot table'!$C$2,"group","1b3")/GETPIVOTDATA("Total-New",'Distrib pivot table'!$C$2),"*"))</f>
        <v>1.1410251347730473E-2</v>
      </c>
      <c r="E10" s="1125">
        <f>IF((GETPIVOTDATA("Total-New",'Distrib pivot table'!$C$2,"state","AL","group","1b3")/GETPIVOTDATA("Total-New",'Distrib pivot table'!$C$2,"state","AL"))=0,,IF(GETPIVOTDATA("Total-New",'Distrib pivot table'!$C$2,"state","AL","group","1b3")/GETPIVOTDATA("Total-New",'Distrib pivot table'!$C$2,"state","AL")&gt;0.0005,GETPIVOTDATA("Total-New",'Distrib pivot table'!$C$2,"state","AL","group","1b3")/GETPIVOTDATA("Total-New",'Distrib pivot table'!$C$2,"state","AL"),"*"))</f>
        <v>1.6087640346195989E-2</v>
      </c>
      <c r="F10" s="1125">
        <f>IF((GETPIVOTDATA("Total-New",'Distrib pivot table'!$C$2,"state","AR","group","1b3")/GETPIVOTDATA("Total-New",'Distrib pivot table'!$C$2,"state","AR"))=0,,IF(GETPIVOTDATA("Total-New",'Distrib pivot table'!$C$2,"state","AR","group","1b3")/GETPIVOTDATA("Total-New",'Distrib pivot table'!$C$2,"state","AR")&gt;0.0005,GETPIVOTDATA("Total-New",'Distrib pivot table'!$C$2,"state","AR","group","1b3")/GETPIVOTDATA("Total-New",'Distrib pivot table'!$C$2,"state","AR"),"*"))</f>
        <v>0</v>
      </c>
      <c r="G10" s="1125">
        <f>IF((GETPIVOTDATA("Total-New",'Distrib pivot table'!$C$2,"state","DE","group","1b3")/GETPIVOTDATA("Total-New",'Distrib pivot table'!$C$2,"state","DE"))=0,,IF(GETPIVOTDATA("Total-New",'Distrib pivot table'!$C$2,"state","DE","group","1b3")/GETPIVOTDATA("Total-New",'Distrib pivot table'!$C$2,"state","DE")&gt;0.0005,GETPIVOTDATA("Total-New",'Distrib pivot table'!$C$2,"state","DE","group","1b3")/GETPIVOTDATA("Total-New",'Distrib pivot table'!$C$2,"state","DE"),"*"))</f>
        <v>3.809249066688889E-3</v>
      </c>
      <c r="H10" s="1125">
        <f>IF((GETPIVOTDATA("Total-New",'Distrib pivot table'!$C$2,"state","FL","group","1b3")/GETPIVOTDATA("Total-New",'Distrib pivot table'!$C$2,"state","FL"))=0,,IF(GETPIVOTDATA("Total-New",'Distrib pivot table'!$C$2,"state","FL","group","1b3")/GETPIVOTDATA("Total-New",'Distrib pivot table'!$C$2,"state","FL")&gt;0.0005,GETPIVOTDATA("Total-New",'Distrib pivot table'!$C$2,"state","FL","group","1b3")/GETPIVOTDATA("Total-New",'Distrib pivot table'!$C$2,"state","FL"),"*"))</f>
        <v>2.3388505903182963E-2</v>
      </c>
      <c r="I10" s="1125">
        <f>IF((GETPIVOTDATA("Total-New",'Distrib pivot table'!$C$2,"state","GA","group","1b3")/GETPIVOTDATA("Total-New",'Distrib pivot table'!$C$2,"state","GA"))=0,,IF(GETPIVOTDATA("Total-New",'Distrib pivot table'!$C$2,"state","GA","group","1b3")/GETPIVOTDATA("Total-New",'Distrib pivot table'!$C$2,"state","GA")&gt;0.0005,GETPIVOTDATA("Total-New",'Distrib pivot table'!$C$2,"state","GA","group","1b3")/GETPIVOTDATA("Total-New",'Distrib pivot table'!$C$2,"state","GA"),"*"))</f>
        <v>8.6233074299113376E-3</v>
      </c>
      <c r="J10" s="1125">
        <f>IF((GETPIVOTDATA("Total-New",'Distrib pivot table'!$C$2,"state","KY","group","1b3")/GETPIVOTDATA("Total-New",'Distrib pivot table'!$C$2,"state","KY"))=0,,IF(GETPIVOTDATA("Total-New",'Distrib pivot table'!$C$2,"state","KY","group","1b3")/GETPIVOTDATA("Total-New",'Distrib pivot table'!$C$2,"state","KY")&gt;0.0005,GETPIVOTDATA("Total-New",'Distrib pivot table'!$C$2,"state","KY","group","1b3")/GETPIVOTDATA("Total-New",'Distrib pivot table'!$C$2,"state","KY"),"*"))</f>
        <v>2.7998801406682317E-2</v>
      </c>
      <c r="K10" s="1125">
        <f>IF((GETPIVOTDATA("Total-New",'Distrib pivot table'!$C$2,"state","LA","group","1b3")/GETPIVOTDATA("Total-New",'Distrib pivot table'!$C$2,"state","LA"))=0,,IF(GETPIVOTDATA("Total-New",'Distrib pivot table'!$C$2,"state","LA","group","1b3")/GETPIVOTDATA("Total-New",'Distrib pivot table'!$C$2,"state","LA")&gt;0.0005,GETPIVOTDATA("Total-New",'Distrib pivot table'!$C$2,"state","LA","group","1b3")/GETPIVOTDATA("Total-New",'Distrib pivot table'!$C$2,"state","LA"),"*"))</f>
        <v>0</v>
      </c>
      <c r="L10" s="1125">
        <f>IF((GETPIVOTDATA("Total-New",'Distrib pivot table'!$C$2,"state","MD","group","1b3")/GETPIVOTDATA("Total-New",'Distrib pivot table'!$C$2,"state","MD"))=0,,IF(GETPIVOTDATA("Total-New",'Distrib pivot table'!$C$2,"state","MD","group","1b3")/GETPIVOTDATA("Total-New",'Distrib pivot table'!$C$2,"state","MD")&gt;0.0005,GETPIVOTDATA("Total-New",'Distrib pivot table'!$C$2,"state","MD","group","1b3")/GETPIVOTDATA("Total-New",'Distrib pivot table'!$C$2,"state","MD"),"*"))</f>
        <v>6.051045209694907E-3</v>
      </c>
      <c r="M10" s="1125">
        <f>IF((GETPIVOTDATA("Total-New",'Distrib pivot table'!$C$2,"state","MS","group","1b3")/GETPIVOTDATA("Total-New",'Distrib pivot table'!$C$2,"state","MS"))=0,,IF(GETPIVOTDATA("Total-New",'Distrib pivot table'!$C$2,"state","MS","group","1b3")/GETPIVOTDATA("Total-New",'Distrib pivot table'!$C$2,"state","MS")&gt;0.0005,GETPIVOTDATA("Total-New",'Distrib pivot table'!$C$2,"state","MS","group","1b3")/GETPIVOTDATA("Total-New",'Distrib pivot table'!$C$2,"state","MS"),"*"))</f>
        <v>2.0055777719248991E-2</v>
      </c>
      <c r="N10" s="1125">
        <f>IF((GETPIVOTDATA("Total-New",'Distrib pivot table'!$C$2,"state","NC","group","1b3")/GETPIVOTDATA("Total-New",'Distrib pivot table'!$C$2,"state","NC"))=0,,IF(GETPIVOTDATA("Total-New",'Distrib pivot table'!$C$2,"state","NC","group","1b3")/GETPIVOTDATA("Total-New",'Distrib pivot table'!$C$2,"state","NC")&gt;0.0005,GETPIVOTDATA("Total-New",'Distrib pivot table'!$C$2,"state","NC","group","1b3")/GETPIVOTDATA("Total-New",'Distrib pivot table'!$C$2,"state","NC"),"*"))</f>
        <v>8.6434300128800396E-3</v>
      </c>
      <c r="O10" s="1125">
        <f>IF((GETPIVOTDATA("Total-New",'Distrib pivot table'!$C$2,"state","OK","group","1b3")/GETPIVOTDATA("Total-New",'Distrib pivot table'!$C$2,"state","OK"))=0,,IF(GETPIVOTDATA("Total-New",'Distrib pivot table'!$C$2,"state","OK","group","1b3")/GETPIVOTDATA("Total-New",'Distrib pivot table'!$C$2,"state","OK")&gt;0.0005,GETPIVOTDATA("Total-New",'Distrib pivot table'!$C$2,"state","OK","group","1b3")/GETPIVOTDATA("Total-New",'Distrib pivot table'!$C$2,"state","OK"),"*"))</f>
        <v>1.6688727027280865E-2</v>
      </c>
      <c r="P10" s="1125">
        <f>IF((GETPIVOTDATA("Total-New",'Distrib pivot table'!$C$2,"state","SC","group","1b3")/GETPIVOTDATA("Total-New",'Distrib pivot table'!$C$2,"state","SC"))=0,,IF(GETPIVOTDATA("Total-New",'Distrib pivot table'!$C$2,"state","SC","group","1b3")/GETPIVOTDATA("Total-New",'Distrib pivot table'!$C$2,"state","SC")&gt;0.0005,GETPIVOTDATA("Total-New",'Distrib pivot table'!$C$2,"state","SC","group","1b3")/GETPIVOTDATA("Total-New",'Distrib pivot table'!$C$2,"state","SC"),"*"))</f>
        <v>1.8868967069180665E-2</v>
      </c>
      <c r="Q10" s="1125">
        <f>IF((GETPIVOTDATA("Total-New",'Distrib pivot table'!$C$2,"state","TN","group","1b3")/GETPIVOTDATA("Total-New",'Distrib pivot table'!$C$2,"state","TN"))=0,,IF(GETPIVOTDATA("Total-New",'Distrib pivot table'!$C$2,"state","TN","group","1b3")/GETPIVOTDATA("Total-New",'Distrib pivot table'!$C$2,"state","TN")&gt;0.0005,GETPIVOTDATA("Total-New",'Distrib pivot table'!$C$2,"state","TN","group","1b3")/GETPIVOTDATA("Total-New",'Distrib pivot table'!$C$2,"state","TN"),"*"))</f>
        <v>1.1870028115384514E-2</v>
      </c>
      <c r="R10" s="1125">
        <f>IF((GETPIVOTDATA("Total-New",'Distrib pivot table'!$C$2,"state","TX","group","1b3")/GETPIVOTDATA("Total-New",'Distrib pivot table'!$C$2,"state","TX"))=0,,IF(GETPIVOTDATA("Total-New",'Distrib pivot table'!$C$2,"state","TX","group","1b3")/GETPIVOTDATA("Total-New",'Distrib pivot table'!$C$2,"state","TX")&gt;0.0005,GETPIVOTDATA("Total-New",'Distrib pivot table'!$C$2,"state","TX","group","1b3")/GETPIVOTDATA("Total-New",'Distrib pivot table'!$C$2,"state","TX"),"*"))</f>
        <v>5.4299785069596256E-3</v>
      </c>
      <c r="S10" s="1125">
        <f>IF((GETPIVOTDATA("Total-New",'Distrib pivot table'!$C$2,"state","VA","group","1b3")/GETPIVOTDATA("Total-New",'Distrib pivot table'!$C$2,"state","VA"))=0,,IF(GETPIVOTDATA("Total-New",'Distrib pivot table'!$C$2,"state","VA","group","1b3")/GETPIVOTDATA("Total-New",'Distrib pivot table'!$C$2,"state","VA")&gt;0.0005,GETPIVOTDATA("Total-New",'Distrib pivot table'!$C$2,"state","VA","group","1b3")/GETPIVOTDATA("Total-New",'Distrib pivot table'!$C$2,"state","VA"),"*"))</f>
        <v>9.4541509233133404E-3</v>
      </c>
      <c r="T10" s="1125">
        <f>IF((GETPIVOTDATA("Total-New",'Distrib pivot table'!$C$2,"state","WV","group","1b3")/GETPIVOTDATA("Total-New",'Distrib pivot table'!$C$2,"state","WV"))=0,,IF(GETPIVOTDATA("Total-New",'Distrib pivot table'!$C$2,"state","WV","group","1b3")/GETPIVOTDATA("Total-New",'Distrib pivot table'!$C$2,"state","WV")&gt;0.0005,GETPIVOTDATA("Total-New",'Distrib pivot table'!$C$2,"state","WV","group","1b3")/GETPIVOTDATA("Total-New",'Distrib pivot table'!$C$2,"state","WV"),"*"))</f>
        <v>1.4813786060754846E-2</v>
      </c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</row>
    <row r="11" spans="1:50" ht="12.6" customHeight="1">
      <c r="A11" s="1170"/>
      <c r="B11" s="128" t="s">
        <v>1768</v>
      </c>
      <c r="C11" s="814" t="s">
        <v>1781</v>
      </c>
      <c r="D11" s="1125">
        <f>IF(GETPIVOTDATA("Total-New",'Distrib pivot table'!$C$2,"group","1b4")/GETPIVOTDATA("Total-New",'Distrib pivot table'!$C$2)=0,,IF(GETPIVOTDATA("Total-New",'Distrib pivot table'!$C$2,"group","1b4")/GETPIVOTDATA("Total-New",'Distrib pivot table'!$C$2)&gt;0.0005,GETPIVOTDATA("Total-New",'Distrib pivot table'!$C$2,"group","1b4")/GETPIVOTDATA("Total-New",'Distrib pivot table'!$C$2),"*"))</f>
        <v>6.5140985943709078E-3</v>
      </c>
      <c r="E11" s="1125">
        <f>IF((GETPIVOTDATA("Total-New",'Distrib pivot table'!$C$2,"state","AL","group","1b4")/GETPIVOTDATA("Total-New",'Distrib pivot table'!$C$2,"state","AL"))=0,,IF(GETPIVOTDATA("Total-New",'Distrib pivot table'!$C$2,"state","AL","group","1b4")/GETPIVOTDATA("Total-New",'Distrib pivot table'!$C$2,"state","AL")&gt;0.0005,GETPIVOTDATA("Total-New",'Distrib pivot table'!$C$2,"state","AL","group","1b4")/GETPIVOTDATA("Total-New",'Distrib pivot table'!$C$2,"state","AL"),"*"))</f>
        <v>1.2331117115982032E-2</v>
      </c>
      <c r="F11" s="1125">
        <f>IF((GETPIVOTDATA("Total-New",'Distrib pivot table'!$C$2,"state","AR","group","1b4")/GETPIVOTDATA("Total-New",'Distrib pivot table'!$C$2,"state","AR"))=0,,IF(GETPIVOTDATA("Total-New",'Distrib pivot table'!$C$2,"state","AR","group","1b4")/GETPIVOTDATA("Total-New",'Distrib pivot table'!$C$2,"state","AR")&gt;0.0005,GETPIVOTDATA("Total-New",'Distrib pivot table'!$C$2,"state","AR","group","1b4")/GETPIVOTDATA("Total-New",'Distrib pivot table'!$C$2,"state","AR"),"*"))</f>
        <v>0</v>
      </c>
      <c r="G11" s="1125">
        <f>IF((GETPIVOTDATA("Total-New",'Distrib pivot table'!$C$2,"state","DE","group","1b4")/GETPIVOTDATA("Total-New",'Distrib pivot table'!$C$2,"state","DE"))=0,,IF(GETPIVOTDATA("Total-New",'Distrib pivot table'!$C$2,"state","DE","group","1b4")/GETPIVOTDATA("Total-New",'Distrib pivot table'!$C$2,"state","DE")&gt;0.0005,GETPIVOTDATA("Total-New",'Distrib pivot table'!$C$2,"state","DE","group","1b4")/GETPIVOTDATA("Total-New",'Distrib pivot table'!$C$2,"state","DE"),"*"))</f>
        <v>4.3424606939673023E-3</v>
      </c>
      <c r="H11" s="1125">
        <f>IF((GETPIVOTDATA("Total-New",'Distrib pivot table'!$C$2,"state","FL","group","1b4")/GETPIVOTDATA("Total-New",'Distrib pivot table'!$C$2,"state","FL"))=0,,IF(GETPIVOTDATA("Total-New",'Distrib pivot table'!$C$2,"state","FL","group","1b4")/GETPIVOTDATA("Total-New",'Distrib pivot table'!$C$2,"state","FL")&gt;0.0005,GETPIVOTDATA("Total-New",'Distrib pivot table'!$C$2,"state","FL","group","1b4")/GETPIVOTDATA("Total-New",'Distrib pivot table'!$C$2,"state","FL"),"*"))</f>
        <v>0</v>
      </c>
      <c r="I11" s="1125">
        <f>IF((GETPIVOTDATA("Total-New",'Distrib pivot table'!$C$2,"state","GA","group","1b4")/GETPIVOTDATA("Total-New",'Distrib pivot table'!$C$2,"state","GA"))=0,,IF(GETPIVOTDATA("Total-New",'Distrib pivot table'!$C$2,"state","GA","group","1b4")/GETPIVOTDATA("Total-New",'Distrib pivot table'!$C$2,"state","GA")&gt;0.0005,GETPIVOTDATA("Total-New",'Distrib pivot table'!$C$2,"state","GA","group","1b4")/GETPIVOTDATA("Total-New",'Distrib pivot table'!$C$2,"state","GA"),"*"))</f>
        <v>1.0229291239131248E-2</v>
      </c>
      <c r="J11" s="1125">
        <f>IF((GETPIVOTDATA("Total-New",'Distrib pivot table'!$C$2,"state","KY","group","1b4")/GETPIVOTDATA("Total-New",'Distrib pivot table'!$C$2,"state","KY"))=0,,IF(GETPIVOTDATA("Total-New",'Distrib pivot table'!$C$2,"state","KY","group","1b4")/GETPIVOTDATA("Total-New",'Distrib pivot table'!$C$2,"state","KY")&gt;0.0005,GETPIVOTDATA("Total-New",'Distrib pivot table'!$C$2,"state","KY","group","1b4")/GETPIVOTDATA("Total-New",'Distrib pivot table'!$C$2,"state","KY"),"*"))</f>
        <v>0</v>
      </c>
      <c r="K11" s="1125">
        <f>IF((GETPIVOTDATA("Total-New",'Distrib pivot table'!$C$2,"state","LA","group","1b4")/GETPIVOTDATA("Total-New",'Distrib pivot table'!$C$2,"state","LA"))=0,,IF(GETPIVOTDATA("Total-New",'Distrib pivot table'!$C$2,"state","LA","group","1b4")/GETPIVOTDATA("Total-New",'Distrib pivot table'!$C$2,"state","LA")&gt;0.0005,GETPIVOTDATA("Total-New",'Distrib pivot table'!$C$2,"state","LA","group","1b4")/GETPIVOTDATA("Total-New",'Distrib pivot table'!$C$2,"state","LA"),"*"))</f>
        <v>0</v>
      </c>
      <c r="L11" s="1125">
        <f>IF((GETPIVOTDATA("Total-New",'Distrib pivot table'!$C$2,"state","MD","group","1b4")/GETPIVOTDATA("Total-New",'Distrib pivot table'!$C$2,"state","MD"))=0,,IF(GETPIVOTDATA("Total-New",'Distrib pivot table'!$C$2,"state","MD","group","1b4")/GETPIVOTDATA("Total-New",'Distrib pivot table'!$C$2,"state","MD")&gt;0.0005,GETPIVOTDATA("Total-New",'Distrib pivot table'!$C$2,"state","MD","group","1b4")/GETPIVOTDATA("Total-New",'Distrib pivot table'!$C$2,"state","MD"),"*"))</f>
        <v>5.1429414685030903E-3</v>
      </c>
      <c r="M11" s="1125">
        <f>IF((GETPIVOTDATA("Total-New",'Distrib pivot table'!$C$2,"state","MS","group","1b4")/GETPIVOTDATA("Total-New",'Distrib pivot table'!$C$2,"state","MS"))=0,,IF(GETPIVOTDATA("Total-New",'Distrib pivot table'!$C$2,"state","MS","group","1b4")/GETPIVOTDATA("Total-New",'Distrib pivot table'!$C$2,"state","MS")&gt;0.0005,GETPIVOTDATA("Total-New",'Distrib pivot table'!$C$2,"state","MS","group","1b4")/GETPIVOTDATA("Total-New",'Distrib pivot table'!$C$2,"state","MS"),"*"))</f>
        <v>1.391212383598363E-2</v>
      </c>
      <c r="N11" s="1125">
        <f>IF((GETPIVOTDATA("Total-New",'Distrib pivot table'!$C$2,"state","NC","group","1b4")/GETPIVOTDATA("Total-New",'Distrib pivot table'!$C$2,"state","NC"))=0,,IF(GETPIVOTDATA("Total-New",'Distrib pivot table'!$C$2,"state","NC","group","1b4")/GETPIVOTDATA("Total-New",'Distrib pivot table'!$C$2,"state","NC")&gt;0.0005,GETPIVOTDATA("Total-New",'Distrib pivot table'!$C$2,"state","NC","group","1b4")/GETPIVOTDATA("Total-New",'Distrib pivot table'!$C$2,"state","NC"),"*"))</f>
        <v>1.1977335498069383E-2</v>
      </c>
      <c r="O11" s="1125">
        <f>IF((GETPIVOTDATA("Total-New",'Distrib pivot table'!$C$2,"state","OK","group","1b4")/GETPIVOTDATA("Total-New",'Distrib pivot table'!$C$2,"state","OK"))=0,,IF(GETPIVOTDATA("Total-New",'Distrib pivot table'!$C$2,"state","OK","group","1b4")/GETPIVOTDATA("Total-New",'Distrib pivot table'!$C$2,"state","OK")&gt;0.0005,GETPIVOTDATA("Total-New",'Distrib pivot table'!$C$2,"state","OK","group","1b4")/GETPIVOTDATA("Total-New",'Distrib pivot table'!$C$2,"state","OK"),"*"))</f>
        <v>1.6578129360862885E-2</v>
      </c>
      <c r="P11" s="1125">
        <f>IF((GETPIVOTDATA("Total-New",'Distrib pivot table'!$C$2,"state","SC","group","1b4")/GETPIVOTDATA("Total-New",'Distrib pivot table'!$C$2,"state","SC"))=0,,IF(GETPIVOTDATA("Total-New",'Distrib pivot table'!$C$2,"state","SC","group","1b4")/GETPIVOTDATA("Total-New",'Distrib pivot table'!$C$2,"state","SC")&gt;0.0005,GETPIVOTDATA("Total-New",'Distrib pivot table'!$C$2,"state","SC","group","1b4")/GETPIVOTDATA("Total-New",'Distrib pivot table'!$C$2,"state","SC"),"*"))</f>
        <v>0</v>
      </c>
      <c r="Q11" s="1125">
        <f>IF((GETPIVOTDATA("Total-New",'Distrib pivot table'!$C$2,"state","TN","group","1b4")/GETPIVOTDATA("Total-New",'Distrib pivot table'!$C$2,"state","TN"))=0,,IF(GETPIVOTDATA("Total-New",'Distrib pivot table'!$C$2,"state","TN","group","1b4")/GETPIVOTDATA("Total-New",'Distrib pivot table'!$C$2,"state","TN")&gt;0.0005,GETPIVOTDATA("Total-New",'Distrib pivot table'!$C$2,"state","TN","group","1b4")/GETPIVOTDATA("Total-New",'Distrib pivot table'!$C$2,"state","TN"),"*"))</f>
        <v>9.6926190452896448E-3</v>
      </c>
      <c r="R11" s="1125">
        <f>IF((GETPIVOTDATA("Total-New",'Distrib pivot table'!$C$2,"state","TX","group","1b4")/GETPIVOTDATA("Total-New",'Distrib pivot table'!$C$2,"state","TX"))=0,,IF(GETPIVOTDATA("Total-New",'Distrib pivot table'!$C$2,"state","TX","group","1b4")/GETPIVOTDATA("Total-New",'Distrib pivot table'!$C$2,"state","TX")&gt;0.0005,GETPIVOTDATA("Total-New",'Distrib pivot table'!$C$2,"state","TX","group","1b4")/GETPIVOTDATA("Total-New",'Distrib pivot table'!$C$2,"state","TX"),"*"))</f>
        <v>6.110292769961289E-3</v>
      </c>
      <c r="S11" s="1125">
        <f>IF((GETPIVOTDATA("Total-New",'Distrib pivot table'!$C$2,"state","VA","group","1b4")/GETPIVOTDATA("Total-New",'Distrib pivot table'!$C$2,"state","VA"))=0,,IF(GETPIVOTDATA("Total-New",'Distrib pivot table'!$C$2,"state","VA","group","1b4")/GETPIVOTDATA("Total-New",'Distrib pivot table'!$C$2,"state","VA")&gt;0.0005,GETPIVOTDATA("Total-New",'Distrib pivot table'!$C$2,"state","VA","group","1b4")/GETPIVOTDATA("Total-New",'Distrib pivot table'!$C$2,"state","VA"),"*"))</f>
        <v>8.2914007111969563E-3</v>
      </c>
      <c r="T11" s="1125">
        <f>IF((GETPIVOTDATA("Total-New",'Distrib pivot table'!$C$2,"state","WV","group","1b4")/GETPIVOTDATA("Total-New",'Distrib pivot table'!$C$2,"state","WV"))=0,,IF(GETPIVOTDATA("Total-New",'Distrib pivot table'!$C$2,"state","WV","group","1b4")/GETPIVOTDATA("Total-New",'Distrib pivot table'!$C$2,"state","WV")&gt;0.0005,GETPIVOTDATA("Total-New",'Distrib pivot table'!$C$2,"state","WV","group","1b4")/GETPIVOTDATA("Total-New",'Distrib pivot table'!$C$2,"state","WV"),"*"))</f>
        <v>6.2119245308757485E-3</v>
      </c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</row>
    <row r="12" spans="1:50" ht="12.6" customHeight="1">
      <c r="A12" s="1170"/>
      <c r="B12" s="128" t="s">
        <v>1880</v>
      </c>
      <c r="C12" s="814" t="s">
        <v>1782</v>
      </c>
      <c r="D12" s="1125" t="str">
        <f>IF(GETPIVOTDATA("Total-New",'Distrib pivot table'!$C$2,"group","1b5")/GETPIVOTDATA("Total-New",'Distrib pivot table'!$C$2)=0,,IF(GETPIVOTDATA("Total-New",'Distrib pivot table'!$C$2,"group","1b5")/GETPIVOTDATA("Total-New",'Distrib pivot table'!$C$2)&gt;0.0005,GETPIVOTDATA("Total-New",'Distrib pivot table'!$C$2,"group","1b5")/GETPIVOTDATA("Total-New",'Distrib pivot table'!$C$2),"*"))</f>
        <v>*</v>
      </c>
      <c r="E12" s="1125">
        <f>IF((GETPIVOTDATA("Total-New",'Distrib pivot table'!$C$2,"state","AL","group","1b5")/GETPIVOTDATA("Total-New",'Distrib pivot table'!$C$2,"state","AL"))=0,,IF(GETPIVOTDATA("Total-New",'Distrib pivot table'!$C$2,"state","AL","group","1b5")/GETPIVOTDATA("Total-New",'Distrib pivot table'!$C$2,"state","AL")&gt;0.0005,GETPIVOTDATA("Total-New",'Distrib pivot table'!$C$2,"state","AL","group","1b5")/GETPIVOTDATA("Total-New",'Distrib pivot table'!$C$2,"state","AL"),"*"))</f>
        <v>0</v>
      </c>
      <c r="F12" s="1125">
        <f>IF((GETPIVOTDATA("Total-New",'Distrib pivot table'!$C$2,"state","AR","group","1b5")/GETPIVOTDATA("Total-New",'Distrib pivot table'!$C$2,"state","AR"))=0,,IF(GETPIVOTDATA("Total-New",'Distrib pivot table'!$C$2,"state","AR","group","1b5")/GETPIVOTDATA("Total-New",'Distrib pivot table'!$C$2,"state","AR")&gt;0.0005,GETPIVOTDATA("Total-New",'Distrib pivot table'!$C$2,"state","AR","group","1b5")/GETPIVOTDATA("Total-New",'Distrib pivot table'!$C$2,"state","AR"),"*"))</f>
        <v>0</v>
      </c>
      <c r="G12" s="1125">
        <f>IF((GETPIVOTDATA("Total-New",'Distrib pivot table'!$C$2,"state","DE","group","1b5")/GETPIVOTDATA("Total-New",'Distrib pivot table'!$C$2,"state","DE"))=0,,IF(GETPIVOTDATA("Total-New",'Distrib pivot table'!$C$2,"state","DE","group","1b5")/GETPIVOTDATA("Total-New",'Distrib pivot table'!$C$2,"state","DE")&gt;0.0005,GETPIVOTDATA("Total-New",'Distrib pivot table'!$C$2,"state","DE","group","1b5")/GETPIVOTDATA("Total-New",'Distrib pivot table'!$C$2,"state","DE"),"*"))</f>
        <v>0</v>
      </c>
      <c r="H12" s="1125">
        <f>IF((GETPIVOTDATA("Total-New",'Distrib pivot table'!$C$2,"state","FL","group","1b5")/GETPIVOTDATA("Total-New",'Distrib pivot table'!$C$2,"state","FL"))=0,,IF(GETPIVOTDATA("Total-New",'Distrib pivot table'!$C$2,"state","FL","group","1b5")/GETPIVOTDATA("Total-New",'Distrib pivot table'!$C$2,"state","FL")&gt;0.0005,GETPIVOTDATA("Total-New",'Distrib pivot table'!$C$2,"state","FL","group","1b5")/GETPIVOTDATA("Total-New",'Distrib pivot table'!$C$2,"state","FL"),"*"))</f>
        <v>0</v>
      </c>
      <c r="I12" s="1125">
        <f>IF((GETPIVOTDATA("Total-New",'Distrib pivot table'!$C$2,"state","GA","group","1b5")/GETPIVOTDATA("Total-New",'Distrib pivot table'!$C$2,"state","GA"))=0,,IF(GETPIVOTDATA("Total-New",'Distrib pivot table'!$C$2,"state","GA","group","1b5")/GETPIVOTDATA("Total-New",'Distrib pivot table'!$C$2,"state","GA")&gt;0.0005,GETPIVOTDATA("Total-New",'Distrib pivot table'!$C$2,"state","GA","group","1b5")/GETPIVOTDATA("Total-New",'Distrib pivot table'!$C$2,"state","GA"),"*"))</f>
        <v>1.357461609686971E-3</v>
      </c>
      <c r="J12" s="1125">
        <f>IF((GETPIVOTDATA("Total-New",'Distrib pivot table'!$C$2,"state","KY","group","1b5")/GETPIVOTDATA("Total-New",'Distrib pivot table'!$C$2,"state","KY"))=0,,IF(GETPIVOTDATA("Total-New",'Distrib pivot table'!$C$2,"state","KY","group","1b5")/GETPIVOTDATA("Total-New",'Distrib pivot table'!$C$2,"state","KY")&gt;0.0005,GETPIVOTDATA("Total-New",'Distrib pivot table'!$C$2,"state","KY","group","1b5")/GETPIVOTDATA("Total-New",'Distrib pivot table'!$C$2,"state","KY"),"*"))</f>
        <v>0</v>
      </c>
      <c r="K12" s="1125">
        <f>IF((GETPIVOTDATA("Total-New",'Distrib pivot table'!$C$2,"state","LA","group","1b5")/GETPIVOTDATA("Total-New",'Distrib pivot table'!$C$2,"state","LA"))=0,,IF(GETPIVOTDATA("Total-New",'Distrib pivot table'!$C$2,"state","LA","group","1b5")/GETPIVOTDATA("Total-New",'Distrib pivot table'!$C$2,"state","LA")&gt;0.0005,GETPIVOTDATA("Total-New",'Distrib pivot table'!$C$2,"state","LA","group","1b5")/GETPIVOTDATA("Total-New",'Distrib pivot table'!$C$2,"state","LA"),"*"))</f>
        <v>0</v>
      </c>
      <c r="L12" s="1125">
        <f>IF((GETPIVOTDATA("Total-New",'Distrib pivot table'!$C$2,"state","MD","group","1b5")/GETPIVOTDATA("Total-New",'Distrib pivot table'!$C$2,"state","MD"))=0,,IF(GETPIVOTDATA("Total-New",'Distrib pivot table'!$C$2,"state","MD","group","1b5")/GETPIVOTDATA("Total-New",'Distrib pivot table'!$C$2,"state","MD")&gt;0.0005,GETPIVOTDATA("Total-New",'Distrib pivot table'!$C$2,"state","MD","group","1b5")/GETPIVOTDATA("Total-New",'Distrib pivot table'!$C$2,"state","MD"),"*"))</f>
        <v>0</v>
      </c>
      <c r="M12" s="1125">
        <f>IF((GETPIVOTDATA("Total-New",'Distrib pivot table'!$C$2,"state","MS","group","1b5")/GETPIVOTDATA("Total-New",'Distrib pivot table'!$C$2,"state","MS"))=0,,IF(GETPIVOTDATA("Total-New",'Distrib pivot table'!$C$2,"state","MS","group","1b5")/GETPIVOTDATA("Total-New",'Distrib pivot table'!$C$2,"state","MS")&gt;0.0005,GETPIVOTDATA("Total-New",'Distrib pivot table'!$C$2,"state","MS","group","1b5")/GETPIVOTDATA("Total-New",'Distrib pivot table'!$C$2,"state","MS"),"*"))</f>
        <v>0</v>
      </c>
      <c r="N12" s="1125">
        <f>IF((GETPIVOTDATA("Total-New",'Distrib pivot table'!$C$2,"state","NC","group","1b5")/GETPIVOTDATA("Total-New",'Distrib pivot table'!$C$2,"state","NC"))=0,,IF(GETPIVOTDATA("Total-New",'Distrib pivot table'!$C$2,"state","NC","group","1b5")/GETPIVOTDATA("Total-New",'Distrib pivot table'!$C$2,"state","NC")&gt;0.0005,GETPIVOTDATA("Total-New",'Distrib pivot table'!$C$2,"state","NC","group","1b5")/GETPIVOTDATA("Total-New",'Distrib pivot table'!$C$2,"state","NC"),"*"))</f>
        <v>0</v>
      </c>
      <c r="O12" s="1125">
        <f>IF((GETPIVOTDATA("Total-New",'Distrib pivot table'!$C$2,"state","OK","group","1b5")/GETPIVOTDATA("Total-New",'Distrib pivot table'!$C$2,"state","OK"))=0,,IF(GETPIVOTDATA("Total-New",'Distrib pivot table'!$C$2,"state","OK","group","1b5")/GETPIVOTDATA("Total-New",'Distrib pivot table'!$C$2,"state","OK")&gt;0.0005,GETPIVOTDATA("Total-New",'Distrib pivot table'!$C$2,"state","OK","group","1b5")/GETPIVOTDATA("Total-New",'Distrib pivot table'!$C$2,"state","OK"),"*"))</f>
        <v>0</v>
      </c>
      <c r="P12" s="1125">
        <f>IF((GETPIVOTDATA("Total-New",'Distrib pivot table'!$C$2,"state","SC","group","1b5")/GETPIVOTDATA("Total-New",'Distrib pivot table'!$C$2,"state","SC"))=0,,IF(GETPIVOTDATA("Total-New",'Distrib pivot table'!$C$2,"state","SC","group","1b5")/GETPIVOTDATA("Total-New",'Distrib pivot table'!$C$2,"state","SC")&gt;0.0005,GETPIVOTDATA("Total-New",'Distrib pivot table'!$C$2,"state","SC","group","1b5")/GETPIVOTDATA("Total-New",'Distrib pivot table'!$C$2,"state","SC"),"*"))</f>
        <v>0</v>
      </c>
      <c r="Q12" s="1125">
        <f>IF((GETPIVOTDATA("Total-New",'Distrib pivot table'!$C$2,"state","TN","group","1b5")/GETPIVOTDATA("Total-New",'Distrib pivot table'!$C$2,"state","TN"))=0,,IF(GETPIVOTDATA("Total-New",'Distrib pivot table'!$C$2,"state","TN","group","1b5")/GETPIVOTDATA("Total-New",'Distrib pivot table'!$C$2,"state","TN")&gt;0.0005,GETPIVOTDATA("Total-New",'Distrib pivot table'!$C$2,"state","TN","group","1b5")/GETPIVOTDATA("Total-New",'Distrib pivot table'!$C$2,"state","TN"),"*"))</f>
        <v>0</v>
      </c>
      <c r="R12" s="1125">
        <f>IF((GETPIVOTDATA("Total-New",'Distrib pivot table'!$C$2,"state","TX","group","1b5")/GETPIVOTDATA("Total-New",'Distrib pivot table'!$C$2,"state","TX"))=0,,IF(GETPIVOTDATA("Total-New",'Distrib pivot table'!$C$2,"state","TX","group","1b5")/GETPIVOTDATA("Total-New",'Distrib pivot table'!$C$2,"state","TX")&gt;0.0005,GETPIVOTDATA("Total-New",'Distrib pivot table'!$C$2,"state","TX","group","1b5")/GETPIVOTDATA("Total-New",'Distrib pivot table'!$C$2,"state","TX"),"*"))</f>
        <v>1.5989576504256565E-3</v>
      </c>
      <c r="S12" s="1125">
        <f>IF((GETPIVOTDATA("Total-New",'Distrib pivot table'!$C$2,"state","VA","group","1b5")/GETPIVOTDATA("Total-New",'Distrib pivot table'!$C$2,"state","VA"))=0,,IF(GETPIVOTDATA("Total-New",'Distrib pivot table'!$C$2,"state","VA","group","1b5")/GETPIVOTDATA("Total-New",'Distrib pivot table'!$C$2,"state","VA")&gt;0.0005,GETPIVOTDATA("Total-New",'Distrib pivot table'!$C$2,"state","VA","group","1b5")/GETPIVOTDATA("Total-New",'Distrib pivot table'!$C$2,"state","VA"),"*"))</f>
        <v>0</v>
      </c>
      <c r="T12" s="1125">
        <f>IF((GETPIVOTDATA("Total-New",'Distrib pivot table'!$C$2,"state","WV","group","1b5")/GETPIVOTDATA("Total-New",'Distrib pivot table'!$C$2,"state","WV"))=0,,IF(GETPIVOTDATA("Total-New",'Distrib pivot table'!$C$2,"state","WV","group","1b5")/GETPIVOTDATA("Total-New",'Distrib pivot table'!$C$2,"state","WV")&gt;0.0005,GETPIVOTDATA("Total-New",'Distrib pivot table'!$C$2,"state","WV","group","1b5")/GETPIVOTDATA("Total-New",'Distrib pivot table'!$C$2,"state","WV"),"*"))</f>
        <v>2.1396899619083479E-3</v>
      </c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</row>
    <row r="13" spans="1:50" ht="12.6" customHeight="1">
      <c r="A13" s="1170"/>
      <c r="B13" s="128" t="s">
        <v>1881</v>
      </c>
      <c r="C13" s="814" t="s">
        <v>1783</v>
      </c>
      <c r="D13" s="1125">
        <f>IF(GETPIVOTDATA("Total-New",'Distrib pivot table'!$C$2,"group","1b6")/GETPIVOTDATA("Total-New",'Distrib pivot table'!$C$2)=0,,IF(GETPIVOTDATA("Total-New",'Distrib pivot table'!$C$2,"group","1b6")/GETPIVOTDATA("Total-New",'Distrib pivot table'!$C$2)&gt;0.0005,GETPIVOTDATA("Total-New",'Distrib pivot table'!$C$2,"group","1b6")/GETPIVOTDATA("Total-New",'Distrib pivot table'!$C$2),"*"))</f>
        <v>3.7394760020820457E-3</v>
      </c>
      <c r="E13" s="1125">
        <f>IF((GETPIVOTDATA("Total-New",'Distrib pivot table'!$C$2,"state","AL","group","1b6")/GETPIVOTDATA("Total-New",'Distrib pivot table'!$C$2,"state","AL"))=0,,IF(GETPIVOTDATA("Total-New",'Distrib pivot table'!$C$2,"state","AL","group","1b6")/GETPIVOTDATA("Total-New",'Distrib pivot table'!$C$2,"state","AL")&gt;0.0005,GETPIVOTDATA("Total-New",'Distrib pivot table'!$C$2,"state","AL","group","1b6")/GETPIVOTDATA("Total-New",'Distrib pivot table'!$C$2,"state","AL"),"*"))</f>
        <v>0</v>
      </c>
      <c r="F13" s="1125">
        <f>IF((GETPIVOTDATA("Total-New",'Distrib pivot table'!$C$2,"state","AR","group","1b6")/GETPIVOTDATA("Total-New",'Distrib pivot table'!$C$2,"state","AR"))=0,,IF(GETPIVOTDATA("Total-New",'Distrib pivot table'!$C$2,"state","AR","group","1b6")/GETPIVOTDATA("Total-New",'Distrib pivot table'!$C$2,"state","AR")&gt;0.0005,GETPIVOTDATA("Total-New",'Distrib pivot table'!$C$2,"state","AR","group","1b6")/GETPIVOTDATA("Total-New",'Distrib pivot table'!$C$2,"state","AR"),"*"))</f>
        <v>0</v>
      </c>
      <c r="G13" s="1125">
        <f>IF((GETPIVOTDATA("Total-New",'Distrib pivot table'!$C$2,"state","DE","group","1b6")/GETPIVOTDATA("Total-New",'Distrib pivot table'!$C$2,"state","DE"))=0,,IF(GETPIVOTDATA("Total-New",'Distrib pivot table'!$C$2,"state","DE","group","1b6")/GETPIVOTDATA("Total-New",'Distrib pivot table'!$C$2,"state","DE")&gt;0.0005,GETPIVOTDATA("Total-New",'Distrib pivot table'!$C$2,"state","DE","group","1b6")/GETPIVOTDATA("Total-New",'Distrib pivot table'!$C$2,"state","DE"),"*"))</f>
        <v>6.4931888303617572E-3</v>
      </c>
      <c r="H13" s="1125">
        <f>IF((GETPIVOTDATA("Total-New",'Distrib pivot table'!$C$2,"state","FL","group","1b6")/GETPIVOTDATA("Total-New",'Distrib pivot table'!$C$2,"state","FL"))=0,,IF(GETPIVOTDATA("Total-New",'Distrib pivot table'!$C$2,"state","FL","group","1b6")/GETPIVOTDATA("Total-New",'Distrib pivot table'!$C$2,"state","FL")&gt;0.0005,GETPIVOTDATA("Total-New",'Distrib pivot table'!$C$2,"state","FL","group","1b6")/GETPIVOTDATA("Total-New",'Distrib pivot table'!$C$2,"state","FL"),"*"))</f>
        <v>1.4018989812544467E-2</v>
      </c>
      <c r="I13" s="1125">
        <f>IF((GETPIVOTDATA("Total-New",'Distrib pivot table'!$C$2,"state","GA","group","1b6")/GETPIVOTDATA("Total-New",'Distrib pivot table'!$C$2,"state","GA"))=0,,IF(GETPIVOTDATA("Total-New",'Distrib pivot table'!$C$2,"state","GA","group","1b6")/GETPIVOTDATA("Total-New",'Distrib pivot table'!$C$2,"state","GA")&gt;0.0005,GETPIVOTDATA("Total-New",'Distrib pivot table'!$C$2,"state","GA","group","1b6")/GETPIVOTDATA("Total-New",'Distrib pivot table'!$C$2,"state","GA"),"*"))</f>
        <v>2.7542152489811703E-3</v>
      </c>
      <c r="J13" s="1125">
        <f>IF((GETPIVOTDATA("Total-New",'Distrib pivot table'!$C$2,"state","KY","group","1b6")/GETPIVOTDATA("Total-New",'Distrib pivot table'!$C$2,"state","KY"))=0,,IF(GETPIVOTDATA("Total-New",'Distrib pivot table'!$C$2,"state","KY","group","1b6")/GETPIVOTDATA("Total-New",'Distrib pivot table'!$C$2,"state","KY")&gt;0.0005,GETPIVOTDATA("Total-New",'Distrib pivot table'!$C$2,"state","KY","group","1b6")/GETPIVOTDATA("Total-New",'Distrib pivot table'!$C$2,"state","KY"),"*"))</f>
        <v>2.6156345837419488E-3</v>
      </c>
      <c r="K13" s="1125">
        <f>IF((GETPIVOTDATA("Total-New",'Distrib pivot table'!$C$2,"state","LA","group","1b6")/GETPIVOTDATA("Total-New",'Distrib pivot table'!$C$2,"state","LA"))=0,,IF(GETPIVOTDATA("Total-New",'Distrib pivot table'!$C$2,"state","LA","group","1b6")/GETPIVOTDATA("Total-New",'Distrib pivot table'!$C$2,"state","LA")&gt;0.0005,GETPIVOTDATA("Total-New",'Distrib pivot table'!$C$2,"state","LA","group","1b6")/GETPIVOTDATA("Total-New",'Distrib pivot table'!$C$2,"state","LA"),"*"))</f>
        <v>0</v>
      </c>
      <c r="L13" s="1125">
        <f>IF((GETPIVOTDATA("Total-New",'Distrib pivot table'!$C$2,"state","MD","group","1b6")/GETPIVOTDATA("Total-New",'Distrib pivot table'!$C$2,"state","MD"))=0,,IF(GETPIVOTDATA("Total-New",'Distrib pivot table'!$C$2,"state","MD","group","1b6")/GETPIVOTDATA("Total-New",'Distrib pivot table'!$C$2,"state","MD")&gt;0.0005,GETPIVOTDATA("Total-New",'Distrib pivot table'!$C$2,"state","MD","group","1b6")/GETPIVOTDATA("Total-New",'Distrib pivot table'!$C$2,"state","MD"),"*"))</f>
        <v>1.1245843703006278E-2</v>
      </c>
      <c r="M13" s="1125">
        <f>IF((GETPIVOTDATA("Total-New",'Distrib pivot table'!$C$2,"state","MS","group","1b6")/GETPIVOTDATA("Total-New",'Distrib pivot table'!$C$2,"state","MS"))=0,,IF(GETPIVOTDATA("Total-New",'Distrib pivot table'!$C$2,"state","MS","group","1b6")/GETPIVOTDATA("Total-New",'Distrib pivot table'!$C$2,"state","MS")&gt;0.0005,GETPIVOTDATA("Total-New",'Distrib pivot table'!$C$2,"state","MS","group","1b6")/GETPIVOTDATA("Total-New",'Distrib pivot table'!$C$2,"state","MS"),"*"))</f>
        <v>1.4085694444899419E-2</v>
      </c>
      <c r="N13" s="1125">
        <f>IF((GETPIVOTDATA("Total-New",'Distrib pivot table'!$C$2,"state","NC","group","1b6")/GETPIVOTDATA("Total-New",'Distrib pivot table'!$C$2,"state","NC"))=0,,IF(GETPIVOTDATA("Total-New",'Distrib pivot table'!$C$2,"state","NC","group","1b6")/GETPIVOTDATA("Total-New",'Distrib pivot table'!$C$2,"state","NC")&gt;0.0005,GETPIVOTDATA("Total-New",'Distrib pivot table'!$C$2,"state","NC","group","1b6")/GETPIVOTDATA("Total-New",'Distrib pivot table'!$C$2,"state","NC"),"*"))</f>
        <v>0</v>
      </c>
      <c r="O13" s="1125">
        <f>IF((GETPIVOTDATA("Total-New",'Distrib pivot table'!$C$2,"state","OK","group","1b6")/GETPIVOTDATA("Total-New",'Distrib pivot table'!$C$2,"state","OK"))=0,,IF(GETPIVOTDATA("Total-New",'Distrib pivot table'!$C$2,"state","OK","group","1b6")/GETPIVOTDATA("Total-New",'Distrib pivot table'!$C$2,"state","OK")&gt;0.0005,GETPIVOTDATA("Total-New",'Distrib pivot table'!$C$2,"state","OK","group","1b6")/GETPIVOTDATA("Total-New",'Distrib pivot table'!$C$2,"state","OK"),"*"))</f>
        <v>0</v>
      </c>
      <c r="P13" s="1125">
        <f>IF((GETPIVOTDATA("Total-New",'Distrib pivot table'!$C$2,"state","SC","group","1b6")/GETPIVOTDATA("Total-New",'Distrib pivot table'!$C$2,"state","SC"))=0,,IF(GETPIVOTDATA("Total-New",'Distrib pivot table'!$C$2,"state","SC","group","1b6")/GETPIVOTDATA("Total-New",'Distrib pivot table'!$C$2,"state","SC")&gt;0.0005,GETPIVOTDATA("Total-New",'Distrib pivot table'!$C$2,"state","SC","group","1b6")/GETPIVOTDATA("Total-New",'Distrib pivot table'!$C$2,"state","SC"),"*"))</f>
        <v>1.7851905694543397E-3</v>
      </c>
      <c r="Q13" s="1125">
        <f>IF((GETPIVOTDATA("Total-New",'Distrib pivot table'!$C$2,"state","TN","group","1b6")/GETPIVOTDATA("Total-New",'Distrib pivot table'!$C$2,"state","TN"))=0,,IF(GETPIVOTDATA("Total-New",'Distrib pivot table'!$C$2,"state","TN","group","1b6")/GETPIVOTDATA("Total-New",'Distrib pivot table'!$C$2,"state","TN")&gt;0.0005,GETPIVOTDATA("Total-New",'Distrib pivot table'!$C$2,"state","TN","group","1b6")/GETPIVOTDATA("Total-New",'Distrib pivot table'!$C$2,"state","TN"),"*"))</f>
        <v>0</v>
      </c>
      <c r="R13" s="1125">
        <f>IF((GETPIVOTDATA("Total-New",'Distrib pivot table'!$C$2,"state","TX","group","1b6")/GETPIVOTDATA("Total-New",'Distrib pivot table'!$C$2,"state","TX"))=0,,IF(GETPIVOTDATA("Total-New",'Distrib pivot table'!$C$2,"state","TX","group","1b6")/GETPIVOTDATA("Total-New",'Distrib pivot table'!$C$2,"state","TX")&gt;0.0005,GETPIVOTDATA("Total-New",'Distrib pivot table'!$C$2,"state","TX","group","1b6")/GETPIVOTDATA("Total-New",'Distrib pivot table'!$C$2,"state","TX"),"*"))</f>
        <v>0</v>
      </c>
      <c r="S13" s="1125">
        <f>IF((GETPIVOTDATA("Total-New",'Distrib pivot table'!$C$2,"state","VA","group","1b6")/GETPIVOTDATA("Total-New",'Distrib pivot table'!$C$2,"state","VA"))=0,,IF(GETPIVOTDATA("Total-New",'Distrib pivot table'!$C$2,"state","VA","group","1b6")/GETPIVOTDATA("Total-New",'Distrib pivot table'!$C$2,"state","VA")&gt;0.0005,GETPIVOTDATA("Total-New",'Distrib pivot table'!$C$2,"state","VA","group","1b6")/GETPIVOTDATA("Total-New",'Distrib pivot table'!$C$2,"state","VA"),"*"))</f>
        <v>5.2111509645022137E-3</v>
      </c>
      <c r="T13" s="1125">
        <f>IF((GETPIVOTDATA("Total-New",'Distrib pivot table'!$C$2,"state","WV","group","1b6")/GETPIVOTDATA("Total-New",'Distrib pivot table'!$C$2,"state","WV"))=0,,IF(GETPIVOTDATA("Total-New",'Distrib pivot table'!$C$2,"state","WV","group","1b6")/GETPIVOTDATA("Total-New",'Distrib pivot table'!$C$2,"state","WV")&gt;0.0005,GETPIVOTDATA("Total-New",'Distrib pivot table'!$C$2,"state","WV","group","1b6")/GETPIVOTDATA("Total-New",'Distrib pivot table'!$C$2,"state","WV"),"*"))</f>
        <v>6.6242715836785033E-3</v>
      </c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</row>
    <row r="14" spans="1:50" ht="12.6" customHeight="1">
      <c r="A14" s="1170"/>
      <c r="B14" s="128" t="s">
        <v>1808</v>
      </c>
      <c r="C14" s="814" t="s">
        <v>1784</v>
      </c>
      <c r="D14" s="1125">
        <f>IF(GETPIVOTDATA("Total-New",'Distrib pivot table'!$C$2,"group","1b7")/GETPIVOTDATA("Total-New",'Distrib pivot table'!$C$2)=0,,IF(GETPIVOTDATA("Total-New",'Distrib pivot table'!$C$2,"group","1b7")/GETPIVOTDATA("Total-New",'Distrib pivot table'!$C$2)&gt;0.0005,GETPIVOTDATA("Total-New",'Distrib pivot table'!$C$2,"group","1b7")/GETPIVOTDATA("Total-New",'Distrib pivot table'!$C$2),"*"))</f>
        <v>9.1743417572664001E-4</v>
      </c>
      <c r="E14" s="1125">
        <f>IF((GETPIVOTDATA("Total-New",'Distrib pivot table'!$C$2,"state","AL","group","1b7")/GETPIVOTDATA("Total-New",'Distrib pivot table'!$C$2,"state","AL"))=0,,IF(GETPIVOTDATA("Total-New",'Distrib pivot table'!$C$2,"state","AL","group","1b7")/GETPIVOTDATA("Total-New",'Distrib pivot table'!$C$2,"state","AL")&gt;0.0005,GETPIVOTDATA("Total-New",'Distrib pivot table'!$C$2,"state","AL","group","1b7")/GETPIVOTDATA("Total-New",'Distrib pivot table'!$C$2,"state","AL"),"*"))</f>
        <v>1.5054732143235617E-3</v>
      </c>
      <c r="F14" s="1125">
        <f>IF((GETPIVOTDATA("Total-New",'Distrib pivot table'!$C$2,"state","AR","group","1b7")/GETPIVOTDATA("Total-New",'Distrib pivot table'!$C$2,"state","AR"))=0,,IF(GETPIVOTDATA("Total-New",'Distrib pivot table'!$C$2,"state","AR","group","1b7")/GETPIVOTDATA("Total-New",'Distrib pivot table'!$C$2,"state","AR")&gt;0.0005,GETPIVOTDATA("Total-New",'Distrib pivot table'!$C$2,"state","AR","group","1b7")/GETPIVOTDATA("Total-New",'Distrib pivot table'!$C$2,"state","AR"),"*"))</f>
        <v>0</v>
      </c>
      <c r="G14" s="1125">
        <f>IF((GETPIVOTDATA("Total-New",'Distrib pivot table'!$C$2,"state","DE","group","1b7")/GETPIVOTDATA("Total-New",'Distrib pivot table'!$C$2,"state","DE"))=0,,IF(GETPIVOTDATA("Total-New",'Distrib pivot table'!$C$2,"state","DE","group","1b7")/GETPIVOTDATA("Total-New",'Distrib pivot table'!$C$2,"state","DE")&gt;0.0005,GETPIVOTDATA("Total-New",'Distrib pivot table'!$C$2,"state","DE","group","1b7")/GETPIVOTDATA("Total-New",'Distrib pivot table'!$C$2,"state","DE"),"*"))</f>
        <v>0</v>
      </c>
      <c r="H14" s="1125" t="str">
        <f>IF((GETPIVOTDATA("Total-New",'Distrib pivot table'!$C$2,"state","FL","group","1b7")/GETPIVOTDATA("Total-New",'Distrib pivot table'!$C$2,"state","FL"))=0,,IF(GETPIVOTDATA("Total-New",'Distrib pivot table'!$C$2,"state","FL","group","1b7")/GETPIVOTDATA("Total-New",'Distrib pivot table'!$C$2,"state","FL")&gt;0.0005,GETPIVOTDATA("Total-New",'Distrib pivot table'!$C$2,"state","FL","group","1b7")/GETPIVOTDATA("Total-New",'Distrib pivot table'!$C$2,"state","FL"),"*"))</f>
        <v>*</v>
      </c>
      <c r="I14" s="1125">
        <f>IF((GETPIVOTDATA("Total-New",'Distrib pivot table'!$C$2,"state","GA","group","1b7")/GETPIVOTDATA("Total-New",'Distrib pivot table'!$C$2,"state","GA"))=0,,IF(GETPIVOTDATA("Total-New",'Distrib pivot table'!$C$2,"state","GA","group","1b7")/GETPIVOTDATA("Total-New",'Distrib pivot table'!$C$2,"state","GA")&gt;0.0005,GETPIVOTDATA("Total-New",'Distrib pivot table'!$C$2,"state","GA","group","1b7")/GETPIVOTDATA("Total-New",'Distrib pivot table'!$C$2,"state","GA"),"*"))</f>
        <v>0</v>
      </c>
      <c r="J14" s="1125">
        <f>IF((GETPIVOTDATA("Total-New",'Distrib pivot table'!$C$2,"state","KY","group","1b7")/GETPIVOTDATA("Total-New",'Distrib pivot table'!$C$2,"state","KY"))=0,,IF(GETPIVOTDATA("Total-New",'Distrib pivot table'!$C$2,"state","KY","group","1b7")/GETPIVOTDATA("Total-New",'Distrib pivot table'!$C$2,"state","KY")&gt;0.0005,GETPIVOTDATA("Total-New",'Distrib pivot table'!$C$2,"state","KY","group","1b7")/GETPIVOTDATA("Total-New",'Distrib pivot table'!$C$2,"state","KY"),"*"))</f>
        <v>0</v>
      </c>
      <c r="K14" s="1125">
        <f>IF((GETPIVOTDATA("Total-New",'Distrib pivot table'!$C$2,"state","LA","group","1b7")/GETPIVOTDATA("Total-New",'Distrib pivot table'!$C$2,"state","LA"))=0,,IF(GETPIVOTDATA("Total-New",'Distrib pivot table'!$C$2,"state","LA","group","1b7")/GETPIVOTDATA("Total-New",'Distrib pivot table'!$C$2,"state","LA")&gt;0.0005,GETPIVOTDATA("Total-New",'Distrib pivot table'!$C$2,"state","LA","group","1b7")/GETPIVOTDATA("Total-New",'Distrib pivot table'!$C$2,"state","LA"),"*"))</f>
        <v>0</v>
      </c>
      <c r="L14" s="1125">
        <f>IF((GETPIVOTDATA("Total-New",'Distrib pivot table'!$C$2,"state","MD","group","1b7")/GETPIVOTDATA("Total-New",'Distrib pivot table'!$C$2,"state","MD"))=0,,IF(GETPIVOTDATA("Total-New",'Distrib pivot table'!$C$2,"state","MD","group","1b7")/GETPIVOTDATA("Total-New",'Distrib pivot table'!$C$2,"state","MD")&gt;0.0005,GETPIVOTDATA("Total-New",'Distrib pivot table'!$C$2,"state","MD","group","1b7")/GETPIVOTDATA("Total-New",'Distrib pivot table'!$C$2,"state","MD"),"*"))</f>
        <v>0</v>
      </c>
      <c r="M14" s="1125">
        <f>IF((GETPIVOTDATA("Total-New",'Distrib pivot table'!$C$2,"state","MS","group","1b7")/GETPIVOTDATA("Total-New",'Distrib pivot table'!$C$2,"state","MS"))=0,,IF(GETPIVOTDATA("Total-New",'Distrib pivot table'!$C$2,"state","MS","group","1b7")/GETPIVOTDATA("Total-New",'Distrib pivot table'!$C$2,"state","MS")&gt;0.0005,GETPIVOTDATA("Total-New",'Distrib pivot table'!$C$2,"state","MS","group","1b7")/GETPIVOTDATA("Total-New",'Distrib pivot table'!$C$2,"state","MS"),"*"))</f>
        <v>0</v>
      </c>
      <c r="N14" s="1125">
        <f>IF((GETPIVOTDATA("Total-New",'Distrib pivot table'!$C$2,"state","NC","group","1b7")/GETPIVOTDATA("Total-New",'Distrib pivot table'!$C$2,"state","NC"))=0,,IF(GETPIVOTDATA("Total-New",'Distrib pivot table'!$C$2,"state","NC","group","1b7")/GETPIVOTDATA("Total-New",'Distrib pivot table'!$C$2,"state","NC")&gt;0.0005,GETPIVOTDATA("Total-New",'Distrib pivot table'!$C$2,"state","NC","group","1b7")/GETPIVOTDATA("Total-New",'Distrib pivot table'!$C$2,"state","NC"),"*"))</f>
        <v>0</v>
      </c>
      <c r="O14" s="1125">
        <f>IF((GETPIVOTDATA("Total-New",'Distrib pivot table'!$C$2,"state","OK","group","1b7")/GETPIVOTDATA("Total-New",'Distrib pivot table'!$C$2,"state","OK"))=0,,IF(GETPIVOTDATA("Total-New",'Distrib pivot table'!$C$2,"state","OK","group","1b7")/GETPIVOTDATA("Total-New",'Distrib pivot table'!$C$2,"state","OK")&gt;0.0005,GETPIVOTDATA("Total-New",'Distrib pivot table'!$C$2,"state","OK","group","1b7")/GETPIVOTDATA("Total-New",'Distrib pivot table'!$C$2,"state","OK"),"*"))</f>
        <v>0</v>
      </c>
      <c r="P14" s="1125">
        <f>IF((GETPIVOTDATA("Total-New",'Distrib pivot table'!$C$2,"state","SC","group","1b7")/GETPIVOTDATA("Total-New",'Distrib pivot table'!$C$2,"state","SC"))=0,,IF(GETPIVOTDATA("Total-New",'Distrib pivot table'!$C$2,"state","SC","group","1b7")/GETPIVOTDATA("Total-New",'Distrib pivot table'!$C$2,"state","SC")&gt;0.0005,GETPIVOTDATA("Total-New",'Distrib pivot table'!$C$2,"state","SC","group","1b7")/GETPIVOTDATA("Total-New",'Distrib pivot table'!$C$2,"state","SC"),"*"))</f>
        <v>1.580464740134813E-2</v>
      </c>
      <c r="Q14" s="1125">
        <f>IF((GETPIVOTDATA("Total-New",'Distrib pivot table'!$C$2,"state","TN","group","1b7")/GETPIVOTDATA("Total-New",'Distrib pivot table'!$C$2,"state","TN"))=0,,IF(GETPIVOTDATA("Total-New",'Distrib pivot table'!$C$2,"state","TN","group","1b7")/GETPIVOTDATA("Total-New",'Distrib pivot table'!$C$2,"state","TN")&gt;0.0005,GETPIVOTDATA("Total-New",'Distrib pivot table'!$C$2,"state","TN","group","1b7")/GETPIVOTDATA("Total-New",'Distrib pivot table'!$C$2,"state","TN"),"*"))</f>
        <v>0</v>
      </c>
      <c r="R14" s="1125">
        <f>IF((GETPIVOTDATA("Total-New",'Distrib pivot table'!$C$2,"state","TX","group","1b7")/GETPIVOTDATA("Total-New",'Distrib pivot table'!$C$2,"state","TX"))=0,,IF(GETPIVOTDATA("Total-New",'Distrib pivot table'!$C$2,"state","TX","group","1b7")/GETPIVOTDATA("Total-New",'Distrib pivot table'!$C$2,"state","TX")&gt;0.0005,GETPIVOTDATA("Total-New",'Distrib pivot table'!$C$2,"state","TX","group","1b7")/GETPIVOTDATA("Total-New",'Distrib pivot table'!$C$2,"state","TX"),"*"))</f>
        <v>0</v>
      </c>
      <c r="S14" s="1125">
        <f>IF((GETPIVOTDATA("Total-New",'Distrib pivot table'!$C$2,"state","VA","group","1b7")/GETPIVOTDATA("Total-New",'Distrib pivot table'!$C$2,"state","VA"))=0,,IF(GETPIVOTDATA("Total-New",'Distrib pivot table'!$C$2,"state","VA","group","1b7")/GETPIVOTDATA("Total-New",'Distrib pivot table'!$C$2,"state","VA")&gt;0.0005,GETPIVOTDATA("Total-New",'Distrib pivot table'!$C$2,"state","VA","group","1b7")/GETPIVOTDATA("Total-New",'Distrib pivot table'!$C$2,"state","VA"),"*"))</f>
        <v>0</v>
      </c>
      <c r="T14" s="1125">
        <f>IF((GETPIVOTDATA("Total-New",'Distrib pivot table'!$C$2,"state","WV","group","1b7")/GETPIVOTDATA("Total-New",'Distrib pivot table'!$C$2,"state","WV"))=0,,IF(GETPIVOTDATA("Total-New",'Distrib pivot table'!$C$2,"state","WV","group","1b7")/GETPIVOTDATA("Total-New",'Distrib pivot table'!$C$2,"state","WV")&gt;0.0005,GETPIVOTDATA("Total-New",'Distrib pivot table'!$C$2,"state","WV","group","1b7")/GETPIVOTDATA("Total-New",'Distrib pivot table'!$C$2,"state","WV"),"*"))</f>
        <v>5.2170998590761507E-3</v>
      </c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</row>
    <row r="15" spans="1:50" s="45" customFormat="1" ht="26.25" customHeight="1">
      <c r="A15" s="1170"/>
      <c r="B15" s="127" t="s">
        <v>249</v>
      </c>
      <c r="C15" s="813" t="s">
        <v>1785</v>
      </c>
      <c r="D15" s="1126">
        <f>SUM(D16:D22)</f>
        <v>1.2793222794149132E-2</v>
      </c>
      <c r="E15" s="1126">
        <f>SUM(E16:E22)</f>
        <v>3.0337459328090725E-2</v>
      </c>
      <c r="F15" s="1126">
        <f>SUM(F16:F22)</f>
        <v>5.2458343886837774E-2</v>
      </c>
      <c r="G15" s="1126">
        <f t="shared" ref="G15:T15" si="2">SUM(G16:G22)</f>
        <v>0</v>
      </c>
      <c r="H15" s="1126">
        <f t="shared" si="2"/>
        <v>2.2808660527270487E-3</v>
      </c>
      <c r="I15" s="1126">
        <f t="shared" si="2"/>
        <v>0</v>
      </c>
      <c r="J15" s="1126">
        <f t="shared" si="2"/>
        <v>8.4069503698976089E-3</v>
      </c>
      <c r="K15" s="1126">
        <f t="shared" si="2"/>
        <v>6.1739006929243709E-2</v>
      </c>
      <c r="L15" s="1126">
        <f t="shared" si="2"/>
        <v>0</v>
      </c>
      <c r="M15" s="1126">
        <f t="shared" si="2"/>
        <v>1.4873718212664873E-2</v>
      </c>
      <c r="N15" s="1126">
        <f t="shared" si="2"/>
        <v>4.3779552157044418E-2</v>
      </c>
      <c r="O15" s="1126">
        <f t="shared" si="2"/>
        <v>0</v>
      </c>
      <c r="P15" s="1126">
        <f t="shared" si="2"/>
        <v>0</v>
      </c>
      <c r="Q15" s="1126">
        <f t="shared" si="2"/>
        <v>0</v>
      </c>
      <c r="R15" s="1126">
        <f t="shared" si="2"/>
        <v>6.3612966369753898E-3</v>
      </c>
      <c r="S15" s="1126">
        <f t="shared" si="2"/>
        <v>2.4520588977793452E-3</v>
      </c>
      <c r="T15" s="1126">
        <f t="shared" si="2"/>
        <v>6.1804479526175035E-3</v>
      </c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</row>
    <row r="16" spans="1:50" ht="12.6" customHeight="1">
      <c r="A16" s="1170"/>
      <c r="B16" s="128" t="s">
        <v>1891</v>
      </c>
      <c r="C16" s="814" t="s">
        <v>1786</v>
      </c>
      <c r="D16" s="1125">
        <f>IF(GETPIVOTDATA("Total-New",'Distrib pivot table'!$C$2,"group","1c1")/GETPIVOTDATA("Total-New",'Distrib pivot table'!$C$2)=0,,IF(GETPIVOTDATA("Total-New",'Distrib pivot table'!$C$2,"group","1c1")/GETPIVOTDATA("Total-New",'Distrib pivot table'!$C$2)&gt;0.0005,GETPIVOTDATA("Total-New",'Distrib pivot table'!$C$2,"group","1c1")/GETPIVOTDATA("Total-New",'Distrib pivot table'!$C$2),"*"))</f>
        <v>4.0502774485957783E-3</v>
      </c>
      <c r="E16" s="1125">
        <f>IF((GETPIVOTDATA("Total-New",'Distrib pivot table'!$C$2,"state","AL","group","1c1")/GETPIVOTDATA("Total-New",'Distrib pivot table'!$C$2,"state","AL"))=0,,IF(GETPIVOTDATA("Total-New",'Distrib pivot table'!$C$2,"state","AL","group","1c1")/GETPIVOTDATA("Total-New",'Distrib pivot table'!$C$2,"state","AL")&gt;0.0005,GETPIVOTDATA("Total-New",'Distrib pivot table'!$C$2,"state","AL","group","1c1")/GETPIVOTDATA("Total-New",'Distrib pivot table'!$C$2,"state","AL"),"*"))</f>
        <v>0</v>
      </c>
      <c r="F16" s="1125">
        <f>IF((GETPIVOTDATA("Total-New",'Distrib pivot table'!$C$2,"state","AR","group","1c1")/GETPIVOTDATA("Total-New",'Distrib pivot table'!$C$2,"state","AR"))=0,,IF(GETPIVOTDATA("Total-New",'Distrib pivot table'!$C$2,"state","AR","group","1c1")/GETPIVOTDATA("Total-New",'Distrib pivot table'!$C$2,"state","AR")&gt;0.0005,GETPIVOTDATA("Total-New",'Distrib pivot table'!$C$2,"state","AR","group","1c1")/GETPIVOTDATA("Total-New",'Distrib pivot table'!$C$2,"state","AR"),"*"))</f>
        <v>0</v>
      </c>
      <c r="G16" s="1125">
        <f>IF((GETPIVOTDATA("Total-New",'Distrib pivot table'!$C$2,"state","DE","group","1c1")/GETPIVOTDATA("Total-New",'Distrib pivot table'!$C$2,"state","DE"))=0,,IF(GETPIVOTDATA("Total-New",'Distrib pivot table'!$C$2,"state","DE","group","1c1")/GETPIVOTDATA("Total-New",'Distrib pivot table'!$C$2,"state","DE")&gt;0.0005,GETPIVOTDATA("Total-New",'Distrib pivot table'!$C$2,"state","DE","group","1c1")/GETPIVOTDATA("Total-New",'Distrib pivot table'!$C$2,"state","DE"),"*"))</f>
        <v>0</v>
      </c>
      <c r="H16" s="1125">
        <f>IF((GETPIVOTDATA("Total-New",'Distrib pivot table'!$C$2,"state","FL","group","1c1")/GETPIVOTDATA("Total-New",'Distrib pivot table'!$C$2,"state","FL"))=0,,IF(GETPIVOTDATA("Total-New",'Distrib pivot table'!$C$2,"state","FL","group","1c1")/GETPIVOTDATA("Total-New",'Distrib pivot table'!$C$2,"state","FL")&gt;0.0005,GETPIVOTDATA("Total-New",'Distrib pivot table'!$C$2,"state","FL","group","1c1")/GETPIVOTDATA("Total-New",'Distrib pivot table'!$C$2,"state","FL"),"*"))</f>
        <v>0</v>
      </c>
      <c r="I16" s="1125">
        <f>IF((GETPIVOTDATA("Total-New",'Distrib pivot table'!$C$2,"state","GA","group","1c1")/GETPIVOTDATA("Total-New",'Distrib pivot table'!$C$2,"state","GA"))=0,,IF(GETPIVOTDATA("Total-New",'Distrib pivot table'!$C$2,"state","GA","group","1c1")/GETPIVOTDATA("Total-New",'Distrib pivot table'!$C$2,"state","GA")&gt;0.0005,GETPIVOTDATA("Total-New",'Distrib pivot table'!$C$2,"state","GA","group","1c1")/GETPIVOTDATA("Total-New",'Distrib pivot table'!$C$2,"state","GA"),"*"))</f>
        <v>0</v>
      </c>
      <c r="J16" s="1125">
        <f>IF((GETPIVOTDATA("Total-New",'Distrib pivot table'!$C$2,"state","KY","group","1c1")/GETPIVOTDATA("Total-New",'Distrib pivot table'!$C$2,"state","KY"))=0,,IF(GETPIVOTDATA("Total-New",'Distrib pivot table'!$C$2,"state","KY","group","1c1")/GETPIVOTDATA("Total-New",'Distrib pivot table'!$C$2,"state","KY")&gt;0.0005,GETPIVOTDATA("Total-New",'Distrib pivot table'!$C$2,"state","KY","group","1c1")/GETPIVOTDATA("Total-New",'Distrib pivot table'!$C$2,"state","KY"),"*"))</f>
        <v>8.4069503698976089E-3</v>
      </c>
      <c r="K16" s="1125" t="str">
        <f>IF((GETPIVOTDATA("Total-New",'Distrib pivot table'!$C$2,"state","LA","group","1c1")/GETPIVOTDATA("Total-New",'Distrib pivot table'!$C$2,"state","LA"))=0,,IF(GETPIVOTDATA("Total-New",'Distrib pivot table'!$C$2,"state","LA","group","1c1")/GETPIVOTDATA("Total-New",'Distrib pivot table'!$C$2,"state","LA")&gt;0.0005,GETPIVOTDATA("Total-New",'Distrib pivot table'!$C$2,"state","LA","group","1c1")/GETPIVOTDATA("Total-New",'Distrib pivot table'!$C$2,"state","LA"),"*"))</f>
        <v>*</v>
      </c>
      <c r="L16" s="1125">
        <f>IF((GETPIVOTDATA("Total-New",'Distrib pivot table'!$C$2,"state","MD","group","1c1")/GETPIVOTDATA("Total-New",'Distrib pivot table'!$C$2,"state","MD"))=0,,IF(GETPIVOTDATA("Total-New",'Distrib pivot table'!$C$2,"state","MD","group","1c1")/GETPIVOTDATA("Total-New",'Distrib pivot table'!$C$2,"state","MD")&gt;0.0005,GETPIVOTDATA("Total-New",'Distrib pivot table'!$C$2,"state","MD","group","1c1")/GETPIVOTDATA("Total-New",'Distrib pivot table'!$C$2,"state","MD"),"*"))</f>
        <v>0</v>
      </c>
      <c r="M16" s="1125" t="str">
        <f>IF((GETPIVOTDATA("Total-New",'Distrib pivot table'!$C$2,"state","MS","group","1c1")/GETPIVOTDATA("Total-New",'Distrib pivot table'!$C$2,"state","MS"))=0,,IF(GETPIVOTDATA("Total-New",'Distrib pivot table'!$C$2,"state","MS","group","1c1")/GETPIVOTDATA("Total-New",'Distrib pivot table'!$C$2,"state","MS")&gt;0.0005,GETPIVOTDATA("Total-New",'Distrib pivot table'!$C$2,"state","MS","group","1c1")/GETPIVOTDATA("Total-New",'Distrib pivot table'!$C$2,"state","MS"),"*"))</f>
        <v>*</v>
      </c>
      <c r="N16" s="1125">
        <f>IF((GETPIVOTDATA("Total-New",'Distrib pivot table'!$C$2,"state","NC","group","1c1")/GETPIVOTDATA("Total-New",'Distrib pivot table'!$C$2,"state","NC"))=0,,IF(GETPIVOTDATA("Total-New",'Distrib pivot table'!$C$2,"state","NC","group","1c1")/GETPIVOTDATA("Total-New",'Distrib pivot table'!$C$2,"state","NC")&gt;0.0005,GETPIVOTDATA("Total-New",'Distrib pivot table'!$C$2,"state","NC","group","1c1")/GETPIVOTDATA("Total-New",'Distrib pivot table'!$C$2,"state","NC"),"*"))</f>
        <v>2.7191107972455591E-2</v>
      </c>
      <c r="O16" s="1125" t="str">
        <f>IF((GETPIVOTDATA("Total-New",'Distrib pivot table'!$C$2,"state","OK","group","1c1")/GETPIVOTDATA("Total-New",'Distrib pivot table'!$C$2,"state","OK"))=0,,IF(GETPIVOTDATA("Total-New",'Distrib pivot table'!$C$2,"state","OK","group","1c1")/GETPIVOTDATA("Total-New",'Distrib pivot table'!$C$2,"state","OK")&gt;0.0005,GETPIVOTDATA("Total-New",'Distrib pivot table'!$C$2,"state","OK","group","1c1")/GETPIVOTDATA("Total-New",'Distrib pivot table'!$C$2,"state","OK"),"*"))</f>
        <v>*</v>
      </c>
      <c r="P16" s="1125">
        <f>IF((GETPIVOTDATA("Total-New",'Distrib pivot table'!$C$2,"state","SC","group","1c1")/GETPIVOTDATA("Total-New",'Distrib pivot table'!$C$2,"state","SC"))=0,,IF(GETPIVOTDATA("Total-New",'Distrib pivot table'!$C$2,"state","SC","group","1c1")/GETPIVOTDATA("Total-New",'Distrib pivot table'!$C$2,"state","SC")&gt;0.0005,GETPIVOTDATA("Total-New",'Distrib pivot table'!$C$2,"state","SC","group","1c1")/GETPIVOTDATA("Total-New",'Distrib pivot table'!$C$2,"state","SC"),"*"))</f>
        <v>0</v>
      </c>
      <c r="Q16" s="1125">
        <f>IF((GETPIVOTDATA("Total-New",'Distrib pivot table'!$C$2,"state","TN","group","1c1")/GETPIVOTDATA("Total-New",'Distrib pivot table'!$C$2,"state","TN"))=0,,IF(GETPIVOTDATA("Total-New",'Distrib pivot table'!$C$2,"state","TN","group","1c1")/GETPIVOTDATA("Total-New",'Distrib pivot table'!$C$2,"state","TN")&gt;0.0005,GETPIVOTDATA("Total-New",'Distrib pivot table'!$C$2,"state","TN","group","1c1")/GETPIVOTDATA("Total-New",'Distrib pivot table'!$C$2,"state","TN"),"*"))</f>
        <v>0</v>
      </c>
      <c r="R16" s="1125">
        <f>IF((GETPIVOTDATA("Total-New",'Distrib pivot table'!$C$2,"state","TX","group","1c1")/GETPIVOTDATA("Total-New",'Distrib pivot table'!$C$2,"state","TX"))=0,,IF(GETPIVOTDATA("Total-New",'Distrib pivot table'!$C$2,"state","TX","group","1c1")/GETPIVOTDATA("Total-New",'Distrib pivot table'!$C$2,"state","TX")&gt;0.0005,GETPIVOTDATA("Total-New",'Distrib pivot table'!$C$2,"state","TX","group","1c1")/GETPIVOTDATA("Total-New",'Distrib pivot table'!$C$2,"state","TX"),"*"))</f>
        <v>3.6231941471592693E-3</v>
      </c>
      <c r="S16" s="1125">
        <f>IF((GETPIVOTDATA("Total-New",'Distrib pivot table'!$C$2,"state","VA","group","1c1")/GETPIVOTDATA("Total-New",'Distrib pivot table'!$C$2,"state","VA"))=0,,IF(GETPIVOTDATA("Total-New",'Distrib pivot table'!$C$2,"state","VA","group","1c1")/GETPIVOTDATA("Total-New",'Distrib pivot table'!$C$2,"state","VA")&gt;0.0005,GETPIVOTDATA("Total-New",'Distrib pivot table'!$C$2,"state","VA","group","1c1")/GETPIVOTDATA("Total-New",'Distrib pivot table'!$C$2,"state","VA"),"*"))</f>
        <v>0</v>
      </c>
      <c r="T16" s="1125">
        <f>IF((GETPIVOTDATA("Total-New",'Distrib pivot table'!$C$2,"state","WV","group","1c1")/GETPIVOTDATA("Total-New",'Distrib pivot table'!$C$2,"state","WV"))=0,,IF(GETPIVOTDATA("Total-New",'Distrib pivot table'!$C$2,"state","WV","group","1c1")/GETPIVOTDATA("Total-New",'Distrib pivot table'!$C$2,"state","WV")&gt;0.0005,GETPIVOTDATA("Total-New",'Distrib pivot table'!$C$2,"state","WV","group","1c1")/GETPIVOTDATA("Total-New",'Distrib pivot table'!$C$2,"state","WV"),"*"))</f>
        <v>6.1804479526175035E-3</v>
      </c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</row>
    <row r="17" spans="1:50" ht="12.6" customHeight="1">
      <c r="A17" s="1170"/>
      <c r="B17" s="128" t="s">
        <v>1770</v>
      </c>
      <c r="C17" s="814" t="s">
        <v>1787</v>
      </c>
      <c r="D17" s="1125">
        <f>IF(GETPIVOTDATA("Total-New",'Distrib pivot table'!$C$2,"group","1c2")/GETPIVOTDATA("Total-New",'Distrib pivot table'!$C$2)=0,,IF(GETPIVOTDATA("Total-New",'Distrib pivot table'!$C$2,"group","1c2")/GETPIVOTDATA("Total-New",'Distrib pivot table'!$C$2)&gt;0.0005,GETPIVOTDATA("Total-New",'Distrib pivot table'!$C$2,"group","1c2")/GETPIVOTDATA("Total-New",'Distrib pivot table'!$C$2),"*"))</f>
        <v>1.8410001858423974E-3</v>
      </c>
      <c r="E17" s="1125">
        <f>IF((GETPIVOTDATA("Total-New",'Distrib pivot table'!$C$2,"state","AL","group","1c2")/GETPIVOTDATA("Total-New",'Distrib pivot table'!$C$2,"state","AL"))=0,,IF(GETPIVOTDATA("Total-New",'Distrib pivot table'!$C$2,"state","AL","group","1c2")/GETPIVOTDATA("Total-New",'Distrib pivot table'!$C$2,"state","AL")&gt;0.0005,GETPIVOTDATA("Total-New",'Distrib pivot table'!$C$2,"state","AL","group","1c2")/GETPIVOTDATA("Total-New",'Distrib pivot table'!$C$2,"state","AL"),"*"))</f>
        <v>0</v>
      </c>
      <c r="F17" s="1125">
        <f>IF((GETPIVOTDATA("Total-New",'Distrib pivot table'!$C$2,"state","AR","group","1c2")/GETPIVOTDATA("Total-New",'Distrib pivot table'!$C$2,"state","AR"))=0,,IF(GETPIVOTDATA("Total-New",'Distrib pivot table'!$C$2,"state","AR","group","1c2")/GETPIVOTDATA("Total-New",'Distrib pivot table'!$C$2,"state","AR")&gt;0.0005,GETPIVOTDATA("Total-New",'Distrib pivot table'!$C$2,"state","AR","group","1c2")/GETPIVOTDATA("Total-New",'Distrib pivot table'!$C$2,"state","AR"),"*"))</f>
        <v>0</v>
      </c>
      <c r="G17" s="1125">
        <f>IF((GETPIVOTDATA("Total-New",'Distrib pivot table'!$C$2,"state","DE","group","1c2")/GETPIVOTDATA("Total-New",'Distrib pivot table'!$C$2,"state","DE"))=0,,IF(GETPIVOTDATA("Total-New",'Distrib pivot table'!$C$2,"state","DE","group","1c2")/GETPIVOTDATA("Total-New",'Distrib pivot table'!$C$2,"state","DE")&gt;0.0005,GETPIVOTDATA("Total-New",'Distrib pivot table'!$C$2,"state","DE","group","1c2")/GETPIVOTDATA("Total-New",'Distrib pivot table'!$C$2,"state","DE"),"*"))</f>
        <v>0</v>
      </c>
      <c r="H17" s="1125">
        <f>IF((GETPIVOTDATA("Total-New",'Distrib pivot table'!$C$2,"state","FL","group","1c2")/GETPIVOTDATA("Total-New",'Distrib pivot table'!$C$2,"state","FL"))=0,,IF(GETPIVOTDATA("Total-New",'Distrib pivot table'!$C$2,"state","FL","group","1c2")/GETPIVOTDATA("Total-New",'Distrib pivot table'!$C$2,"state","FL")&gt;0.0005,GETPIVOTDATA("Total-New",'Distrib pivot table'!$C$2,"state","FL","group","1c2")/GETPIVOTDATA("Total-New",'Distrib pivot table'!$C$2,"state","FL"),"*"))</f>
        <v>0</v>
      </c>
      <c r="I17" s="1125">
        <f>IF((GETPIVOTDATA("Total-New",'Distrib pivot table'!$C$2,"state","GA","group","1c2")/GETPIVOTDATA("Total-New",'Distrib pivot table'!$C$2,"state","GA"))=0,,IF(GETPIVOTDATA("Total-New",'Distrib pivot table'!$C$2,"state","GA","group","1c2")/GETPIVOTDATA("Total-New",'Distrib pivot table'!$C$2,"state","GA")&gt;0.0005,GETPIVOTDATA("Total-New",'Distrib pivot table'!$C$2,"state","GA","group","1c2")/GETPIVOTDATA("Total-New",'Distrib pivot table'!$C$2,"state","GA"),"*"))</f>
        <v>0</v>
      </c>
      <c r="J17" s="1125">
        <f>IF((GETPIVOTDATA("Total-New",'Distrib pivot table'!$C$2,"state","KY","group","1c2")/GETPIVOTDATA("Total-New",'Distrib pivot table'!$C$2,"state","KY"))=0,,IF(GETPIVOTDATA("Total-New",'Distrib pivot table'!$C$2,"state","KY","group","1c2")/GETPIVOTDATA("Total-New",'Distrib pivot table'!$C$2,"state","KY")&gt;0.0005,GETPIVOTDATA("Total-New",'Distrib pivot table'!$C$2,"state","KY","group","1c2")/GETPIVOTDATA("Total-New",'Distrib pivot table'!$C$2,"state","KY"),"*"))</f>
        <v>0</v>
      </c>
      <c r="K17" s="1125">
        <f>IF((GETPIVOTDATA("Total-New",'Distrib pivot table'!$C$2,"state","LA","group","1c2")/GETPIVOTDATA("Total-New",'Distrib pivot table'!$C$2,"state","LA"))=0,,IF(GETPIVOTDATA("Total-New",'Distrib pivot table'!$C$2,"state","LA","group","1c2")/GETPIVOTDATA("Total-New",'Distrib pivot table'!$C$2,"state","LA")&gt;0.0005,GETPIVOTDATA("Total-New",'Distrib pivot table'!$C$2,"state","LA","group","1c2")/GETPIVOTDATA("Total-New",'Distrib pivot table'!$C$2,"state","LA"),"*"))</f>
        <v>0</v>
      </c>
      <c r="L17" s="1125">
        <f>IF((GETPIVOTDATA("Total-New",'Distrib pivot table'!$C$2,"state","MD","group","1c2")/GETPIVOTDATA("Total-New",'Distrib pivot table'!$C$2,"state","MD"))=0,,IF(GETPIVOTDATA("Total-New",'Distrib pivot table'!$C$2,"state","MD","group","1c2")/GETPIVOTDATA("Total-New",'Distrib pivot table'!$C$2,"state","MD")&gt;0.0005,GETPIVOTDATA("Total-New",'Distrib pivot table'!$C$2,"state","MD","group","1c2")/GETPIVOTDATA("Total-New",'Distrib pivot table'!$C$2,"state","MD"),"*"))</f>
        <v>0</v>
      </c>
      <c r="M17" s="1125">
        <f>IF((GETPIVOTDATA("Total-New",'Distrib pivot table'!$C$2,"state","MS","group","1c2")/GETPIVOTDATA("Total-New",'Distrib pivot table'!$C$2,"state","MS"))=0,,IF(GETPIVOTDATA("Total-New",'Distrib pivot table'!$C$2,"state","MS","group","1c2")/GETPIVOTDATA("Total-New",'Distrib pivot table'!$C$2,"state","MS")&gt;0.0005,GETPIVOTDATA("Total-New",'Distrib pivot table'!$C$2,"state","MS","group","1c2")/GETPIVOTDATA("Total-New",'Distrib pivot table'!$C$2,"state","MS"),"*"))</f>
        <v>1.4873718212664873E-2</v>
      </c>
      <c r="N17" s="1125">
        <f>IF((GETPIVOTDATA("Total-New",'Distrib pivot table'!$C$2,"state","NC","group","1c2")/GETPIVOTDATA("Total-New",'Distrib pivot table'!$C$2,"state","NC"))=0,,IF(GETPIVOTDATA("Total-New",'Distrib pivot table'!$C$2,"state","NC","group","1c2")/GETPIVOTDATA("Total-New",'Distrib pivot table'!$C$2,"state","NC")&gt;0.0005,GETPIVOTDATA("Total-New",'Distrib pivot table'!$C$2,"state","NC","group","1c2")/GETPIVOTDATA("Total-New",'Distrib pivot table'!$C$2,"state","NC"),"*"))</f>
        <v>1.3567362040432426E-2</v>
      </c>
      <c r="O17" s="1125">
        <f>IF((GETPIVOTDATA("Total-New",'Distrib pivot table'!$C$2,"state","OK","group","1c2")/GETPIVOTDATA("Total-New",'Distrib pivot table'!$C$2,"state","OK"))=0,,IF(GETPIVOTDATA("Total-New",'Distrib pivot table'!$C$2,"state","OK","group","1c2")/GETPIVOTDATA("Total-New",'Distrib pivot table'!$C$2,"state","OK")&gt;0.0005,GETPIVOTDATA("Total-New",'Distrib pivot table'!$C$2,"state","OK","group","1c2")/GETPIVOTDATA("Total-New",'Distrib pivot table'!$C$2,"state","OK"),"*"))</f>
        <v>0</v>
      </c>
      <c r="P17" s="1125">
        <f>IF((GETPIVOTDATA("Total-New",'Distrib pivot table'!$C$2,"state","SC","group","1c2")/GETPIVOTDATA("Total-New",'Distrib pivot table'!$C$2,"state","SC"))=0,,IF(GETPIVOTDATA("Total-New",'Distrib pivot table'!$C$2,"state","SC","group","1c2")/GETPIVOTDATA("Total-New",'Distrib pivot table'!$C$2,"state","SC")&gt;0.0005,GETPIVOTDATA("Total-New",'Distrib pivot table'!$C$2,"state","SC","group","1c2")/GETPIVOTDATA("Total-New",'Distrib pivot table'!$C$2,"state","SC"),"*"))</f>
        <v>0</v>
      </c>
      <c r="Q17" s="1125">
        <f>IF((GETPIVOTDATA("Total-New",'Distrib pivot table'!$C$2,"state","TN","group","1c2")/GETPIVOTDATA("Total-New",'Distrib pivot table'!$C$2,"state","TN"))=0,,IF(GETPIVOTDATA("Total-New",'Distrib pivot table'!$C$2,"state","TN","group","1c2")/GETPIVOTDATA("Total-New",'Distrib pivot table'!$C$2,"state","TN")&gt;0.0005,GETPIVOTDATA("Total-New",'Distrib pivot table'!$C$2,"state","TN","group","1c2")/GETPIVOTDATA("Total-New",'Distrib pivot table'!$C$2,"state","TN"),"*"))</f>
        <v>0</v>
      </c>
      <c r="R17" s="1125">
        <f>IF((GETPIVOTDATA("Total-New",'Distrib pivot table'!$C$2,"state","TX","group","1c2")/GETPIVOTDATA("Total-New",'Distrib pivot table'!$C$2,"state","TX"))=0,,IF(GETPIVOTDATA("Total-New",'Distrib pivot table'!$C$2,"state","TX","group","1c2")/GETPIVOTDATA("Total-New",'Distrib pivot table'!$C$2,"state","TX")&gt;0.0005,GETPIVOTDATA("Total-New",'Distrib pivot table'!$C$2,"state","TX","group","1c2")/GETPIVOTDATA("Total-New",'Distrib pivot table'!$C$2,"state","TX"),"*"))</f>
        <v>0</v>
      </c>
      <c r="S17" s="1125">
        <f>IF((GETPIVOTDATA("Total-New",'Distrib pivot table'!$C$2,"state","VA","group","1c2")/GETPIVOTDATA("Total-New",'Distrib pivot table'!$C$2,"state","VA"))=0,,IF(GETPIVOTDATA("Total-New",'Distrib pivot table'!$C$2,"state","VA","group","1c2")/GETPIVOTDATA("Total-New",'Distrib pivot table'!$C$2,"state","VA")&gt;0.0005,GETPIVOTDATA("Total-New",'Distrib pivot table'!$C$2,"state","VA","group","1c2")/GETPIVOTDATA("Total-New",'Distrib pivot table'!$C$2,"state","VA"),"*"))</f>
        <v>0</v>
      </c>
      <c r="T17" s="1125" t="str">
        <f>IF((GETPIVOTDATA("Total-New",'Distrib pivot table'!$C$2,"state","WV","group","1c2")/GETPIVOTDATA("Total-New",'Distrib pivot table'!$C$2,"state","WV"))=0,,IF(GETPIVOTDATA("Total-New",'Distrib pivot table'!$C$2,"state","WV","group","1c2")/GETPIVOTDATA("Total-New",'Distrib pivot table'!$C$2,"state","WV")&gt;0.0005,GETPIVOTDATA("Total-New",'Distrib pivot table'!$C$2,"state","WV","group","1c2")/GETPIVOTDATA("Total-New",'Distrib pivot table'!$C$2,"state","WV"),"*"))</f>
        <v>*</v>
      </c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</row>
    <row r="18" spans="1:50" ht="12.6" customHeight="1">
      <c r="A18" s="1170"/>
      <c r="B18" s="128" t="s">
        <v>1769</v>
      </c>
      <c r="C18" s="814" t="s">
        <v>1788</v>
      </c>
      <c r="D18" s="1125">
        <f>IF(GETPIVOTDATA("Total-New",'Distrib pivot table'!$C$2,"group","1c3")/GETPIVOTDATA("Total-New",'Distrib pivot table'!$C$2)=0,,IF(GETPIVOTDATA("Total-New",'Distrib pivot table'!$C$2,"group","1c3")/GETPIVOTDATA("Total-New",'Distrib pivot table'!$C$2)&gt;0.0005,GETPIVOTDATA("Total-New",'Distrib pivot table'!$C$2,"group","1c3")/GETPIVOTDATA("Total-New",'Distrib pivot table'!$C$2),"*"))</f>
        <v>2.3239866050740136E-3</v>
      </c>
      <c r="E18" s="1125">
        <f>IF((GETPIVOTDATA("Total-New",'Distrib pivot table'!$C$2,"state","AL","group","1c3")/GETPIVOTDATA("Total-New",'Distrib pivot table'!$C$2,"state","AL"))=0,,IF(GETPIVOTDATA("Total-New",'Distrib pivot table'!$C$2,"state","AL","group","1c3")/GETPIVOTDATA("Total-New",'Distrib pivot table'!$C$2,"state","AL")&gt;0.0005,GETPIVOTDATA("Total-New",'Distrib pivot table'!$C$2,"state","AL","group","1c3")/GETPIVOTDATA("Total-New",'Distrib pivot table'!$C$2,"state","AL"),"*"))</f>
        <v>0</v>
      </c>
      <c r="F18" s="1125">
        <f>IF((GETPIVOTDATA("Total-New",'Distrib pivot table'!$C$2,"state","AR","group","1c3")/GETPIVOTDATA("Total-New",'Distrib pivot table'!$C$2,"state","AR"))=0,,IF(GETPIVOTDATA("Total-New",'Distrib pivot table'!$C$2,"state","AR","group","1c3")/GETPIVOTDATA("Total-New",'Distrib pivot table'!$C$2,"state","AR")&gt;0.0005,GETPIVOTDATA("Total-New",'Distrib pivot table'!$C$2,"state","AR","group","1c3")/GETPIVOTDATA("Total-New",'Distrib pivot table'!$C$2,"state","AR"),"*"))</f>
        <v>4.9381084612604466E-2</v>
      </c>
      <c r="G18" s="1125">
        <f>IF((GETPIVOTDATA("Total-New",'Distrib pivot table'!$C$2,"state","DE","group","1c3")/GETPIVOTDATA("Total-New",'Distrib pivot table'!$C$2,"state","DE"))=0,,IF(GETPIVOTDATA("Total-New",'Distrib pivot table'!$C$2,"state","DE","group","1c3")/GETPIVOTDATA("Total-New",'Distrib pivot table'!$C$2,"state","DE")&gt;0.0005,GETPIVOTDATA("Total-New",'Distrib pivot table'!$C$2,"state","DE","group","1c3")/GETPIVOTDATA("Total-New",'Distrib pivot table'!$C$2,"state","DE"),"*"))</f>
        <v>0</v>
      </c>
      <c r="H18" s="1125">
        <f>IF((GETPIVOTDATA("Total-New",'Distrib pivot table'!$C$2,"state","FL","group","1c3")/GETPIVOTDATA("Total-New",'Distrib pivot table'!$C$2,"state","FL"))=0,,IF(GETPIVOTDATA("Total-New",'Distrib pivot table'!$C$2,"state","FL","group","1c3")/GETPIVOTDATA("Total-New",'Distrib pivot table'!$C$2,"state","FL")&gt;0.0005,GETPIVOTDATA("Total-New",'Distrib pivot table'!$C$2,"state","FL","group","1c3")/GETPIVOTDATA("Total-New",'Distrib pivot table'!$C$2,"state","FL"),"*"))</f>
        <v>0</v>
      </c>
      <c r="I18" s="1125">
        <f>IF((GETPIVOTDATA("Total-New",'Distrib pivot table'!$C$2,"state","GA","group","1c3")/GETPIVOTDATA("Total-New",'Distrib pivot table'!$C$2,"state","GA"))=0,,IF(GETPIVOTDATA("Total-New",'Distrib pivot table'!$C$2,"state","GA","group","1c3")/GETPIVOTDATA("Total-New",'Distrib pivot table'!$C$2,"state","GA")&gt;0.0005,GETPIVOTDATA("Total-New",'Distrib pivot table'!$C$2,"state","GA","group","1c3")/GETPIVOTDATA("Total-New",'Distrib pivot table'!$C$2,"state","GA"),"*"))</f>
        <v>0</v>
      </c>
      <c r="J18" s="1125">
        <f>IF((GETPIVOTDATA("Total-New",'Distrib pivot table'!$C$2,"state","KY","group","1c3")/GETPIVOTDATA("Total-New",'Distrib pivot table'!$C$2,"state","KY"))=0,,IF(GETPIVOTDATA("Total-New",'Distrib pivot table'!$C$2,"state","KY","group","1c3")/GETPIVOTDATA("Total-New",'Distrib pivot table'!$C$2,"state","KY")&gt;0.0005,GETPIVOTDATA("Total-New",'Distrib pivot table'!$C$2,"state","KY","group","1c3")/GETPIVOTDATA("Total-New",'Distrib pivot table'!$C$2,"state","KY"),"*"))</f>
        <v>0</v>
      </c>
      <c r="K18" s="1125">
        <f>IF((GETPIVOTDATA("Total-New",'Distrib pivot table'!$C$2,"state","LA","group","1c3")/GETPIVOTDATA("Total-New",'Distrib pivot table'!$C$2,"state","LA"))=0,,IF(GETPIVOTDATA("Total-New",'Distrib pivot table'!$C$2,"state","LA","group","1c3")/GETPIVOTDATA("Total-New",'Distrib pivot table'!$C$2,"state","LA")&gt;0.0005,GETPIVOTDATA("Total-New",'Distrib pivot table'!$C$2,"state","LA","group","1c3")/GETPIVOTDATA("Total-New",'Distrib pivot table'!$C$2,"state","LA"),"*"))</f>
        <v>2.3017227871425926E-2</v>
      </c>
      <c r="L18" s="1125">
        <f>IF((GETPIVOTDATA("Total-New",'Distrib pivot table'!$C$2,"state","MD","group","1c3")/GETPIVOTDATA("Total-New",'Distrib pivot table'!$C$2,"state","MD"))=0,,IF(GETPIVOTDATA("Total-New",'Distrib pivot table'!$C$2,"state","MD","group","1c3")/GETPIVOTDATA("Total-New",'Distrib pivot table'!$C$2,"state","MD")&gt;0.0005,GETPIVOTDATA("Total-New",'Distrib pivot table'!$C$2,"state","MD","group","1c3")/GETPIVOTDATA("Total-New",'Distrib pivot table'!$C$2,"state","MD"),"*"))</f>
        <v>0</v>
      </c>
      <c r="M18" s="1125">
        <f>IF((GETPIVOTDATA("Total-New",'Distrib pivot table'!$C$2,"state","MS","group","1c3")/GETPIVOTDATA("Total-New",'Distrib pivot table'!$C$2,"state","MS"))=0,,IF(GETPIVOTDATA("Total-New",'Distrib pivot table'!$C$2,"state","MS","group","1c3")/GETPIVOTDATA("Total-New",'Distrib pivot table'!$C$2,"state","MS")&gt;0.0005,GETPIVOTDATA("Total-New",'Distrib pivot table'!$C$2,"state","MS","group","1c3")/GETPIVOTDATA("Total-New",'Distrib pivot table'!$C$2,"state","MS"),"*"))</f>
        <v>0</v>
      </c>
      <c r="N18" s="1125">
        <f>IF((GETPIVOTDATA("Total-New",'Distrib pivot table'!$C$2,"state","NC","group","1c3")/GETPIVOTDATA("Total-New",'Distrib pivot table'!$C$2,"state","NC"))=0,,IF(GETPIVOTDATA("Total-New",'Distrib pivot table'!$C$2,"state","NC","group","1c3")/GETPIVOTDATA("Total-New",'Distrib pivot table'!$C$2,"state","NC")&gt;0.0005,GETPIVOTDATA("Total-New",'Distrib pivot table'!$C$2,"state","NC","group","1c3")/GETPIVOTDATA("Total-New",'Distrib pivot table'!$C$2,"state","NC"),"*"))</f>
        <v>0</v>
      </c>
      <c r="O18" s="1125">
        <f>IF((GETPIVOTDATA("Total-New",'Distrib pivot table'!$C$2,"state","OK","group","1c3")/GETPIVOTDATA("Total-New",'Distrib pivot table'!$C$2,"state","OK"))=0,,IF(GETPIVOTDATA("Total-New",'Distrib pivot table'!$C$2,"state","OK","group","1c3")/GETPIVOTDATA("Total-New",'Distrib pivot table'!$C$2,"state","OK")&gt;0.0005,GETPIVOTDATA("Total-New",'Distrib pivot table'!$C$2,"state","OK","group","1c3")/GETPIVOTDATA("Total-New",'Distrib pivot table'!$C$2,"state","OK"),"*"))</f>
        <v>0</v>
      </c>
      <c r="P18" s="1125">
        <f>IF((GETPIVOTDATA("Total-New",'Distrib pivot table'!$C$2,"state","SC","group","1c3")/GETPIVOTDATA("Total-New",'Distrib pivot table'!$C$2,"state","SC"))=0,,IF(GETPIVOTDATA("Total-New",'Distrib pivot table'!$C$2,"state","SC","group","1c3")/GETPIVOTDATA("Total-New",'Distrib pivot table'!$C$2,"state","SC")&gt;0.0005,GETPIVOTDATA("Total-New",'Distrib pivot table'!$C$2,"state","SC","group","1c3")/GETPIVOTDATA("Total-New",'Distrib pivot table'!$C$2,"state","SC"),"*"))</f>
        <v>0</v>
      </c>
      <c r="Q18" s="1125">
        <f>IF((GETPIVOTDATA("Total-New",'Distrib pivot table'!$C$2,"state","TN","group","1c3")/GETPIVOTDATA("Total-New",'Distrib pivot table'!$C$2,"state","TN"))=0,,IF(GETPIVOTDATA("Total-New",'Distrib pivot table'!$C$2,"state","TN","group","1c3")/GETPIVOTDATA("Total-New",'Distrib pivot table'!$C$2,"state","TN")&gt;0.0005,GETPIVOTDATA("Total-New",'Distrib pivot table'!$C$2,"state","TN","group","1c3")/GETPIVOTDATA("Total-New",'Distrib pivot table'!$C$2,"state","TN"),"*"))</f>
        <v>0</v>
      </c>
      <c r="R18" s="1125">
        <f>IF((GETPIVOTDATA("Total-New",'Distrib pivot table'!$C$2,"state","TX","group","1c3")/GETPIVOTDATA("Total-New",'Distrib pivot table'!$C$2,"state","TX"))=0,,IF(GETPIVOTDATA("Total-New",'Distrib pivot table'!$C$2,"state","TX","group","1c3")/GETPIVOTDATA("Total-New",'Distrib pivot table'!$C$2,"state","TX")&gt;0.0005,GETPIVOTDATA("Total-New",'Distrib pivot table'!$C$2,"state","TX","group","1c3")/GETPIVOTDATA("Total-New",'Distrib pivot table'!$C$2,"state","TX"),"*"))</f>
        <v>0</v>
      </c>
      <c r="S18" s="1125">
        <f>IF((GETPIVOTDATA("Total-New",'Distrib pivot table'!$C$2,"state","VA","group","1c3")/GETPIVOTDATA("Total-New",'Distrib pivot table'!$C$2,"state","VA"))=0,,IF(GETPIVOTDATA("Total-New",'Distrib pivot table'!$C$2,"state","VA","group","1c3")/GETPIVOTDATA("Total-New",'Distrib pivot table'!$C$2,"state","VA")&gt;0.0005,GETPIVOTDATA("Total-New",'Distrib pivot table'!$C$2,"state","VA","group","1c3")/GETPIVOTDATA("Total-New",'Distrib pivot table'!$C$2,"state","VA"),"*"))</f>
        <v>0</v>
      </c>
      <c r="T18" s="1125">
        <f>IF((GETPIVOTDATA("Total-New",'Distrib pivot table'!$C$2,"state","WV","group","1c3")/GETPIVOTDATA("Total-New",'Distrib pivot table'!$C$2,"state","WV"))=0,,IF(GETPIVOTDATA("Total-New",'Distrib pivot table'!$C$2,"state","WV","group","1c3")/GETPIVOTDATA("Total-New",'Distrib pivot table'!$C$2,"state","WV")&gt;0.0005,GETPIVOTDATA("Total-New",'Distrib pivot table'!$C$2,"state","WV","group","1c3")/GETPIVOTDATA("Total-New",'Distrib pivot table'!$C$2,"state","WV"),"*"))</f>
        <v>0</v>
      </c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</row>
    <row r="19" spans="1:50" ht="12.6" customHeight="1">
      <c r="A19" s="1170"/>
      <c r="B19" s="128" t="s">
        <v>1768</v>
      </c>
      <c r="C19" s="814" t="s">
        <v>1789</v>
      </c>
      <c r="D19" s="1125">
        <f>IF(GETPIVOTDATA("Total-New",'Distrib pivot table'!$C$2,"group","1c4")/GETPIVOTDATA("Total-New",'Distrib pivot table'!$C$2)=0,,IF(GETPIVOTDATA("Total-New",'Distrib pivot table'!$C$2,"group","1c4")/GETPIVOTDATA("Total-New",'Distrib pivot table'!$C$2)&gt;0.0005,GETPIVOTDATA("Total-New",'Distrib pivot table'!$C$2,"group","1c4")/GETPIVOTDATA("Total-New",'Distrib pivot table'!$C$2),"*"))</f>
        <v>7.836306844701507E-4</v>
      </c>
      <c r="E19" s="1125">
        <f>IF((GETPIVOTDATA("Total-New",'Distrib pivot table'!$C$2,"state","AL","group","1c4")/GETPIVOTDATA("Total-New",'Distrib pivot table'!$C$2,"state","AL"))=0,,IF(GETPIVOTDATA("Total-New",'Distrib pivot table'!$C$2,"state","AL","group","1c4")/GETPIVOTDATA("Total-New",'Distrib pivot table'!$C$2,"state","AL")&gt;0.0005,GETPIVOTDATA("Total-New",'Distrib pivot table'!$C$2,"state","AL","group","1c4")/GETPIVOTDATA("Total-New",'Distrib pivot table'!$C$2,"state","AL"),"*"))</f>
        <v>0</v>
      </c>
      <c r="F19" s="1125">
        <f>IF((GETPIVOTDATA("Total-New",'Distrib pivot table'!$C$2,"state","AR","group","1c4")/GETPIVOTDATA("Total-New",'Distrib pivot table'!$C$2,"state","AR"))=0,,IF(GETPIVOTDATA("Total-New",'Distrib pivot table'!$C$2,"state","AR","group","1c4")/GETPIVOTDATA("Total-New",'Distrib pivot table'!$C$2,"state","AR")&gt;0.0005,GETPIVOTDATA("Total-New",'Distrib pivot table'!$C$2,"state","AR","group","1c4")/GETPIVOTDATA("Total-New",'Distrib pivot table'!$C$2,"state","AR"),"*"))</f>
        <v>0</v>
      </c>
      <c r="G19" s="1125">
        <f>IF((GETPIVOTDATA("Total-New",'Distrib pivot table'!$C$2,"state","DE","group","1c4")/GETPIVOTDATA("Total-New",'Distrib pivot table'!$C$2,"state","DE"))=0,,IF(GETPIVOTDATA("Total-New",'Distrib pivot table'!$C$2,"state","DE","group","1c4")/GETPIVOTDATA("Total-New",'Distrib pivot table'!$C$2,"state","DE")&gt;0.0005,GETPIVOTDATA("Total-New",'Distrib pivot table'!$C$2,"state","DE","group","1c4")/GETPIVOTDATA("Total-New",'Distrib pivot table'!$C$2,"state","DE"),"*"))</f>
        <v>0</v>
      </c>
      <c r="H19" s="1125">
        <f>IF((GETPIVOTDATA("Total-New",'Distrib pivot table'!$C$2,"state","FL","group","1c4")/GETPIVOTDATA("Total-New",'Distrib pivot table'!$C$2,"state","FL"))=0,,IF(GETPIVOTDATA("Total-New",'Distrib pivot table'!$C$2,"state","FL","group","1c4")/GETPIVOTDATA("Total-New",'Distrib pivot table'!$C$2,"state","FL")&gt;0.0005,GETPIVOTDATA("Total-New",'Distrib pivot table'!$C$2,"state","FL","group","1c4")/GETPIVOTDATA("Total-New",'Distrib pivot table'!$C$2,"state","FL"),"*"))</f>
        <v>0</v>
      </c>
      <c r="I19" s="1125">
        <f>IF((GETPIVOTDATA("Total-New",'Distrib pivot table'!$C$2,"state","GA","group","1c4")/GETPIVOTDATA("Total-New",'Distrib pivot table'!$C$2,"state","GA"))=0,,IF(GETPIVOTDATA("Total-New",'Distrib pivot table'!$C$2,"state","GA","group","1c4")/GETPIVOTDATA("Total-New",'Distrib pivot table'!$C$2,"state","GA")&gt;0.0005,GETPIVOTDATA("Total-New",'Distrib pivot table'!$C$2,"state","GA","group","1c4")/GETPIVOTDATA("Total-New",'Distrib pivot table'!$C$2,"state","GA"),"*"))</f>
        <v>0</v>
      </c>
      <c r="J19" s="1125">
        <f>IF((GETPIVOTDATA("Total-New",'Distrib pivot table'!$C$2,"state","KY","group","1c4")/GETPIVOTDATA("Total-New",'Distrib pivot table'!$C$2,"state","KY"))=0,,IF(GETPIVOTDATA("Total-New",'Distrib pivot table'!$C$2,"state","KY","group","1c4")/GETPIVOTDATA("Total-New",'Distrib pivot table'!$C$2,"state","KY")&gt;0.0005,GETPIVOTDATA("Total-New",'Distrib pivot table'!$C$2,"state","KY","group","1c4")/GETPIVOTDATA("Total-New",'Distrib pivot table'!$C$2,"state","KY"),"*"))</f>
        <v>0</v>
      </c>
      <c r="K19" s="1125">
        <f>IF((GETPIVOTDATA("Total-New",'Distrib pivot table'!$C$2,"state","LA","group","1c4")/GETPIVOTDATA("Total-New",'Distrib pivot table'!$C$2,"state","LA"))=0,,IF(GETPIVOTDATA("Total-New",'Distrib pivot table'!$C$2,"state","LA","group","1c4")/GETPIVOTDATA("Total-New",'Distrib pivot table'!$C$2,"state","LA")&gt;0.0005,GETPIVOTDATA("Total-New",'Distrib pivot table'!$C$2,"state","LA","group","1c4")/GETPIVOTDATA("Total-New",'Distrib pivot table'!$C$2,"state","LA"),"*"))</f>
        <v>1.7363977348586638E-2</v>
      </c>
      <c r="L19" s="1125">
        <f>IF((GETPIVOTDATA("Total-New",'Distrib pivot table'!$C$2,"state","MD","group","1c4")/GETPIVOTDATA("Total-New",'Distrib pivot table'!$C$2,"state","MD"))=0,,IF(GETPIVOTDATA("Total-New",'Distrib pivot table'!$C$2,"state","MD","group","1c4")/GETPIVOTDATA("Total-New",'Distrib pivot table'!$C$2,"state","MD")&gt;0.0005,GETPIVOTDATA("Total-New",'Distrib pivot table'!$C$2,"state","MD","group","1c4")/GETPIVOTDATA("Total-New",'Distrib pivot table'!$C$2,"state","MD"),"*"))</f>
        <v>0</v>
      </c>
      <c r="M19" s="1125">
        <f>IF((GETPIVOTDATA("Total-New",'Distrib pivot table'!$C$2,"state","MS","group","1c4")/GETPIVOTDATA("Total-New",'Distrib pivot table'!$C$2,"state","MS"))=0,,IF(GETPIVOTDATA("Total-New",'Distrib pivot table'!$C$2,"state","MS","group","1c4")/GETPIVOTDATA("Total-New",'Distrib pivot table'!$C$2,"state","MS")&gt;0.0005,GETPIVOTDATA("Total-New",'Distrib pivot table'!$C$2,"state","MS","group","1c4")/GETPIVOTDATA("Total-New",'Distrib pivot table'!$C$2,"state","MS"),"*"))</f>
        <v>0</v>
      </c>
      <c r="N19" s="1125">
        <f>IF((GETPIVOTDATA("Total-New",'Distrib pivot table'!$C$2,"state","NC","group","1c4")/GETPIVOTDATA("Total-New",'Distrib pivot table'!$C$2,"state","NC"))=0,,IF(GETPIVOTDATA("Total-New",'Distrib pivot table'!$C$2,"state","NC","group","1c4")/GETPIVOTDATA("Total-New",'Distrib pivot table'!$C$2,"state","NC")&gt;0.0005,GETPIVOTDATA("Total-New",'Distrib pivot table'!$C$2,"state","NC","group","1c4")/GETPIVOTDATA("Total-New",'Distrib pivot table'!$C$2,"state","NC"),"*"))</f>
        <v>0</v>
      </c>
      <c r="O19" s="1125">
        <f>IF((GETPIVOTDATA("Total-New",'Distrib pivot table'!$C$2,"state","OK","group","1c4")/GETPIVOTDATA("Total-New",'Distrib pivot table'!$C$2,"state","OK"))=0,,IF(GETPIVOTDATA("Total-New",'Distrib pivot table'!$C$2,"state","OK","group","1c4")/GETPIVOTDATA("Total-New",'Distrib pivot table'!$C$2,"state","OK")&gt;0.0005,GETPIVOTDATA("Total-New",'Distrib pivot table'!$C$2,"state","OK","group","1c4")/GETPIVOTDATA("Total-New",'Distrib pivot table'!$C$2,"state","OK"),"*"))</f>
        <v>0</v>
      </c>
      <c r="P19" s="1125">
        <f>IF((GETPIVOTDATA("Total-New",'Distrib pivot table'!$C$2,"state","SC","group","1c4")/GETPIVOTDATA("Total-New",'Distrib pivot table'!$C$2,"state","SC"))=0,,IF(GETPIVOTDATA("Total-New",'Distrib pivot table'!$C$2,"state","SC","group","1c4")/GETPIVOTDATA("Total-New",'Distrib pivot table'!$C$2,"state","SC")&gt;0.0005,GETPIVOTDATA("Total-New",'Distrib pivot table'!$C$2,"state","SC","group","1c4")/GETPIVOTDATA("Total-New",'Distrib pivot table'!$C$2,"state","SC"),"*"))</f>
        <v>0</v>
      </c>
      <c r="Q19" s="1125">
        <f>IF((GETPIVOTDATA("Total-New",'Distrib pivot table'!$C$2,"state","TN","group","1c4")/GETPIVOTDATA("Total-New",'Distrib pivot table'!$C$2,"state","TN"))=0,,IF(GETPIVOTDATA("Total-New",'Distrib pivot table'!$C$2,"state","TN","group","1c4")/GETPIVOTDATA("Total-New",'Distrib pivot table'!$C$2,"state","TN")&gt;0.0005,GETPIVOTDATA("Total-New",'Distrib pivot table'!$C$2,"state","TN","group","1c4")/GETPIVOTDATA("Total-New",'Distrib pivot table'!$C$2,"state","TN"),"*"))</f>
        <v>0</v>
      </c>
      <c r="R19" s="1125">
        <f>IF((GETPIVOTDATA("Total-New",'Distrib pivot table'!$C$2,"state","TX","group","1c4")/GETPIVOTDATA("Total-New",'Distrib pivot table'!$C$2,"state","TX"))=0,,IF(GETPIVOTDATA("Total-New",'Distrib pivot table'!$C$2,"state","TX","group","1c4")/GETPIVOTDATA("Total-New",'Distrib pivot table'!$C$2,"state","TX")&gt;0.0005,GETPIVOTDATA("Total-New",'Distrib pivot table'!$C$2,"state","TX","group","1c4")/GETPIVOTDATA("Total-New",'Distrib pivot table'!$C$2,"state","TX"),"*"))</f>
        <v>0</v>
      </c>
      <c r="S19" s="1125">
        <f>IF((GETPIVOTDATA("Total-New",'Distrib pivot table'!$C$2,"state","VA","group","1c4")/GETPIVOTDATA("Total-New",'Distrib pivot table'!$C$2,"state","VA"))=0,,IF(GETPIVOTDATA("Total-New",'Distrib pivot table'!$C$2,"state","VA","group","1c4")/GETPIVOTDATA("Total-New",'Distrib pivot table'!$C$2,"state","VA")&gt;0.0005,GETPIVOTDATA("Total-New",'Distrib pivot table'!$C$2,"state","VA","group","1c4")/GETPIVOTDATA("Total-New",'Distrib pivot table'!$C$2,"state","VA"),"*"))</f>
        <v>0</v>
      </c>
      <c r="T19" s="1125">
        <f>IF((GETPIVOTDATA("Total-New",'Distrib pivot table'!$C$2,"state","WV","group","1c4")/GETPIVOTDATA("Total-New",'Distrib pivot table'!$C$2,"state","WV"))=0,,IF(GETPIVOTDATA("Total-New",'Distrib pivot table'!$C$2,"state","WV","group","1c4")/GETPIVOTDATA("Total-New",'Distrib pivot table'!$C$2,"state","WV")&gt;0.0005,GETPIVOTDATA("Total-New",'Distrib pivot table'!$C$2,"state","WV","group","1c4")/GETPIVOTDATA("Total-New",'Distrib pivot table'!$C$2,"state","WV"),"*"))</f>
        <v>0</v>
      </c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</row>
    <row r="20" spans="1:50" ht="12.6" customHeight="1">
      <c r="A20" s="1170"/>
      <c r="B20" s="128" t="s">
        <v>1880</v>
      </c>
      <c r="C20" s="814" t="s">
        <v>1790</v>
      </c>
      <c r="D20" s="1125" t="str">
        <f>IF(GETPIVOTDATA("Total-New",'Distrib pivot table'!$C$2,"group","1c5")/GETPIVOTDATA("Total-New",'Distrib pivot table'!$C$2)=0,,IF(GETPIVOTDATA("Total-New",'Distrib pivot table'!$C$2,"group","1c5")/GETPIVOTDATA("Total-New",'Distrib pivot table'!$C$2)&gt;0.0005,GETPIVOTDATA("Total-New",'Distrib pivot table'!$C$2,"group","1c5")/GETPIVOTDATA("Total-New",'Distrib pivot table'!$C$2),"*"))</f>
        <v>*</v>
      </c>
      <c r="E20" s="1125">
        <f>IF((GETPIVOTDATA("Total-New",'Distrib pivot table'!$C$2,"state","AL","group","1c5")/GETPIVOTDATA("Total-New",'Distrib pivot table'!$C$2,"state","AL"))=0,,IF(GETPIVOTDATA("Total-New",'Distrib pivot table'!$C$2,"state","AL","group","1c5")/GETPIVOTDATA("Total-New",'Distrib pivot table'!$C$2,"state","AL")&gt;0.0005,GETPIVOTDATA("Total-New",'Distrib pivot table'!$C$2,"state","AL","group","1c5")/GETPIVOTDATA("Total-New",'Distrib pivot table'!$C$2,"state","AL"),"*"))</f>
        <v>0</v>
      </c>
      <c r="F20" s="1125">
        <f>IF((GETPIVOTDATA("Total-New",'Distrib pivot table'!$C$2,"state","AR","group","1c5")/GETPIVOTDATA("Total-New",'Distrib pivot table'!$C$2,"state","AR"))=0,,IF(GETPIVOTDATA("Total-New",'Distrib pivot table'!$C$2,"state","AR","group","1c5")/GETPIVOTDATA("Total-New",'Distrib pivot table'!$C$2,"state","AR")&gt;0.0005,GETPIVOTDATA("Total-New",'Distrib pivot table'!$C$2,"state","AR","group","1c5")/GETPIVOTDATA("Total-New",'Distrib pivot table'!$C$2,"state","AR"),"*"))</f>
        <v>0</v>
      </c>
      <c r="G20" s="1125">
        <f>IF((GETPIVOTDATA("Total-New",'Distrib pivot table'!$C$2,"state","DE","group","1c5")/GETPIVOTDATA("Total-New",'Distrib pivot table'!$C$2,"state","DE"))=0,,IF(GETPIVOTDATA("Total-New",'Distrib pivot table'!$C$2,"state","DE","group","1c5")/GETPIVOTDATA("Total-New",'Distrib pivot table'!$C$2,"state","DE")&gt;0.0005,GETPIVOTDATA("Total-New",'Distrib pivot table'!$C$2,"state","DE","group","1c5")/GETPIVOTDATA("Total-New",'Distrib pivot table'!$C$2,"state","DE"),"*"))</f>
        <v>0</v>
      </c>
      <c r="H20" s="1125">
        <f>IF((GETPIVOTDATA("Total-New",'Distrib pivot table'!$C$2,"state","FL","group","1c5")/GETPIVOTDATA("Total-New",'Distrib pivot table'!$C$2,"state","FL"))=0,,IF(GETPIVOTDATA("Total-New",'Distrib pivot table'!$C$2,"state","FL","group","1c5")/GETPIVOTDATA("Total-New",'Distrib pivot table'!$C$2,"state","FL")&gt;0.0005,GETPIVOTDATA("Total-New",'Distrib pivot table'!$C$2,"state","FL","group","1c5")/GETPIVOTDATA("Total-New",'Distrib pivot table'!$C$2,"state","FL"),"*"))</f>
        <v>0</v>
      </c>
      <c r="I20" s="1125">
        <f>IF((GETPIVOTDATA("Total-New",'Distrib pivot table'!$C$2,"state","GA","group","1c5")/GETPIVOTDATA("Total-New",'Distrib pivot table'!$C$2,"state","GA"))=0,,IF(GETPIVOTDATA("Total-New",'Distrib pivot table'!$C$2,"state","GA","group","1c5")/GETPIVOTDATA("Total-New",'Distrib pivot table'!$C$2,"state","GA")&gt;0.0005,GETPIVOTDATA("Total-New",'Distrib pivot table'!$C$2,"state","GA","group","1c5")/GETPIVOTDATA("Total-New",'Distrib pivot table'!$C$2,"state","GA"),"*"))</f>
        <v>0</v>
      </c>
      <c r="J20" s="1125">
        <f>IF((GETPIVOTDATA("Total-New",'Distrib pivot table'!$C$2,"state","KY","group","1c5")/GETPIVOTDATA("Total-New",'Distrib pivot table'!$C$2,"state","KY"))=0,,IF(GETPIVOTDATA("Total-New",'Distrib pivot table'!$C$2,"state","KY","group","1c5")/GETPIVOTDATA("Total-New",'Distrib pivot table'!$C$2,"state","KY")&gt;0.0005,GETPIVOTDATA("Total-New",'Distrib pivot table'!$C$2,"state","KY","group","1c5")/GETPIVOTDATA("Total-New",'Distrib pivot table'!$C$2,"state","KY"),"*"))</f>
        <v>0</v>
      </c>
      <c r="K20" s="1125">
        <f>IF((GETPIVOTDATA("Total-New",'Distrib pivot table'!$C$2,"state","LA","group","1c5")/GETPIVOTDATA("Total-New",'Distrib pivot table'!$C$2,"state","LA"))=0,,IF(GETPIVOTDATA("Total-New",'Distrib pivot table'!$C$2,"state","LA","group","1c5")/GETPIVOTDATA("Total-New",'Distrib pivot table'!$C$2,"state","LA")&gt;0.0005,GETPIVOTDATA("Total-New",'Distrib pivot table'!$C$2,"state","LA","group","1c5")/GETPIVOTDATA("Total-New",'Distrib pivot table'!$C$2,"state","LA"),"*"))</f>
        <v>0</v>
      </c>
      <c r="L20" s="1125">
        <f>IF((GETPIVOTDATA("Total-New",'Distrib pivot table'!$C$2,"state","MD","group","1c5")/GETPIVOTDATA("Total-New",'Distrib pivot table'!$C$2,"state","MD"))=0,,IF(GETPIVOTDATA("Total-New",'Distrib pivot table'!$C$2,"state","MD","group","1c5")/GETPIVOTDATA("Total-New",'Distrib pivot table'!$C$2,"state","MD")&gt;0.0005,GETPIVOTDATA("Total-New",'Distrib pivot table'!$C$2,"state","MD","group","1c5")/GETPIVOTDATA("Total-New",'Distrib pivot table'!$C$2,"state","MD"),"*"))</f>
        <v>0</v>
      </c>
      <c r="M20" s="1125">
        <f>IF((GETPIVOTDATA("Total-New",'Distrib pivot table'!$C$2,"state","MS","group","1c5")/GETPIVOTDATA("Total-New",'Distrib pivot table'!$C$2,"state","MS"))=0,,IF(GETPIVOTDATA("Total-New",'Distrib pivot table'!$C$2,"state","MS","group","1c5")/GETPIVOTDATA("Total-New",'Distrib pivot table'!$C$2,"state","MS")&gt;0.0005,GETPIVOTDATA("Total-New",'Distrib pivot table'!$C$2,"state","MS","group","1c5")/GETPIVOTDATA("Total-New",'Distrib pivot table'!$C$2,"state","MS"),"*"))</f>
        <v>0</v>
      </c>
      <c r="N20" s="1125">
        <f>IF((GETPIVOTDATA("Total-New",'Distrib pivot table'!$C$2,"state","NC","group","1c5")/GETPIVOTDATA("Total-New",'Distrib pivot table'!$C$2,"state","NC"))=0,,IF(GETPIVOTDATA("Total-New",'Distrib pivot table'!$C$2,"state","NC","group","1c5")/GETPIVOTDATA("Total-New",'Distrib pivot table'!$C$2,"state","NC")&gt;0.0005,GETPIVOTDATA("Total-New",'Distrib pivot table'!$C$2,"state","NC","group","1c5")/GETPIVOTDATA("Total-New",'Distrib pivot table'!$C$2,"state","NC"),"*"))</f>
        <v>0</v>
      </c>
      <c r="O20" s="1125">
        <f>IF((GETPIVOTDATA("Total-New",'Distrib pivot table'!$C$2,"state","OK","group","1c5")/GETPIVOTDATA("Total-New",'Distrib pivot table'!$C$2,"state","OK"))=0,,IF(GETPIVOTDATA("Total-New",'Distrib pivot table'!$C$2,"state","OK","group","1c5")/GETPIVOTDATA("Total-New",'Distrib pivot table'!$C$2,"state","OK")&gt;0.0005,GETPIVOTDATA("Total-New",'Distrib pivot table'!$C$2,"state","OK","group","1c5")/GETPIVOTDATA("Total-New",'Distrib pivot table'!$C$2,"state","OK"),"*"))</f>
        <v>0</v>
      </c>
      <c r="P20" s="1125">
        <f>IF((GETPIVOTDATA("Total-New",'Distrib pivot table'!$C$2,"state","SC","group","1c5")/GETPIVOTDATA("Total-New",'Distrib pivot table'!$C$2,"state","SC"))=0,,IF(GETPIVOTDATA("Total-New",'Distrib pivot table'!$C$2,"state","SC","group","1c5")/GETPIVOTDATA("Total-New",'Distrib pivot table'!$C$2,"state","SC")&gt;0.0005,GETPIVOTDATA("Total-New",'Distrib pivot table'!$C$2,"state","SC","group","1c5")/GETPIVOTDATA("Total-New",'Distrib pivot table'!$C$2,"state","SC"),"*"))</f>
        <v>0</v>
      </c>
      <c r="Q20" s="1125">
        <f>IF((GETPIVOTDATA("Total-New",'Distrib pivot table'!$C$2,"state","TN","group","1c5")/GETPIVOTDATA("Total-New",'Distrib pivot table'!$C$2,"state","TN"))=0,,IF(GETPIVOTDATA("Total-New",'Distrib pivot table'!$C$2,"state","TN","group","1c5")/GETPIVOTDATA("Total-New",'Distrib pivot table'!$C$2,"state","TN")&gt;0.0005,GETPIVOTDATA("Total-New",'Distrib pivot table'!$C$2,"state","TN","group","1c5")/GETPIVOTDATA("Total-New",'Distrib pivot table'!$C$2,"state","TN"),"*"))</f>
        <v>0</v>
      </c>
      <c r="R20" s="1125">
        <f>IF((GETPIVOTDATA("Total-New",'Distrib pivot table'!$C$2,"state","TX","group","1c5")/GETPIVOTDATA("Total-New",'Distrib pivot table'!$C$2,"state","TX"))=0,,IF(GETPIVOTDATA("Total-New",'Distrib pivot table'!$C$2,"state","TX","group","1c5")/GETPIVOTDATA("Total-New",'Distrib pivot table'!$C$2,"state","TX")&gt;0.0005,GETPIVOTDATA("Total-New",'Distrib pivot table'!$C$2,"state","TX","group","1c5")/GETPIVOTDATA("Total-New",'Distrib pivot table'!$C$2,"state","TX"),"*"))</f>
        <v>7.7332562596175644E-4</v>
      </c>
      <c r="S20" s="1125">
        <f>IF((GETPIVOTDATA("Total-New",'Distrib pivot table'!$C$2,"state","VA","group","1c5")/GETPIVOTDATA("Total-New",'Distrib pivot table'!$C$2,"state","VA"))=0,,IF(GETPIVOTDATA("Total-New",'Distrib pivot table'!$C$2,"state","VA","group","1c5")/GETPIVOTDATA("Total-New",'Distrib pivot table'!$C$2,"state","VA")&gt;0.0005,GETPIVOTDATA("Total-New",'Distrib pivot table'!$C$2,"state","VA","group","1c5")/GETPIVOTDATA("Total-New",'Distrib pivot table'!$C$2,"state","VA"),"*"))</f>
        <v>0</v>
      </c>
      <c r="T20" s="1125">
        <f>IF((GETPIVOTDATA("Total-New",'Distrib pivot table'!$C$2,"state","WV","group","1c5")/GETPIVOTDATA("Total-New",'Distrib pivot table'!$C$2,"state","WV"))=0,,IF(GETPIVOTDATA("Total-New",'Distrib pivot table'!$C$2,"state","WV","group","1c5")/GETPIVOTDATA("Total-New",'Distrib pivot table'!$C$2,"state","WV")&gt;0.0005,GETPIVOTDATA("Total-New",'Distrib pivot table'!$C$2,"state","WV","group","1c5")/GETPIVOTDATA("Total-New",'Distrib pivot table'!$C$2,"state","WV"),"*"))</f>
        <v>0</v>
      </c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</row>
    <row r="21" spans="1:50" ht="12.6" customHeight="1">
      <c r="A21" s="1170"/>
      <c r="B21" s="128" t="s">
        <v>1881</v>
      </c>
      <c r="C21" s="814" t="s">
        <v>1791</v>
      </c>
      <c r="D21" s="1125">
        <f>IF(GETPIVOTDATA("Total-New",'Distrib pivot table'!$C$2,"group","1c6")/GETPIVOTDATA("Total-New",'Distrib pivot table'!$C$2)=0,,IF(GETPIVOTDATA("Total-New",'Distrib pivot table'!$C$2,"group","1c6")/GETPIVOTDATA("Total-New",'Distrib pivot table'!$C$2)&gt;0.0005,GETPIVOTDATA("Total-New",'Distrib pivot table'!$C$2,"group","1c6")/GETPIVOTDATA("Total-New",'Distrib pivot table'!$C$2),"*"))</f>
        <v>1.1340722067005474E-3</v>
      </c>
      <c r="E21" s="1125">
        <f>IF((GETPIVOTDATA("Total-New",'Distrib pivot table'!$C$2,"state","AL","group","1c6")/GETPIVOTDATA("Total-New",'Distrib pivot table'!$C$2,"state","AL"))=0,,IF(GETPIVOTDATA("Total-New",'Distrib pivot table'!$C$2,"state","AL","group","1c6")/GETPIVOTDATA("Total-New",'Distrib pivot table'!$C$2,"state","AL")&gt;0.0005,GETPIVOTDATA("Total-New",'Distrib pivot table'!$C$2,"state","AL","group","1c6")/GETPIVOTDATA("Total-New",'Distrib pivot table'!$C$2,"state","AL"),"*"))</f>
        <v>2.0312312099435518E-3</v>
      </c>
      <c r="F21" s="1125">
        <f>IF((GETPIVOTDATA("Total-New",'Distrib pivot table'!$C$2,"state","AR","group","1c6")/GETPIVOTDATA("Total-New",'Distrib pivot table'!$C$2,"state","AR"))=0,,IF(GETPIVOTDATA("Total-New",'Distrib pivot table'!$C$2,"state","AR","group","1c6")/GETPIVOTDATA("Total-New",'Distrib pivot table'!$C$2,"state","AR")&gt;0.0005,GETPIVOTDATA("Total-New",'Distrib pivot table'!$C$2,"state","AR","group","1c6")/GETPIVOTDATA("Total-New",'Distrib pivot table'!$C$2,"state","AR"),"*"))</f>
        <v>3.077259274233309E-3</v>
      </c>
      <c r="G21" s="1125">
        <f>IF((GETPIVOTDATA("Total-New",'Distrib pivot table'!$C$2,"state","DE","group","1c6")/GETPIVOTDATA("Total-New",'Distrib pivot table'!$C$2,"state","DE"))=0,,IF(GETPIVOTDATA("Total-New",'Distrib pivot table'!$C$2,"state","DE","group","1c6")/GETPIVOTDATA("Total-New",'Distrib pivot table'!$C$2,"state","DE")&gt;0.0005,GETPIVOTDATA("Total-New",'Distrib pivot table'!$C$2,"state","DE","group","1c6")/GETPIVOTDATA("Total-New",'Distrib pivot table'!$C$2,"state","DE"),"*"))</f>
        <v>0</v>
      </c>
      <c r="H21" s="1125">
        <f>IF((GETPIVOTDATA("Total-New",'Distrib pivot table'!$C$2,"state","FL","group","1c6")/GETPIVOTDATA("Total-New",'Distrib pivot table'!$C$2,"state","FL"))=0,,IF(GETPIVOTDATA("Total-New",'Distrib pivot table'!$C$2,"state","FL","group","1c6")/GETPIVOTDATA("Total-New",'Distrib pivot table'!$C$2,"state","FL")&gt;0.0005,GETPIVOTDATA("Total-New",'Distrib pivot table'!$C$2,"state","FL","group","1c6")/GETPIVOTDATA("Total-New",'Distrib pivot table'!$C$2,"state","FL"),"*"))</f>
        <v>2.2808660527270487E-3</v>
      </c>
      <c r="I21" s="1125" t="str">
        <f>IF((GETPIVOTDATA("Total-New",'Distrib pivot table'!$C$2,"state","GA","group","1c6")/GETPIVOTDATA("Total-New",'Distrib pivot table'!$C$2,"state","GA"))=0,,IF(GETPIVOTDATA("Total-New",'Distrib pivot table'!$C$2,"state","GA","group","1c6")/GETPIVOTDATA("Total-New",'Distrib pivot table'!$C$2,"state","GA")&gt;0.0005,GETPIVOTDATA("Total-New",'Distrib pivot table'!$C$2,"state","GA","group","1c6")/GETPIVOTDATA("Total-New",'Distrib pivot table'!$C$2,"state","GA"),"*"))</f>
        <v>*</v>
      </c>
      <c r="J21" s="1125">
        <f>IF((GETPIVOTDATA("Total-New",'Distrib pivot table'!$C$2,"state","KY","group","1c6")/GETPIVOTDATA("Total-New",'Distrib pivot table'!$C$2,"state","KY"))=0,,IF(GETPIVOTDATA("Total-New",'Distrib pivot table'!$C$2,"state","KY","group","1c6")/GETPIVOTDATA("Total-New",'Distrib pivot table'!$C$2,"state","KY")&gt;0.0005,GETPIVOTDATA("Total-New",'Distrib pivot table'!$C$2,"state","KY","group","1c6")/GETPIVOTDATA("Total-New",'Distrib pivot table'!$C$2,"state","KY"),"*"))</f>
        <v>0</v>
      </c>
      <c r="K21" s="1125">
        <f>IF((GETPIVOTDATA("Total-New",'Distrib pivot table'!$C$2,"state","LA","group","1c6")/GETPIVOTDATA("Total-New",'Distrib pivot table'!$C$2,"state","LA"))=0,,IF(GETPIVOTDATA("Total-New",'Distrib pivot table'!$C$2,"state","LA","group","1c6")/GETPIVOTDATA("Total-New",'Distrib pivot table'!$C$2,"state","LA")&gt;0.0005,GETPIVOTDATA("Total-New",'Distrib pivot table'!$C$2,"state","LA","group","1c6")/GETPIVOTDATA("Total-New",'Distrib pivot table'!$C$2,"state","LA"),"*"))</f>
        <v>8.2841157469691479E-3</v>
      </c>
      <c r="L21" s="1125">
        <f>IF((GETPIVOTDATA("Total-New",'Distrib pivot table'!$C$2,"state","MD","group","1c6")/GETPIVOTDATA("Total-New",'Distrib pivot table'!$C$2,"state","MD"))=0,,IF(GETPIVOTDATA("Total-New",'Distrib pivot table'!$C$2,"state","MD","group","1c6")/GETPIVOTDATA("Total-New",'Distrib pivot table'!$C$2,"state","MD")&gt;0.0005,GETPIVOTDATA("Total-New",'Distrib pivot table'!$C$2,"state","MD","group","1c6")/GETPIVOTDATA("Total-New",'Distrib pivot table'!$C$2,"state","MD"),"*"))</f>
        <v>0</v>
      </c>
      <c r="M21" s="1125">
        <f>IF((GETPIVOTDATA("Total-New",'Distrib pivot table'!$C$2,"state","MS","group","1c6")/GETPIVOTDATA("Total-New",'Distrib pivot table'!$C$2,"state","MS"))=0,,IF(GETPIVOTDATA("Total-New",'Distrib pivot table'!$C$2,"state","MS","group","1c6")/GETPIVOTDATA("Total-New",'Distrib pivot table'!$C$2,"state","MS")&gt;0.0005,GETPIVOTDATA("Total-New",'Distrib pivot table'!$C$2,"state","MS","group","1c6")/GETPIVOTDATA("Total-New",'Distrib pivot table'!$C$2,"state","MS"),"*"))</f>
        <v>0</v>
      </c>
      <c r="N21" s="1125">
        <f>IF((GETPIVOTDATA("Total-New",'Distrib pivot table'!$C$2,"state","NC","group","1c6")/GETPIVOTDATA("Total-New",'Distrib pivot table'!$C$2,"state","NC"))=0,,IF(GETPIVOTDATA("Total-New",'Distrib pivot table'!$C$2,"state","NC","group","1c6")/GETPIVOTDATA("Total-New",'Distrib pivot table'!$C$2,"state","NC")&gt;0.0005,GETPIVOTDATA("Total-New",'Distrib pivot table'!$C$2,"state","NC","group","1c6")/GETPIVOTDATA("Total-New",'Distrib pivot table'!$C$2,"state","NC"),"*"))</f>
        <v>1.1873263655575242E-3</v>
      </c>
      <c r="O21" s="1125">
        <f>IF((GETPIVOTDATA("Total-New",'Distrib pivot table'!$C$2,"state","OK","group","1c6")/GETPIVOTDATA("Total-New",'Distrib pivot table'!$C$2,"state","OK"))=0,,IF(GETPIVOTDATA("Total-New",'Distrib pivot table'!$C$2,"state","OK","group","1c6")/GETPIVOTDATA("Total-New",'Distrib pivot table'!$C$2,"state","OK")&gt;0.0005,GETPIVOTDATA("Total-New",'Distrib pivot table'!$C$2,"state","OK","group","1c6")/GETPIVOTDATA("Total-New",'Distrib pivot table'!$C$2,"state","OK"),"*"))</f>
        <v>0</v>
      </c>
      <c r="P21" s="1125">
        <f>IF((GETPIVOTDATA("Total-New",'Distrib pivot table'!$C$2,"state","SC","group","1c6")/GETPIVOTDATA("Total-New",'Distrib pivot table'!$C$2,"state","SC"))=0,,IF(GETPIVOTDATA("Total-New",'Distrib pivot table'!$C$2,"state","SC","group","1c6")/GETPIVOTDATA("Total-New",'Distrib pivot table'!$C$2,"state","SC")&gt;0.0005,GETPIVOTDATA("Total-New",'Distrib pivot table'!$C$2,"state","SC","group","1c6")/GETPIVOTDATA("Total-New",'Distrib pivot table'!$C$2,"state","SC"),"*"))</f>
        <v>0</v>
      </c>
      <c r="Q21" s="1125">
        <f>IF((GETPIVOTDATA("Total-New",'Distrib pivot table'!$C$2,"state","TN","group","1c6")/GETPIVOTDATA("Total-New",'Distrib pivot table'!$C$2,"state","TN"))=0,,IF(GETPIVOTDATA("Total-New",'Distrib pivot table'!$C$2,"state","TN","group","1c6")/GETPIVOTDATA("Total-New",'Distrib pivot table'!$C$2,"state","TN")&gt;0.0005,GETPIVOTDATA("Total-New",'Distrib pivot table'!$C$2,"state","TN","group","1c6")/GETPIVOTDATA("Total-New",'Distrib pivot table'!$C$2,"state","TN"),"*"))</f>
        <v>0</v>
      </c>
      <c r="R21" s="1125">
        <f>IF((GETPIVOTDATA("Total-New",'Distrib pivot table'!$C$2,"state","TX","group","1c6")/GETPIVOTDATA("Total-New",'Distrib pivot table'!$C$2,"state","TX"))=0,,IF(GETPIVOTDATA("Total-New",'Distrib pivot table'!$C$2,"state","TX","group","1c6")/GETPIVOTDATA("Total-New",'Distrib pivot table'!$C$2,"state","TX")&gt;0.0005,GETPIVOTDATA("Total-New",'Distrib pivot table'!$C$2,"state","TX","group","1c6")/GETPIVOTDATA("Total-New",'Distrib pivot table'!$C$2,"state","TX"),"*"))</f>
        <v>0</v>
      </c>
      <c r="S21" s="1125">
        <f>IF((GETPIVOTDATA("Total-New",'Distrib pivot table'!$C$2,"state","VA","group","1c6")/GETPIVOTDATA("Total-New",'Distrib pivot table'!$C$2,"state","VA"))=0,,IF(GETPIVOTDATA("Total-New",'Distrib pivot table'!$C$2,"state","VA","group","1c6")/GETPIVOTDATA("Total-New",'Distrib pivot table'!$C$2,"state","VA")&gt;0.0005,GETPIVOTDATA("Total-New",'Distrib pivot table'!$C$2,"state","VA","group","1c6")/GETPIVOTDATA("Total-New",'Distrib pivot table'!$C$2,"state","VA"),"*"))</f>
        <v>2.4520588977793452E-3</v>
      </c>
      <c r="T21" s="1125">
        <f>IF((GETPIVOTDATA("Total-New",'Distrib pivot table'!$C$2,"state","WV","group","1c6")/GETPIVOTDATA("Total-New",'Distrib pivot table'!$C$2,"state","WV"))=0,,IF(GETPIVOTDATA("Total-New",'Distrib pivot table'!$C$2,"state","WV","group","1c6")/GETPIVOTDATA("Total-New",'Distrib pivot table'!$C$2,"state","WV")&gt;0.0005,GETPIVOTDATA("Total-New",'Distrib pivot table'!$C$2,"state","WV","group","1c6")/GETPIVOTDATA("Total-New",'Distrib pivot table'!$C$2,"state","WV"),"*"))</f>
        <v>0</v>
      </c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</row>
    <row r="22" spans="1:50" ht="12.6" customHeight="1">
      <c r="A22" s="1170"/>
      <c r="B22" s="128" t="s">
        <v>1808</v>
      </c>
      <c r="C22" s="814" t="s">
        <v>1792</v>
      </c>
      <c r="D22" s="1125">
        <f>IF(GETPIVOTDATA("Total-New",'Distrib pivot table'!$C$2,"group","1c7")/GETPIVOTDATA("Total-New",'Distrib pivot table'!$C$2)=0,,IF(GETPIVOTDATA("Total-New",'Distrib pivot table'!$C$2,"group","1c7")/GETPIVOTDATA("Total-New",'Distrib pivot table'!$C$2)&gt;0.0005,GETPIVOTDATA("Total-New",'Distrib pivot table'!$C$2,"group","1c7")/GETPIVOTDATA("Total-New",'Distrib pivot table'!$C$2),"*"))</f>
        <v>2.6602556634662436E-3</v>
      </c>
      <c r="E22" s="1127">
        <f>IF((GETPIVOTDATA("Total-New",'Distrib pivot table'!$C$2,"state","AL","group","1c7")/GETPIVOTDATA("Total-New",'Distrib pivot table'!$C$2,"state","AL"))=0,,IF(GETPIVOTDATA("Total-New",'Distrib pivot table'!$C$2,"state","AL","group","1c7")/GETPIVOTDATA("Total-New",'Distrib pivot table'!$C$2,"state","AL")&gt;0.0005,GETPIVOTDATA("Total-New",'Distrib pivot table'!$C$2,"state","AL","group","1c7")/GETPIVOTDATA("Total-New",'Distrib pivot table'!$C$2,"state","AL"),"*"))</f>
        <v>2.8306228118147175E-2</v>
      </c>
      <c r="F22" s="1127">
        <f>IF((GETPIVOTDATA("Total-New",'Distrib pivot table'!$C$2,"state","AR","group","1c7")/GETPIVOTDATA("Total-New",'Distrib pivot table'!$C$2,"state","AR"))=0,,IF(GETPIVOTDATA("Total-New",'Distrib pivot table'!$C$2,"state","AR","group","1c7")/GETPIVOTDATA("Total-New",'Distrib pivot table'!$C$2,"state","AR")&gt;0.0005,GETPIVOTDATA("Total-New",'Distrib pivot table'!$C$2,"state","AR","group","1c7")/GETPIVOTDATA("Total-New",'Distrib pivot table'!$C$2,"state","AR"),"*"))</f>
        <v>0</v>
      </c>
      <c r="G22" s="1127">
        <f>IF((GETPIVOTDATA("Total-New",'Distrib pivot table'!$C$2,"state","DE","group","1c7")/GETPIVOTDATA("Total-New",'Distrib pivot table'!$C$2,"state","DE"))=0,,IF(GETPIVOTDATA("Total-New",'Distrib pivot table'!$C$2,"state","DE","group","1c7")/GETPIVOTDATA("Total-New",'Distrib pivot table'!$C$2,"state","DE")&gt;0.0005,GETPIVOTDATA("Total-New",'Distrib pivot table'!$C$2,"state","DE","group","1c7")/GETPIVOTDATA("Total-New",'Distrib pivot table'!$C$2,"state","DE"),"*"))</f>
        <v>0</v>
      </c>
      <c r="H22" s="1127" t="str">
        <f>IF((GETPIVOTDATA("Total-New",'Distrib pivot table'!$C$2,"state","FL","group","1c7")/GETPIVOTDATA("Total-New",'Distrib pivot table'!$C$2,"state","FL"))=0,,IF(GETPIVOTDATA("Total-New",'Distrib pivot table'!$C$2,"state","FL","group","1c7")/GETPIVOTDATA("Total-New",'Distrib pivot table'!$C$2,"state","FL")&gt;0.0005,GETPIVOTDATA("Total-New",'Distrib pivot table'!$C$2,"state","FL","group","1c7")/GETPIVOTDATA("Total-New",'Distrib pivot table'!$C$2,"state","FL"),"*"))</f>
        <v>*</v>
      </c>
      <c r="I22" s="1127">
        <f>IF((GETPIVOTDATA("Total-New",'Distrib pivot table'!$C$2,"state","GA","group","1c7")/GETPIVOTDATA("Total-New",'Distrib pivot table'!$C$2,"state","GA"))=0,,IF(GETPIVOTDATA("Total-New",'Distrib pivot table'!$C$2,"state","GA","group","1c7")/GETPIVOTDATA("Total-New",'Distrib pivot table'!$C$2,"state","GA")&gt;0.0005,GETPIVOTDATA("Total-New",'Distrib pivot table'!$C$2,"state","GA","group","1c7")/GETPIVOTDATA("Total-New",'Distrib pivot table'!$C$2,"state","GA"),"*"))</f>
        <v>0</v>
      </c>
      <c r="J22" s="1127">
        <f>IF((GETPIVOTDATA("Total-New",'Distrib pivot table'!$C$2,"state","KY","group","1c7")/GETPIVOTDATA("Total-New",'Distrib pivot table'!$C$2,"state","KY"))=0,,IF(GETPIVOTDATA("Total-New",'Distrib pivot table'!$C$2,"state","KY","group","1c7")/GETPIVOTDATA("Total-New",'Distrib pivot table'!$C$2,"state","KY")&gt;0.0005,GETPIVOTDATA("Total-New",'Distrib pivot table'!$C$2,"state","KY","group","1c7")/GETPIVOTDATA("Total-New",'Distrib pivot table'!$C$2,"state","KY"),"*"))</f>
        <v>0</v>
      </c>
      <c r="K22" s="1127">
        <f>IF((GETPIVOTDATA("Total-New",'Distrib pivot table'!$C$2,"state","LA","group","1c7")/GETPIVOTDATA("Total-New",'Distrib pivot table'!$C$2,"state","LA"))=0,,IF(GETPIVOTDATA("Total-New",'Distrib pivot table'!$C$2,"state","LA","group","1c7")/GETPIVOTDATA("Total-New",'Distrib pivot table'!$C$2,"state","LA")&gt;0.0005,GETPIVOTDATA("Total-New",'Distrib pivot table'!$C$2,"state","LA","group","1c7")/GETPIVOTDATA("Total-New",'Distrib pivot table'!$C$2,"state","LA"),"*"))</f>
        <v>1.3073685962261996E-2</v>
      </c>
      <c r="L22" s="1127">
        <f>IF((GETPIVOTDATA("Total-New",'Distrib pivot table'!$C$2,"state","MD","group","1c7")/GETPIVOTDATA("Total-New",'Distrib pivot table'!$C$2,"state","MD"))=0,,IF(GETPIVOTDATA("Total-New",'Distrib pivot table'!$C$2,"state","MD","group","1c7")/GETPIVOTDATA("Total-New",'Distrib pivot table'!$C$2,"state","MD")&gt;0.0005,GETPIVOTDATA("Total-New",'Distrib pivot table'!$C$2,"state","MD","group","1c7")/GETPIVOTDATA("Total-New",'Distrib pivot table'!$C$2,"state","MD"),"*"))</f>
        <v>0</v>
      </c>
      <c r="M22" s="1127">
        <f>IF((GETPIVOTDATA("Total-New",'Distrib pivot table'!$C$2,"state","MS","group","1c7")/GETPIVOTDATA("Total-New",'Distrib pivot table'!$C$2,"state","MS"))=0,,IF(GETPIVOTDATA("Total-New",'Distrib pivot table'!$C$2,"state","MS","group","1c7")/GETPIVOTDATA("Total-New",'Distrib pivot table'!$C$2,"state","MS")&gt;0.0005,GETPIVOTDATA("Total-New",'Distrib pivot table'!$C$2,"state","MS","group","1c7")/GETPIVOTDATA("Total-New",'Distrib pivot table'!$C$2,"state","MS"),"*"))</f>
        <v>0</v>
      </c>
      <c r="N22" s="1127">
        <f>IF((GETPIVOTDATA("Total-New",'Distrib pivot table'!$C$2,"state","NC","group","1c7")/GETPIVOTDATA("Total-New",'Distrib pivot table'!$C$2,"state","NC"))=0,,IF(GETPIVOTDATA("Total-New",'Distrib pivot table'!$C$2,"state","NC","group","1c7")/GETPIVOTDATA("Total-New",'Distrib pivot table'!$C$2,"state","NC")&gt;0.0005,GETPIVOTDATA("Total-New",'Distrib pivot table'!$C$2,"state","NC","group","1c7")/GETPIVOTDATA("Total-New",'Distrib pivot table'!$C$2,"state","NC"),"*"))</f>
        <v>1.8337557785988771E-3</v>
      </c>
      <c r="O22" s="1127">
        <f>IF((GETPIVOTDATA("Total-New",'Distrib pivot table'!$C$2,"state","OK","group","1c7")/GETPIVOTDATA("Total-New",'Distrib pivot table'!$C$2,"state","OK"))=0,,IF(GETPIVOTDATA("Total-New",'Distrib pivot table'!$C$2,"state","OK","group","1c7")/GETPIVOTDATA("Total-New",'Distrib pivot table'!$C$2,"state","OK")&gt;0.0005,GETPIVOTDATA("Total-New",'Distrib pivot table'!$C$2,"state","OK","group","1c7")/GETPIVOTDATA("Total-New",'Distrib pivot table'!$C$2,"state","OK"),"*"))</f>
        <v>0</v>
      </c>
      <c r="P22" s="1127">
        <f>IF((GETPIVOTDATA("Total-New",'Distrib pivot table'!$C$2,"state","SC","group","1c7")/GETPIVOTDATA("Total-New",'Distrib pivot table'!$C$2,"state","SC"))=0,,IF(GETPIVOTDATA("Total-New",'Distrib pivot table'!$C$2,"state","SC","group","1c7")/GETPIVOTDATA("Total-New",'Distrib pivot table'!$C$2,"state","SC")&gt;0.0005,GETPIVOTDATA("Total-New",'Distrib pivot table'!$C$2,"state","SC","group","1c7")/GETPIVOTDATA("Total-New",'Distrib pivot table'!$C$2,"state","SC"),"*"))</f>
        <v>0</v>
      </c>
      <c r="Q22" s="1127">
        <f>IF((GETPIVOTDATA("Total-New",'Distrib pivot table'!$C$2,"state","TN","group","1c7")/GETPIVOTDATA("Total-New",'Distrib pivot table'!$C$2,"state","TN"))=0,,IF(GETPIVOTDATA("Total-New",'Distrib pivot table'!$C$2,"state","TN","group","1c7")/GETPIVOTDATA("Total-New",'Distrib pivot table'!$C$2,"state","TN")&gt;0.0005,GETPIVOTDATA("Total-New",'Distrib pivot table'!$C$2,"state","TN","group","1c7")/GETPIVOTDATA("Total-New",'Distrib pivot table'!$C$2,"state","TN"),"*"))</f>
        <v>0</v>
      </c>
      <c r="R22" s="1127">
        <f>IF((GETPIVOTDATA("Total-New",'Distrib pivot table'!$C$2,"state","TX","group","1c7")/GETPIVOTDATA("Total-New",'Distrib pivot table'!$C$2,"state","TX"))=0,,IF(GETPIVOTDATA("Total-New",'Distrib pivot table'!$C$2,"state","TX","group","1c7")/GETPIVOTDATA("Total-New",'Distrib pivot table'!$C$2,"state","TX")&gt;0.0005,GETPIVOTDATA("Total-New",'Distrib pivot table'!$C$2,"state","TX","group","1c7")/GETPIVOTDATA("Total-New",'Distrib pivot table'!$C$2,"state","TX"),"*"))</f>
        <v>1.9647768638543649E-3</v>
      </c>
      <c r="S22" s="1127" t="str">
        <f>IF((GETPIVOTDATA("Total-New",'Distrib pivot table'!$C$2,"state","VA","group","1c7")/GETPIVOTDATA("Total-New",'Distrib pivot table'!$C$2,"state","VA"))=0,,IF(GETPIVOTDATA("Total-New",'Distrib pivot table'!$C$2,"state","VA","group","1c7")/GETPIVOTDATA("Total-New",'Distrib pivot table'!$C$2,"state","VA")&gt;0.0005,GETPIVOTDATA("Total-New",'Distrib pivot table'!$C$2,"state","VA","group","1c7")/GETPIVOTDATA("Total-New",'Distrib pivot table'!$C$2,"state","VA"),"*"))</f>
        <v>*</v>
      </c>
      <c r="T22" s="1128">
        <f>IF((GETPIVOTDATA("Total-New",'Distrib pivot table'!$C$2,"state","WV","group","1c7")/GETPIVOTDATA("Total-New",'Distrib pivot table'!$C$2,"state","WV"))=0,,IF(GETPIVOTDATA("Total-New",'Distrib pivot table'!$C$2,"state","WV","group","1c7")/GETPIVOTDATA("Total-New",'Distrib pivot table'!$C$2,"state","WV")&gt;0.0005,GETPIVOTDATA("Total-New",'Distrib pivot table'!$C$2,"state","WV","group","1c7")/GETPIVOTDATA("Total-New",'Distrib pivot table'!$C$2,"state","WV"),"*"))</f>
        <v>0</v>
      </c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</row>
    <row r="23" spans="1:50" ht="25.5" customHeight="1">
      <c r="A23" s="1171"/>
      <c r="B23" s="130" t="s">
        <v>642</v>
      </c>
      <c r="C23" s="815" t="s">
        <v>1821</v>
      </c>
      <c r="D23" s="1129">
        <f>IF(GETPIVOTDATA("Total-New",'Distrib pivot table'!$C$2,"group","1g")/GETPIVOTDATA("Total-New",'Distrib pivot table'!$C$2)=0,,IF(GETPIVOTDATA("Total-New",'Distrib pivot table'!$C$2,"group","1g")/GETPIVOTDATA("Total-New",'Distrib pivot table'!$C$2)&gt;0.0005,GETPIVOTDATA("Total-New",'Distrib pivot table'!$C$2,"group","1g")/GETPIVOTDATA("Total-New",'Distrib pivot table'!$C$2),"*"))</f>
        <v>8.2929505108781769E-3</v>
      </c>
      <c r="E23" s="1129">
        <f>IF((GETPIVOTDATA("Total-New",'Distrib pivot table'!$C$2,"state","AL","group","1g")/GETPIVOTDATA("Total-New",'Distrib pivot table'!$C$2,"state","AL"))=0,,IF(GETPIVOTDATA("Total-New",'Distrib pivot table'!$C$2,"state","AL","group","1g")/GETPIVOTDATA("Total-New",'Distrib pivot table'!$C$2,"state","AL")&gt;0.0005,GETPIVOTDATA("Total-New",'Distrib pivot table'!$C$2,"state","AL","group","1g")/GETPIVOTDATA("Total-New",'Distrib pivot table'!$C$2,"state","AL"),"*"))</f>
        <v>4.4365219751486456E-3</v>
      </c>
      <c r="F23" s="1129" t="str">
        <f>IF((GETPIVOTDATA("Total-New",'Distrib pivot table'!$C$2,"state","AR","group","1g")/GETPIVOTDATA("Total-New",'Distrib pivot table'!$C$2,"state","AR"))=0,,IF(GETPIVOTDATA("Total-New",'Distrib pivot table'!$C$2,"state","AR","group","1g")/GETPIVOTDATA("Total-New",'Distrib pivot table'!$C$2,"state","AR")&gt;0.0005,GETPIVOTDATA("Total-New",'Distrib pivot table'!$C$2,"state","AR","group","1g")/GETPIVOTDATA("Total-New",'Distrib pivot table'!$C$2,"state","AR"),"*"))</f>
        <v>*</v>
      </c>
      <c r="G23" s="1129">
        <f>IF((GETPIVOTDATA("Total-New",'Distrib pivot table'!$C$2,"state","DE","group","1g")/GETPIVOTDATA("Total-New",'Distrib pivot table'!$C$2,"state","DE"))=0,,IF(GETPIVOTDATA("Total-New",'Distrib pivot table'!$C$2,"state","DE","group","1g")/GETPIVOTDATA("Total-New",'Distrib pivot table'!$C$2,"state","DE")&gt;0.0005,GETPIVOTDATA("Total-New",'Distrib pivot table'!$C$2,"state","DE","group","1g")/GETPIVOTDATA("Total-New",'Distrib pivot table'!$C$2,"state","DE"),"*"))</f>
        <v>3.5129690008811093E-3</v>
      </c>
      <c r="H23" s="1129">
        <f>IF((GETPIVOTDATA("Total-New",'Distrib pivot table'!$C$2,"state","FL","group","1g")/GETPIVOTDATA("Total-New",'Distrib pivot table'!$C$2,"state","FL"))=0,,IF(GETPIVOTDATA("Total-New",'Distrib pivot table'!$C$2,"state","FL","group","1g")/GETPIVOTDATA("Total-New",'Distrib pivot table'!$C$2,"state","FL")&gt;0.0005,GETPIVOTDATA("Total-New",'Distrib pivot table'!$C$2,"state","FL","group","1g")/GETPIVOTDATA("Total-New",'Distrib pivot table'!$C$2,"state","FL"),"*"))</f>
        <v>0</v>
      </c>
      <c r="I23" s="1129">
        <f>IF((GETPIVOTDATA("Total-New",'Distrib pivot table'!$C$2,"state","GA","group","1g")/GETPIVOTDATA("Total-New",'Distrib pivot table'!$C$2,"state","GA"))=0,,IF(GETPIVOTDATA("Total-New",'Distrib pivot table'!$C$2,"state","GA","group","1g")/GETPIVOTDATA("Total-New",'Distrib pivot table'!$C$2,"state","GA")&gt;0.0005,GETPIVOTDATA("Total-New",'Distrib pivot table'!$C$2,"state","GA","group","1g")/GETPIVOTDATA("Total-New",'Distrib pivot table'!$C$2,"state","GA"),"*"))</f>
        <v>1.1508241389071777E-2</v>
      </c>
      <c r="J23" s="1129">
        <f>IF((GETPIVOTDATA("Total-New",'Distrib pivot table'!$C$2,"state","KY","group","1g")/GETPIVOTDATA("Total-New",'Distrib pivot table'!$C$2,"state","KY"))=0,,IF(GETPIVOTDATA("Total-New",'Distrib pivot table'!$C$2,"state","KY","group","1g")/GETPIVOTDATA("Total-New",'Distrib pivot table'!$C$2,"state","KY")&gt;0.0005,GETPIVOTDATA("Total-New",'Distrib pivot table'!$C$2,"state","KY","group","1g")/GETPIVOTDATA("Total-New",'Distrib pivot table'!$C$2,"state","KY"),"*"))</f>
        <v>1.9184594661156806E-2</v>
      </c>
      <c r="K23" s="1129">
        <f>IF((GETPIVOTDATA("Total-New",'Distrib pivot table'!$C$2,"state","LA","group","1g")/GETPIVOTDATA("Total-New",'Distrib pivot table'!$C$2,"state","LA"))=0,,IF(GETPIVOTDATA("Total-New",'Distrib pivot table'!$C$2,"state","LA","group","1g")/GETPIVOTDATA("Total-New",'Distrib pivot table'!$C$2,"state","LA")&gt;0.0005,GETPIVOTDATA("Total-New",'Distrib pivot table'!$C$2,"state","LA","group","1g")/GETPIVOTDATA("Total-New",'Distrib pivot table'!$C$2,"state","LA"),"*"))</f>
        <v>1.9769950476776071E-2</v>
      </c>
      <c r="L23" s="1129">
        <f>IF((GETPIVOTDATA("Total-New",'Distrib pivot table'!$C$2,"state","MD","group","1g")/GETPIVOTDATA("Total-New",'Distrib pivot table'!$C$2,"state","MD"))=0,,IF(GETPIVOTDATA("Total-New",'Distrib pivot table'!$C$2,"state","MD","group","1g")/GETPIVOTDATA("Total-New",'Distrib pivot table'!$C$2,"state","MD")&gt;0.0005,GETPIVOTDATA("Total-New",'Distrib pivot table'!$C$2,"state","MD","group","1g")/GETPIVOTDATA("Total-New",'Distrib pivot table'!$C$2,"state","MD"),"*"))</f>
        <v>1.4711681733631649E-3</v>
      </c>
      <c r="M23" s="1129">
        <f>IF((GETPIVOTDATA("Total-New",'Distrib pivot table'!$C$2,"state","MS","group","1g")/GETPIVOTDATA("Total-New",'Distrib pivot table'!$C$2,"state","MS"))=0,,IF(GETPIVOTDATA("Total-New",'Distrib pivot table'!$C$2,"state","MS","group","1g")/GETPIVOTDATA("Total-New",'Distrib pivot table'!$C$2,"state","MS")&gt;0.0005,GETPIVOTDATA("Total-New",'Distrib pivot table'!$C$2,"state","MS","group","1g")/GETPIVOTDATA("Total-New",'Distrib pivot table'!$C$2,"state","MS"),"*"))</f>
        <v>2.0685268777875691E-2</v>
      </c>
      <c r="N23" s="1129" t="str">
        <f>IF((GETPIVOTDATA("Total-New",'Distrib pivot table'!$C$2,"state","NC","group","1g")/GETPIVOTDATA("Total-New",'Distrib pivot table'!$C$2,"state","NC"))=0,,IF(GETPIVOTDATA("Total-New",'Distrib pivot table'!$C$2,"state","NC","group","1g")/GETPIVOTDATA("Total-New",'Distrib pivot table'!$C$2,"state","NC")&gt;0.0005,GETPIVOTDATA("Total-New",'Distrib pivot table'!$C$2,"state","NC","group","1g")/GETPIVOTDATA("Total-New",'Distrib pivot table'!$C$2,"state","NC"),"*"))</f>
        <v>*</v>
      </c>
      <c r="O23" s="1129">
        <f>IF((GETPIVOTDATA("Total-New",'Distrib pivot table'!$C$2,"state","OK","group","1g")/GETPIVOTDATA("Total-New",'Distrib pivot table'!$C$2,"state","OK"))=0,,IF(GETPIVOTDATA("Total-New",'Distrib pivot table'!$C$2,"state","OK","group","1g")/GETPIVOTDATA("Total-New",'Distrib pivot table'!$C$2,"state","OK")&gt;0.0005,GETPIVOTDATA("Total-New",'Distrib pivot table'!$C$2,"state","OK","group","1g")/GETPIVOTDATA("Total-New",'Distrib pivot table'!$C$2,"state","OK"),"*"))</f>
        <v>9.7266920181210866E-3</v>
      </c>
      <c r="P23" s="1129">
        <f>IF((GETPIVOTDATA("Total-New",'Distrib pivot table'!$C$2,"state","SC","group","1g")/GETPIVOTDATA("Total-New",'Distrib pivot table'!$C$2,"state","SC"))=0,,IF(GETPIVOTDATA("Total-New",'Distrib pivot table'!$C$2,"state","SC","group","1g")/GETPIVOTDATA("Total-New",'Distrib pivot table'!$C$2,"state","SC")&gt;0.0005,GETPIVOTDATA("Total-New",'Distrib pivot table'!$C$2,"state","SC","group","1g")/GETPIVOTDATA("Total-New",'Distrib pivot table'!$C$2,"state","SC"),"*"))</f>
        <v>3.3324864200507875E-3</v>
      </c>
      <c r="Q23" s="1129" t="str">
        <f>IF((GETPIVOTDATA("Total-New",'Distrib pivot table'!$C$2,"state","TN","group","1g")/GETPIVOTDATA("Total-New",'Distrib pivot table'!$C$2,"state","TN"))=0,,IF(GETPIVOTDATA("Total-New",'Distrib pivot table'!$C$2,"state","TN","group","1g")/GETPIVOTDATA("Total-New",'Distrib pivot table'!$C$2,"state","TN")&gt;0.0005,GETPIVOTDATA("Total-New",'Distrib pivot table'!$C$2,"state","TN","group","1g")/GETPIVOTDATA("Total-New",'Distrib pivot table'!$C$2,"state","TN"),"*"))</f>
        <v>*</v>
      </c>
      <c r="R23" s="1129">
        <f>IF((GETPIVOTDATA("Total-New",'Distrib pivot table'!$C$2,"state","TX","group","1g")/GETPIVOTDATA("Total-New",'Distrib pivot table'!$C$2,"state","TX"))=0,,IF(GETPIVOTDATA("Total-New",'Distrib pivot table'!$C$2,"state","TX","group","1g")/GETPIVOTDATA("Total-New",'Distrib pivot table'!$C$2,"state","TX")&gt;0.0005,GETPIVOTDATA("Total-New",'Distrib pivot table'!$C$2,"state","TX","group","1g")/GETPIVOTDATA("Total-New",'Distrib pivot table'!$C$2,"state","TX"),"*"))</f>
        <v>8.902257868270565E-3</v>
      </c>
      <c r="S23" s="1129">
        <f>IF((GETPIVOTDATA("Total-New",'Distrib pivot table'!$C$2,"state","VA","group","1g")/GETPIVOTDATA("Total-New",'Distrib pivot table'!$C$2,"state","VA"))=0,,IF(GETPIVOTDATA("Total-New",'Distrib pivot table'!$C$2,"state","VA","group","1g")/GETPIVOTDATA("Total-New",'Distrib pivot table'!$C$2,"state","VA")&gt;0.0005,GETPIVOTDATA("Total-New",'Distrib pivot table'!$C$2,"state","VA","group","1g")/GETPIVOTDATA("Total-New",'Distrib pivot table'!$C$2,"state","VA"),"*"))</f>
        <v>2.6438356076724772E-2</v>
      </c>
      <c r="T23" s="1129">
        <f>IF((GETPIVOTDATA("Total-New",'Distrib pivot table'!$C$2,"state","WV","group","1g")/GETPIVOTDATA("Total-New",'Distrib pivot table'!$C$2,"state","WV"))=0,,IF(GETPIVOTDATA("Total-New",'Distrib pivot table'!$C$2,"state","WV","group","1g")/GETPIVOTDATA("Total-New",'Distrib pivot table'!$C$2,"state","WV")&gt;0.0005,GETPIVOTDATA("Total-New",'Distrib pivot table'!$C$2,"state","WV","group","1g")/GETPIVOTDATA("Total-New",'Distrib pivot table'!$C$2,"state","WV"),"*"))</f>
        <v>1.5189131896571492E-2</v>
      </c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</row>
    <row r="24" spans="1:50" s="10" customFormat="1" ht="39.75" customHeight="1">
      <c r="A24" s="1162" t="s">
        <v>1927</v>
      </c>
      <c r="B24" s="1163"/>
      <c r="C24" s="1163"/>
      <c r="D24" s="1163"/>
      <c r="E24" s="1163"/>
      <c r="F24" s="1163"/>
      <c r="G24" s="1163"/>
      <c r="H24" s="1163"/>
      <c r="I24" s="1163"/>
      <c r="J24" s="1163"/>
      <c r="K24" s="1163"/>
      <c r="L24" s="1163"/>
      <c r="M24" s="1163"/>
      <c r="N24" s="1163"/>
      <c r="O24" s="1163"/>
      <c r="P24" s="1163"/>
      <c r="Q24" s="1163"/>
      <c r="R24" s="1163"/>
      <c r="S24" s="1163"/>
      <c r="T24" s="1163"/>
    </row>
    <row r="25" spans="1:50" s="10" customFormat="1" ht="15.75" customHeight="1">
      <c r="A25" s="55" t="s">
        <v>639</v>
      </c>
      <c r="B25" s="434"/>
      <c r="C25" s="47"/>
      <c r="D25" s="47"/>
      <c r="E25" s="47"/>
      <c r="F25" s="47"/>
      <c r="G25" s="47"/>
      <c r="H25" s="435"/>
      <c r="I25" s="47"/>
      <c r="J25" s="47"/>
      <c r="K25" s="435"/>
      <c r="L25" s="435"/>
      <c r="M25" s="435"/>
      <c r="N25" s="47"/>
      <c r="O25" s="47"/>
      <c r="P25" s="47"/>
      <c r="Q25" s="47"/>
      <c r="R25" s="47"/>
      <c r="S25" s="47"/>
      <c r="T25" s="47"/>
    </row>
    <row r="26" spans="1:50" s="10" customFormat="1" ht="14.25" customHeight="1">
      <c r="A26" s="47" t="s">
        <v>41</v>
      </c>
      <c r="B26" s="434"/>
      <c r="C26" s="47"/>
      <c r="D26" s="47"/>
      <c r="E26" s="47"/>
      <c r="F26" s="47"/>
      <c r="G26" s="47"/>
      <c r="H26" s="435"/>
      <c r="I26" s="47"/>
      <c r="J26" s="47"/>
      <c r="K26" s="435"/>
      <c r="L26" s="435"/>
      <c r="M26" s="435"/>
      <c r="N26" s="47"/>
      <c r="O26" s="47"/>
      <c r="P26" s="47"/>
      <c r="Q26" s="47"/>
      <c r="R26" s="47"/>
      <c r="S26" s="47"/>
      <c r="T26" s="47"/>
    </row>
    <row r="27" spans="1:50" s="45" customFormat="1" ht="12.6" customHeight="1">
      <c r="A27" s="1169" t="s">
        <v>1926</v>
      </c>
      <c r="B27" s="236" t="s">
        <v>911</v>
      </c>
      <c r="C27" s="816" t="s">
        <v>1794</v>
      </c>
      <c r="D27" s="1130">
        <f>SUM(D28:D31)</f>
        <v>6.7140955608192519E-3</v>
      </c>
      <c r="E27" s="1130">
        <f>SUM(E28:E31)</f>
        <v>3.3383132171011551E-3</v>
      </c>
      <c r="F27" s="1130">
        <f t="shared" ref="F27:T27" si="3">SUM(F28:F31)</f>
        <v>7.3081671629419082E-3</v>
      </c>
      <c r="G27" s="1130">
        <f t="shared" si="3"/>
        <v>1.6067104567679021E-2</v>
      </c>
      <c r="H27" s="1130">
        <f t="shared" si="3"/>
        <v>1.1335517993845297E-3</v>
      </c>
      <c r="I27" s="1130">
        <f t="shared" si="3"/>
        <v>9.4771859482395415E-3</v>
      </c>
      <c r="J27" s="1130">
        <f t="shared" si="3"/>
        <v>8.7675574561798079E-3</v>
      </c>
      <c r="K27" s="1130">
        <f t="shared" si="3"/>
        <v>2.0579718067505956E-2</v>
      </c>
      <c r="L27" s="1130">
        <f t="shared" si="3"/>
        <v>4.430640288565847E-3</v>
      </c>
      <c r="M27" s="1130">
        <f t="shared" si="3"/>
        <v>6.439456455963233E-3</v>
      </c>
      <c r="N27" s="1130">
        <f t="shared" si="3"/>
        <v>1.3253981330756857E-2</v>
      </c>
      <c r="O27" s="1130">
        <f t="shared" si="3"/>
        <v>5.2888674603149711E-3</v>
      </c>
      <c r="P27" s="1130">
        <f t="shared" si="3"/>
        <v>7.6501515058312528E-3</v>
      </c>
      <c r="Q27" s="1130">
        <f t="shared" si="3"/>
        <v>4.9937427083409534E-3</v>
      </c>
      <c r="R27" s="1130">
        <f t="shared" si="3"/>
        <v>4.620084000179046E-3</v>
      </c>
      <c r="S27" s="1130">
        <f t="shared" si="3"/>
        <v>5.2691514853668801E-3</v>
      </c>
      <c r="T27" s="1130">
        <f t="shared" si="3"/>
        <v>6.1685407517937888E-3</v>
      </c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</row>
    <row r="28" spans="1:50" ht="12.6" customHeight="1">
      <c r="A28" s="1172"/>
      <c r="B28" s="128" t="s">
        <v>957</v>
      </c>
      <c r="C28" s="817" t="s">
        <v>1795</v>
      </c>
      <c r="D28" s="1125">
        <f>IF(GETPIVOTDATA("Total-New",'Distrib pivot table'!$C$2,"group","2a1")/GETPIVOTDATA("Total-New",'Distrib pivot table'!$C$2)=0,,IF(GETPIVOTDATA("Total-New",'Distrib pivot table'!$C$2,"group","2a1")/GETPIVOTDATA("Total-New",'Distrib pivot table'!$C$2)&gt;0.0005,GETPIVOTDATA("Total-New",'Distrib pivot table'!$C$2,"group","2a1")/GETPIVOTDATA("Total-New",'Distrib pivot table'!$C$2),"*"))</f>
        <v>4.1861668002294364E-3</v>
      </c>
      <c r="E28" s="1125">
        <f>IF((GETPIVOTDATA("Total-New",'Distrib pivot table'!$C$2,"state","AL","group","2a1")/GETPIVOTDATA("Total-New",'Distrib pivot table'!$C$2,"state","AL"))=0,,IF(GETPIVOTDATA("Total-New",'Distrib pivot table'!$C$2,"state","AL","group","2a1")/GETPIVOTDATA("Total-New",'Distrib pivot table'!$C$2,"state","AL")&gt;0.0005,GETPIVOTDATA("Total-New",'Distrib pivot table'!$C$2,"state","AL","group","2a1")/GETPIVOTDATA("Total-New",'Distrib pivot table'!$C$2,"state","AL"),"*"))</f>
        <v>1.1477938425999128E-3</v>
      </c>
      <c r="F28" s="1125">
        <f>IF((GETPIVOTDATA("Total-New",'Distrib pivot table'!$C$2,"state","AR","group","2a1")/GETPIVOTDATA("Total-New",'Distrib pivot table'!$C$2,"state","AR"))=0,,IF(GETPIVOTDATA("Total-New",'Distrib pivot table'!$C$2,"state","AR","group","2a1")/GETPIVOTDATA("Total-New",'Distrib pivot table'!$C$2,"state","AR")&gt;0.0005,GETPIVOTDATA("Total-New",'Distrib pivot table'!$C$2,"state","AR","group","2a1")/GETPIVOTDATA("Total-New",'Distrib pivot table'!$C$2,"state","AR"),"*"))</f>
        <v>7.3081671629419082E-3</v>
      </c>
      <c r="G28" s="1125">
        <f>IF((GETPIVOTDATA("Total-New",'Distrib pivot table'!$C$2,"state","DE","group","2a1")/GETPIVOTDATA("Total-New",'Distrib pivot table'!$C$2,"state","DE"))=0,,IF(GETPIVOTDATA("Total-New",'Distrib pivot table'!$C$2,"state","DE","group","2a1")/GETPIVOTDATA("Total-New",'Distrib pivot table'!$C$2,"state","DE")&gt;0.0005,GETPIVOTDATA("Total-New",'Distrib pivot table'!$C$2,"state","DE","group","2a1")/GETPIVOTDATA("Total-New",'Distrib pivot table'!$C$2,"state","DE"),"*"))</f>
        <v>1.3574621537478192E-3</v>
      </c>
      <c r="H28" s="1125">
        <f>IF((GETPIVOTDATA("Total-New",'Distrib pivot table'!$C$2,"state","FL","group","2a1")/GETPIVOTDATA("Total-New",'Distrib pivot table'!$C$2,"state","FL"))=0,,IF(GETPIVOTDATA("Total-New",'Distrib pivot table'!$C$2,"state","FL","group","2a1")/GETPIVOTDATA("Total-New",'Distrib pivot table'!$C$2,"state","FL")&gt;0.0005,GETPIVOTDATA("Total-New",'Distrib pivot table'!$C$2,"state","FL","group","2a1")/GETPIVOTDATA("Total-New",'Distrib pivot table'!$C$2,"state","FL"),"*"))</f>
        <v>1.1335517993845297E-3</v>
      </c>
      <c r="I28" s="1125">
        <f>IF((GETPIVOTDATA("Total-New",'Distrib pivot table'!$C$2,"state","GA","group","2a1")/GETPIVOTDATA("Total-New",'Distrib pivot table'!$C$2,"state","GA"))=0,,IF(GETPIVOTDATA("Total-New",'Distrib pivot table'!$C$2,"state","GA","group","2a1")/GETPIVOTDATA("Total-New",'Distrib pivot table'!$C$2,"state","GA")&gt;0.0005,GETPIVOTDATA("Total-New",'Distrib pivot table'!$C$2,"state","GA","group","2a1")/GETPIVOTDATA("Total-New",'Distrib pivot table'!$C$2,"state","GA"),"*"))</f>
        <v>6.0822808929830571E-3</v>
      </c>
      <c r="J28" s="1125">
        <f>IF((GETPIVOTDATA("Total-New",'Distrib pivot table'!$C$2,"state","KY","group","2a1")/GETPIVOTDATA("Total-New",'Distrib pivot table'!$C$2,"state","KY"))=0,,IF(GETPIVOTDATA("Total-New",'Distrib pivot table'!$C$2,"state","KY","group","2a1")/GETPIVOTDATA("Total-New",'Distrib pivot table'!$C$2,"state","KY")&gt;0.0005,GETPIVOTDATA("Total-New",'Distrib pivot table'!$C$2,"state","KY","group","2a1")/GETPIVOTDATA("Total-New",'Distrib pivot table'!$C$2,"state","KY"),"*"))</f>
        <v>2.2691881295036154E-3</v>
      </c>
      <c r="K28" s="1125">
        <f>IF((GETPIVOTDATA("Total-New",'Distrib pivot table'!$C$2,"state","LA","group","2a1")/GETPIVOTDATA("Total-New",'Distrib pivot table'!$C$2,"state","LA"))=0,,IF(GETPIVOTDATA("Total-New",'Distrib pivot table'!$C$2,"state","LA","group","2a1")/GETPIVOTDATA("Total-New",'Distrib pivot table'!$C$2,"state","LA")&gt;0.0005,GETPIVOTDATA("Total-New",'Distrib pivot table'!$C$2,"state","LA","group","2a1")/GETPIVOTDATA("Total-New",'Distrib pivot table'!$C$2,"state","LA"),"*"))</f>
        <v>1.2772296285073004E-2</v>
      </c>
      <c r="L28" s="1125">
        <f>IF((GETPIVOTDATA("Total-New",'Distrib pivot table'!$C$2,"state","MD","group","2a1")/GETPIVOTDATA("Total-New",'Distrib pivot table'!$C$2,"state","MD"))=0,,IF(GETPIVOTDATA("Total-New",'Distrib pivot table'!$C$2,"state","MD","group","2a1")/GETPIVOTDATA("Total-New",'Distrib pivot table'!$C$2,"state","MD")&gt;0.0005,GETPIVOTDATA("Total-New",'Distrib pivot table'!$C$2,"state","MD","group","2a1")/GETPIVOTDATA("Total-New",'Distrib pivot table'!$C$2,"state","MD"),"*"))</f>
        <v>4.430640288565847E-3</v>
      </c>
      <c r="M28" s="1125">
        <f>IF((GETPIVOTDATA("Total-New",'Distrib pivot table'!$C$2,"state","MS","group","2a1")/GETPIVOTDATA("Total-New",'Distrib pivot table'!$C$2,"state","MS"))=0,,IF(GETPIVOTDATA("Total-New",'Distrib pivot table'!$C$2,"state","MS","group","2a1")/GETPIVOTDATA("Total-New",'Distrib pivot table'!$C$2,"state","MS")&gt;0.0005,GETPIVOTDATA("Total-New",'Distrib pivot table'!$C$2,"state","MS","group","2a1")/GETPIVOTDATA("Total-New",'Distrib pivot table'!$C$2,"state","MS"),"*"))</f>
        <v>4.2818222897917221E-3</v>
      </c>
      <c r="N28" s="1125">
        <f>IF((GETPIVOTDATA("Total-New",'Distrib pivot table'!$C$2,"state","NC","group","2a1")/GETPIVOTDATA("Total-New",'Distrib pivot table'!$C$2,"state","NC"))=0,,IF(GETPIVOTDATA("Total-New",'Distrib pivot table'!$C$2,"state","NC","group","2a1")/GETPIVOTDATA("Total-New",'Distrib pivot table'!$C$2,"state","NC")&gt;0.0005,GETPIVOTDATA("Total-New",'Distrib pivot table'!$C$2,"state","NC","group","2a1")/GETPIVOTDATA("Total-New",'Distrib pivot table'!$C$2,"state","NC"),"*"))</f>
        <v>7.8907194607371889E-3</v>
      </c>
      <c r="O28" s="1125">
        <f>IF((GETPIVOTDATA("Total-New",'Distrib pivot table'!$C$2,"state","OK","group","2a1")/GETPIVOTDATA("Total-New",'Distrib pivot table'!$C$2,"state","OK"))=0,,IF(GETPIVOTDATA("Total-New",'Distrib pivot table'!$C$2,"state","OK","group","2a1")/GETPIVOTDATA("Total-New",'Distrib pivot table'!$C$2,"state","OK")&gt;0.0005,GETPIVOTDATA("Total-New",'Distrib pivot table'!$C$2,"state","OK","group","2a1")/GETPIVOTDATA("Total-New",'Distrib pivot table'!$C$2,"state","OK"),"*"))</f>
        <v>5.2888674603149711E-3</v>
      </c>
      <c r="P28" s="1125">
        <f>IF((GETPIVOTDATA("Total-New",'Distrib pivot table'!$C$2,"state","SC","group","2a1")/GETPIVOTDATA("Total-New",'Distrib pivot table'!$C$2,"state","SC"))=0,,IF(GETPIVOTDATA("Total-New",'Distrib pivot table'!$C$2,"state","SC","group","2a1")/GETPIVOTDATA("Total-New",'Distrib pivot table'!$C$2,"state","SC")&gt;0.0005,GETPIVOTDATA("Total-New",'Distrib pivot table'!$C$2,"state","SC","group","2a1")/GETPIVOTDATA("Total-New",'Distrib pivot table'!$C$2,"state","SC"),"*"))</f>
        <v>1.7806794765658014E-3</v>
      </c>
      <c r="Q28" s="1125">
        <f>IF((GETPIVOTDATA("Total-New",'Distrib pivot table'!$C$2,"state","TN","group","2a1")/GETPIVOTDATA("Total-New",'Distrib pivot table'!$C$2,"state","TN"))=0,,IF(GETPIVOTDATA("Total-New",'Distrib pivot table'!$C$2,"state","TN","group","2a1")/GETPIVOTDATA("Total-New",'Distrib pivot table'!$C$2,"state","TN")&gt;0.0005,GETPIVOTDATA("Total-New",'Distrib pivot table'!$C$2,"state","TN","group","2a1")/GETPIVOTDATA("Total-New",'Distrib pivot table'!$C$2,"state","TN"),"*"))</f>
        <v>4.4410867793865357E-3</v>
      </c>
      <c r="R28" s="1125">
        <f>IF((GETPIVOTDATA("Total-New",'Distrib pivot table'!$C$2,"state","TX","group","2a1")/GETPIVOTDATA("Total-New",'Distrib pivot table'!$C$2,"state","TX"))=0,,IF(GETPIVOTDATA("Total-New",'Distrib pivot table'!$C$2,"state","TX","group","2a1")/GETPIVOTDATA("Total-New",'Distrib pivot table'!$C$2,"state","TX")&gt;0.0005,GETPIVOTDATA("Total-New",'Distrib pivot table'!$C$2,"state","TX","group","2a1")/GETPIVOTDATA("Total-New",'Distrib pivot table'!$C$2,"state","TX"),"*"))</f>
        <v>3.6869823250312069E-3</v>
      </c>
      <c r="S28" s="1125">
        <f>IF((GETPIVOTDATA("Total-New",'Distrib pivot table'!$C$2,"state","VA","group","2a1")/GETPIVOTDATA("Total-New",'Distrib pivot table'!$C$2,"state","VA"))=0,,IF(GETPIVOTDATA("Total-New",'Distrib pivot table'!$C$2,"state","VA","group","2a1")/GETPIVOTDATA("Total-New",'Distrib pivot table'!$C$2,"state","VA")&gt;0.0005,GETPIVOTDATA("Total-New",'Distrib pivot table'!$C$2,"state","VA","group","2a1")/GETPIVOTDATA("Total-New",'Distrib pivot table'!$C$2,"state","VA"),"*"))</f>
        <v>1.0550645144993308E-3</v>
      </c>
      <c r="T28" s="1125">
        <f>IF((GETPIVOTDATA("Total-New",'Distrib pivot table'!$C$2,"state","WV","group","2a1")/GETPIVOTDATA("Total-New",'Distrib pivot table'!$C$2,"state","WV"))=0,,IF(GETPIVOTDATA("Total-New",'Distrib pivot table'!$C$2,"state","WV","group","2a1")/GETPIVOTDATA("Total-New",'Distrib pivot table'!$C$2,"state","WV")&gt;0.0005,GETPIVOTDATA("Total-New",'Distrib pivot table'!$C$2,"state","WV","group","2a1")/GETPIVOTDATA("Total-New",'Distrib pivot table'!$C$2,"state","WV"),"*"))</f>
        <v>4.1782622643914014E-3</v>
      </c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</row>
    <row r="29" spans="1:50" ht="12.6" customHeight="1">
      <c r="A29" s="1172"/>
      <c r="B29" s="128" t="s">
        <v>956</v>
      </c>
      <c r="C29" s="817" t="s">
        <v>1796</v>
      </c>
      <c r="D29" s="1125">
        <f>IF(GETPIVOTDATA("Total-New",'Distrib pivot table'!$C$2,"group","2a2")/GETPIVOTDATA("Total-New",'Distrib pivot table'!$C$2)=0,,IF(GETPIVOTDATA("Total-New",'Distrib pivot table'!$C$2,"group","2a2")/GETPIVOTDATA("Total-New",'Distrib pivot table'!$C$2)&gt;0.0005,GETPIVOTDATA("Total-New",'Distrib pivot table'!$C$2,"group","2a2")/GETPIVOTDATA("Total-New",'Distrib pivot table'!$C$2),"*"))</f>
        <v>2.527928760589816E-3</v>
      </c>
      <c r="E29" s="1125">
        <f>IF((GETPIVOTDATA("Total-New",'Distrib pivot table'!$C$2,"state","AL","group","2a2")/GETPIVOTDATA("Total-New",'Distrib pivot table'!$C$2,"state","AL"))=0,,IF(GETPIVOTDATA("Total-New",'Distrib pivot table'!$C$2,"state","AL","group","2a2")/GETPIVOTDATA("Total-New",'Distrib pivot table'!$C$2,"state","AL")&gt;0.0005,GETPIVOTDATA("Total-New",'Distrib pivot table'!$C$2,"state","AL","group","2a2")/GETPIVOTDATA("Total-New",'Distrib pivot table'!$C$2,"state","AL"),"*"))</f>
        <v>2.1905193745012422E-3</v>
      </c>
      <c r="F29" s="1125">
        <f>IF((GETPIVOTDATA("Total-New",'Distrib pivot table'!$C$2,"state","AR","group","2a2")/GETPIVOTDATA("Total-New",'Distrib pivot table'!$C$2,"state","AR"))=0,,IF(GETPIVOTDATA("Total-New",'Distrib pivot table'!$C$2,"state","AR","group","2a2")/GETPIVOTDATA("Total-New",'Distrib pivot table'!$C$2,"state","AR")&gt;0.0005,GETPIVOTDATA("Total-New",'Distrib pivot table'!$C$2,"state","AR","group","2a2")/GETPIVOTDATA("Total-New",'Distrib pivot table'!$C$2,"state","AR"),"*"))</f>
        <v>0</v>
      </c>
      <c r="G29" s="1125">
        <f>IF((GETPIVOTDATA("Total-New",'Distrib pivot table'!$C$2,"state","DE","group","2a2")/GETPIVOTDATA("Total-New",'Distrib pivot table'!$C$2,"state","DE"))=0,,IF(GETPIVOTDATA("Total-New",'Distrib pivot table'!$C$2,"state","DE","group","2a2")/GETPIVOTDATA("Total-New",'Distrib pivot table'!$C$2,"state","DE")&gt;0.0005,GETPIVOTDATA("Total-New",'Distrib pivot table'!$C$2,"state","DE","group","2a2")/GETPIVOTDATA("Total-New",'Distrib pivot table'!$C$2,"state","DE"),"*"))</f>
        <v>1.47096424139312E-2</v>
      </c>
      <c r="H29" s="1125" t="str">
        <f>IF((GETPIVOTDATA("Total-New",'Distrib pivot table'!$C$2,"state","FL","group","2a2")/GETPIVOTDATA("Total-New",'Distrib pivot table'!$C$2,"state","FL"))=0,,IF(GETPIVOTDATA("Total-New",'Distrib pivot table'!$C$2,"state","FL","group","2a2")/GETPIVOTDATA("Total-New",'Distrib pivot table'!$C$2,"state","FL")&gt;0.0005,GETPIVOTDATA("Total-New",'Distrib pivot table'!$C$2,"state","FL","group","2a2")/GETPIVOTDATA("Total-New",'Distrib pivot table'!$C$2,"state","FL"),"*"))</f>
        <v>*</v>
      </c>
      <c r="I29" s="1125">
        <f>IF((GETPIVOTDATA("Total-New",'Distrib pivot table'!$C$2,"state","GA","group","2a2")/GETPIVOTDATA("Total-New",'Distrib pivot table'!$C$2,"state","GA"))=0,,IF(GETPIVOTDATA("Total-New",'Distrib pivot table'!$C$2,"state","GA","group","2a2")/GETPIVOTDATA("Total-New",'Distrib pivot table'!$C$2,"state","GA")&gt;0.0005,GETPIVOTDATA("Total-New",'Distrib pivot table'!$C$2,"state","GA","group","2a2")/GETPIVOTDATA("Total-New",'Distrib pivot table'!$C$2,"state","GA"),"*"))</f>
        <v>3.3949050552564853E-3</v>
      </c>
      <c r="J29" s="1125">
        <f>IF((GETPIVOTDATA("Total-New",'Distrib pivot table'!$C$2,"state","KY","group","2a2")/GETPIVOTDATA("Total-New",'Distrib pivot table'!$C$2,"state","KY"))=0,,IF(GETPIVOTDATA("Total-New",'Distrib pivot table'!$C$2,"state","KY","group","2a2")/GETPIVOTDATA("Total-New",'Distrib pivot table'!$C$2,"state","KY")&gt;0.0005,GETPIVOTDATA("Total-New",'Distrib pivot table'!$C$2,"state","KY","group","2a2")/GETPIVOTDATA("Total-New",'Distrib pivot table'!$C$2,"state","KY"),"*"))</f>
        <v>6.4983693266761917E-3</v>
      </c>
      <c r="K29" s="1125">
        <f>IF((GETPIVOTDATA("Total-New",'Distrib pivot table'!$C$2,"state","LA","group","2a2")/GETPIVOTDATA("Total-New",'Distrib pivot table'!$C$2,"state","LA"))=0,,IF(GETPIVOTDATA("Total-New",'Distrib pivot table'!$C$2,"state","LA","group","2a2")/GETPIVOTDATA("Total-New",'Distrib pivot table'!$C$2,"state","LA")&gt;0.0005,GETPIVOTDATA("Total-New",'Distrib pivot table'!$C$2,"state","LA","group","2a2")/GETPIVOTDATA("Total-New",'Distrib pivot table'!$C$2,"state","LA"),"*"))</f>
        <v>6.1919935108948306E-3</v>
      </c>
      <c r="L29" s="1125">
        <f>IF((GETPIVOTDATA("Total-New",'Distrib pivot table'!$C$2,"state","MD","group","2a2")/GETPIVOTDATA("Total-New",'Distrib pivot table'!$C$2,"state","MD"))=0,,IF(GETPIVOTDATA("Total-New",'Distrib pivot table'!$C$2,"state","MD","group","2a2")/GETPIVOTDATA("Total-New",'Distrib pivot table'!$C$2,"state","MD")&gt;0.0005,GETPIVOTDATA("Total-New",'Distrib pivot table'!$C$2,"state","MD","group","2a2")/GETPIVOTDATA("Total-New",'Distrib pivot table'!$C$2,"state","MD"),"*"))</f>
        <v>0</v>
      </c>
      <c r="M29" s="1125">
        <f>IF((GETPIVOTDATA("Total-New",'Distrib pivot table'!$C$2,"state","MS","group","2a2")/GETPIVOTDATA("Total-New",'Distrib pivot table'!$C$2,"state","MS"))=0,,IF(GETPIVOTDATA("Total-New",'Distrib pivot table'!$C$2,"state","MS","group","2a2")/GETPIVOTDATA("Total-New",'Distrib pivot table'!$C$2,"state","MS")&gt;0.0005,GETPIVOTDATA("Total-New",'Distrib pivot table'!$C$2,"state","MS","group","2a2")/GETPIVOTDATA("Total-New",'Distrib pivot table'!$C$2,"state","MS"),"*"))</f>
        <v>1.4587860064898682E-3</v>
      </c>
      <c r="N29" s="1125">
        <f>IF((GETPIVOTDATA("Total-New",'Distrib pivot table'!$C$2,"state","NC","group","2a2")/GETPIVOTDATA("Total-New",'Distrib pivot table'!$C$2,"state","NC"))=0,,IF(GETPIVOTDATA("Total-New",'Distrib pivot table'!$C$2,"state","NC","group","2a2")/GETPIVOTDATA("Total-New",'Distrib pivot table'!$C$2,"state","NC")&gt;0.0005,GETPIVOTDATA("Total-New",'Distrib pivot table'!$C$2,"state","NC","group","2a2")/GETPIVOTDATA("Total-New",'Distrib pivot table'!$C$2,"state","NC"),"*"))</f>
        <v>5.3632618700196677E-3</v>
      </c>
      <c r="O29" s="1125">
        <f>IF((GETPIVOTDATA("Total-New",'Distrib pivot table'!$C$2,"state","OK","group","2a2")/GETPIVOTDATA("Total-New",'Distrib pivot table'!$C$2,"state","OK"))=0,,IF(GETPIVOTDATA("Total-New",'Distrib pivot table'!$C$2,"state","OK","group","2a2")/GETPIVOTDATA("Total-New",'Distrib pivot table'!$C$2,"state","OK")&gt;0.0005,GETPIVOTDATA("Total-New",'Distrib pivot table'!$C$2,"state","OK","group","2a2")/GETPIVOTDATA("Total-New",'Distrib pivot table'!$C$2,"state","OK"),"*"))</f>
        <v>0</v>
      </c>
      <c r="P29" s="1125">
        <f>IF((GETPIVOTDATA("Total-New",'Distrib pivot table'!$C$2,"state","SC","group","2a2")/GETPIVOTDATA("Total-New",'Distrib pivot table'!$C$2,"state","SC"))=0,,IF(GETPIVOTDATA("Total-New",'Distrib pivot table'!$C$2,"state","SC","group","2a2")/GETPIVOTDATA("Total-New",'Distrib pivot table'!$C$2,"state","SC")&gt;0.0005,GETPIVOTDATA("Total-New",'Distrib pivot table'!$C$2,"state","SC","group","2a2")/GETPIVOTDATA("Total-New",'Distrib pivot table'!$C$2,"state","SC"),"*"))</f>
        <v>5.8694720292654509E-3</v>
      </c>
      <c r="Q29" s="1125">
        <f>IF((GETPIVOTDATA("Total-New",'Distrib pivot table'!$C$2,"state","TN","group","2a2")/GETPIVOTDATA("Total-New",'Distrib pivot table'!$C$2,"state","TN"))=0,,IF(GETPIVOTDATA("Total-New",'Distrib pivot table'!$C$2,"state","TN","group","2a2")/GETPIVOTDATA("Total-New",'Distrib pivot table'!$C$2,"state","TN")&gt;0.0005,GETPIVOTDATA("Total-New",'Distrib pivot table'!$C$2,"state","TN","group","2a2")/GETPIVOTDATA("Total-New",'Distrib pivot table'!$C$2,"state","TN"),"*"))</f>
        <v>0</v>
      </c>
      <c r="R29" s="1125">
        <f>IF((GETPIVOTDATA("Total-New",'Distrib pivot table'!$C$2,"state","TX","group","2a2")/GETPIVOTDATA("Total-New",'Distrib pivot table'!$C$2,"state","TX"))=0,,IF(GETPIVOTDATA("Total-New",'Distrib pivot table'!$C$2,"state","TX","group","2a2")/GETPIVOTDATA("Total-New",'Distrib pivot table'!$C$2,"state","TX")&gt;0.0005,GETPIVOTDATA("Total-New",'Distrib pivot table'!$C$2,"state","TX","group","2a2")/GETPIVOTDATA("Total-New",'Distrib pivot table'!$C$2,"state","TX"),"*"))</f>
        <v>9.3310167514783866E-4</v>
      </c>
      <c r="S29" s="1125">
        <f>IF((GETPIVOTDATA("Total-New",'Distrib pivot table'!$C$2,"state","VA","group","2a2")/GETPIVOTDATA("Total-New",'Distrib pivot table'!$C$2,"state","VA"))=0,,IF(GETPIVOTDATA("Total-New",'Distrib pivot table'!$C$2,"state","VA","group","2a2")/GETPIVOTDATA("Total-New",'Distrib pivot table'!$C$2,"state","VA")&gt;0.0005,GETPIVOTDATA("Total-New",'Distrib pivot table'!$C$2,"state","VA","group","2a2")/GETPIVOTDATA("Total-New",'Distrib pivot table'!$C$2,"state","VA"),"*"))</f>
        <v>4.2140869708675492E-3</v>
      </c>
      <c r="T29" s="1125">
        <f>IF((GETPIVOTDATA("Total-New",'Distrib pivot table'!$C$2,"state","WV","group","2a2")/GETPIVOTDATA("Total-New",'Distrib pivot table'!$C$2,"state","WV"))=0,,IF(GETPIVOTDATA("Total-New",'Distrib pivot table'!$C$2,"state","WV","group","2a2")/GETPIVOTDATA("Total-New",'Distrib pivot table'!$C$2,"state","WV")&gt;0.0005,GETPIVOTDATA("Total-New",'Distrib pivot table'!$C$2,"state","WV","group","2a2")/GETPIVOTDATA("Total-New",'Distrib pivot table'!$C$2,"state","WV"),"*"))</f>
        <v>8.5953645780008489E-4</v>
      </c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</row>
    <row r="30" spans="1:50" ht="24">
      <c r="A30" s="1172"/>
      <c r="B30" s="131" t="s">
        <v>955</v>
      </c>
      <c r="C30" s="817" t="s">
        <v>1797</v>
      </c>
      <c r="D30" s="1125" t="str">
        <f>IF(GETPIVOTDATA("Total-New",'Distrib pivot table'!$C$2,"group","2a3")/GETPIVOTDATA("Total-New",'Distrib pivot table'!$C$2)=0,,IF(GETPIVOTDATA("Total-New",'Distrib pivot table'!$C$2,"group","2a3")/GETPIVOTDATA("Total-New",'Distrib pivot table'!$C$2)&gt;0.0005,GETPIVOTDATA("Total-New",'Distrib pivot table'!$C$2,"group","2a3")/GETPIVOTDATA("Total-New",'Distrib pivot table'!$C$2),"*"))</f>
        <v>*</v>
      </c>
      <c r="E30" s="1125" t="str">
        <f>IF((GETPIVOTDATA("Total-New",'Distrib pivot table'!$C$2,"state","AL","group","2a3")/GETPIVOTDATA("Total-New",'Distrib pivot table'!$C$2,"state","AL"))=0,,IF(GETPIVOTDATA("Total-New",'Distrib pivot table'!$C$2,"state","AL","group","2a3")/GETPIVOTDATA("Total-New",'Distrib pivot table'!$C$2,"state","AL")&gt;0.0005,GETPIVOTDATA("Total-New",'Distrib pivot table'!$C$2,"state","AL","group","2a3")/GETPIVOTDATA("Total-New",'Distrib pivot table'!$C$2,"state","AL"),"*"))</f>
        <v>*</v>
      </c>
      <c r="F30" s="1125">
        <f>IF((GETPIVOTDATA("Total-New",'Distrib pivot table'!$C$2,"state","AR","group","2a3")/GETPIVOTDATA("Total-New",'Distrib pivot table'!$C$2,"state","AR"))=0,,IF(GETPIVOTDATA("Total-New",'Distrib pivot table'!$C$2,"state","AR","group","2a3")/GETPIVOTDATA("Total-New",'Distrib pivot table'!$C$2,"state","AR")&gt;0.0005,GETPIVOTDATA("Total-New",'Distrib pivot table'!$C$2,"state","AR","group","2a3")/GETPIVOTDATA("Total-New",'Distrib pivot table'!$C$2,"state","AR"),"*"))</f>
        <v>0</v>
      </c>
      <c r="G30" s="1125" t="str">
        <f>IF((GETPIVOTDATA("Total-New",'Distrib pivot table'!$C$2,"state","DE","group","2a3")/GETPIVOTDATA("Total-New",'Distrib pivot table'!$C$2,"state","DE"))=0,,IF(GETPIVOTDATA("Total-New",'Distrib pivot table'!$C$2,"state","DE","group","2a3")/GETPIVOTDATA("Total-New",'Distrib pivot table'!$C$2,"state","DE")&gt;0.0005,GETPIVOTDATA("Total-New",'Distrib pivot table'!$C$2,"state","DE","group","2a3")/GETPIVOTDATA("Total-New",'Distrib pivot table'!$C$2,"state","DE"),"*"))</f>
        <v>*</v>
      </c>
      <c r="H30" s="1125" t="str">
        <f>IF((GETPIVOTDATA("Total-New",'Distrib pivot table'!$C$2,"state","FL","group","2a3")/GETPIVOTDATA("Total-New",'Distrib pivot table'!$C$2,"state","FL"))=0,,IF(GETPIVOTDATA("Total-New",'Distrib pivot table'!$C$2,"state","FL","group","2a3")/GETPIVOTDATA("Total-New",'Distrib pivot table'!$C$2,"state","FL")&gt;0.0005,GETPIVOTDATA("Total-New",'Distrib pivot table'!$C$2,"state","FL","group","2a3")/GETPIVOTDATA("Total-New",'Distrib pivot table'!$C$2,"state","FL"),"*"))</f>
        <v>*</v>
      </c>
      <c r="I30" s="1125" t="str">
        <f>IF((GETPIVOTDATA("Total-New",'Distrib pivot table'!$C$2,"state","GA","group","2a3")/GETPIVOTDATA("Total-New",'Distrib pivot table'!$C$2,"state","GA"))=0,,IF(GETPIVOTDATA("Total-New",'Distrib pivot table'!$C$2,"state","GA","group","2a3")/GETPIVOTDATA("Total-New",'Distrib pivot table'!$C$2,"state","GA")&gt;0.0005,GETPIVOTDATA("Total-New",'Distrib pivot table'!$C$2,"state","GA","group","2a3")/GETPIVOTDATA("Total-New",'Distrib pivot table'!$C$2,"state","GA"),"*"))</f>
        <v>*</v>
      </c>
      <c r="J30" s="1125" t="str">
        <f>IF((GETPIVOTDATA("Total-New",'Distrib pivot table'!$C$2,"state","KY","group","2a3")/GETPIVOTDATA("Total-New",'Distrib pivot table'!$C$2,"state","KY"))=0,,IF(GETPIVOTDATA("Total-New",'Distrib pivot table'!$C$2,"state","KY","group","2a3")/GETPIVOTDATA("Total-New",'Distrib pivot table'!$C$2,"state","KY")&gt;0.0005,GETPIVOTDATA("Total-New",'Distrib pivot table'!$C$2,"state","KY","group","2a3")/GETPIVOTDATA("Total-New",'Distrib pivot table'!$C$2,"state","KY"),"*"))</f>
        <v>*</v>
      </c>
      <c r="K30" s="1125">
        <f>IF((GETPIVOTDATA("Total-New",'Distrib pivot table'!$C$2,"state","LA","group","2a3")/GETPIVOTDATA("Total-New",'Distrib pivot table'!$C$2,"state","LA"))=0,,IF(GETPIVOTDATA("Total-New",'Distrib pivot table'!$C$2,"state","LA","group","2a3")/GETPIVOTDATA("Total-New",'Distrib pivot table'!$C$2,"state","LA")&gt;0.0005,GETPIVOTDATA("Total-New",'Distrib pivot table'!$C$2,"state","LA","group","2a3")/GETPIVOTDATA("Total-New",'Distrib pivot table'!$C$2,"state","LA"),"*"))</f>
        <v>0</v>
      </c>
      <c r="L30" s="1125" t="str">
        <f>IF((GETPIVOTDATA("Total-New",'Distrib pivot table'!$C$2,"state","MD","group","2a3")/GETPIVOTDATA("Total-New",'Distrib pivot table'!$C$2,"state","MD"))=0,,IF(GETPIVOTDATA("Total-New",'Distrib pivot table'!$C$2,"state","MD","group","2a3")/GETPIVOTDATA("Total-New",'Distrib pivot table'!$C$2,"state","MD")&gt;0.0005,GETPIVOTDATA("Total-New",'Distrib pivot table'!$C$2,"state","MD","group","2a3")/GETPIVOTDATA("Total-New",'Distrib pivot table'!$C$2,"state","MD"),"*"))</f>
        <v>*</v>
      </c>
      <c r="M30" s="1125">
        <f>IF((GETPIVOTDATA("Total-New",'Distrib pivot table'!$C$2,"state","MS","group","2a3")/GETPIVOTDATA("Total-New",'Distrib pivot table'!$C$2,"state","MS"))=0,,IF(GETPIVOTDATA("Total-New",'Distrib pivot table'!$C$2,"state","MS","group","2a3")/GETPIVOTDATA("Total-New",'Distrib pivot table'!$C$2,"state","MS")&gt;0.0005,GETPIVOTDATA("Total-New",'Distrib pivot table'!$C$2,"state","MS","group","2a3")/GETPIVOTDATA("Total-New",'Distrib pivot table'!$C$2,"state","MS"),"*"))</f>
        <v>0</v>
      </c>
      <c r="N30" s="1125" t="str">
        <f>IF((GETPIVOTDATA("Total-New",'Distrib pivot table'!$C$2,"state","NC","group","2a3")/GETPIVOTDATA("Total-New",'Distrib pivot table'!$C$2,"state","NC"))=0,,IF(GETPIVOTDATA("Total-New",'Distrib pivot table'!$C$2,"state","NC","group","2a3")/GETPIVOTDATA("Total-New",'Distrib pivot table'!$C$2,"state","NC")&gt;0.0005,GETPIVOTDATA("Total-New",'Distrib pivot table'!$C$2,"state","NC","group","2a3")/GETPIVOTDATA("Total-New",'Distrib pivot table'!$C$2,"state","NC"),"*"))</f>
        <v>*</v>
      </c>
      <c r="O30" s="1125">
        <f>IF((GETPIVOTDATA("Total-New",'Distrib pivot table'!$C$2,"state","OK","group","2a3")/GETPIVOTDATA("Total-New",'Distrib pivot table'!$C$2,"state","OK"))=0,,IF(GETPIVOTDATA("Total-New",'Distrib pivot table'!$C$2,"state","OK","group","2a3")/GETPIVOTDATA("Total-New",'Distrib pivot table'!$C$2,"state","OK")&gt;0.0005,GETPIVOTDATA("Total-New",'Distrib pivot table'!$C$2,"state","OK","group","2a3")/GETPIVOTDATA("Total-New",'Distrib pivot table'!$C$2,"state","OK"),"*"))</f>
        <v>0</v>
      </c>
      <c r="P30" s="1125" t="str">
        <f>IF((GETPIVOTDATA("Total-New",'Distrib pivot table'!$C$2,"state","SC","group","2a3")/GETPIVOTDATA("Total-New",'Distrib pivot table'!$C$2,"state","SC"))=0,,IF(GETPIVOTDATA("Total-New",'Distrib pivot table'!$C$2,"state","SC","group","2a3")/GETPIVOTDATA("Total-New",'Distrib pivot table'!$C$2,"state","SC")&gt;0.0005,GETPIVOTDATA("Total-New",'Distrib pivot table'!$C$2,"state","SC","group","2a3")/GETPIVOTDATA("Total-New",'Distrib pivot table'!$C$2,"state","SC"),"*"))</f>
        <v>*</v>
      </c>
      <c r="Q30" s="1125">
        <f>IF((GETPIVOTDATA("Total-New",'Distrib pivot table'!$C$2,"state","TN","group","2a3")/GETPIVOTDATA("Total-New",'Distrib pivot table'!$C$2,"state","TN"))=0,,IF(GETPIVOTDATA("Total-New",'Distrib pivot table'!$C$2,"state","TN","group","2a3")/GETPIVOTDATA("Total-New",'Distrib pivot table'!$C$2,"state","TN")&gt;0.0005,GETPIVOTDATA("Total-New",'Distrib pivot table'!$C$2,"state","TN","group","2a3")/GETPIVOTDATA("Total-New",'Distrib pivot table'!$C$2,"state","TN"),"*"))</f>
        <v>0</v>
      </c>
      <c r="R30" s="1125">
        <f>IF((GETPIVOTDATA("Total-New",'Distrib pivot table'!$C$2,"state","TX","group","2a3")/GETPIVOTDATA("Total-New",'Distrib pivot table'!$C$2,"state","TX"))=0,,IF(GETPIVOTDATA("Total-New",'Distrib pivot table'!$C$2,"state","TX","group","2a3")/GETPIVOTDATA("Total-New",'Distrib pivot table'!$C$2,"state","TX")&gt;0.0005,GETPIVOTDATA("Total-New",'Distrib pivot table'!$C$2,"state","TX","group","2a3")/GETPIVOTDATA("Total-New",'Distrib pivot table'!$C$2,"state","TX"),"*"))</f>
        <v>0</v>
      </c>
      <c r="S30" s="1125">
        <f>IF((GETPIVOTDATA("Total-New",'Distrib pivot table'!$C$2,"state","VA","group","2a3")/GETPIVOTDATA("Total-New",'Distrib pivot table'!$C$2,"state","VA"))=0,,IF(GETPIVOTDATA("Total-New",'Distrib pivot table'!$C$2,"state","VA","group","2a3")/GETPIVOTDATA("Total-New",'Distrib pivot table'!$C$2,"state","VA")&gt;0.0005,GETPIVOTDATA("Total-New",'Distrib pivot table'!$C$2,"state","VA","group","2a3")/GETPIVOTDATA("Total-New",'Distrib pivot table'!$C$2,"state","VA"),"*"))</f>
        <v>0</v>
      </c>
      <c r="T30" s="1125">
        <f>IF((GETPIVOTDATA("Total-New",'Distrib pivot table'!$C$2,"state","WV","group","2a3")/GETPIVOTDATA("Total-New",'Distrib pivot table'!$C$2,"state","WV"))=0,,IF(GETPIVOTDATA("Total-New",'Distrib pivot table'!$C$2,"state","WV","group","2a3")/GETPIVOTDATA("Total-New",'Distrib pivot table'!$C$2,"state","WV")&gt;0.0005,GETPIVOTDATA("Total-New",'Distrib pivot table'!$C$2,"state","WV","group","2a3")/GETPIVOTDATA("Total-New",'Distrib pivot table'!$C$2,"state","WV"),"*"))</f>
        <v>0</v>
      </c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spans="1:50" ht="36">
      <c r="A31" s="1172"/>
      <c r="B31" s="131" t="s">
        <v>1269</v>
      </c>
      <c r="C31" s="817" t="s">
        <v>1798</v>
      </c>
      <c r="D31" s="1125" t="str">
        <f>IF(GETPIVOTDATA("Total-New",'Distrib pivot table'!$C$2,"group","2a4")/GETPIVOTDATA("Total-New",'Distrib pivot table'!$C$2)=0,,IF(GETPIVOTDATA("Total-New",'Distrib pivot table'!$C$2,"group","2a4")/GETPIVOTDATA("Total-New",'Distrib pivot table'!$C$2)&gt;0.0005,GETPIVOTDATA("Total-New",'Distrib pivot table'!$C$2,"group","2a4")/GETPIVOTDATA("Total-New",'Distrib pivot table'!$C$2),"*"))</f>
        <v>*</v>
      </c>
      <c r="E31" s="1125" t="str">
        <f>IF((GETPIVOTDATA("Total-New",'Distrib pivot table'!$C$2,"state","AL","group","2a4")/GETPIVOTDATA("Total-New",'Distrib pivot table'!$C$2,"state","AL"))=0,,IF(GETPIVOTDATA("Total-New",'Distrib pivot table'!$C$2,"state","AL","group","2a4")/GETPIVOTDATA("Total-New",'Distrib pivot table'!$C$2,"state","AL")&gt;0.0005,GETPIVOTDATA("Total-New",'Distrib pivot table'!$C$2,"state","AL","group","2a4")/GETPIVOTDATA("Total-New",'Distrib pivot table'!$C$2,"state","AL"),"*"))</f>
        <v>*</v>
      </c>
      <c r="F31" s="1125">
        <f>IF((GETPIVOTDATA("Total-New",'Distrib pivot table'!$C$2,"state","AR","group","2a4")/GETPIVOTDATA("Total-New",'Distrib pivot table'!$C$2,"state","AR"))=0,,IF(GETPIVOTDATA("Total-New",'Distrib pivot table'!$C$2,"state","AR","group","2a4")/GETPIVOTDATA("Total-New",'Distrib pivot table'!$C$2,"state","AR")&gt;0.0005,GETPIVOTDATA("Total-New",'Distrib pivot table'!$C$2,"state","AR","group","2a4")/GETPIVOTDATA("Total-New",'Distrib pivot table'!$C$2,"state","AR"),"*"))</f>
        <v>0</v>
      </c>
      <c r="G31" s="1125">
        <f>IF((GETPIVOTDATA("Total-New",'Distrib pivot table'!$C$2,"state","DE","group","2a4")/GETPIVOTDATA("Total-New",'Distrib pivot table'!$C$2,"state","DE"))=0,,IF(GETPIVOTDATA("Total-New",'Distrib pivot table'!$C$2,"state","DE","group","2a4")/GETPIVOTDATA("Total-New",'Distrib pivot table'!$C$2,"state","DE")&gt;0.0005,GETPIVOTDATA("Total-New",'Distrib pivot table'!$C$2,"state","DE","group","2a4")/GETPIVOTDATA("Total-New",'Distrib pivot table'!$C$2,"state","DE"),"*"))</f>
        <v>0</v>
      </c>
      <c r="H31" s="1125">
        <f>IF((GETPIVOTDATA("Total-New",'Distrib pivot table'!$C$2,"state","FL","group","2a4")/GETPIVOTDATA("Total-New",'Distrib pivot table'!$C$2,"state","FL"))=0,,IF(GETPIVOTDATA("Total-New",'Distrib pivot table'!$C$2,"state","FL","group","2a4")/GETPIVOTDATA("Total-New",'Distrib pivot table'!$C$2,"state","FL")&gt;0.0005,GETPIVOTDATA("Total-New",'Distrib pivot table'!$C$2,"state","FL","group","2a4")/GETPIVOTDATA("Total-New",'Distrib pivot table'!$C$2,"state","FL"),"*"))</f>
        <v>0</v>
      </c>
      <c r="I31" s="1125">
        <f>IF((GETPIVOTDATA("Total-New",'Distrib pivot table'!$C$2,"state","GA","group","2a4")/GETPIVOTDATA("Total-New",'Distrib pivot table'!$C$2,"state","GA"))=0,,IF(GETPIVOTDATA("Total-New",'Distrib pivot table'!$C$2,"state","GA","group","2a4")/GETPIVOTDATA("Total-New",'Distrib pivot table'!$C$2,"state","GA")&gt;0.0005,GETPIVOTDATA("Total-New",'Distrib pivot table'!$C$2,"state","GA","group","2a4")/GETPIVOTDATA("Total-New",'Distrib pivot table'!$C$2,"state","GA"),"*"))</f>
        <v>0</v>
      </c>
      <c r="J31" s="1125">
        <f>IF((GETPIVOTDATA("Total-New",'Distrib pivot table'!$C$2,"state","KY","group","2a4")/GETPIVOTDATA("Total-New",'Distrib pivot table'!$C$2,"state","KY"))=0,,IF(GETPIVOTDATA("Total-New",'Distrib pivot table'!$C$2,"state","KY","group","2a4")/GETPIVOTDATA("Total-New",'Distrib pivot table'!$C$2,"state","KY")&gt;0.0005,GETPIVOTDATA("Total-New",'Distrib pivot table'!$C$2,"state","KY","group","2a4")/GETPIVOTDATA("Total-New",'Distrib pivot table'!$C$2,"state","KY"),"*"))</f>
        <v>0</v>
      </c>
      <c r="K31" s="1125">
        <f>IF((GETPIVOTDATA("Total-New",'Distrib pivot table'!$C$2,"state","LA","group","2a4")/GETPIVOTDATA("Total-New",'Distrib pivot table'!$C$2,"state","LA"))=0,,IF(GETPIVOTDATA("Total-New",'Distrib pivot table'!$C$2,"state","LA","group","2a4")/GETPIVOTDATA("Total-New",'Distrib pivot table'!$C$2,"state","LA")&gt;0.0005,GETPIVOTDATA("Total-New",'Distrib pivot table'!$C$2,"state","LA","group","2a4")/GETPIVOTDATA("Total-New",'Distrib pivot table'!$C$2,"state","LA"),"*"))</f>
        <v>1.6154282715381218E-3</v>
      </c>
      <c r="L31" s="1125" t="str">
        <f>IF((GETPIVOTDATA("Total-New",'Distrib pivot table'!$C$2,"state","MD","group","2a4")/GETPIVOTDATA("Total-New",'Distrib pivot table'!$C$2,"state","MD"))=0,,IF(GETPIVOTDATA("Total-New",'Distrib pivot table'!$C$2,"state","MD","group","2a4")/GETPIVOTDATA("Total-New",'Distrib pivot table'!$C$2,"state","MD")&gt;0.0005,GETPIVOTDATA("Total-New",'Distrib pivot table'!$C$2,"state","MD","group","2a4")/GETPIVOTDATA("Total-New",'Distrib pivot table'!$C$2,"state","MD"),"*"))</f>
        <v>*</v>
      </c>
      <c r="M31" s="1125">
        <f>IF((GETPIVOTDATA("Total-New",'Distrib pivot table'!$C$2,"state","MS","group","2a4")/GETPIVOTDATA("Total-New",'Distrib pivot table'!$C$2,"state","MS"))=0,,IF(GETPIVOTDATA("Total-New",'Distrib pivot table'!$C$2,"state","MS","group","2a4")/GETPIVOTDATA("Total-New",'Distrib pivot table'!$C$2,"state","MS")&gt;0.0005,GETPIVOTDATA("Total-New",'Distrib pivot table'!$C$2,"state","MS","group","2a4")/GETPIVOTDATA("Total-New",'Distrib pivot table'!$C$2,"state","MS"),"*"))</f>
        <v>6.9884815968164244E-4</v>
      </c>
      <c r="N31" s="1125">
        <f>IF((GETPIVOTDATA("Total-New",'Distrib pivot table'!$C$2,"state","NC","group","2a4")/GETPIVOTDATA("Total-New",'Distrib pivot table'!$C$2,"state","NC"))=0,,IF(GETPIVOTDATA("Total-New",'Distrib pivot table'!$C$2,"state","NC","group","2a4")/GETPIVOTDATA("Total-New",'Distrib pivot table'!$C$2,"state","NC")&gt;0.0005,GETPIVOTDATA("Total-New",'Distrib pivot table'!$C$2,"state","NC","group","2a4")/GETPIVOTDATA("Total-New",'Distrib pivot table'!$C$2,"state","NC"),"*"))</f>
        <v>0</v>
      </c>
      <c r="O31" s="1125">
        <f>IF((GETPIVOTDATA("Total-New",'Distrib pivot table'!$C$2,"state","OK","group","2a4")/GETPIVOTDATA("Total-New",'Distrib pivot table'!$C$2,"state","OK"))=0,,IF(GETPIVOTDATA("Total-New",'Distrib pivot table'!$C$2,"state","OK","group","2a4")/GETPIVOTDATA("Total-New",'Distrib pivot table'!$C$2,"state","OK")&gt;0.0005,GETPIVOTDATA("Total-New",'Distrib pivot table'!$C$2,"state","OK","group","2a4")/GETPIVOTDATA("Total-New",'Distrib pivot table'!$C$2,"state","OK"),"*"))</f>
        <v>0</v>
      </c>
      <c r="P31" s="1125">
        <f>IF((GETPIVOTDATA("Total-New",'Distrib pivot table'!$C$2,"state","SC","group","2a4")/GETPIVOTDATA("Total-New",'Distrib pivot table'!$C$2,"state","SC"))=0,,IF(GETPIVOTDATA("Total-New",'Distrib pivot table'!$C$2,"state","SC","group","2a4")/GETPIVOTDATA("Total-New",'Distrib pivot table'!$C$2,"state","SC")&gt;0.0005,GETPIVOTDATA("Total-New",'Distrib pivot table'!$C$2,"state","SC","group","2a4")/GETPIVOTDATA("Total-New",'Distrib pivot table'!$C$2,"state","SC"),"*"))</f>
        <v>0</v>
      </c>
      <c r="Q31" s="1125">
        <f>IF((GETPIVOTDATA("Total-New",'Distrib pivot table'!$C$2,"state","TN","group","2a4")/GETPIVOTDATA("Total-New",'Distrib pivot table'!$C$2,"state","TN"))=0,,IF(GETPIVOTDATA("Total-New",'Distrib pivot table'!$C$2,"state","TN","group","2a4")/GETPIVOTDATA("Total-New",'Distrib pivot table'!$C$2,"state","TN")&gt;0.0005,GETPIVOTDATA("Total-New",'Distrib pivot table'!$C$2,"state","TN","group","2a4")/GETPIVOTDATA("Total-New",'Distrib pivot table'!$C$2,"state","TN"),"*"))</f>
        <v>5.526559289544175E-4</v>
      </c>
      <c r="R31" s="1125">
        <f>IF((GETPIVOTDATA("Total-New",'Distrib pivot table'!$C$2,"state","TX","group","2a4")/GETPIVOTDATA("Total-New",'Distrib pivot table'!$C$2,"state","TX"))=0,,IF(GETPIVOTDATA("Total-New",'Distrib pivot table'!$C$2,"state","TX","group","2a4")/GETPIVOTDATA("Total-New",'Distrib pivot table'!$C$2,"state","TX")&gt;0.0005,GETPIVOTDATA("Total-New",'Distrib pivot table'!$C$2,"state","TX","group","2a4")/GETPIVOTDATA("Total-New",'Distrib pivot table'!$C$2,"state","TX"),"*"))</f>
        <v>0</v>
      </c>
      <c r="S31" s="1125">
        <f>IF((GETPIVOTDATA("Total-New",'Distrib pivot table'!$C$2,"state","VA","group","2a4")/GETPIVOTDATA("Total-New",'Distrib pivot table'!$C$2,"state","VA"))=0,,IF(GETPIVOTDATA("Total-New",'Distrib pivot table'!$C$2,"state","VA","group","2a4")/GETPIVOTDATA("Total-New",'Distrib pivot table'!$C$2,"state","VA")&gt;0.0005,GETPIVOTDATA("Total-New",'Distrib pivot table'!$C$2,"state","VA","group","2a4")/GETPIVOTDATA("Total-New",'Distrib pivot table'!$C$2,"state","VA"),"*"))</f>
        <v>0</v>
      </c>
      <c r="T31" s="1125">
        <f>IF((GETPIVOTDATA("Total-New",'Distrib pivot table'!$C$2,"state","WV","group","2a4")/GETPIVOTDATA("Total-New",'Distrib pivot table'!$C$2,"state","WV"))=0,,IF(GETPIVOTDATA("Total-New",'Distrib pivot table'!$C$2,"state","WV","group","2a4")/GETPIVOTDATA("Total-New",'Distrib pivot table'!$C$2,"state","WV")&gt;0.0005,GETPIVOTDATA("Total-New",'Distrib pivot table'!$C$2,"state","WV","group","2a4")/GETPIVOTDATA("Total-New",'Distrib pivot table'!$C$2,"state","WV"),"*"))</f>
        <v>1.1307420296023016E-3</v>
      </c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</row>
    <row r="32" spans="1:50" ht="26.25" customHeight="1">
      <c r="A32" s="1172"/>
      <c r="B32" s="132" t="s">
        <v>1818</v>
      </c>
      <c r="C32" s="817" t="s">
        <v>1799</v>
      </c>
      <c r="D32" s="1131">
        <f>IF(GETPIVOTDATA("Total-New",'Distrib pivot table'!$C$2,"group","2b")/GETPIVOTDATA("Total-New",'Distrib pivot table'!$C$2)=0,,IF(GETPIVOTDATA("Total-New",'Distrib pivot table'!$C$2,"group","2b")/GETPIVOTDATA("Total-New",'Distrib pivot table'!$C$2)&gt;0.0005,GETPIVOTDATA("Total-New",'Distrib pivot table'!$C$2,"group","2b")/GETPIVOTDATA("Total-New",'Distrib pivot table'!$C$2),"*"))</f>
        <v>3.7062412457860559E-3</v>
      </c>
      <c r="E32" s="1131">
        <f>IF((GETPIVOTDATA("Total-New",'Distrib pivot table'!$C$2,"state","AL","group","2b")/GETPIVOTDATA("Total-New",'Distrib pivot table'!$C$2,"state","AL"))=0,,IF(GETPIVOTDATA("Total-New",'Distrib pivot table'!$C$2,"state","AL","group","2b")/GETPIVOTDATA("Total-New",'Distrib pivot table'!$C$2,"state","AL")&gt;0.0005,GETPIVOTDATA("Total-New",'Distrib pivot table'!$C$2,"state","AL","group","2b")/GETPIVOTDATA("Total-New",'Distrib pivot table'!$C$2,"state","AL"),"*"))</f>
        <v>5.4632727566859326E-3</v>
      </c>
      <c r="F32" s="1131">
        <f>IF((GETPIVOTDATA("Total-New",'Distrib pivot table'!$C$2,"state","AR","group","2b")/GETPIVOTDATA("Total-New",'Distrib pivot table'!$C$2,"state","AR"))=0,,IF(GETPIVOTDATA("Total-New",'Distrib pivot table'!$C$2,"state","AR","group","2b")/GETPIVOTDATA("Total-New",'Distrib pivot table'!$C$2,"state","AR")&gt;0.0005,GETPIVOTDATA("Total-New",'Distrib pivot table'!$C$2,"state","AR","group","2b")/GETPIVOTDATA("Total-New",'Distrib pivot table'!$C$2,"state","AR"),"*"))</f>
        <v>0</v>
      </c>
      <c r="G32" s="1131">
        <f>IF((GETPIVOTDATA("Total-New",'Distrib pivot table'!$C$2,"state","DE","group","2b")/GETPIVOTDATA("Total-New",'Distrib pivot table'!$C$2,"state","DE"))=0,,IF(GETPIVOTDATA("Total-New",'Distrib pivot table'!$C$2,"state","DE","group","2b")/GETPIVOTDATA("Total-New",'Distrib pivot table'!$C$2,"state","DE")&gt;0.0005,GETPIVOTDATA("Total-New",'Distrib pivot table'!$C$2,"state","DE","group","2b")/GETPIVOTDATA("Total-New",'Distrib pivot table'!$C$2,"state","DE"),"*"))</f>
        <v>0</v>
      </c>
      <c r="H32" s="1131">
        <f>IF((GETPIVOTDATA("Total-New",'Distrib pivot table'!$C$2,"state","FL","group","2b")/GETPIVOTDATA("Total-New",'Distrib pivot table'!$C$2,"state","FL"))=0,,IF(GETPIVOTDATA("Total-New",'Distrib pivot table'!$C$2,"state","FL","group","2b")/GETPIVOTDATA("Total-New",'Distrib pivot table'!$C$2,"state","FL")&gt;0.0005,GETPIVOTDATA("Total-New",'Distrib pivot table'!$C$2,"state","FL","group","2b")/GETPIVOTDATA("Total-New",'Distrib pivot table'!$C$2,"state","FL"),"*"))</f>
        <v>5.1918693581181731E-3</v>
      </c>
      <c r="I32" s="1131">
        <f>IF((GETPIVOTDATA("Total-New",'Distrib pivot table'!$C$2,"state","GA","group","2b")/GETPIVOTDATA("Total-New",'Distrib pivot table'!$C$2,"state","GA"))=0,,IF(GETPIVOTDATA("Total-New",'Distrib pivot table'!$C$2,"state","GA","group","2b")/GETPIVOTDATA("Total-New",'Distrib pivot table'!$C$2,"state","GA")&gt;0.0005,GETPIVOTDATA("Total-New",'Distrib pivot table'!$C$2,"state","GA","group","2b")/GETPIVOTDATA("Total-New",'Distrib pivot table'!$C$2,"state","GA"),"*"))</f>
        <v>9.4027415555982419E-3</v>
      </c>
      <c r="J32" s="1131">
        <f>IF((GETPIVOTDATA("Total-New",'Distrib pivot table'!$C$2,"state","KY","group","2b")/GETPIVOTDATA("Total-New",'Distrib pivot table'!$C$2,"state","KY"))=0,,IF(GETPIVOTDATA("Total-New",'Distrib pivot table'!$C$2,"state","KY","group","2b")/GETPIVOTDATA("Total-New",'Distrib pivot table'!$C$2,"state","KY")&gt;0.0005,GETPIVOTDATA("Total-New",'Distrib pivot table'!$C$2,"state","KY","group","2b")/GETPIVOTDATA("Total-New",'Distrib pivot table'!$C$2,"state","KY"),"*"))</f>
        <v>0</v>
      </c>
      <c r="K32" s="1131">
        <f>IF((GETPIVOTDATA("Total-New",'Distrib pivot table'!$C$2,"state","LA","group","2b")/GETPIVOTDATA("Total-New",'Distrib pivot table'!$C$2,"state","LA"))=0,,IF(GETPIVOTDATA("Total-New",'Distrib pivot table'!$C$2,"state","LA","group","2b")/GETPIVOTDATA("Total-New",'Distrib pivot table'!$C$2,"state","LA")&gt;0.0005,GETPIVOTDATA("Total-New",'Distrib pivot table'!$C$2,"state","LA","group","2b")/GETPIVOTDATA("Total-New",'Distrib pivot table'!$C$2,"state","LA"),"*"))</f>
        <v>1.6134303487584354E-3</v>
      </c>
      <c r="L32" s="1131">
        <f>IF((GETPIVOTDATA("Total-New",'Distrib pivot table'!$C$2,"state","MD","group","2b")/GETPIVOTDATA("Total-New",'Distrib pivot table'!$C$2,"state","MD"))=0,,IF(GETPIVOTDATA("Total-New",'Distrib pivot table'!$C$2,"state","MD","group","2b")/GETPIVOTDATA("Total-New",'Distrib pivot table'!$C$2,"state","MD")&gt;0.0005,GETPIVOTDATA("Total-New",'Distrib pivot table'!$C$2,"state","MD","group","2b")/GETPIVOTDATA("Total-New",'Distrib pivot table'!$C$2,"state","MD"),"*"))</f>
        <v>1.4731509977871936E-2</v>
      </c>
      <c r="M32" s="1131">
        <f>IF((GETPIVOTDATA("Total-New",'Distrib pivot table'!$C$2,"state","MS","group","2b")/GETPIVOTDATA("Total-New",'Distrib pivot table'!$C$2,"state","MS"))=0,,IF(GETPIVOTDATA("Total-New",'Distrib pivot table'!$C$2,"state","MS","group","2b")/GETPIVOTDATA("Total-New",'Distrib pivot table'!$C$2,"state","MS")&gt;0.0005,GETPIVOTDATA("Total-New",'Distrib pivot table'!$C$2,"state","MS","group","2b")/GETPIVOTDATA("Total-New",'Distrib pivot table'!$C$2,"state","MS"),"*"))</f>
        <v>0</v>
      </c>
      <c r="N32" s="1131" t="str">
        <f>IF((GETPIVOTDATA("Total-New",'Distrib pivot table'!$C$2,"state","NC","group","2b")/GETPIVOTDATA("Total-New",'Distrib pivot table'!$C$2,"state","NC"))=0,,IF(GETPIVOTDATA("Total-New",'Distrib pivot table'!$C$2,"state","NC","group","2b")/GETPIVOTDATA("Total-New",'Distrib pivot table'!$C$2,"state","NC")&gt;0.0005,GETPIVOTDATA("Total-New",'Distrib pivot table'!$C$2,"state","NC","group","2b")/GETPIVOTDATA("Total-New",'Distrib pivot table'!$C$2,"state","NC"),"*"))</f>
        <v>*</v>
      </c>
      <c r="O32" s="1131">
        <f>IF((GETPIVOTDATA("Total-New",'Distrib pivot table'!$C$2,"state","OK","group","2b")/GETPIVOTDATA("Total-New",'Distrib pivot table'!$C$2,"state","OK"))=0,,IF(GETPIVOTDATA("Total-New",'Distrib pivot table'!$C$2,"state","OK","group","2b")/GETPIVOTDATA("Total-New",'Distrib pivot table'!$C$2,"state","OK")&gt;0.0005,GETPIVOTDATA("Total-New",'Distrib pivot table'!$C$2,"state","OK","group","2b")/GETPIVOTDATA("Total-New",'Distrib pivot table'!$C$2,"state","OK"),"*"))</f>
        <v>0</v>
      </c>
      <c r="P32" s="1131">
        <f>IF((GETPIVOTDATA("Total-New",'Distrib pivot table'!$C$2,"state","SC","group","2b")/GETPIVOTDATA("Total-New",'Distrib pivot table'!$C$2,"state","SC"))=0,,IF(GETPIVOTDATA("Total-New",'Distrib pivot table'!$C$2,"state","SC","group","2b")/GETPIVOTDATA("Total-New",'Distrib pivot table'!$C$2,"state","SC")&gt;0.0005,GETPIVOTDATA("Total-New",'Distrib pivot table'!$C$2,"state","SC","group","2b")/GETPIVOTDATA("Total-New",'Distrib pivot table'!$C$2,"state","SC"),"*"))</f>
        <v>1.7644920585993969E-3</v>
      </c>
      <c r="Q32" s="1131">
        <f>IF((GETPIVOTDATA("Total-New",'Distrib pivot table'!$C$2,"state","TN","group","2b")/GETPIVOTDATA("Total-New",'Distrib pivot table'!$C$2,"state","TN"))=0,,IF(GETPIVOTDATA("Total-New",'Distrib pivot table'!$C$2,"state","TN","group","2b")/GETPIVOTDATA("Total-New",'Distrib pivot table'!$C$2,"state","TN")&gt;0.0005,GETPIVOTDATA("Total-New",'Distrib pivot table'!$C$2,"state","TN","group","2b")/GETPIVOTDATA("Total-New",'Distrib pivot table'!$C$2,"state","TN"),"*"))</f>
        <v>0</v>
      </c>
      <c r="R32" s="1131">
        <f>IF((GETPIVOTDATA("Total-New",'Distrib pivot table'!$C$2,"state","TX","group","2b")/GETPIVOTDATA("Total-New",'Distrib pivot table'!$C$2,"state","TX"))=0,,IF(GETPIVOTDATA("Total-New",'Distrib pivot table'!$C$2,"state","TX","group","2b")/GETPIVOTDATA("Total-New",'Distrib pivot table'!$C$2,"state","TX")&gt;0.0005,GETPIVOTDATA("Total-New",'Distrib pivot table'!$C$2,"state","TX","group","2b")/GETPIVOTDATA("Total-New",'Distrib pivot table'!$C$2,"state","TX"),"*"))</f>
        <v>4.4974991410022388E-3</v>
      </c>
      <c r="S32" s="1131">
        <f>IF((GETPIVOTDATA("Total-New",'Distrib pivot table'!$C$2,"state","VA","group","2b")/GETPIVOTDATA("Total-New",'Distrib pivot table'!$C$2,"state","VA"))=0,,IF(GETPIVOTDATA("Total-New",'Distrib pivot table'!$C$2,"state","VA","group","2b")/GETPIVOTDATA("Total-New",'Distrib pivot table'!$C$2,"state","VA")&gt;0.0005,GETPIVOTDATA("Total-New",'Distrib pivot table'!$C$2,"state","VA","group","2b")/GETPIVOTDATA("Total-New",'Distrib pivot table'!$C$2,"state","VA"),"*"))</f>
        <v>0</v>
      </c>
      <c r="T32" s="1131">
        <f>IF((GETPIVOTDATA("Total-New",'Distrib pivot table'!$C$2,"state","WV","group","2b")/GETPIVOTDATA("Total-New",'Distrib pivot table'!$C$2,"state","WV"))=0,,IF(GETPIVOTDATA("Total-New",'Distrib pivot table'!$C$2,"state","WV","group","2b")/GETPIVOTDATA("Total-New",'Distrib pivot table'!$C$2,"state","WV")&gt;0.0005,GETPIVOTDATA("Total-New",'Distrib pivot table'!$C$2,"state","WV","group","2b")/GETPIVOTDATA("Total-New",'Distrib pivot table'!$C$2,"state","WV"),"*"))</f>
        <v>0</v>
      </c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</row>
    <row r="33" spans="1:50" s="45" customFormat="1" ht="12.6" customHeight="1">
      <c r="A33" s="1172"/>
      <c r="B33" s="127" t="s">
        <v>1345</v>
      </c>
      <c r="C33" s="818" t="s">
        <v>1800</v>
      </c>
      <c r="D33" s="1126">
        <f>SUM(D34:D36)</f>
        <v>0</v>
      </c>
      <c r="E33" s="1126">
        <f>SUM(E34:E36)</f>
        <v>0</v>
      </c>
      <c r="F33" s="1126">
        <f t="shared" ref="F33:T33" si="4">SUM(F34:F36)</f>
        <v>1.6857247520371446E-3</v>
      </c>
      <c r="G33" s="1126">
        <f t="shared" si="4"/>
        <v>4.9316294824778822E-3</v>
      </c>
      <c r="H33" s="1126">
        <f t="shared" si="4"/>
        <v>0</v>
      </c>
      <c r="I33" s="1126">
        <f t="shared" si="4"/>
        <v>8.1516578756885612E-4</v>
      </c>
      <c r="J33" s="1126">
        <f t="shared" si="4"/>
        <v>1.4138944589383025E-3</v>
      </c>
      <c r="K33" s="1126">
        <f t="shared" si="4"/>
        <v>5.5555457086067643E-4</v>
      </c>
      <c r="L33" s="1126">
        <f t="shared" si="4"/>
        <v>0</v>
      </c>
      <c r="M33" s="1126">
        <f t="shared" si="4"/>
        <v>0</v>
      </c>
      <c r="N33" s="1126">
        <f t="shared" si="4"/>
        <v>0</v>
      </c>
      <c r="O33" s="1126">
        <f t="shared" si="4"/>
        <v>0</v>
      </c>
      <c r="P33" s="1126">
        <f t="shared" si="4"/>
        <v>8.3454789382140181E-4</v>
      </c>
      <c r="Q33" s="1126">
        <f t="shared" si="4"/>
        <v>1.0125791689324464E-3</v>
      </c>
      <c r="R33" s="1126">
        <f t="shared" si="4"/>
        <v>0</v>
      </c>
      <c r="S33" s="1126">
        <f t="shared" si="4"/>
        <v>0</v>
      </c>
      <c r="T33" s="1126">
        <f t="shared" si="4"/>
        <v>0</v>
      </c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</row>
    <row r="34" spans="1:50" ht="12.6" customHeight="1">
      <c r="A34" s="1172"/>
      <c r="B34" s="128" t="s">
        <v>640</v>
      </c>
      <c r="C34" s="817" t="s">
        <v>1801</v>
      </c>
      <c r="D34" s="1125" t="str">
        <f>IF(GETPIVOTDATA("Total-New",'Distrib pivot table'!$C$2,"group","2c1")/GETPIVOTDATA("Total-New",'Distrib pivot table'!$C$2)=0,,IF(GETPIVOTDATA("Total-New",'Distrib pivot table'!$C$2,"group","2c1")/GETPIVOTDATA("Total-New",'Distrib pivot table'!$C$2)&gt;0.0005,GETPIVOTDATA("Total-New",'Distrib pivot table'!$C$2,"group","2c1")/GETPIVOTDATA("Total-New",'Distrib pivot table'!$C$2),"*"))</f>
        <v>*</v>
      </c>
      <c r="E34" s="1125" t="str">
        <f>IF((GETPIVOTDATA("Total-New",'Distrib pivot table'!$C$2,"state","AL","group","2c1")/GETPIVOTDATA("Total-New",'Distrib pivot table'!$C$2,"state","AL"))=0,,IF(GETPIVOTDATA("Total-New",'Distrib pivot table'!$C$2,"state","AL","group","2c1")/GETPIVOTDATA("Total-New",'Distrib pivot table'!$C$2,"state","AL")&gt;0.0005,GETPIVOTDATA("Total-New",'Distrib pivot table'!$C$2,"state","AL","group","2c1")/GETPIVOTDATA("Total-New",'Distrib pivot table'!$C$2,"state","AL"),"*"))</f>
        <v>*</v>
      </c>
      <c r="F34" s="1125" t="str">
        <f>IF((GETPIVOTDATA("Total-New",'Distrib pivot table'!$C$2,"state","AR","group","2c1")/GETPIVOTDATA("Total-New",'Distrib pivot table'!$C$2,"state","AR"))=0,,IF(GETPIVOTDATA("Total-New",'Distrib pivot table'!$C$2,"state","AR","group","2c1")/GETPIVOTDATA("Total-New",'Distrib pivot table'!$C$2,"state","AR")&gt;0.0005,GETPIVOTDATA("Total-New",'Distrib pivot table'!$C$2,"state","AR","group","2c1")/GETPIVOTDATA("Total-New",'Distrib pivot table'!$C$2,"state","AR"),"*"))</f>
        <v>*</v>
      </c>
      <c r="G34" s="1125">
        <f>IF((GETPIVOTDATA("Total-New",'Distrib pivot table'!$C$2,"state","DE","group","2c1")/GETPIVOTDATA("Total-New",'Distrib pivot table'!$C$2,"state","DE"))=0,,IF(GETPIVOTDATA("Total-New",'Distrib pivot table'!$C$2,"state","DE","group","2c1")/GETPIVOTDATA("Total-New",'Distrib pivot table'!$C$2,"state","DE")&gt;0.0005,GETPIVOTDATA("Total-New",'Distrib pivot table'!$C$2,"state","DE","group","2c1")/GETPIVOTDATA("Total-New",'Distrib pivot table'!$C$2,"state","DE"),"*"))</f>
        <v>0</v>
      </c>
      <c r="H34" s="1125">
        <f>IF((GETPIVOTDATA("Total-New",'Distrib pivot table'!$C$2,"state","FL","group","2c1")/GETPIVOTDATA("Total-New",'Distrib pivot table'!$C$2,"state","FL"))=0,,IF(GETPIVOTDATA("Total-New",'Distrib pivot table'!$C$2,"state","FL","group","2c1")/GETPIVOTDATA("Total-New",'Distrib pivot table'!$C$2,"state","FL")&gt;0.0005,GETPIVOTDATA("Total-New",'Distrib pivot table'!$C$2,"state","FL","group","2c1")/GETPIVOTDATA("Total-New",'Distrib pivot table'!$C$2,"state","FL"),"*"))</f>
        <v>0</v>
      </c>
      <c r="I34" s="1125" t="str">
        <f>IF((GETPIVOTDATA("Total-New",'Distrib pivot table'!$C$2,"state","GA","group","2c1")/GETPIVOTDATA("Total-New",'Distrib pivot table'!$C$2,"state","GA"))=0,,IF(GETPIVOTDATA("Total-New",'Distrib pivot table'!$C$2,"state","GA","group","2c1")/GETPIVOTDATA("Total-New",'Distrib pivot table'!$C$2,"state","GA")&gt;0.0005,GETPIVOTDATA("Total-New",'Distrib pivot table'!$C$2,"state","GA","group","2c1")/GETPIVOTDATA("Total-New",'Distrib pivot table'!$C$2,"state","GA"),"*"))</f>
        <v>*</v>
      </c>
      <c r="J34" s="1125" t="str">
        <f>IF((GETPIVOTDATA("Total-New",'Distrib pivot table'!$C$2,"state","KY","group","2c1")/GETPIVOTDATA("Total-New",'Distrib pivot table'!$C$2,"state","KY"))=0,,IF(GETPIVOTDATA("Total-New",'Distrib pivot table'!$C$2,"state","KY","group","2c1")/GETPIVOTDATA("Total-New",'Distrib pivot table'!$C$2,"state","KY")&gt;0.0005,GETPIVOTDATA("Total-New",'Distrib pivot table'!$C$2,"state","KY","group","2c1")/GETPIVOTDATA("Total-New",'Distrib pivot table'!$C$2,"state","KY"),"*"))</f>
        <v>*</v>
      </c>
      <c r="K34" s="1125">
        <f>IF((GETPIVOTDATA("Total-New",'Distrib pivot table'!$C$2,"state","LA","group","2c1")/GETPIVOTDATA("Total-New",'Distrib pivot table'!$C$2,"state","LA"))=0,,IF(GETPIVOTDATA("Total-New",'Distrib pivot table'!$C$2,"state","LA","group","2c1")/GETPIVOTDATA("Total-New",'Distrib pivot table'!$C$2,"state","LA")&gt;0.0005,GETPIVOTDATA("Total-New",'Distrib pivot table'!$C$2,"state","LA","group","2c1")/GETPIVOTDATA("Total-New",'Distrib pivot table'!$C$2,"state","LA"),"*"))</f>
        <v>0</v>
      </c>
      <c r="L34" s="1125">
        <f>IF((GETPIVOTDATA("Total-New",'Distrib pivot table'!$C$2,"state","MD","group","2c1")/GETPIVOTDATA("Total-New",'Distrib pivot table'!$C$2,"state","MD"))=0,,IF(GETPIVOTDATA("Total-New",'Distrib pivot table'!$C$2,"state","MD","group","2c1")/GETPIVOTDATA("Total-New",'Distrib pivot table'!$C$2,"state","MD")&gt;0.0005,GETPIVOTDATA("Total-New",'Distrib pivot table'!$C$2,"state","MD","group","2c1")/GETPIVOTDATA("Total-New",'Distrib pivot table'!$C$2,"state","MD"),"*"))</f>
        <v>0</v>
      </c>
      <c r="M34" s="1125" t="str">
        <f>IF((GETPIVOTDATA("Total-New",'Distrib pivot table'!$C$2,"state","MS","group","2c1")/GETPIVOTDATA("Total-New",'Distrib pivot table'!$C$2,"state","MS"))=0,,IF(GETPIVOTDATA("Total-New",'Distrib pivot table'!$C$2,"state","MS","group","2c1")/GETPIVOTDATA("Total-New",'Distrib pivot table'!$C$2,"state","MS")&gt;0.0005,GETPIVOTDATA("Total-New",'Distrib pivot table'!$C$2,"state","MS","group","2c1")/GETPIVOTDATA("Total-New",'Distrib pivot table'!$C$2,"state","MS"),"*"))</f>
        <v>*</v>
      </c>
      <c r="N34" s="1125" t="str">
        <f>IF((GETPIVOTDATA("Total-New",'Distrib pivot table'!$C$2,"state","NC","group","2c1")/GETPIVOTDATA("Total-New",'Distrib pivot table'!$C$2,"state","NC"))=0,,IF(GETPIVOTDATA("Total-New",'Distrib pivot table'!$C$2,"state","NC","group","2c1")/GETPIVOTDATA("Total-New",'Distrib pivot table'!$C$2,"state","NC")&gt;0.0005,GETPIVOTDATA("Total-New",'Distrib pivot table'!$C$2,"state","NC","group","2c1")/GETPIVOTDATA("Total-New",'Distrib pivot table'!$C$2,"state","NC"),"*"))</f>
        <v>*</v>
      </c>
      <c r="O34" s="1125">
        <f>IF((GETPIVOTDATA("Total-New",'Distrib pivot table'!$C$2,"state","OK","group","2c1")/GETPIVOTDATA("Total-New",'Distrib pivot table'!$C$2,"state","OK"))=0,,IF(GETPIVOTDATA("Total-New",'Distrib pivot table'!$C$2,"state","OK","group","2c1")/GETPIVOTDATA("Total-New",'Distrib pivot table'!$C$2,"state","OK")&gt;0.0005,GETPIVOTDATA("Total-New",'Distrib pivot table'!$C$2,"state","OK","group","2c1")/GETPIVOTDATA("Total-New",'Distrib pivot table'!$C$2,"state","OK"),"*"))</f>
        <v>0</v>
      </c>
      <c r="P34" s="1125" t="str">
        <f>IF((GETPIVOTDATA("Total-New",'Distrib pivot table'!$C$2,"state","SC","group","2c1")/GETPIVOTDATA("Total-New",'Distrib pivot table'!$C$2,"state","SC"))=0,,IF(GETPIVOTDATA("Total-New",'Distrib pivot table'!$C$2,"state","SC","group","2c1")/GETPIVOTDATA("Total-New",'Distrib pivot table'!$C$2,"state","SC")&gt;0.0005,GETPIVOTDATA("Total-New",'Distrib pivot table'!$C$2,"state","SC","group","2c1")/GETPIVOTDATA("Total-New",'Distrib pivot table'!$C$2,"state","SC"),"*"))</f>
        <v>*</v>
      </c>
      <c r="Q34" s="1125">
        <f>IF((GETPIVOTDATA("Total-New",'Distrib pivot table'!$C$2,"state","TN","group","2c1")/GETPIVOTDATA("Total-New",'Distrib pivot table'!$C$2,"state","TN"))=0,,IF(GETPIVOTDATA("Total-New",'Distrib pivot table'!$C$2,"state","TN","group","2c1")/GETPIVOTDATA("Total-New",'Distrib pivot table'!$C$2,"state","TN")&gt;0.0005,GETPIVOTDATA("Total-New",'Distrib pivot table'!$C$2,"state","TN","group","2c1")/GETPIVOTDATA("Total-New",'Distrib pivot table'!$C$2,"state","TN"),"*"))</f>
        <v>1.0125791689324464E-3</v>
      </c>
      <c r="R34" s="1125">
        <f>IF((GETPIVOTDATA("Total-New",'Distrib pivot table'!$C$2,"state","TX","group","2c1")/GETPIVOTDATA("Total-New",'Distrib pivot table'!$C$2,"state","TX"))=0,,IF(GETPIVOTDATA("Total-New",'Distrib pivot table'!$C$2,"state","TX","group","2c1")/GETPIVOTDATA("Total-New",'Distrib pivot table'!$C$2,"state","TX")&gt;0.0005,GETPIVOTDATA("Total-New",'Distrib pivot table'!$C$2,"state","TX","group","2c1")/GETPIVOTDATA("Total-New",'Distrib pivot table'!$C$2,"state","TX"),"*"))</f>
        <v>0</v>
      </c>
      <c r="S34" s="1125" t="str">
        <f>IF((GETPIVOTDATA("Total-New",'Distrib pivot table'!$C$2,"state","VA","group","2c1")/GETPIVOTDATA("Total-New",'Distrib pivot table'!$C$2,"state","VA"))=0,,IF(GETPIVOTDATA("Total-New",'Distrib pivot table'!$C$2,"state","VA","group","2c1")/GETPIVOTDATA("Total-New",'Distrib pivot table'!$C$2,"state","VA")&gt;0.0005,GETPIVOTDATA("Total-New",'Distrib pivot table'!$C$2,"state","VA","group","2c1")/GETPIVOTDATA("Total-New",'Distrib pivot table'!$C$2,"state","VA"),"*"))</f>
        <v>*</v>
      </c>
      <c r="T34" s="1125" t="str">
        <f>IF((GETPIVOTDATA("Total-New",'Distrib pivot table'!$C$2,"state","WV","group","2c1")/GETPIVOTDATA("Total-New",'Distrib pivot table'!$C$2,"state","WV"))=0,,IF(GETPIVOTDATA("Total-New",'Distrib pivot table'!$C$2,"state","WV","group","2c1")/GETPIVOTDATA("Total-New",'Distrib pivot table'!$C$2,"state","WV")&gt;0.0005,GETPIVOTDATA("Total-New",'Distrib pivot table'!$C$2,"state","WV","group","2c1")/GETPIVOTDATA("Total-New",'Distrib pivot table'!$C$2,"state","WV"),"*"))</f>
        <v>*</v>
      </c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</row>
    <row r="35" spans="1:50" ht="12.6" customHeight="1">
      <c r="A35" s="1172"/>
      <c r="B35" s="128" t="s">
        <v>641</v>
      </c>
      <c r="C35" s="817" t="s">
        <v>1802</v>
      </c>
      <c r="D35" s="1125" t="str">
        <f>IF(GETPIVOTDATA("Total-New",'Distrib pivot table'!$C$2,"group","2c2")/GETPIVOTDATA("Total-New",'Distrib pivot table'!$C$2)=0,,IF(GETPIVOTDATA("Total-New",'Distrib pivot table'!$C$2,"group","2c2")/GETPIVOTDATA("Total-New",'Distrib pivot table'!$C$2)&gt;0.0005,GETPIVOTDATA("Total-New",'Distrib pivot table'!$C$2,"group","2c2")/GETPIVOTDATA("Total-New",'Distrib pivot table'!$C$2),"*"))</f>
        <v>*</v>
      </c>
      <c r="E35" s="1125">
        <f>IF((GETPIVOTDATA("Total-New",'Distrib pivot table'!$C$2,"state","AL","group","2c2")/GETPIVOTDATA("Total-New",'Distrib pivot table'!$C$2,"state","AL"))=0,,IF(GETPIVOTDATA("Total-New",'Distrib pivot table'!$C$2,"state","AL","group","2c2")/GETPIVOTDATA("Total-New",'Distrib pivot table'!$C$2,"state","AL")&gt;0.0005,GETPIVOTDATA("Total-New",'Distrib pivot table'!$C$2,"state","AL","group","2c2")/GETPIVOTDATA("Total-New",'Distrib pivot table'!$C$2,"state","AL"),"*"))</f>
        <v>0</v>
      </c>
      <c r="F35" s="1125">
        <f>IF((GETPIVOTDATA("Total-New",'Distrib pivot table'!$C$2,"state","AR","group","2c2")/GETPIVOTDATA("Total-New",'Distrib pivot table'!$C$2,"state","AR"))=0,,IF(GETPIVOTDATA("Total-New",'Distrib pivot table'!$C$2,"state","AR","group","2c2")/GETPIVOTDATA("Total-New",'Distrib pivot table'!$C$2,"state","AR")&gt;0.0005,GETPIVOTDATA("Total-New",'Distrib pivot table'!$C$2,"state","AR","group","2c2")/GETPIVOTDATA("Total-New",'Distrib pivot table'!$C$2,"state","AR"),"*"))</f>
        <v>1.6857247520371446E-3</v>
      </c>
      <c r="G35" s="1125" t="str">
        <f>IF((GETPIVOTDATA("Total-New",'Distrib pivot table'!$C$2,"state","DE","group","2c2")/GETPIVOTDATA("Total-New",'Distrib pivot table'!$C$2,"state","DE"))=0,,IF(GETPIVOTDATA("Total-New",'Distrib pivot table'!$C$2,"state","DE","group","2c2")/GETPIVOTDATA("Total-New",'Distrib pivot table'!$C$2,"state","DE")&gt;0.0005,GETPIVOTDATA("Total-New",'Distrib pivot table'!$C$2,"state","DE","group","2c2")/GETPIVOTDATA("Total-New",'Distrib pivot table'!$C$2,"state","DE"),"*"))</f>
        <v>*</v>
      </c>
      <c r="H35" s="1125">
        <f>IF((GETPIVOTDATA("Total-New",'Distrib pivot table'!$C$2,"state","FL","group","2c2")/GETPIVOTDATA("Total-New",'Distrib pivot table'!$C$2,"state","FL"))=0,,IF(GETPIVOTDATA("Total-New",'Distrib pivot table'!$C$2,"state","FL","group","2c2")/GETPIVOTDATA("Total-New",'Distrib pivot table'!$C$2,"state","FL")&gt;0.0005,GETPIVOTDATA("Total-New",'Distrib pivot table'!$C$2,"state","FL","group","2c2")/GETPIVOTDATA("Total-New",'Distrib pivot table'!$C$2,"state","FL"),"*"))</f>
        <v>0</v>
      </c>
      <c r="I35" s="1125" t="str">
        <f>IF((GETPIVOTDATA("Total-New",'Distrib pivot table'!$C$2,"state","GA","group","2c2")/GETPIVOTDATA("Total-New",'Distrib pivot table'!$C$2,"state","GA"))=0,,IF(GETPIVOTDATA("Total-New",'Distrib pivot table'!$C$2,"state","GA","group","2c2")/GETPIVOTDATA("Total-New",'Distrib pivot table'!$C$2,"state","GA")&gt;0.0005,GETPIVOTDATA("Total-New",'Distrib pivot table'!$C$2,"state","GA","group","2c2")/GETPIVOTDATA("Total-New",'Distrib pivot table'!$C$2,"state","GA"),"*"))</f>
        <v>*</v>
      </c>
      <c r="J35" s="1125">
        <f>IF((GETPIVOTDATA("Total-New",'Distrib pivot table'!$C$2,"state","KY","group","2c2")/GETPIVOTDATA("Total-New",'Distrib pivot table'!$C$2,"state","KY"))=0,,IF(GETPIVOTDATA("Total-New",'Distrib pivot table'!$C$2,"state","KY","group","2c2")/GETPIVOTDATA("Total-New",'Distrib pivot table'!$C$2,"state","KY")&gt;0.0005,GETPIVOTDATA("Total-New",'Distrib pivot table'!$C$2,"state","KY","group","2c2")/GETPIVOTDATA("Total-New",'Distrib pivot table'!$C$2,"state","KY"),"*"))</f>
        <v>1.4138944589383025E-3</v>
      </c>
      <c r="K35" s="1125">
        <f>IF((GETPIVOTDATA("Total-New",'Distrib pivot table'!$C$2,"state","LA","group","2c2")/GETPIVOTDATA("Total-New",'Distrib pivot table'!$C$2,"state","LA"))=0,,IF(GETPIVOTDATA("Total-New",'Distrib pivot table'!$C$2,"state","LA","group","2c2")/GETPIVOTDATA("Total-New",'Distrib pivot table'!$C$2,"state","LA")&gt;0.0005,GETPIVOTDATA("Total-New",'Distrib pivot table'!$C$2,"state","LA","group","2c2")/GETPIVOTDATA("Total-New",'Distrib pivot table'!$C$2,"state","LA"),"*"))</f>
        <v>5.5555457086067643E-4</v>
      </c>
      <c r="L35" s="1125">
        <f>IF((GETPIVOTDATA("Total-New",'Distrib pivot table'!$C$2,"state","MD","group","2c2")/GETPIVOTDATA("Total-New",'Distrib pivot table'!$C$2,"state","MD"))=0,,IF(GETPIVOTDATA("Total-New",'Distrib pivot table'!$C$2,"state","MD","group","2c2")/GETPIVOTDATA("Total-New",'Distrib pivot table'!$C$2,"state","MD")&gt;0.0005,GETPIVOTDATA("Total-New",'Distrib pivot table'!$C$2,"state","MD","group","2c2")/GETPIVOTDATA("Total-New",'Distrib pivot table'!$C$2,"state","MD"),"*"))</f>
        <v>0</v>
      </c>
      <c r="M35" s="1125" t="str">
        <f>IF((GETPIVOTDATA("Total-New",'Distrib pivot table'!$C$2,"state","MS","group","2c2")/GETPIVOTDATA("Total-New",'Distrib pivot table'!$C$2,"state","MS"))=0,,IF(GETPIVOTDATA("Total-New",'Distrib pivot table'!$C$2,"state","MS","group","2c2")/GETPIVOTDATA("Total-New",'Distrib pivot table'!$C$2,"state","MS")&gt;0.0005,GETPIVOTDATA("Total-New",'Distrib pivot table'!$C$2,"state","MS","group","2c2")/GETPIVOTDATA("Total-New",'Distrib pivot table'!$C$2,"state","MS"),"*"))</f>
        <v>*</v>
      </c>
      <c r="N35" s="1125" t="str">
        <f>IF((GETPIVOTDATA("Total-New",'Distrib pivot table'!$C$2,"state","NC","group","2c2")/GETPIVOTDATA("Total-New",'Distrib pivot table'!$C$2,"state","NC"))=0,,IF(GETPIVOTDATA("Total-New",'Distrib pivot table'!$C$2,"state","NC","group","2c2")/GETPIVOTDATA("Total-New",'Distrib pivot table'!$C$2,"state","NC")&gt;0.0005,GETPIVOTDATA("Total-New",'Distrib pivot table'!$C$2,"state","NC","group","2c2")/GETPIVOTDATA("Total-New",'Distrib pivot table'!$C$2,"state","NC"),"*"))</f>
        <v>*</v>
      </c>
      <c r="O35" s="1125">
        <f>IF((GETPIVOTDATA("Total-New",'Distrib pivot table'!$C$2,"state","OK","group","2c2")/GETPIVOTDATA("Total-New",'Distrib pivot table'!$C$2,"state","OK"))=0,,IF(GETPIVOTDATA("Total-New",'Distrib pivot table'!$C$2,"state","OK","group","2c2")/GETPIVOTDATA("Total-New",'Distrib pivot table'!$C$2,"state","OK")&gt;0.0005,GETPIVOTDATA("Total-New",'Distrib pivot table'!$C$2,"state","OK","group","2c2")/GETPIVOTDATA("Total-New",'Distrib pivot table'!$C$2,"state","OK"),"*"))</f>
        <v>0</v>
      </c>
      <c r="P35" s="1125">
        <f>IF((GETPIVOTDATA("Total-New",'Distrib pivot table'!$C$2,"state","SC","group","2c2")/GETPIVOTDATA("Total-New",'Distrib pivot table'!$C$2,"state","SC"))=0,,IF(GETPIVOTDATA("Total-New",'Distrib pivot table'!$C$2,"state","SC","group","2c2")/GETPIVOTDATA("Total-New",'Distrib pivot table'!$C$2,"state","SC")&gt;0.0005,GETPIVOTDATA("Total-New",'Distrib pivot table'!$C$2,"state","SC","group","2c2")/GETPIVOTDATA("Total-New",'Distrib pivot table'!$C$2,"state","SC"),"*"))</f>
        <v>8.3454789382140181E-4</v>
      </c>
      <c r="Q35" s="1125">
        <f>IF((GETPIVOTDATA("Total-New",'Distrib pivot table'!$C$2,"state","TN","group","2c2")/GETPIVOTDATA("Total-New",'Distrib pivot table'!$C$2,"state","TN"))=0,,IF(GETPIVOTDATA("Total-New",'Distrib pivot table'!$C$2,"state","TN","group","2c2")/GETPIVOTDATA("Total-New",'Distrib pivot table'!$C$2,"state","TN")&gt;0.0005,GETPIVOTDATA("Total-New",'Distrib pivot table'!$C$2,"state","TN","group","2c2")/GETPIVOTDATA("Total-New",'Distrib pivot table'!$C$2,"state","TN"),"*"))</f>
        <v>0</v>
      </c>
      <c r="R35" s="1125">
        <f>IF((GETPIVOTDATA("Total-New",'Distrib pivot table'!$C$2,"state","TX","group","2c2")/GETPIVOTDATA("Total-New",'Distrib pivot table'!$C$2,"state","TX"))=0,,IF(GETPIVOTDATA("Total-New",'Distrib pivot table'!$C$2,"state","TX","group","2c2")/GETPIVOTDATA("Total-New",'Distrib pivot table'!$C$2,"state","TX")&gt;0.0005,GETPIVOTDATA("Total-New",'Distrib pivot table'!$C$2,"state","TX","group","2c2")/GETPIVOTDATA("Total-New",'Distrib pivot table'!$C$2,"state","TX"),"*"))</f>
        <v>0</v>
      </c>
      <c r="S35" s="1125">
        <f>IF((GETPIVOTDATA("Total-New",'Distrib pivot table'!$C$2,"state","VA","group","2c2")/GETPIVOTDATA("Total-New",'Distrib pivot table'!$C$2,"state","VA"))=0,,IF(GETPIVOTDATA("Total-New",'Distrib pivot table'!$C$2,"state","VA","group","2c2")/GETPIVOTDATA("Total-New",'Distrib pivot table'!$C$2,"state","VA")&gt;0.0005,GETPIVOTDATA("Total-New",'Distrib pivot table'!$C$2,"state","VA","group","2c2")/GETPIVOTDATA("Total-New",'Distrib pivot table'!$C$2,"state","VA"),"*"))</f>
        <v>0</v>
      </c>
      <c r="T35" s="1125" t="str">
        <f>IF((GETPIVOTDATA("Total-New",'Distrib pivot table'!$C$2,"state","WV","group","2c2")/GETPIVOTDATA("Total-New",'Distrib pivot table'!$C$2,"state","WV"))=0,,IF(GETPIVOTDATA("Total-New",'Distrib pivot table'!$C$2,"state","WV","group","2c2")/GETPIVOTDATA("Total-New",'Distrib pivot table'!$C$2,"state","WV")&gt;0.0005,GETPIVOTDATA("Total-New",'Distrib pivot table'!$C$2,"state","WV","group","2c2")/GETPIVOTDATA("Total-New",'Distrib pivot table'!$C$2,"state","WV"),"*"))</f>
        <v>*</v>
      </c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</row>
    <row r="36" spans="1:50" ht="12.6" customHeight="1">
      <c r="A36" s="1172"/>
      <c r="B36" s="131" t="s">
        <v>954</v>
      </c>
      <c r="C36" s="817" t="s">
        <v>1803</v>
      </c>
      <c r="D36" s="1125" t="str">
        <f>IF(GETPIVOTDATA("Total-New",'Distrib pivot table'!$C$2,"group","2c3")/GETPIVOTDATA("Total-New",'Distrib pivot table'!$C$2)=0,,IF(GETPIVOTDATA("Total-New",'Distrib pivot table'!$C$2,"group","2c3")/GETPIVOTDATA("Total-New",'Distrib pivot table'!$C$2)&gt;0.0005,GETPIVOTDATA("Total-New",'Distrib pivot table'!$C$2,"group","2c3")/GETPIVOTDATA("Total-New",'Distrib pivot table'!$C$2),"*"))</f>
        <v>*</v>
      </c>
      <c r="E36" s="1125" t="str">
        <f>IF((GETPIVOTDATA("Total-New",'Distrib pivot table'!$C$2,"state","AL","group","2c3")/GETPIVOTDATA("Total-New",'Distrib pivot table'!$C$2,"state","AL"))=0,,IF(GETPIVOTDATA("Total-New",'Distrib pivot table'!$C$2,"state","AL","group","2c3")/GETPIVOTDATA("Total-New",'Distrib pivot table'!$C$2,"state","AL")&gt;0.0005,GETPIVOTDATA("Total-New",'Distrib pivot table'!$C$2,"state","AL","group","2c3")/GETPIVOTDATA("Total-New",'Distrib pivot table'!$C$2,"state","AL"),"*"))</f>
        <v>*</v>
      </c>
      <c r="F36" s="1125" t="str">
        <f>IF((GETPIVOTDATA("Total-New",'Distrib pivot table'!$C$2,"state","AR","group","2c3")/GETPIVOTDATA("Total-New",'Distrib pivot table'!$C$2,"state","AR"))=0,,IF(GETPIVOTDATA("Total-New",'Distrib pivot table'!$C$2,"state","AR","group","2c3")/GETPIVOTDATA("Total-New",'Distrib pivot table'!$C$2,"state","AR")&gt;0.0005,GETPIVOTDATA("Total-New",'Distrib pivot table'!$C$2,"state","AR","group","2c3")/GETPIVOTDATA("Total-New",'Distrib pivot table'!$C$2,"state","AR"),"*"))</f>
        <v>*</v>
      </c>
      <c r="G36" s="1125">
        <f>IF((GETPIVOTDATA("Total-New",'Distrib pivot table'!$C$2,"state","DE","group","2c3")/GETPIVOTDATA("Total-New",'Distrib pivot table'!$C$2,"state","DE"))=0,,IF(GETPIVOTDATA("Total-New",'Distrib pivot table'!$C$2,"state","DE","group","2c3")/GETPIVOTDATA("Total-New",'Distrib pivot table'!$C$2,"state","DE")&gt;0.0005,GETPIVOTDATA("Total-New",'Distrib pivot table'!$C$2,"state","DE","group","2c3")/GETPIVOTDATA("Total-New",'Distrib pivot table'!$C$2,"state","DE"),"*"))</f>
        <v>4.9316294824778822E-3</v>
      </c>
      <c r="H36" s="1125" t="str">
        <f>IF((GETPIVOTDATA("Total-New",'Distrib pivot table'!$C$2,"state","FL","group","2c3")/GETPIVOTDATA("Total-New",'Distrib pivot table'!$C$2,"state","FL"))=0,,IF(GETPIVOTDATA("Total-New",'Distrib pivot table'!$C$2,"state","FL","group","2c3")/GETPIVOTDATA("Total-New",'Distrib pivot table'!$C$2,"state","FL")&gt;0.0005,GETPIVOTDATA("Total-New",'Distrib pivot table'!$C$2,"state","FL","group","2c3")/GETPIVOTDATA("Total-New",'Distrib pivot table'!$C$2,"state","FL"),"*"))</f>
        <v>*</v>
      </c>
      <c r="I36" s="1125">
        <f>IF((GETPIVOTDATA("Total-New",'Distrib pivot table'!$C$2,"state","GA","group","2c3")/GETPIVOTDATA("Total-New",'Distrib pivot table'!$C$2,"state","GA"))=0,,IF(GETPIVOTDATA("Total-New",'Distrib pivot table'!$C$2,"state","GA","group","2c3")/GETPIVOTDATA("Total-New",'Distrib pivot table'!$C$2,"state","GA")&gt;0.0005,GETPIVOTDATA("Total-New",'Distrib pivot table'!$C$2,"state","GA","group","2c3")/GETPIVOTDATA("Total-New",'Distrib pivot table'!$C$2,"state","GA"),"*"))</f>
        <v>8.1516578756885612E-4</v>
      </c>
      <c r="J36" s="1125" t="str">
        <f>IF((GETPIVOTDATA("Total-New",'Distrib pivot table'!$C$2,"state","KY","group","2c3")/GETPIVOTDATA("Total-New",'Distrib pivot table'!$C$2,"state","KY"))=0,,IF(GETPIVOTDATA("Total-New",'Distrib pivot table'!$C$2,"state","KY","group","2c3")/GETPIVOTDATA("Total-New",'Distrib pivot table'!$C$2,"state","KY")&gt;0.0005,GETPIVOTDATA("Total-New",'Distrib pivot table'!$C$2,"state","KY","group","2c3")/GETPIVOTDATA("Total-New",'Distrib pivot table'!$C$2,"state","KY"),"*"))</f>
        <v>*</v>
      </c>
      <c r="K36" s="1125">
        <f>IF((GETPIVOTDATA("Total-New",'Distrib pivot table'!$C$2,"state","LA","group","2c3")/GETPIVOTDATA("Total-New",'Distrib pivot table'!$C$2,"state","LA"))=0,,IF(GETPIVOTDATA("Total-New",'Distrib pivot table'!$C$2,"state","LA","group","2c3")/GETPIVOTDATA("Total-New",'Distrib pivot table'!$C$2,"state","LA")&gt;0.0005,GETPIVOTDATA("Total-New",'Distrib pivot table'!$C$2,"state","LA","group","2c3")/GETPIVOTDATA("Total-New",'Distrib pivot table'!$C$2,"state","LA"),"*"))</f>
        <v>0</v>
      </c>
      <c r="L36" s="1125">
        <f>IF((GETPIVOTDATA("Total-New",'Distrib pivot table'!$C$2,"state","MD","group","2c3")/GETPIVOTDATA("Total-New",'Distrib pivot table'!$C$2,"state","MD"))=0,,IF(GETPIVOTDATA("Total-New",'Distrib pivot table'!$C$2,"state","MD","group","2c3")/GETPIVOTDATA("Total-New",'Distrib pivot table'!$C$2,"state","MD")&gt;0.0005,GETPIVOTDATA("Total-New",'Distrib pivot table'!$C$2,"state","MD","group","2c3")/GETPIVOTDATA("Total-New",'Distrib pivot table'!$C$2,"state","MD"),"*"))</f>
        <v>0</v>
      </c>
      <c r="M36" s="1125">
        <f>IF((GETPIVOTDATA("Total-New",'Distrib pivot table'!$C$2,"state","MS","group","2c3")/GETPIVOTDATA("Total-New",'Distrib pivot table'!$C$2,"state","MS"))=0,,IF(GETPIVOTDATA("Total-New",'Distrib pivot table'!$C$2,"state","MS","group","2c3")/GETPIVOTDATA("Total-New",'Distrib pivot table'!$C$2,"state","MS")&gt;0.0005,GETPIVOTDATA("Total-New",'Distrib pivot table'!$C$2,"state","MS","group","2c3")/GETPIVOTDATA("Total-New",'Distrib pivot table'!$C$2,"state","MS"),"*"))</f>
        <v>0</v>
      </c>
      <c r="N36" s="1125" t="str">
        <f>IF((GETPIVOTDATA("Total-New",'Distrib pivot table'!$C$2,"state","NC","group","2c3")/GETPIVOTDATA("Total-New",'Distrib pivot table'!$C$2,"state","NC"))=0,,IF(GETPIVOTDATA("Total-New",'Distrib pivot table'!$C$2,"state","NC","group","2c3")/GETPIVOTDATA("Total-New",'Distrib pivot table'!$C$2,"state","NC")&gt;0.0005,GETPIVOTDATA("Total-New",'Distrib pivot table'!$C$2,"state","NC","group","2c3")/GETPIVOTDATA("Total-New",'Distrib pivot table'!$C$2,"state","NC"),"*"))</f>
        <v>*</v>
      </c>
      <c r="O36" s="1125">
        <f>IF((GETPIVOTDATA("Total-New",'Distrib pivot table'!$C$2,"state","OK","group","2c3")/GETPIVOTDATA("Total-New",'Distrib pivot table'!$C$2,"state","OK"))=0,,IF(GETPIVOTDATA("Total-New",'Distrib pivot table'!$C$2,"state","OK","group","2c3")/GETPIVOTDATA("Total-New",'Distrib pivot table'!$C$2,"state","OK")&gt;0.0005,GETPIVOTDATA("Total-New",'Distrib pivot table'!$C$2,"state","OK","group","2c3")/GETPIVOTDATA("Total-New",'Distrib pivot table'!$C$2,"state","OK"),"*"))</f>
        <v>0</v>
      </c>
      <c r="P36" s="1125" t="str">
        <f>IF((GETPIVOTDATA("Total-New",'Distrib pivot table'!$C$2,"state","SC","group","2c3")/GETPIVOTDATA("Total-New",'Distrib pivot table'!$C$2,"state","SC"))=0,,IF(GETPIVOTDATA("Total-New",'Distrib pivot table'!$C$2,"state","SC","group","2c3")/GETPIVOTDATA("Total-New",'Distrib pivot table'!$C$2,"state","SC")&gt;0.0005,GETPIVOTDATA("Total-New",'Distrib pivot table'!$C$2,"state","SC","group","2c3")/GETPIVOTDATA("Total-New",'Distrib pivot table'!$C$2,"state","SC"),"*"))</f>
        <v>*</v>
      </c>
      <c r="Q36" s="1125">
        <f>IF((GETPIVOTDATA("Total-New",'Distrib pivot table'!$C$2,"state","TN","group","2c3")/GETPIVOTDATA("Total-New",'Distrib pivot table'!$C$2,"state","TN"))=0,,IF(GETPIVOTDATA("Total-New",'Distrib pivot table'!$C$2,"state","TN","group","2c3")/GETPIVOTDATA("Total-New",'Distrib pivot table'!$C$2,"state","TN")&gt;0.0005,GETPIVOTDATA("Total-New",'Distrib pivot table'!$C$2,"state","TN","group","2c3")/GETPIVOTDATA("Total-New",'Distrib pivot table'!$C$2,"state","TN"),"*"))</f>
        <v>0</v>
      </c>
      <c r="R36" s="1125">
        <f>IF((GETPIVOTDATA("Total-New",'Distrib pivot table'!$C$2,"state","TX","group","2c3")/GETPIVOTDATA("Total-New",'Distrib pivot table'!$C$2,"state","TX"))=0,,IF(GETPIVOTDATA("Total-New",'Distrib pivot table'!$C$2,"state","TX","group","2c3")/GETPIVOTDATA("Total-New",'Distrib pivot table'!$C$2,"state","TX")&gt;0.0005,GETPIVOTDATA("Total-New",'Distrib pivot table'!$C$2,"state","TX","group","2c3")/GETPIVOTDATA("Total-New",'Distrib pivot table'!$C$2,"state","TX"),"*"))</f>
        <v>0</v>
      </c>
      <c r="S36" s="1125" t="str">
        <f>IF((GETPIVOTDATA("Total-New",'Distrib pivot table'!$C$2,"state","VA","group","2c3")/GETPIVOTDATA("Total-New",'Distrib pivot table'!$C$2,"state","VA"))=0,,IF(GETPIVOTDATA("Total-New",'Distrib pivot table'!$C$2,"state","VA","group","2c3")/GETPIVOTDATA("Total-New",'Distrib pivot table'!$C$2,"state","VA")&gt;0.0005,GETPIVOTDATA("Total-New",'Distrib pivot table'!$C$2,"state","VA","group","2c3")/GETPIVOTDATA("Total-New",'Distrib pivot table'!$C$2,"state","VA"),"*"))</f>
        <v>*</v>
      </c>
      <c r="T36" s="1125" t="str">
        <f>IF((GETPIVOTDATA("Total-New",'Distrib pivot table'!$C$2,"state","WV","group","2c3")/GETPIVOTDATA("Total-New",'Distrib pivot table'!$C$2,"state","WV"))=0,,IF(GETPIVOTDATA("Total-New",'Distrib pivot table'!$C$2,"state","WV","group","2c3")/GETPIVOTDATA("Total-New",'Distrib pivot table'!$C$2,"state","WV")&gt;0.0005,GETPIVOTDATA("Total-New",'Distrib pivot table'!$C$2,"state","WV","group","2c3")/GETPIVOTDATA("Total-New",'Distrib pivot table'!$C$2,"state","WV"),"*"))</f>
        <v>*</v>
      </c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spans="1:50" s="45" customFormat="1" ht="24">
      <c r="A37" s="1172"/>
      <c r="B37" s="127" t="s">
        <v>653</v>
      </c>
      <c r="C37" s="818" t="s">
        <v>1804</v>
      </c>
      <c r="D37" s="1126">
        <f>SUM(D38:D52)</f>
        <v>6.2299489040316285E-2</v>
      </c>
      <c r="E37" s="1126">
        <f>SUM(E38:E52)</f>
        <v>1.213987451564826E-2</v>
      </c>
      <c r="F37" s="1126">
        <f t="shared" ref="F37:T37" si="5">SUM(F38:F52)</f>
        <v>2.8646388376762817E-2</v>
      </c>
      <c r="G37" s="1126">
        <f t="shared" si="5"/>
        <v>7.2355091319736319E-3</v>
      </c>
      <c r="H37" s="1126">
        <f t="shared" si="5"/>
        <v>0.11629155001375155</v>
      </c>
      <c r="I37" s="1126">
        <f t="shared" si="5"/>
        <v>0.10225724384855564</v>
      </c>
      <c r="J37" s="1126">
        <f t="shared" si="5"/>
        <v>7.6866802394694705E-2</v>
      </c>
      <c r="K37" s="1126">
        <f t="shared" si="5"/>
        <v>6.2323662335128101E-2</v>
      </c>
      <c r="L37" s="1126">
        <f t="shared" si="5"/>
        <v>3.1557056930587905E-2</v>
      </c>
      <c r="M37" s="1126">
        <f t="shared" si="5"/>
        <v>1.6077943425260928E-2</v>
      </c>
      <c r="N37" s="1126">
        <f t="shared" si="5"/>
        <v>4.94328973746955E-2</v>
      </c>
      <c r="O37" s="1126">
        <f t="shared" si="5"/>
        <v>4.3196034019308695E-2</v>
      </c>
      <c r="P37" s="1126">
        <f t="shared" si="5"/>
        <v>0.13250033261479785</v>
      </c>
      <c r="Q37" s="1126">
        <f t="shared" si="5"/>
        <v>0.14330688594468946</v>
      </c>
      <c r="R37" s="1126">
        <f t="shared" si="5"/>
        <v>3.1237750532976925E-2</v>
      </c>
      <c r="S37" s="1126">
        <f t="shared" si="5"/>
        <v>5.4329351101343445E-2</v>
      </c>
      <c r="T37" s="1126">
        <f t="shared" si="5"/>
        <v>7.7674218995157196E-2</v>
      </c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</row>
    <row r="38" spans="1:50" ht="12.6" customHeight="1">
      <c r="A38" s="1172"/>
      <c r="B38" s="128" t="s">
        <v>451</v>
      </c>
      <c r="C38" s="817" t="s">
        <v>1805</v>
      </c>
      <c r="D38" s="1125">
        <f>IF(GETPIVOTDATA("Total-New",'Distrib pivot table'!$C$2,"group","2d1")/GETPIVOTDATA("Total-New",'Distrib pivot table'!$C$2)=0,,IF(GETPIVOTDATA("Total-New",'Distrib pivot table'!$C$2,"group","2d1")/GETPIVOTDATA("Total-New",'Distrib pivot table'!$C$2)&gt;0.0005,GETPIVOTDATA("Total-New",'Distrib pivot table'!$C$2,"group","2d1")/GETPIVOTDATA("Total-New",'Distrib pivot table'!$C$2),"*"))</f>
        <v>8.4740040609954884E-3</v>
      </c>
      <c r="E38" s="1125">
        <f>IF((GETPIVOTDATA("Total-New",'Distrib pivot table'!$C$2,"state","AL","group","2d1")/GETPIVOTDATA("Total-New",'Distrib pivot table'!$C$2,"state","AL"))=0,,IF(GETPIVOTDATA("Total-New",'Distrib pivot table'!$C$2,"state","AL","group","2d1")/GETPIVOTDATA("Total-New",'Distrib pivot table'!$C$2,"state","AL")&gt;0.0005,GETPIVOTDATA("Total-New",'Distrib pivot table'!$C$2,"state","AL","group","2d1")/GETPIVOTDATA("Total-New",'Distrib pivot table'!$C$2,"state","AL"),"*"))</f>
        <v>0</v>
      </c>
      <c r="F38" s="1125">
        <f>IF((GETPIVOTDATA("Total-New",'Distrib pivot table'!$C$2,"state","AR","group","2d1")/GETPIVOTDATA("Total-New",'Distrib pivot table'!$C$2,"state","AR"))=0,,IF(GETPIVOTDATA("Total-New",'Distrib pivot table'!$C$2,"state","AR","group","2d1")/GETPIVOTDATA("Total-New",'Distrib pivot table'!$C$2,"state","AR")&gt;0.0005,GETPIVOTDATA("Total-New",'Distrib pivot table'!$C$2,"state","AR","group","2d1")/GETPIVOTDATA("Total-New",'Distrib pivot table'!$C$2,"state","AR"),"*"))</f>
        <v>0</v>
      </c>
      <c r="G38" s="1125">
        <f>IF((GETPIVOTDATA("Total-New",'Distrib pivot table'!$C$2,"state","DE","group","2d1")/GETPIVOTDATA("Total-New",'Distrib pivot table'!$C$2,"state","DE"))=0,,IF(GETPIVOTDATA("Total-New",'Distrib pivot table'!$C$2,"state","DE","group","2d1")/GETPIVOTDATA("Total-New",'Distrib pivot table'!$C$2,"state","DE")&gt;0.0005,GETPIVOTDATA("Total-New",'Distrib pivot table'!$C$2,"state","DE","group","2d1")/GETPIVOTDATA("Total-New",'Distrib pivot table'!$C$2,"state","DE"),"*"))</f>
        <v>8.9008574525462265E-4</v>
      </c>
      <c r="H38" s="1125" t="str">
        <f>IF((GETPIVOTDATA("Total-New",'Distrib pivot table'!$C$2,"state","FL","group","2d1")/GETPIVOTDATA("Total-New",'Distrib pivot table'!$C$2,"state","FL"))=0,,IF(GETPIVOTDATA("Total-New",'Distrib pivot table'!$C$2,"state","FL","group","2d1")/GETPIVOTDATA("Total-New",'Distrib pivot table'!$C$2,"state","FL")&gt;0.0005,GETPIVOTDATA("Total-New",'Distrib pivot table'!$C$2,"state","FL","group","2d1")/GETPIVOTDATA("Total-New",'Distrib pivot table'!$C$2,"state","FL"),"*"))</f>
        <v>*</v>
      </c>
      <c r="I38" s="1125">
        <f>IF((GETPIVOTDATA("Total-New",'Distrib pivot table'!$C$2,"state","GA","group","2d1")/GETPIVOTDATA("Total-New",'Distrib pivot table'!$C$2,"state","GA"))=0,,IF(GETPIVOTDATA("Total-New",'Distrib pivot table'!$C$2,"state","GA","group","2d1")/GETPIVOTDATA("Total-New",'Distrib pivot table'!$C$2,"state","GA")&gt;0.0005,GETPIVOTDATA("Total-New",'Distrib pivot table'!$C$2,"state","GA","group","2d1")/GETPIVOTDATA("Total-New",'Distrib pivot table'!$C$2,"state","GA"),"*"))</f>
        <v>2.8039079632004842E-3</v>
      </c>
      <c r="J38" s="1125">
        <f>IF((GETPIVOTDATA("Total-New",'Distrib pivot table'!$C$2,"state","KY","group","2d1")/GETPIVOTDATA("Total-New",'Distrib pivot table'!$C$2,"state","KY"))=0,,IF(GETPIVOTDATA("Total-New",'Distrib pivot table'!$C$2,"state","KY","group","2d1")/GETPIVOTDATA("Total-New",'Distrib pivot table'!$C$2,"state","KY")&gt;0.0005,GETPIVOTDATA("Total-New",'Distrib pivot table'!$C$2,"state","KY","group","2d1")/GETPIVOTDATA("Total-New",'Distrib pivot table'!$C$2,"state","KY"),"*"))</f>
        <v>0</v>
      </c>
      <c r="K38" s="1125">
        <f>IF((GETPIVOTDATA("Total-New",'Distrib pivot table'!$C$2,"state","LA","group","2d1")/GETPIVOTDATA("Total-New",'Distrib pivot table'!$C$2,"state","LA"))=0,,IF(GETPIVOTDATA("Total-New",'Distrib pivot table'!$C$2,"state","LA","group","2d1")/GETPIVOTDATA("Total-New",'Distrib pivot table'!$C$2,"state","LA")&gt;0.0005,GETPIVOTDATA("Total-New",'Distrib pivot table'!$C$2,"state","LA","group","2d1")/GETPIVOTDATA("Total-New",'Distrib pivot table'!$C$2,"state","LA"),"*"))</f>
        <v>0</v>
      </c>
      <c r="L38" s="1125">
        <f>IF((GETPIVOTDATA("Total-New",'Distrib pivot table'!$C$2,"state","MD","group","2d1")/GETPIVOTDATA("Total-New",'Distrib pivot table'!$C$2,"state","MD"))=0,,IF(GETPIVOTDATA("Total-New",'Distrib pivot table'!$C$2,"state","MD","group","2d1")/GETPIVOTDATA("Total-New",'Distrib pivot table'!$C$2,"state","MD")&gt;0.0005,GETPIVOTDATA("Total-New",'Distrib pivot table'!$C$2,"state","MD","group","2d1")/GETPIVOTDATA("Total-New",'Distrib pivot table'!$C$2,"state","MD"),"*"))</f>
        <v>0</v>
      </c>
      <c r="M38" s="1125">
        <f>IF((GETPIVOTDATA("Total-New",'Distrib pivot table'!$C$2,"state","MS","group","2d1")/GETPIVOTDATA("Total-New",'Distrib pivot table'!$C$2,"state","MS"))=0,,IF(GETPIVOTDATA("Total-New",'Distrib pivot table'!$C$2,"state","MS","group","2d1")/GETPIVOTDATA("Total-New",'Distrib pivot table'!$C$2,"state","MS")&gt;0.0005,GETPIVOTDATA("Total-New",'Distrib pivot table'!$C$2,"state","MS","group","2d1")/GETPIVOTDATA("Total-New",'Distrib pivot table'!$C$2,"state","MS"),"*"))</f>
        <v>0</v>
      </c>
      <c r="N38" s="1125">
        <f>IF((GETPIVOTDATA("Total-New",'Distrib pivot table'!$C$2,"state","NC","group","2d1")/GETPIVOTDATA("Total-New",'Distrib pivot table'!$C$2,"state","NC"))=0,,IF(GETPIVOTDATA("Total-New",'Distrib pivot table'!$C$2,"state","NC","group","2d1")/GETPIVOTDATA("Total-New",'Distrib pivot table'!$C$2,"state","NC")&gt;0.0005,GETPIVOTDATA("Total-New",'Distrib pivot table'!$C$2,"state","NC","group","2d1")/GETPIVOTDATA("Total-New",'Distrib pivot table'!$C$2,"state","NC"),"*"))</f>
        <v>0</v>
      </c>
      <c r="O38" s="1125">
        <f>IF((GETPIVOTDATA("Total-New",'Distrib pivot table'!$C$2,"state","OK","group","2d1")/GETPIVOTDATA("Total-New",'Distrib pivot table'!$C$2,"state","OK"))=0,,IF(GETPIVOTDATA("Total-New",'Distrib pivot table'!$C$2,"state","OK","group","2d1")/GETPIVOTDATA("Total-New",'Distrib pivot table'!$C$2,"state","OK")&gt;0.0005,GETPIVOTDATA("Total-New",'Distrib pivot table'!$C$2,"state","OK","group","2d1")/GETPIVOTDATA("Total-New",'Distrib pivot table'!$C$2,"state","OK"),"*"))</f>
        <v>4.1067401850890931E-2</v>
      </c>
      <c r="P38" s="1125" t="str">
        <f>IF((GETPIVOTDATA("Total-New",'Distrib pivot table'!$C$2,"state","SC","group","2d1")/GETPIVOTDATA("Total-New",'Distrib pivot table'!$C$2,"state","SC"))=0,,IF(GETPIVOTDATA("Total-New",'Distrib pivot table'!$C$2,"state","SC","group","2d1")/GETPIVOTDATA("Total-New",'Distrib pivot table'!$C$2,"state","SC")&gt;0.0005,GETPIVOTDATA("Total-New",'Distrib pivot table'!$C$2,"state","SC","group","2d1")/GETPIVOTDATA("Total-New",'Distrib pivot table'!$C$2,"state","SC"),"*"))</f>
        <v>*</v>
      </c>
      <c r="Q38" s="1125">
        <f>IF((GETPIVOTDATA("Total-New",'Distrib pivot table'!$C$2,"state","TN","group","2d1")/GETPIVOTDATA("Total-New",'Distrib pivot table'!$C$2,"state","TN"))=0,,IF(GETPIVOTDATA("Total-New",'Distrib pivot table'!$C$2,"state","TN","group","2d1")/GETPIVOTDATA("Total-New",'Distrib pivot table'!$C$2,"state","TN")&gt;0.0005,GETPIVOTDATA("Total-New",'Distrib pivot table'!$C$2,"state","TN","group","2d1")/GETPIVOTDATA("Total-New",'Distrib pivot table'!$C$2,"state","TN"),"*"))</f>
        <v>0</v>
      </c>
      <c r="R38" s="1125">
        <f>IF((GETPIVOTDATA("Total-New",'Distrib pivot table'!$C$2,"state","TX","group","2d1")/GETPIVOTDATA("Total-New",'Distrib pivot table'!$C$2,"state","TX"))=0,,IF(GETPIVOTDATA("Total-New",'Distrib pivot table'!$C$2,"state","TX","group","2d1")/GETPIVOTDATA("Total-New",'Distrib pivot table'!$C$2,"state","TX")&gt;0.0005,GETPIVOTDATA("Total-New",'Distrib pivot table'!$C$2,"state","TX","group","2d1")/GETPIVOTDATA("Total-New",'Distrib pivot table'!$C$2,"state","TX"),"*"))</f>
        <v>3.1237750532976925E-2</v>
      </c>
      <c r="S38" s="1125">
        <f>IF((GETPIVOTDATA("Total-New",'Distrib pivot table'!$C$2,"state","VA","group","2d1")/GETPIVOTDATA("Total-New",'Distrib pivot table'!$C$2,"state","VA"))=0,,IF(GETPIVOTDATA("Total-New",'Distrib pivot table'!$C$2,"state","VA","group","2d1")/GETPIVOTDATA("Total-New",'Distrib pivot table'!$C$2,"state","VA")&gt;0.0005,GETPIVOTDATA("Total-New",'Distrib pivot table'!$C$2,"state","VA","group","2d1")/GETPIVOTDATA("Total-New",'Distrib pivot table'!$C$2,"state","VA"),"*"))</f>
        <v>0</v>
      </c>
      <c r="T38" s="1125">
        <f>IF((GETPIVOTDATA("Total-New",'Distrib pivot table'!$C$2,"state","WV","group","2d1")/GETPIVOTDATA("Total-New",'Distrib pivot table'!$C$2,"state","WV"))=0,,IF(GETPIVOTDATA("Total-New",'Distrib pivot table'!$C$2,"state","WV","group","2d1")/GETPIVOTDATA("Total-New",'Distrib pivot table'!$C$2,"state","WV")&gt;0.0005,GETPIVOTDATA("Total-New",'Distrib pivot table'!$C$2,"state","WV","group","2d1")/GETPIVOTDATA("Total-New",'Distrib pivot table'!$C$2,"state","WV"),"*"))</f>
        <v>0</v>
      </c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</row>
    <row r="39" spans="1:50" ht="12.6" customHeight="1">
      <c r="A39" s="1172"/>
      <c r="B39" s="128" t="s">
        <v>1883</v>
      </c>
      <c r="C39" s="817" t="s">
        <v>1882</v>
      </c>
      <c r="D39" s="1125" t="str">
        <f>IF(GETPIVOTDATA("Total-New",'Distrib pivot table'!$C$2,"group","2d1a")/GETPIVOTDATA("Total-New",'Distrib pivot table'!$C$2)=0,,IF(GETPIVOTDATA("Total-New",'Distrib pivot table'!$C$2,"group","2d1a")/GETPIVOTDATA("Total-New",'Distrib pivot table'!$C$2)&gt;0.0005,GETPIVOTDATA("Total-New",'Distrib pivot table'!$C$2,"group","2d1a")/GETPIVOTDATA("Total-New",'Distrib pivot table'!$C$2),"*"))</f>
        <v>*</v>
      </c>
      <c r="E39" s="1125" t="str">
        <f>IF((GETPIVOTDATA("Total-New",'Distrib pivot table'!$C$2,"state","AL","group","2d1a")/GETPIVOTDATA("Total-New",'Distrib pivot table'!$C$2,"state","AL"))=0,,IF(GETPIVOTDATA("Total-New",'Distrib pivot table'!$C$2,"state","AL","group","2d1a")/GETPIVOTDATA("Total-New",'Distrib pivot table'!$C$2,"state","AL")&gt;0.0005,GETPIVOTDATA("Total-New",'Distrib pivot table'!$C$2,"state","AL","group","2d1a")/GETPIVOTDATA("Total-New",'Distrib pivot table'!$C$2,"state","AL"),"*"))</f>
        <v>*</v>
      </c>
      <c r="F39" s="1125">
        <f>IF((GETPIVOTDATA("Total-New",'Distrib pivot table'!$C$2,"state","AR","group","2d1a")/GETPIVOTDATA("Total-New",'Distrib pivot table'!$C$2,"state","AR"))=0,,IF(GETPIVOTDATA("Total-New",'Distrib pivot table'!$C$2,"state","AR","group","2d1a")/GETPIVOTDATA("Total-New",'Distrib pivot table'!$C$2,"state","AR")&gt;0.0005,GETPIVOTDATA("Total-New",'Distrib pivot table'!$C$2,"state","AR","group","2d1a")/GETPIVOTDATA("Total-New",'Distrib pivot table'!$C$2,"state","AR"),"*"))</f>
        <v>0</v>
      </c>
      <c r="G39" s="1125">
        <f>IF((GETPIVOTDATA("Total-New",'Distrib pivot table'!$C$2,"state","DE","group","2d1a")/GETPIVOTDATA("Total-New",'Distrib pivot table'!$C$2,"state","DE"))=0,,IF(GETPIVOTDATA("Total-New",'Distrib pivot table'!$C$2,"state","DE","group","2d1a")/GETPIVOTDATA("Total-New",'Distrib pivot table'!$C$2,"state","DE")&gt;0.0005,GETPIVOTDATA("Total-New",'Distrib pivot table'!$C$2,"state","DE","group","2d1a")/GETPIVOTDATA("Total-New",'Distrib pivot table'!$C$2,"state","DE"),"*"))</f>
        <v>0</v>
      </c>
      <c r="H39" s="1125">
        <f>IF((GETPIVOTDATA("Total-New",'Distrib pivot table'!$C$2,"state","FL","group","2d1a")/GETPIVOTDATA("Total-New",'Distrib pivot table'!$C$2,"state","FL"))=0,,IF(GETPIVOTDATA("Total-New",'Distrib pivot table'!$C$2,"state","FL","group","2d1a")/GETPIVOTDATA("Total-New",'Distrib pivot table'!$C$2,"state","FL")&gt;0.0005,GETPIVOTDATA("Total-New",'Distrib pivot table'!$C$2,"state","FL","group","2d1a")/GETPIVOTDATA("Total-New",'Distrib pivot table'!$C$2,"state","FL"),"*"))</f>
        <v>1.3117788576471453E-3</v>
      </c>
      <c r="I39" s="1125">
        <f>IF((GETPIVOTDATA("Total-New",'Distrib pivot table'!$C$2,"state","GA","group","2d1a")/GETPIVOTDATA("Total-New",'Distrib pivot table'!$C$2,"state","GA"))=0,,IF(GETPIVOTDATA("Total-New",'Distrib pivot table'!$C$2,"state","GA","group","2d1a")/GETPIVOTDATA("Total-New",'Distrib pivot table'!$C$2,"state","GA")&gt;0.0005,GETPIVOTDATA("Total-New",'Distrib pivot table'!$C$2,"state","GA","group","2d1a")/GETPIVOTDATA("Total-New",'Distrib pivot table'!$C$2,"state","GA"),"*"))</f>
        <v>0</v>
      </c>
      <c r="J39" s="1125">
        <f>IF((GETPIVOTDATA("Total-New",'Distrib pivot table'!$C$2,"state","KY","group","2d1a")/GETPIVOTDATA("Total-New",'Distrib pivot table'!$C$2,"state","KY"))=0,,IF(GETPIVOTDATA("Total-New",'Distrib pivot table'!$C$2,"state","KY","group","2d1a")/GETPIVOTDATA("Total-New",'Distrib pivot table'!$C$2,"state","KY")&gt;0.0005,GETPIVOTDATA("Total-New",'Distrib pivot table'!$C$2,"state","KY","group","2d1a")/GETPIVOTDATA("Total-New",'Distrib pivot table'!$C$2,"state","KY"),"*"))</f>
        <v>0</v>
      </c>
      <c r="K39" s="1125">
        <f>IF((GETPIVOTDATA("Total-New",'Distrib pivot table'!$C$2,"state","LA","group","2d1a")/GETPIVOTDATA("Total-New",'Distrib pivot table'!$C$2,"state","LA"))=0,,IF(GETPIVOTDATA("Total-New",'Distrib pivot table'!$C$2,"state","LA","group","2d1a")/GETPIVOTDATA("Total-New",'Distrib pivot table'!$C$2,"state","LA")&gt;0.0005,GETPIVOTDATA("Total-New",'Distrib pivot table'!$C$2,"state","LA","group","2d1a")/GETPIVOTDATA("Total-New",'Distrib pivot table'!$C$2,"state","LA"),"*"))</f>
        <v>0</v>
      </c>
      <c r="L39" s="1125">
        <f>IF((GETPIVOTDATA("Total-New",'Distrib pivot table'!$C$2,"state","MD","group","2d1a")/GETPIVOTDATA("Total-New",'Distrib pivot table'!$C$2,"state","MD"))=0,,IF(GETPIVOTDATA("Total-New",'Distrib pivot table'!$C$2,"state","MD","group","2d1a")/GETPIVOTDATA("Total-New",'Distrib pivot table'!$C$2,"state","MD")&gt;0.0005,GETPIVOTDATA("Total-New",'Distrib pivot table'!$C$2,"state","MD","group","2d1a")/GETPIVOTDATA("Total-New",'Distrib pivot table'!$C$2,"state","MD"),"*"))</f>
        <v>0</v>
      </c>
      <c r="M39" s="1125">
        <f>IF((GETPIVOTDATA("Total-New",'Distrib pivot table'!$C$2,"state","MS","group","2d1a")/GETPIVOTDATA("Total-New",'Distrib pivot table'!$C$2,"state","MS"))=0,,IF(GETPIVOTDATA("Total-New",'Distrib pivot table'!$C$2,"state","MS","group","2d1a")/GETPIVOTDATA("Total-New",'Distrib pivot table'!$C$2,"state","MS")&gt;0.0005,GETPIVOTDATA("Total-New",'Distrib pivot table'!$C$2,"state","MS","group","2d1a")/GETPIVOTDATA("Total-New",'Distrib pivot table'!$C$2,"state","MS"),"*"))</f>
        <v>0</v>
      </c>
      <c r="N39" s="1125" t="str">
        <f>IF((GETPIVOTDATA("Total-New",'Distrib pivot table'!$C$2,"state","NC","group","2d1a")/GETPIVOTDATA("Total-New",'Distrib pivot table'!$C$2,"state","NC"))=0,,IF(GETPIVOTDATA("Total-New",'Distrib pivot table'!$C$2,"state","NC","group","2d1a")/GETPIVOTDATA("Total-New",'Distrib pivot table'!$C$2,"state","NC")&gt;0.0005,GETPIVOTDATA("Total-New",'Distrib pivot table'!$C$2,"state","NC","group","2d1a")/GETPIVOTDATA("Total-New",'Distrib pivot table'!$C$2,"state","NC"),"*"))</f>
        <v>*</v>
      </c>
      <c r="O39" s="1125">
        <f>IF((GETPIVOTDATA("Total-New",'Distrib pivot table'!$C$2,"state","OK","group","2d1a")/GETPIVOTDATA("Total-New",'Distrib pivot table'!$C$2,"state","OK"))=0,,IF(GETPIVOTDATA("Total-New",'Distrib pivot table'!$C$2,"state","OK","group","2d1a")/GETPIVOTDATA("Total-New",'Distrib pivot table'!$C$2,"state","OK")&gt;0.0005,GETPIVOTDATA("Total-New",'Distrib pivot table'!$C$2,"state","OK","group","2d1a")/GETPIVOTDATA("Total-New",'Distrib pivot table'!$C$2,"state","OK"),"*"))</f>
        <v>0</v>
      </c>
      <c r="P39" s="1125">
        <f>IF((GETPIVOTDATA("Total-New",'Distrib pivot table'!$C$2,"state","SC","group","2d1a")/GETPIVOTDATA("Total-New",'Distrib pivot table'!$C$2,"state","SC"))=0,,IF(GETPIVOTDATA("Total-New",'Distrib pivot table'!$C$2,"state","SC","group","2d1a")/GETPIVOTDATA("Total-New",'Distrib pivot table'!$C$2,"state","SC")&gt;0.0005,GETPIVOTDATA("Total-New",'Distrib pivot table'!$C$2,"state","SC","group","2d1a")/GETPIVOTDATA("Total-New",'Distrib pivot table'!$C$2,"state","SC"),"*"))</f>
        <v>0</v>
      </c>
      <c r="Q39" s="1125">
        <f>IF((GETPIVOTDATA("Total-New",'Distrib pivot table'!$C$2,"state","TN","group","2d1a")/GETPIVOTDATA("Total-New",'Distrib pivot table'!$C$2,"state","TN"))=0,,IF(GETPIVOTDATA("Total-New",'Distrib pivot table'!$C$2,"state","TN","group","2d1a")/GETPIVOTDATA("Total-New",'Distrib pivot table'!$C$2,"state","TN")&gt;0.0005,GETPIVOTDATA("Total-New",'Distrib pivot table'!$C$2,"state","TN","group","2d1a")/GETPIVOTDATA("Total-New",'Distrib pivot table'!$C$2,"state","TN"),"*"))</f>
        <v>0</v>
      </c>
      <c r="R39" s="1125">
        <f>IF((GETPIVOTDATA("Total-New",'Distrib pivot table'!$C$2,"state","TX","group","2d1a")/GETPIVOTDATA("Total-New",'Distrib pivot table'!$C$2,"state","TX"))=0,,IF(GETPIVOTDATA("Total-New",'Distrib pivot table'!$C$2,"state","TX","group","2d1a")/GETPIVOTDATA("Total-New",'Distrib pivot table'!$C$2,"state","TX")&gt;0.0005,GETPIVOTDATA("Total-New",'Distrib pivot table'!$C$2,"state","TX","group","2d1a")/GETPIVOTDATA("Total-New",'Distrib pivot table'!$C$2,"state","TX"),"*"))</f>
        <v>0</v>
      </c>
      <c r="S39" s="1125">
        <f>IF((GETPIVOTDATA("Total-New",'Distrib pivot table'!$C$2,"state","VA","group","2d1a")/GETPIVOTDATA("Total-New",'Distrib pivot table'!$C$2,"state","VA"))=0,,IF(GETPIVOTDATA("Total-New",'Distrib pivot table'!$C$2,"state","VA","group","2d1a")/GETPIVOTDATA("Total-New",'Distrib pivot table'!$C$2,"state","VA")&gt;0.0005,GETPIVOTDATA("Total-New",'Distrib pivot table'!$C$2,"state","VA","group","2d1a")/GETPIVOTDATA("Total-New",'Distrib pivot table'!$C$2,"state","VA"),"*"))</f>
        <v>0</v>
      </c>
      <c r="T39" s="1125">
        <f>IF((GETPIVOTDATA("Total-New",'Distrib pivot table'!$C$2,"state","WV","group","2d1a")/GETPIVOTDATA("Total-New",'Distrib pivot table'!$C$2,"state","WV"))=0,,IF(GETPIVOTDATA("Total-New",'Distrib pivot table'!$C$2,"state","WV","group","2d1a")/GETPIVOTDATA("Total-New",'Distrib pivot table'!$C$2,"state","WV")&gt;0.0005,GETPIVOTDATA("Total-New",'Distrib pivot table'!$C$2,"state","WV","group","2d1a")/GETPIVOTDATA("Total-New",'Distrib pivot table'!$C$2,"state","WV"),"*"))</f>
        <v>0</v>
      </c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</row>
    <row r="40" spans="1:50" ht="12.6" customHeight="1">
      <c r="A40" s="1172"/>
      <c r="B40" s="128" t="s">
        <v>1761</v>
      </c>
      <c r="C40" s="817" t="s">
        <v>1763</v>
      </c>
      <c r="D40" s="1125">
        <f>IF(GETPIVOTDATA("Total-New",'Distrib pivot table'!$C$2,"group","2d1b")/GETPIVOTDATA("Total-New",'Distrib pivot table'!$C$2)=0,,IF(GETPIVOTDATA("Total-New",'Distrib pivot table'!$C$2,"group","2d1b")/GETPIVOTDATA("Total-New",'Distrib pivot table'!$C$2)&gt;0.0005,GETPIVOTDATA("Total-New",'Distrib pivot table'!$C$2,"group","2d1b")/GETPIVOTDATA("Total-New",'Distrib pivot table'!$C$2),"*"))</f>
        <v>8.6040316166954723E-3</v>
      </c>
      <c r="E40" s="1125">
        <f>IF((GETPIVOTDATA("Total-New",'Distrib pivot table'!$C$2,"state","AL","group","2d1b")/GETPIVOTDATA("Total-New",'Distrib pivot table'!$C$2,"state","AL"))=0,,IF(GETPIVOTDATA("Total-New",'Distrib pivot table'!$C$2,"state","AL","group","2d1b")/GETPIVOTDATA("Total-New",'Distrib pivot table'!$C$2,"state","AL")&gt;0.0005,GETPIVOTDATA("Total-New",'Distrib pivot table'!$C$2,"state","AL","group","2d1b")/GETPIVOTDATA("Total-New",'Distrib pivot table'!$C$2,"state","AL"),"*"))</f>
        <v>7.1885199819052932E-4</v>
      </c>
      <c r="F40" s="1125" t="str">
        <f>IF((GETPIVOTDATA("Total-New",'Distrib pivot table'!$C$2,"state","AR","group","2d1b")/GETPIVOTDATA("Total-New",'Distrib pivot table'!$C$2,"state","AR"))=0,,IF(GETPIVOTDATA("Total-New",'Distrib pivot table'!$C$2,"state","AR","group","2d1b")/GETPIVOTDATA("Total-New",'Distrib pivot table'!$C$2,"state","AR")&gt;0.0005,GETPIVOTDATA("Total-New",'Distrib pivot table'!$C$2,"state","AR","group","2d1b")/GETPIVOTDATA("Total-New",'Distrib pivot table'!$C$2,"state","AR"),"*"))</f>
        <v>*</v>
      </c>
      <c r="G40" s="1125">
        <f>IF((GETPIVOTDATA("Total-New",'Distrib pivot table'!$C$2,"state","DE","group","2d1b")/GETPIVOTDATA("Total-New",'Distrib pivot table'!$C$2,"state","DE"))=0,,IF(GETPIVOTDATA("Total-New",'Distrib pivot table'!$C$2,"state","DE","group","2d1b")/GETPIVOTDATA("Total-New",'Distrib pivot table'!$C$2,"state","DE")&gt;0.0005,GETPIVOTDATA("Total-New",'Distrib pivot table'!$C$2,"state","DE","group","2d1b")/GETPIVOTDATA("Total-New",'Distrib pivot table'!$C$2,"state","DE"),"*"))</f>
        <v>0</v>
      </c>
      <c r="H40" s="1125">
        <f>IF((GETPIVOTDATA("Total-New",'Distrib pivot table'!$C$2,"state","FL","group","2d1b")/GETPIVOTDATA("Total-New",'Distrib pivot table'!$C$2,"state","FL"))=0,,IF(GETPIVOTDATA("Total-New",'Distrib pivot table'!$C$2,"state","FL","group","2d1b")/GETPIVOTDATA("Total-New",'Distrib pivot table'!$C$2,"state","FL")&gt;0.0005,GETPIVOTDATA("Total-New",'Distrib pivot table'!$C$2,"state","FL","group","2d1b")/GETPIVOTDATA("Total-New",'Distrib pivot table'!$C$2,"state","FL"),"*"))</f>
        <v>7.5038691974863958E-2</v>
      </c>
      <c r="I40" s="1125">
        <f>IF((GETPIVOTDATA("Total-New",'Distrib pivot table'!$C$2,"state","GA","group","2d1b")/GETPIVOTDATA("Total-New",'Distrib pivot table'!$C$2,"state","GA"))=0,,IF(GETPIVOTDATA("Total-New",'Distrib pivot table'!$C$2,"state","GA","group","2d1b")/GETPIVOTDATA("Total-New",'Distrib pivot table'!$C$2,"state","GA")&gt;0.0005,GETPIVOTDATA("Total-New",'Distrib pivot table'!$C$2,"state","GA","group","2d1b")/GETPIVOTDATA("Total-New",'Distrib pivot table'!$C$2,"state","GA"),"*"))</f>
        <v>0</v>
      </c>
      <c r="J40" s="1125">
        <f>IF((GETPIVOTDATA("Total-New",'Distrib pivot table'!$C$2,"state","KY","group","2d1b")/GETPIVOTDATA("Total-New",'Distrib pivot table'!$C$2,"state","KY"))=0,,IF(GETPIVOTDATA("Total-New",'Distrib pivot table'!$C$2,"state","KY","group","2d1b")/GETPIVOTDATA("Total-New",'Distrib pivot table'!$C$2,"state","KY")&gt;0.0005,GETPIVOTDATA("Total-New",'Distrib pivot table'!$C$2,"state","KY","group","2d1b")/GETPIVOTDATA("Total-New",'Distrib pivot table'!$C$2,"state","KY"),"*"))</f>
        <v>0</v>
      </c>
      <c r="K40" s="1125">
        <f>IF((GETPIVOTDATA("Total-New",'Distrib pivot table'!$C$2,"state","LA","group","2d1b")/GETPIVOTDATA("Total-New",'Distrib pivot table'!$C$2,"state","LA"))=0,,IF(GETPIVOTDATA("Total-New",'Distrib pivot table'!$C$2,"state","LA","group","2d1b")/GETPIVOTDATA("Total-New",'Distrib pivot table'!$C$2,"state","LA")&gt;0.0005,GETPIVOTDATA("Total-New",'Distrib pivot table'!$C$2,"state","LA","group","2d1b")/GETPIVOTDATA("Total-New",'Distrib pivot table'!$C$2,"state","LA"),"*"))</f>
        <v>0</v>
      </c>
      <c r="L40" s="1125">
        <f>IF((GETPIVOTDATA("Total-New",'Distrib pivot table'!$C$2,"state","MD","group","2d1b")/GETPIVOTDATA("Total-New",'Distrib pivot table'!$C$2,"state","MD"))=0,,IF(GETPIVOTDATA("Total-New",'Distrib pivot table'!$C$2,"state","MD","group","2d1b")/GETPIVOTDATA("Total-New",'Distrib pivot table'!$C$2,"state","MD")&gt;0.0005,GETPIVOTDATA("Total-New",'Distrib pivot table'!$C$2,"state","MD","group","2d1b")/GETPIVOTDATA("Total-New",'Distrib pivot table'!$C$2,"state","MD"),"*"))</f>
        <v>0</v>
      </c>
      <c r="M40" s="1125">
        <f>IF((GETPIVOTDATA("Total-New",'Distrib pivot table'!$C$2,"state","MS","group","2d1b")/GETPIVOTDATA("Total-New",'Distrib pivot table'!$C$2,"state","MS"))=0,,IF(GETPIVOTDATA("Total-New",'Distrib pivot table'!$C$2,"state","MS","group","2d1b")/GETPIVOTDATA("Total-New",'Distrib pivot table'!$C$2,"state","MS")&gt;0.0005,GETPIVOTDATA("Total-New",'Distrib pivot table'!$C$2,"state","MS","group","2d1b")/GETPIVOTDATA("Total-New",'Distrib pivot table'!$C$2,"state","MS"),"*"))</f>
        <v>0</v>
      </c>
      <c r="N40" s="1125">
        <f>IF((GETPIVOTDATA("Total-New",'Distrib pivot table'!$C$2,"state","NC","group","2d1b")/GETPIVOTDATA("Total-New",'Distrib pivot table'!$C$2,"state","NC"))=0,,IF(GETPIVOTDATA("Total-New",'Distrib pivot table'!$C$2,"state","NC","group","2d1b")/GETPIVOTDATA("Total-New",'Distrib pivot table'!$C$2,"state","NC")&gt;0.0005,GETPIVOTDATA("Total-New",'Distrib pivot table'!$C$2,"state","NC","group","2d1b")/GETPIVOTDATA("Total-New",'Distrib pivot table'!$C$2,"state","NC"),"*"))</f>
        <v>1.6244735615574648E-3</v>
      </c>
      <c r="O40" s="1125">
        <f>IF((GETPIVOTDATA("Total-New",'Distrib pivot table'!$C$2,"state","OK","group","2d1b")/GETPIVOTDATA("Total-New",'Distrib pivot table'!$C$2,"state","OK"))=0,,IF(GETPIVOTDATA("Total-New",'Distrib pivot table'!$C$2,"state","OK","group","2d1b")/GETPIVOTDATA("Total-New",'Distrib pivot table'!$C$2,"state","OK")&gt;0.0005,GETPIVOTDATA("Total-New",'Distrib pivot table'!$C$2,"state","OK","group","2d1b")/GETPIVOTDATA("Total-New",'Distrib pivot table'!$C$2,"state","OK"),"*"))</f>
        <v>0</v>
      </c>
      <c r="P40" s="1125">
        <f>IF((GETPIVOTDATA("Total-New",'Distrib pivot table'!$C$2,"state","SC","group","2d1b")/GETPIVOTDATA("Total-New",'Distrib pivot table'!$C$2,"state","SC"))=0,,IF(GETPIVOTDATA("Total-New",'Distrib pivot table'!$C$2,"state","SC","group","2d1b")/GETPIVOTDATA("Total-New",'Distrib pivot table'!$C$2,"state","SC")&gt;0.0005,GETPIVOTDATA("Total-New",'Distrib pivot table'!$C$2,"state","SC","group","2d1b")/GETPIVOTDATA("Total-New",'Distrib pivot table'!$C$2,"state","SC"),"*"))</f>
        <v>7.2939489352437077E-4</v>
      </c>
      <c r="Q40" s="1125">
        <f>IF((GETPIVOTDATA("Total-New",'Distrib pivot table'!$C$2,"state","TN","group","2d1b")/GETPIVOTDATA("Total-New",'Distrib pivot table'!$C$2,"state","TN"))=0,,IF(GETPIVOTDATA("Total-New",'Distrib pivot table'!$C$2,"state","TN","group","2d1b")/GETPIVOTDATA("Total-New",'Distrib pivot table'!$C$2,"state","TN")&gt;0.0005,GETPIVOTDATA("Total-New",'Distrib pivot table'!$C$2,"state","TN","group","2d1b")/GETPIVOTDATA("Total-New",'Distrib pivot table'!$C$2,"state","TN"),"*"))</f>
        <v>0</v>
      </c>
      <c r="R40" s="1125">
        <f>IF((GETPIVOTDATA("Total-New",'Distrib pivot table'!$C$2,"state","TX","group","2d1b")/GETPIVOTDATA("Total-New",'Distrib pivot table'!$C$2,"state","TX"))=0,,IF(GETPIVOTDATA("Total-New",'Distrib pivot table'!$C$2,"state","TX","group","2d1b")/GETPIVOTDATA("Total-New",'Distrib pivot table'!$C$2,"state","TX")&gt;0.0005,GETPIVOTDATA("Total-New",'Distrib pivot table'!$C$2,"state","TX","group","2d1b")/GETPIVOTDATA("Total-New",'Distrib pivot table'!$C$2,"state","TX"),"*"))</f>
        <v>0</v>
      </c>
      <c r="S40" s="1125">
        <f>IF((GETPIVOTDATA("Total-New",'Distrib pivot table'!$C$2,"state","VA","group","2d1b")/GETPIVOTDATA("Total-New",'Distrib pivot table'!$C$2,"state","VA"))=0,,IF(GETPIVOTDATA("Total-New",'Distrib pivot table'!$C$2,"state","VA","group","2d1b")/GETPIVOTDATA("Total-New",'Distrib pivot table'!$C$2,"state","VA")&gt;0.0005,GETPIVOTDATA("Total-New",'Distrib pivot table'!$C$2,"state","VA","group","2d1b")/GETPIVOTDATA("Total-New",'Distrib pivot table'!$C$2,"state","VA"),"*"))</f>
        <v>0</v>
      </c>
      <c r="T40" s="1125">
        <f>IF((GETPIVOTDATA("Total-New",'Distrib pivot table'!$C$2,"state","WV","group","2d1b")/GETPIVOTDATA("Total-New",'Distrib pivot table'!$C$2,"state","WV"))=0,,IF(GETPIVOTDATA("Total-New",'Distrib pivot table'!$C$2,"state","WV","group","2d1b")/GETPIVOTDATA("Total-New",'Distrib pivot table'!$C$2,"state","WV")&gt;0.0005,GETPIVOTDATA("Total-New",'Distrib pivot table'!$C$2,"state","WV","group","2d1b")/GETPIVOTDATA("Total-New",'Distrib pivot table'!$C$2,"state","WV"),"*"))</f>
        <v>0</v>
      </c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</row>
    <row r="41" spans="1:50" ht="12.6" customHeight="1">
      <c r="A41" s="1172"/>
      <c r="B41" s="128" t="s">
        <v>1762</v>
      </c>
      <c r="C41" s="817" t="s">
        <v>1510</v>
      </c>
      <c r="D41" s="1125">
        <f>IF(GETPIVOTDATA("Total-New",'Distrib pivot table'!$C$2,"group","2d1c")/GETPIVOTDATA("Total-New",'Distrib pivot table'!$C$2)=0,,IF(GETPIVOTDATA("Total-New",'Distrib pivot table'!$C$2,"group","2d1c")/GETPIVOTDATA("Total-New",'Distrib pivot table'!$C$2)&gt;0.0005,GETPIVOTDATA("Total-New",'Distrib pivot table'!$C$2,"group","2d1c")/GETPIVOTDATA("Total-New",'Distrib pivot table'!$C$2),"*"))</f>
        <v>0</v>
      </c>
      <c r="E41" s="1125">
        <f>IF((GETPIVOTDATA("Total-New",'Distrib pivot table'!$C$2,"state","AL","group","2d1c")/GETPIVOTDATA("Total-New",'Distrib pivot table'!$C$2,"state","AL"))=0,,IF(GETPIVOTDATA("Total-New",'Distrib pivot table'!$C$2,"state","AL","group","2d1c")/GETPIVOTDATA("Total-New",'Distrib pivot table'!$C$2,"state","AL")&gt;0.0005,GETPIVOTDATA("Total-New",'Distrib pivot table'!$C$2,"state","AL","group","2d1c")/GETPIVOTDATA("Total-New",'Distrib pivot table'!$C$2,"state","AL"),"*"))</f>
        <v>0</v>
      </c>
      <c r="F41" s="1125">
        <f>IF((GETPIVOTDATA("Total-New",'Distrib pivot table'!$C$2,"state","AR","group","2d1c")/GETPIVOTDATA("Total-New",'Distrib pivot table'!$C$2,"state","AR"))=0,,IF(GETPIVOTDATA("Total-New",'Distrib pivot table'!$C$2,"state","AR","group","2d1c")/GETPIVOTDATA("Total-New",'Distrib pivot table'!$C$2,"state","AR")&gt;0.0005,GETPIVOTDATA("Total-New",'Distrib pivot table'!$C$2,"state","AR","group","2d1c")/GETPIVOTDATA("Total-New",'Distrib pivot table'!$C$2,"state","AR"),"*"))</f>
        <v>0</v>
      </c>
      <c r="G41" s="1125">
        <f>IF((GETPIVOTDATA("Total-New",'Distrib pivot table'!$C$2,"state","DE","group","2d1c")/GETPIVOTDATA("Total-New",'Distrib pivot table'!$C$2,"state","DE"))=0,,IF(GETPIVOTDATA("Total-New",'Distrib pivot table'!$C$2,"state","DE","group","2d1c")/GETPIVOTDATA("Total-New",'Distrib pivot table'!$C$2,"state","DE")&gt;0.0005,GETPIVOTDATA("Total-New",'Distrib pivot table'!$C$2,"state","DE","group","2d1c")/GETPIVOTDATA("Total-New",'Distrib pivot table'!$C$2,"state","DE"),"*"))</f>
        <v>0</v>
      </c>
      <c r="H41" s="1125">
        <f>IF((GETPIVOTDATA("Total-New",'Distrib pivot table'!$C$2,"state","FL","group","2d1c")/GETPIVOTDATA("Total-New",'Distrib pivot table'!$C$2,"state","FL"))=0,,IF(GETPIVOTDATA("Total-New",'Distrib pivot table'!$C$2,"state","FL","group","2d1c")/GETPIVOTDATA("Total-New",'Distrib pivot table'!$C$2,"state","FL")&gt;0.0005,GETPIVOTDATA("Total-New",'Distrib pivot table'!$C$2,"state","FL","group","2d1c")/GETPIVOTDATA("Total-New",'Distrib pivot table'!$C$2,"state","FL"),"*"))</f>
        <v>0</v>
      </c>
      <c r="I41" s="1125">
        <f>IF((GETPIVOTDATA("Total-New",'Distrib pivot table'!$C$2,"state","GA","group","2d1c")/GETPIVOTDATA("Total-New",'Distrib pivot table'!$C$2,"state","GA"))=0,,IF(GETPIVOTDATA("Total-New",'Distrib pivot table'!$C$2,"state","GA","group","2d1c")/GETPIVOTDATA("Total-New",'Distrib pivot table'!$C$2,"state","GA")&gt;0.0005,GETPIVOTDATA("Total-New",'Distrib pivot table'!$C$2,"state","GA","group","2d1c")/GETPIVOTDATA("Total-New",'Distrib pivot table'!$C$2,"state","GA"),"*"))</f>
        <v>0</v>
      </c>
      <c r="J41" s="1125">
        <f>IF((GETPIVOTDATA("Total-New",'Distrib pivot table'!$C$2,"state","KY","group","2d1c")/GETPIVOTDATA("Total-New",'Distrib pivot table'!$C$2,"state","KY"))=0,,IF(GETPIVOTDATA("Total-New",'Distrib pivot table'!$C$2,"state","KY","group","2d1c")/GETPIVOTDATA("Total-New",'Distrib pivot table'!$C$2,"state","KY")&gt;0.0005,GETPIVOTDATA("Total-New",'Distrib pivot table'!$C$2,"state","KY","group","2d1c")/GETPIVOTDATA("Total-New",'Distrib pivot table'!$C$2,"state","KY"),"*"))</f>
        <v>0</v>
      </c>
      <c r="K41" s="1125">
        <f>IF((GETPIVOTDATA("Total-New",'Distrib pivot table'!$C$2,"state","LA","group","2d1c")/GETPIVOTDATA("Total-New",'Distrib pivot table'!$C$2,"state","LA"))=0,,IF(GETPIVOTDATA("Total-New",'Distrib pivot table'!$C$2,"state","LA","group","2d1c")/GETPIVOTDATA("Total-New",'Distrib pivot table'!$C$2,"state","LA")&gt;0.0005,GETPIVOTDATA("Total-New",'Distrib pivot table'!$C$2,"state","LA","group","2d1c")/GETPIVOTDATA("Total-New",'Distrib pivot table'!$C$2,"state","LA"),"*"))</f>
        <v>0</v>
      </c>
      <c r="L41" s="1125">
        <f>IF((GETPIVOTDATA("Total-New",'Distrib pivot table'!$C$2,"state","MD","group","2d1c")/GETPIVOTDATA("Total-New",'Distrib pivot table'!$C$2,"state","MD"))=0,,IF(GETPIVOTDATA("Total-New",'Distrib pivot table'!$C$2,"state","MD","group","2d1c")/GETPIVOTDATA("Total-New",'Distrib pivot table'!$C$2,"state","MD")&gt;0.0005,GETPIVOTDATA("Total-New",'Distrib pivot table'!$C$2,"state","MD","group","2d1c")/GETPIVOTDATA("Total-New",'Distrib pivot table'!$C$2,"state","MD"),"*"))</f>
        <v>0</v>
      </c>
      <c r="M41" s="1125">
        <f>IF((GETPIVOTDATA("Total-New",'Distrib pivot table'!$C$2,"state","MS","group","2d1c")/GETPIVOTDATA("Total-New",'Distrib pivot table'!$C$2,"state","MS"))=0,,IF(GETPIVOTDATA("Total-New",'Distrib pivot table'!$C$2,"state","MS","group","2d1c")/GETPIVOTDATA("Total-New",'Distrib pivot table'!$C$2,"state","MS")&gt;0.0005,GETPIVOTDATA("Total-New",'Distrib pivot table'!$C$2,"state","MS","group","2d1c")/GETPIVOTDATA("Total-New",'Distrib pivot table'!$C$2,"state","MS"),"*"))</f>
        <v>0</v>
      </c>
      <c r="N41" s="1125">
        <f>IF((GETPIVOTDATA("Total-New",'Distrib pivot table'!$C$2,"state","NC","group","2d1c")/GETPIVOTDATA("Total-New",'Distrib pivot table'!$C$2,"state","NC"))=0,,IF(GETPIVOTDATA("Total-New",'Distrib pivot table'!$C$2,"state","NC","group","2d1c")/GETPIVOTDATA("Total-New",'Distrib pivot table'!$C$2,"state","NC")&gt;0.0005,GETPIVOTDATA("Total-New",'Distrib pivot table'!$C$2,"state","NC","group","2d1c")/GETPIVOTDATA("Total-New",'Distrib pivot table'!$C$2,"state","NC"),"*"))</f>
        <v>0</v>
      </c>
      <c r="O41" s="1125">
        <f>IF((GETPIVOTDATA("Total-New",'Distrib pivot table'!$C$2,"state","OK","group","2d1c")/GETPIVOTDATA("Total-New",'Distrib pivot table'!$C$2,"state","OK"))=0,,IF(GETPIVOTDATA("Total-New",'Distrib pivot table'!$C$2,"state","OK","group","2d1c")/GETPIVOTDATA("Total-New",'Distrib pivot table'!$C$2,"state","OK")&gt;0.0005,GETPIVOTDATA("Total-New",'Distrib pivot table'!$C$2,"state","OK","group","2d1c")/GETPIVOTDATA("Total-New",'Distrib pivot table'!$C$2,"state","OK"),"*"))</f>
        <v>0</v>
      </c>
      <c r="P41" s="1125">
        <f>IF((GETPIVOTDATA("Total-New",'Distrib pivot table'!$C$2,"state","SC","group","2d1c")/GETPIVOTDATA("Total-New",'Distrib pivot table'!$C$2,"state","SC"))=0,,IF(GETPIVOTDATA("Total-New",'Distrib pivot table'!$C$2,"state","SC","group","2d1c")/GETPIVOTDATA("Total-New",'Distrib pivot table'!$C$2,"state","SC")&gt;0.0005,GETPIVOTDATA("Total-New",'Distrib pivot table'!$C$2,"state","SC","group","2d1c")/GETPIVOTDATA("Total-New",'Distrib pivot table'!$C$2,"state","SC"),"*"))</f>
        <v>0</v>
      </c>
      <c r="Q41" s="1125">
        <f>IF((GETPIVOTDATA("Total-New",'Distrib pivot table'!$C$2,"state","TN","group","2d1c")/GETPIVOTDATA("Total-New",'Distrib pivot table'!$C$2,"state","TN"))=0,,IF(GETPIVOTDATA("Total-New",'Distrib pivot table'!$C$2,"state","TN","group","2d1c")/GETPIVOTDATA("Total-New",'Distrib pivot table'!$C$2,"state","TN")&gt;0.0005,GETPIVOTDATA("Total-New",'Distrib pivot table'!$C$2,"state","TN","group","2d1c")/GETPIVOTDATA("Total-New",'Distrib pivot table'!$C$2,"state","TN"),"*"))</f>
        <v>0</v>
      </c>
      <c r="R41" s="1125">
        <f>IF((GETPIVOTDATA("Total-New",'Distrib pivot table'!$C$2,"state","TX","group","2d1c")/GETPIVOTDATA("Total-New",'Distrib pivot table'!$C$2,"state","TX"))=0,,IF(GETPIVOTDATA("Total-New",'Distrib pivot table'!$C$2,"state","TX","group","2d1c")/GETPIVOTDATA("Total-New",'Distrib pivot table'!$C$2,"state","TX")&gt;0.0005,GETPIVOTDATA("Total-New",'Distrib pivot table'!$C$2,"state","TX","group","2d1c")/GETPIVOTDATA("Total-New",'Distrib pivot table'!$C$2,"state","TX"),"*"))</f>
        <v>0</v>
      </c>
      <c r="S41" s="1125">
        <f>IF((GETPIVOTDATA("Total-New",'Distrib pivot table'!$C$2,"state","VA","group","2d1c")/GETPIVOTDATA("Total-New",'Distrib pivot table'!$C$2,"state","VA"))=0,,IF(GETPIVOTDATA("Total-New",'Distrib pivot table'!$C$2,"state","VA","group","2d1c")/GETPIVOTDATA("Total-New",'Distrib pivot table'!$C$2,"state","VA")&gt;0.0005,GETPIVOTDATA("Total-New",'Distrib pivot table'!$C$2,"state","VA","group","2d1c")/GETPIVOTDATA("Total-New",'Distrib pivot table'!$C$2,"state","VA"),"*"))</f>
        <v>0</v>
      </c>
      <c r="T41" s="1125">
        <f>IF((GETPIVOTDATA("Total-New",'Distrib pivot table'!$C$2,"state","WV","group","2d1c")/GETPIVOTDATA("Total-New",'Distrib pivot table'!$C$2,"state","WV"))=0,,IF(GETPIVOTDATA("Total-New",'Distrib pivot table'!$C$2,"state","WV","group","2d1c")/GETPIVOTDATA("Total-New",'Distrib pivot table'!$C$2,"state","WV")&gt;0.0005,GETPIVOTDATA("Total-New",'Distrib pivot table'!$C$2,"state","WV","group","2d1c")/GETPIVOTDATA("Total-New",'Distrib pivot table'!$C$2,"state","WV"),"*"))</f>
        <v>0</v>
      </c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</row>
    <row r="42" spans="1:50" ht="12.6" customHeight="1">
      <c r="A42" s="1172"/>
      <c r="B42" s="128" t="s">
        <v>1883</v>
      </c>
      <c r="C42" s="817" t="s">
        <v>1511</v>
      </c>
      <c r="D42" s="1125">
        <f>IF(GETPIVOTDATA("Total-New",'Distrib pivot table'!$C$2,"group","2d1c1")/GETPIVOTDATA("Total-New",'Distrib pivot table'!$C$2)=0,,IF(GETPIVOTDATA("Total-New",'Distrib pivot table'!$C$2,"group","2d1c1")/GETPIVOTDATA("Total-New",'Distrib pivot table'!$C$2)&gt;0.0005,GETPIVOTDATA("Total-New",'Distrib pivot table'!$C$2,"group","2d1c1")/GETPIVOTDATA("Total-New",'Distrib pivot table'!$C$2),"*"))</f>
        <v>6.2866120960901129E-3</v>
      </c>
      <c r="E42" s="1125">
        <f>IF((GETPIVOTDATA("Total-New",'Distrib pivot table'!$C$2,"state","AL","group","2d1c1")/GETPIVOTDATA("Total-New",'Distrib pivot table'!$C$2,"state","AL"))=0,,IF(GETPIVOTDATA("Total-New",'Distrib pivot table'!$C$2,"state","AL","group","2d1c1")/GETPIVOTDATA("Total-New",'Distrib pivot table'!$C$2,"state","AL")&gt;0.0005,GETPIVOTDATA("Total-New",'Distrib pivot table'!$C$2,"state","AL","group","2d1c1")/GETPIVOTDATA("Total-New",'Distrib pivot table'!$C$2,"state","AL"),"*"))</f>
        <v>1.6060806212525613E-3</v>
      </c>
      <c r="F42" s="1125">
        <f>IF((GETPIVOTDATA("Total-New",'Distrib pivot table'!$C$2,"state","AR","group","2d1c1")/GETPIVOTDATA("Total-New",'Distrib pivot table'!$C$2,"state","AR"))=0,,IF(GETPIVOTDATA("Total-New",'Distrib pivot table'!$C$2,"state","AR","group","2d1c1")/GETPIVOTDATA("Total-New",'Distrib pivot table'!$C$2,"state","AR")&gt;0.0005,GETPIVOTDATA("Total-New",'Distrib pivot table'!$C$2,"state","AR","group","2d1c1")/GETPIVOTDATA("Total-New",'Distrib pivot table'!$C$2,"state","AR"),"*"))</f>
        <v>1.7104213681479796E-2</v>
      </c>
      <c r="G42" s="1125">
        <f>IF((GETPIVOTDATA("Total-New",'Distrib pivot table'!$C$2,"state","DE","group","2d1c1")/GETPIVOTDATA("Total-New",'Distrib pivot table'!$C$2,"state","DE"))=0,,IF(GETPIVOTDATA("Total-New",'Distrib pivot table'!$C$2,"state","DE","group","2d1c1")/GETPIVOTDATA("Total-New",'Distrib pivot table'!$C$2,"state","DE")&gt;0.0005,GETPIVOTDATA("Total-New",'Distrib pivot table'!$C$2,"state","DE","group","2d1c1")/GETPIVOTDATA("Total-New",'Distrib pivot table'!$C$2,"state","DE"),"*"))</f>
        <v>1.3492920999040041E-3</v>
      </c>
      <c r="H42" s="1125">
        <f>IF((GETPIVOTDATA("Total-New",'Distrib pivot table'!$C$2,"state","FL","group","2d1c1")/GETPIVOTDATA("Total-New",'Distrib pivot table'!$C$2,"state","FL"))=0,,IF(GETPIVOTDATA("Total-New",'Distrib pivot table'!$C$2,"state","FL","group","2d1c1")/GETPIVOTDATA("Total-New",'Distrib pivot table'!$C$2,"state","FL")&gt;0.0005,GETPIVOTDATA("Total-New",'Distrib pivot table'!$C$2,"state","FL","group","2d1c1")/GETPIVOTDATA("Total-New",'Distrib pivot table'!$C$2,"state","FL"),"*"))</f>
        <v>0</v>
      </c>
      <c r="I42" s="1125">
        <f>IF((GETPIVOTDATA("Total-New",'Distrib pivot table'!$C$2,"state","GA","group","2d1c1")/GETPIVOTDATA("Total-New",'Distrib pivot table'!$C$2,"state","GA"))=0,,IF(GETPIVOTDATA("Total-New",'Distrib pivot table'!$C$2,"state","GA","group","2d1c1")/GETPIVOTDATA("Total-New",'Distrib pivot table'!$C$2,"state","GA")&gt;0.0005,GETPIVOTDATA("Total-New",'Distrib pivot table'!$C$2,"state","GA","group","2d1c1")/GETPIVOTDATA("Total-New",'Distrib pivot table'!$C$2,"state","GA"),"*"))</f>
        <v>0</v>
      </c>
      <c r="J42" s="1125">
        <f>IF((GETPIVOTDATA("Total-New",'Distrib pivot table'!$C$2,"state","KY","group","2d1c1")/GETPIVOTDATA("Total-New",'Distrib pivot table'!$C$2,"state","KY"))=0,,IF(GETPIVOTDATA("Total-New",'Distrib pivot table'!$C$2,"state","KY","group","2d1c1")/GETPIVOTDATA("Total-New",'Distrib pivot table'!$C$2,"state","KY")&gt;0.0005,GETPIVOTDATA("Total-New",'Distrib pivot table'!$C$2,"state","KY","group","2d1c1")/GETPIVOTDATA("Total-New",'Distrib pivot table'!$C$2,"state","KY"),"*"))</f>
        <v>1.9145174523304966E-2</v>
      </c>
      <c r="K42" s="1125">
        <f>IF((GETPIVOTDATA("Total-New",'Distrib pivot table'!$C$2,"state","LA","group","2d1c1")/GETPIVOTDATA("Total-New",'Distrib pivot table'!$C$2,"state","LA"))=0,,IF(GETPIVOTDATA("Total-New",'Distrib pivot table'!$C$2,"state","LA","group","2d1c1")/GETPIVOTDATA("Total-New",'Distrib pivot table'!$C$2,"state","LA")&gt;0.0005,GETPIVOTDATA("Total-New",'Distrib pivot table'!$C$2,"state","LA","group","2d1c1")/GETPIVOTDATA("Total-New",'Distrib pivot table'!$C$2,"state","LA"),"*"))</f>
        <v>9.6955090852853185E-3</v>
      </c>
      <c r="L42" s="1125">
        <f>IF((GETPIVOTDATA("Total-New",'Distrib pivot table'!$C$2,"state","MD","group","2d1c1")/GETPIVOTDATA("Total-New",'Distrib pivot table'!$C$2,"state","MD"))=0,,IF(GETPIVOTDATA("Total-New",'Distrib pivot table'!$C$2,"state","MD","group","2d1c1")/GETPIVOTDATA("Total-New",'Distrib pivot table'!$C$2,"state","MD")&gt;0.0005,GETPIVOTDATA("Total-New",'Distrib pivot table'!$C$2,"state","MD","group","2d1c1")/GETPIVOTDATA("Total-New",'Distrib pivot table'!$C$2,"state","MD"),"*"))</f>
        <v>2.2056368844380028E-2</v>
      </c>
      <c r="M42" s="1125">
        <f>IF((GETPIVOTDATA("Total-New",'Distrib pivot table'!$C$2,"state","MS","group","2d1c1")/GETPIVOTDATA("Total-New",'Distrib pivot table'!$C$2,"state","MS"))=0,,IF(GETPIVOTDATA("Total-New",'Distrib pivot table'!$C$2,"state","MS","group","2d1c1")/GETPIVOTDATA("Total-New",'Distrib pivot table'!$C$2,"state","MS")&gt;0.0005,GETPIVOTDATA("Total-New",'Distrib pivot table'!$C$2,"state","MS","group","2d1c1")/GETPIVOTDATA("Total-New",'Distrib pivot table'!$C$2,"state","MS"),"*"))</f>
        <v>2.505112325701454E-3</v>
      </c>
      <c r="N42" s="1125">
        <f>IF((GETPIVOTDATA("Total-New",'Distrib pivot table'!$C$2,"state","NC","group","2d1c1")/GETPIVOTDATA("Total-New",'Distrib pivot table'!$C$2,"state","NC"))=0,,IF(GETPIVOTDATA("Total-New",'Distrib pivot table'!$C$2,"state","NC","group","2d1c1")/GETPIVOTDATA("Total-New",'Distrib pivot table'!$C$2,"state","NC")&gt;0.0005,GETPIVOTDATA("Total-New",'Distrib pivot table'!$C$2,"state","NC","group","2d1c1")/GETPIVOTDATA("Total-New",'Distrib pivot table'!$C$2,"state","NC"),"*"))</f>
        <v>0</v>
      </c>
      <c r="O42" s="1125">
        <f>IF((GETPIVOTDATA("Total-New",'Distrib pivot table'!$C$2,"state","OK","group","2d1c1")/GETPIVOTDATA("Total-New",'Distrib pivot table'!$C$2,"state","OK"))=0,,IF(GETPIVOTDATA("Total-New",'Distrib pivot table'!$C$2,"state","OK","group","2d1c1")/GETPIVOTDATA("Total-New",'Distrib pivot table'!$C$2,"state","OK")&gt;0.0005,GETPIVOTDATA("Total-New",'Distrib pivot table'!$C$2,"state","OK","group","2d1c1")/GETPIVOTDATA("Total-New",'Distrib pivot table'!$C$2,"state","OK"),"*"))</f>
        <v>0</v>
      </c>
      <c r="P42" s="1125">
        <f>IF((GETPIVOTDATA("Total-New",'Distrib pivot table'!$C$2,"state","SC","group","2d1c1")/GETPIVOTDATA("Total-New",'Distrib pivot table'!$C$2,"state","SC"))=0,,IF(GETPIVOTDATA("Total-New",'Distrib pivot table'!$C$2,"state","SC","group","2d1c1")/GETPIVOTDATA("Total-New",'Distrib pivot table'!$C$2,"state","SC")&gt;0.0005,GETPIVOTDATA("Total-New",'Distrib pivot table'!$C$2,"state","SC","group","2d1c1")/GETPIVOTDATA("Total-New",'Distrib pivot table'!$C$2,"state","SC"),"*"))</f>
        <v>7.9610226128420773E-3</v>
      </c>
      <c r="Q42" s="1125">
        <f>IF((GETPIVOTDATA("Total-New",'Distrib pivot table'!$C$2,"state","TN","group","2d1c1")/GETPIVOTDATA("Total-New",'Distrib pivot table'!$C$2,"state","TN"))=0,,IF(GETPIVOTDATA("Total-New",'Distrib pivot table'!$C$2,"state","TN","group","2d1c1")/GETPIVOTDATA("Total-New",'Distrib pivot table'!$C$2,"state","TN")&gt;0.0005,GETPIVOTDATA("Total-New",'Distrib pivot table'!$C$2,"state","TN","group","2d1c1")/GETPIVOTDATA("Total-New",'Distrib pivot table'!$C$2,"state","TN"),"*"))</f>
        <v>3.9868836136474274E-2</v>
      </c>
      <c r="R42" s="1125">
        <f>IF((GETPIVOTDATA("Total-New",'Distrib pivot table'!$C$2,"state","TX","group","2d1c1")/GETPIVOTDATA("Total-New",'Distrib pivot table'!$C$2,"state","TX"))=0,,IF(GETPIVOTDATA("Total-New",'Distrib pivot table'!$C$2,"state","TX","group","2d1c1")/GETPIVOTDATA("Total-New",'Distrib pivot table'!$C$2,"state","TX")&gt;0.0005,GETPIVOTDATA("Total-New",'Distrib pivot table'!$C$2,"state","TX","group","2d1c1")/GETPIVOTDATA("Total-New",'Distrib pivot table'!$C$2,"state","TX"),"*"))</f>
        <v>0</v>
      </c>
      <c r="S42" s="1125">
        <f>IF((GETPIVOTDATA("Total-New",'Distrib pivot table'!$C$2,"state","VA","group","2d1c1")/GETPIVOTDATA("Total-New",'Distrib pivot table'!$C$2,"state","VA"))=0,,IF(GETPIVOTDATA("Total-New",'Distrib pivot table'!$C$2,"state","VA","group","2d1c1")/GETPIVOTDATA("Total-New",'Distrib pivot table'!$C$2,"state","VA")&gt;0.0005,GETPIVOTDATA("Total-New",'Distrib pivot table'!$C$2,"state","VA","group","2d1c1")/GETPIVOTDATA("Total-New",'Distrib pivot table'!$C$2,"state","VA"),"*"))</f>
        <v>9.013537387164511E-4</v>
      </c>
      <c r="T42" s="1125">
        <f>IF((GETPIVOTDATA("Total-New",'Distrib pivot table'!$C$2,"state","WV","group","2d1c1")/GETPIVOTDATA("Total-New",'Distrib pivot table'!$C$2,"state","WV"))=0,,IF(GETPIVOTDATA("Total-New",'Distrib pivot table'!$C$2,"state","WV","group","2d1c1")/GETPIVOTDATA("Total-New",'Distrib pivot table'!$C$2,"state","WV")&gt;0.0005,GETPIVOTDATA("Total-New",'Distrib pivot table'!$C$2,"state","WV","group","2d1c1")/GETPIVOTDATA("Total-New",'Distrib pivot table'!$C$2,"state","WV"),"*"))</f>
        <v>3.2094185173297589E-2</v>
      </c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</row>
    <row r="43" spans="1:50" ht="12.6" customHeight="1">
      <c r="A43" s="1172"/>
      <c r="B43" s="128" t="s">
        <v>1761</v>
      </c>
      <c r="C43" s="817" t="s">
        <v>1412</v>
      </c>
      <c r="D43" s="1125">
        <f>IF(GETPIVOTDATA("Total-New",'Distrib pivot table'!$C$2,"group","2d1c2")/GETPIVOTDATA("Total-New",'Distrib pivot table'!$C$2)=0,,IF(GETPIVOTDATA("Total-New",'Distrib pivot table'!$C$2,"group","2d1c2")/GETPIVOTDATA("Total-New",'Distrib pivot table'!$C$2)&gt;0.0005,GETPIVOTDATA("Total-New",'Distrib pivot table'!$C$2,"group","2d1c2")/GETPIVOTDATA("Total-New",'Distrib pivot table'!$C$2),"*"))</f>
        <v>1.281337317790536E-2</v>
      </c>
      <c r="E43" s="1125">
        <f>IF((GETPIVOTDATA("Total-New",'Distrib pivot table'!$C$2,"state","AL","group","2d1c2")/GETPIVOTDATA("Total-New",'Distrib pivot table'!$C$2,"state","AL"))=0,,IF(GETPIVOTDATA("Total-New",'Distrib pivot table'!$C$2,"state","AL","group","2d1c2")/GETPIVOTDATA("Total-New",'Distrib pivot table'!$C$2,"state","AL")&gt;0.0005,GETPIVOTDATA("Total-New",'Distrib pivot table'!$C$2,"state","AL","group","2d1c2")/GETPIVOTDATA("Total-New",'Distrib pivot table'!$C$2,"state","AL"),"*"))</f>
        <v>8.8469341298251427E-3</v>
      </c>
      <c r="F43" s="1125">
        <f>IF((GETPIVOTDATA("Total-New",'Distrib pivot table'!$C$2,"state","AR","group","2d1c2")/GETPIVOTDATA("Total-New",'Distrib pivot table'!$C$2,"state","AR"))=0,,IF(GETPIVOTDATA("Total-New",'Distrib pivot table'!$C$2,"state","AR","group","2d1c2")/GETPIVOTDATA("Total-New",'Distrib pivot table'!$C$2,"state","AR")&gt;0.0005,GETPIVOTDATA("Total-New",'Distrib pivot table'!$C$2,"state","AR","group","2d1c2")/GETPIVOTDATA("Total-New",'Distrib pivot table'!$C$2,"state","AR"),"*"))</f>
        <v>7.3432605004034573E-3</v>
      </c>
      <c r="G43" s="1125">
        <f>IF((GETPIVOTDATA("Total-New",'Distrib pivot table'!$C$2,"state","DE","group","2d1c2")/GETPIVOTDATA("Total-New",'Distrib pivot table'!$C$2,"state","DE"))=0,,IF(GETPIVOTDATA("Total-New",'Distrib pivot table'!$C$2,"state","DE","group","2d1c2")/GETPIVOTDATA("Total-New",'Distrib pivot table'!$C$2,"state","DE")&gt;0.0005,GETPIVOTDATA("Total-New",'Distrib pivot table'!$C$2,"state","DE","group","2d1c2")/GETPIVOTDATA("Total-New",'Distrib pivot table'!$C$2,"state","DE"),"*"))</f>
        <v>1.5596139501572917E-3</v>
      </c>
      <c r="H43" s="1125">
        <f>IF((GETPIVOTDATA("Total-New",'Distrib pivot table'!$C$2,"state","FL","group","2d1c2")/GETPIVOTDATA("Total-New",'Distrib pivot table'!$C$2,"state","FL"))=0,,IF(GETPIVOTDATA("Total-New",'Distrib pivot table'!$C$2,"state","FL","group","2d1c2")/GETPIVOTDATA("Total-New",'Distrib pivot table'!$C$2,"state","FL")&gt;0.0005,GETPIVOTDATA("Total-New",'Distrib pivot table'!$C$2,"state","FL","group","2d1c2")/GETPIVOTDATA("Total-New",'Distrib pivot table'!$C$2,"state","FL"),"*"))</f>
        <v>0</v>
      </c>
      <c r="I43" s="1125" t="str">
        <f>IF((GETPIVOTDATA("Total-New",'Distrib pivot table'!$C$2,"state","GA","group","2d1c2")/GETPIVOTDATA("Total-New",'Distrib pivot table'!$C$2,"state","GA"))=0,,IF(GETPIVOTDATA("Total-New",'Distrib pivot table'!$C$2,"state","GA","group","2d1c2")/GETPIVOTDATA("Total-New",'Distrib pivot table'!$C$2,"state","GA")&gt;0.0005,GETPIVOTDATA("Total-New",'Distrib pivot table'!$C$2,"state","GA","group","2d1c2")/GETPIVOTDATA("Total-New",'Distrib pivot table'!$C$2,"state","GA"),"*"))</f>
        <v>*</v>
      </c>
      <c r="J43" s="1125">
        <f>IF((GETPIVOTDATA("Total-New",'Distrib pivot table'!$C$2,"state","KY","group","2d1c2")/GETPIVOTDATA("Total-New",'Distrib pivot table'!$C$2,"state","KY"))=0,,IF(GETPIVOTDATA("Total-New",'Distrib pivot table'!$C$2,"state","KY","group","2d1c2")/GETPIVOTDATA("Total-New",'Distrib pivot table'!$C$2,"state","KY")&gt;0.0005,GETPIVOTDATA("Total-New",'Distrib pivot table'!$C$2,"state","KY","group","2d1c2")/GETPIVOTDATA("Total-New",'Distrib pivot table'!$C$2,"state","KY"),"*"))</f>
        <v>3.0579395867889297E-2</v>
      </c>
      <c r="K43" s="1125">
        <f>IF((GETPIVOTDATA("Total-New",'Distrib pivot table'!$C$2,"state","LA","group","2d1c2")/GETPIVOTDATA("Total-New",'Distrib pivot table'!$C$2,"state","LA"))=0,,IF(GETPIVOTDATA("Total-New",'Distrib pivot table'!$C$2,"state","LA","group","2d1c2")/GETPIVOTDATA("Total-New",'Distrib pivot table'!$C$2,"state","LA")&gt;0.0005,GETPIVOTDATA("Total-New",'Distrib pivot table'!$C$2,"state","LA","group","2d1c2")/GETPIVOTDATA("Total-New",'Distrib pivot table'!$C$2,"state","LA"),"*"))</f>
        <v>4.6028177584741987E-2</v>
      </c>
      <c r="L43" s="1125">
        <f>IF((GETPIVOTDATA("Total-New",'Distrib pivot table'!$C$2,"state","MD","group","2d1c2")/GETPIVOTDATA("Total-New",'Distrib pivot table'!$C$2,"state","MD"))=0,,IF(GETPIVOTDATA("Total-New",'Distrib pivot table'!$C$2,"state","MD","group","2d1c2")/GETPIVOTDATA("Total-New",'Distrib pivot table'!$C$2,"state","MD")&gt;0.0005,GETPIVOTDATA("Total-New",'Distrib pivot table'!$C$2,"state","MD","group","2d1c2")/GETPIVOTDATA("Total-New",'Distrib pivot table'!$C$2,"state","MD"),"*"))</f>
        <v>3.8836886592958975E-3</v>
      </c>
      <c r="M43" s="1125">
        <f>IF((GETPIVOTDATA("Total-New",'Distrib pivot table'!$C$2,"state","MS","group","2d1c2")/GETPIVOTDATA("Total-New",'Distrib pivot table'!$C$2,"state","MS"))=0,,IF(GETPIVOTDATA("Total-New",'Distrib pivot table'!$C$2,"state","MS","group","2d1c2")/GETPIVOTDATA("Total-New",'Distrib pivot table'!$C$2,"state","MS")&gt;0.0005,GETPIVOTDATA("Total-New",'Distrib pivot table'!$C$2,"state","MS","group","2d1c2")/GETPIVOTDATA("Total-New",'Distrib pivot table'!$C$2,"state","MS"),"*"))</f>
        <v>8.3394612836975492E-3</v>
      </c>
      <c r="N43" s="1125">
        <f>IF((GETPIVOTDATA("Total-New",'Distrib pivot table'!$C$2,"state","NC","group","2d1c2")/GETPIVOTDATA("Total-New",'Distrib pivot table'!$C$2,"state","NC"))=0,,IF(GETPIVOTDATA("Total-New",'Distrib pivot table'!$C$2,"state","NC","group","2d1c2")/GETPIVOTDATA("Total-New",'Distrib pivot table'!$C$2,"state","NC")&gt;0.0005,GETPIVOTDATA("Total-New",'Distrib pivot table'!$C$2,"state","NC","group","2d1c2")/GETPIVOTDATA("Total-New",'Distrib pivot table'!$C$2,"state","NC"),"*"))</f>
        <v>0</v>
      </c>
      <c r="O43" s="1125">
        <f>IF((GETPIVOTDATA("Total-New",'Distrib pivot table'!$C$2,"state","OK","group","2d1c2")/GETPIVOTDATA("Total-New",'Distrib pivot table'!$C$2,"state","OK"))=0,,IF(GETPIVOTDATA("Total-New",'Distrib pivot table'!$C$2,"state","OK","group","2d1c2")/GETPIVOTDATA("Total-New",'Distrib pivot table'!$C$2,"state","OK")&gt;0.0005,GETPIVOTDATA("Total-New",'Distrib pivot table'!$C$2,"state","OK","group","2d1c2")/GETPIVOTDATA("Total-New",'Distrib pivot table'!$C$2,"state","OK"),"*"))</f>
        <v>0</v>
      </c>
      <c r="P43" s="1125">
        <f>IF((GETPIVOTDATA("Total-New",'Distrib pivot table'!$C$2,"state","SC","group","2d1c2")/GETPIVOTDATA("Total-New",'Distrib pivot table'!$C$2,"state","SC"))=0,,IF(GETPIVOTDATA("Total-New",'Distrib pivot table'!$C$2,"state","SC","group","2d1c2")/GETPIVOTDATA("Total-New",'Distrib pivot table'!$C$2,"state","SC")&gt;0.0005,GETPIVOTDATA("Total-New",'Distrib pivot table'!$C$2,"state","SC","group","2d1c2")/GETPIVOTDATA("Total-New",'Distrib pivot table'!$C$2,"state","SC"),"*"))</f>
        <v>9.1251346747222933E-2</v>
      </c>
      <c r="Q43" s="1125">
        <f>IF((GETPIVOTDATA("Total-New",'Distrib pivot table'!$C$2,"state","TN","group","2d1c2")/GETPIVOTDATA("Total-New",'Distrib pivot table'!$C$2,"state","TN"))=0,,IF(GETPIVOTDATA("Total-New",'Distrib pivot table'!$C$2,"state","TN","group","2d1c2")/GETPIVOTDATA("Total-New",'Distrib pivot table'!$C$2,"state","TN")&gt;0.0005,GETPIVOTDATA("Total-New",'Distrib pivot table'!$C$2,"state","TN","group","2d1c2")/GETPIVOTDATA("Total-New",'Distrib pivot table'!$C$2,"state","TN"),"*"))</f>
        <v>7.1851572196249339E-2</v>
      </c>
      <c r="R43" s="1125">
        <f>IF((GETPIVOTDATA("Total-New",'Distrib pivot table'!$C$2,"state","TX","group","2d1c2")/GETPIVOTDATA("Total-New",'Distrib pivot table'!$C$2,"state","TX"))=0,,IF(GETPIVOTDATA("Total-New",'Distrib pivot table'!$C$2,"state","TX","group","2d1c2")/GETPIVOTDATA("Total-New",'Distrib pivot table'!$C$2,"state","TX")&gt;0.0005,GETPIVOTDATA("Total-New",'Distrib pivot table'!$C$2,"state","TX","group","2d1c2")/GETPIVOTDATA("Total-New",'Distrib pivot table'!$C$2,"state","TX"),"*"))</f>
        <v>0</v>
      </c>
      <c r="S43" s="1125" t="str">
        <f>IF((GETPIVOTDATA("Total-New",'Distrib pivot table'!$C$2,"state","VA","group","2d1c2")/GETPIVOTDATA("Total-New",'Distrib pivot table'!$C$2,"state","VA"))=0,,IF(GETPIVOTDATA("Total-New",'Distrib pivot table'!$C$2,"state","VA","group","2d1c2")/GETPIVOTDATA("Total-New",'Distrib pivot table'!$C$2,"state","VA")&gt;0.0005,GETPIVOTDATA("Total-New",'Distrib pivot table'!$C$2,"state","VA","group","2d1c2")/GETPIVOTDATA("Total-New",'Distrib pivot table'!$C$2,"state","VA"),"*"))</f>
        <v>*</v>
      </c>
      <c r="T43" s="1125">
        <f>IF((GETPIVOTDATA("Total-New",'Distrib pivot table'!$C$2,"state","WV","group","2d1c2")/GETPIVOTDATA("Total-New",'Distrib pivot table'!$C$2,"state","WV"))=0,,IF(GETPIVOTDATA("Total-New",'Distrib pivot table'!$C$2,"state","WV","group","2d1c2")/GETPIVOTDATA("Total-New",'Distrib pivot table'!$C$2,"state","WV")&gt;0.0005,GETPIVOTDATA("Total-New",'Distrib pivot table'!$C$2,"state","WV","group","2d1c2")/GETPIVOTDATA("Total-New",'Distrib pivot table'!$C$2,"state","WV"),"*"))</f>
        <v>3.6834990213590588E-2</v>
      </c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</row>
    <row r="44" spans="1:50" ht="12.6" customHeight="1">
      <c r="A44" s="1172"/>
      <c r="B44" s="128" t="s">
        <v>1586</v>
      </c>
      <c r="C44" s="817" t="s">
        <v>1413</v>
      </c>
      <c r="D44" s="1125">
        <f>IF(GETPIVOTDATA("Total-New",'Distrib pivot table'!$C$2,"group","2d1d")/GETPIVOTDATA("Total-New",'Distrib pivot table'!$C$2)=0,,IF(GETPIVOTDATA("Total-New",'Distrib pivot table'!$C$2,"group","2d1d")/GETPIVOTDATA("Total-New",'Distrib pivot table'!$C$2)&gt;0.0005,GETPIVOTDATA("Total-New",'Distrib pivot table'!$C$2,"group","2d1d")/GETPIVOTDATA("Total-New",'Distrib pivot table'!$C$2),"*"))</f>
        <v>0</v>
      </c>
      <c r="E44" s="1125">
        <f>IF((GETPIVOTDATA("Total-New",'Distrib pivot table'!$C$2,"state","AL","group","2d1d")/GETPIVOTDATA("Total-New",'Distrib pivot table'!$C$2,"state","AL"))=0,,IF(GETPIVOTDATA("Total-New",'Distrib pivot table'!$C$2,"state","AL","group","2d1d")/GETPIVOTDATA("Total-New",'Distrib pivot table'!$C$2,"state","AL")&gt;0.0005,GETPIVOTDATA("Total-New",'Distrib pivot table'!$C$2,"state","AL","group","2d1d")/GETPIVOTDATA("Total-New",'Distrib pivot table'!$C$2,"state","AL"),"*"))</f>
        <v>0</v>
      </c>
      <c r="F44" s="1125">
        <f>IF((GETPIVOTDATA("Total-New",'Distrib pivot table'!$C$2,"state","AR","group","2d1d")/GETPIVOTDATA("Total-New",'Distrib pivot table'!$C$2,"state","AR"))=0,,IF(GETPIVOTDATA("Total-New",'Distrib pivot table'!$C$2,"state","AR","group","2d1d")/GETPIVOTDATA("Total-New",'Distrib pivot table'!$C$2,"state","AR")&gt;0.0005,GETPIVOTDATA("Total-New",'Distrib pivot table'!$C$2,"state","AR","group","2d1d")/GETPIVOTDATA("Total-New",'Distrib pivot table'!$C$2,"state","AR"),"*"))</f>
        <v>0</v>
      </c>
      <c r="G44" s="1125">
        <f>IF((GETPIVOTDATA("Total-New",'Distrib pivot table'!$C$2,"state","DE","group","2d1d")/GETPIVOTDATA("Total-New",'Distrib pivot table'!$C$2,"state","DE"))=0,,IF(GETPIVOTDATA("Total-New",'Distrib pivot table'!$C$2,"state","DE","group","2d1d")/GETPIVOTDATA("Total-New",'Distrib pivot table'!$C$2,"state","DE")&gt;0.0005,GETPIVOTDATA("Total-New",'Distrib pivot table'!$C$2,"state","DE","group","2d1d")/GETPIVOTDATA("Total-New",'Distrib pivot table'!$C$2,"state","DE"),"*"))</f>
        <v>0</v>
      </c>
      <c r="H44" s="1125">
        <f>IF((GETPIVOTDATA("Total-New",'Distrib pivot table'!$C$2,"state","FL","group","2d1d")/GETPIVOTDATA("Total-New",'Distrib pivot table'!$C$2,"state","FL"))=0,,IF(GETPIVOTDATA("Total-New",'Distrib pivot table'!$C$2,"state","FL","group","2d1d")/GETPIVOTDATA("Total-New",'Distrib pivot table'!$C$2,"state","FL")&gt;0.0005,GETPIVOTDATA("Total-New",'Distrib pivot table'!$C$2,"state","FL","group","2d1d")/GETPIVOTDATA("Total-New",'Distrib pivot table'!$C$2,"state","FL"),"*"))</f>
        <v>0</v>
      </c>
      <c r="I44" s="1125">
        <f>IF((GETPIVOTDATA("Total-New",'Distrib pivot table'!$C$2,"state","GA","group","2d1d")/GETPIVOTDATA("Total-New",'Distrib pivot table'!$C$2,"state","GA"))=0,,IF(GETPIVOTDATA("Total-New",'Distrib pivot table'!$C$2,"state","GA","group","2d1d")/GETPIVOTDATA("Total-New",'Distrib pivot table'!$C$2,"state","GA")&gt;0.0005,GETPIVOTDATA("Total-New",'Distrib pivot table'!$C$2,"state","GA","group","2d1d")/GETPIVOTDATA("Total-New",'Distrib pivot table'!$C$2,"state","GA"),"*"))</f>
        <v>0</v>
      </c>
      <c r="J44" s="1125">
        <f>IF((GETPIVOTDATA("Total-New",'Distrib pivot table'!$C$2,"state","KY","group","2d1d")/GETPIVOTDATA("Total-New",'Distrib pivot table'!$C$2,"state","KY"))=0,,IF(GETPIVOTDATA("Total-New",'Distrib pivot table'!$C$2,"state","KY","group","2d1d")/GETPIVOTDATA("Total-New",'Distrib pivot table'!$C$2,"state","KY")&gt;0.0005,GETPIVOTDATA("Total-New",'Distrib pivot table'!$C$2,"state","KY","group","2d1d")/GETPIVOTDATA("Total-New",'Distrib pivot table'!$C$2,"state","KY"),"*"))</f>
        <v>0</v>
      </c>
      <c r="K44" s="1125">
        <f>IF((GETPIVOTDATA("Total-New",'Distrib pivot table'!$C$2,"state","LA","group","2d1d")/GETPIVOTDATA("Total-New",'Distrib pivot table'!$C$2,"state","LA"))=0,,IF(GETPIVOTDATA("Total-New",'Distrib pivot table'!$C$2,"state","LA","group","2d1d")/GETPIVOTDATA("Total-New",'Distrib pivot table'!$C$2,"state","LA")&gt;0.0005,GETPIVOTDATA("Total-New",'Distrib pivot table'!$C$2,"state","LA","group","2d1d")/GETPIVOTDATA("Total-New",'Distrib pivot table'!$C$2,"state","LA"),"*"))</f>
        <v>0</v>
      </c>
      <c r="L44" s="1125">
        <f>IF((GETPIVOTDATA("Total-New",'Distrib pivot table'!$C$2,"state","MD","group","2d1d")/GETPIVOTDATA("Total-New",'Distrib pivot table'!$C$2,"state","MD"))=0,,IF(GETPIVOTDATA("Total-New",'Distrib pivot table'!$C$2,"state","MD","group","2d1d")/GETPIVOTDATA("Total-New",'Distrib pivot table'!$C$2,"state","MD")&gt;0.0005,GETPIVOTDATA("Total-New",'Distrib pivot table'!$C$2,"state","MD","group","2d1d")/GETPIVOTDATA("Total-New",'Distrib pivot table'!$C$2,"state","MD"),"*"))</f>
        <v>0</v>
      </c>
      <c r="M44" s="1125">
        <f>IF((GETPIVOTDATA("Total-New",'Distrib pivot table'!$C$2,"state","MS","group","2d1d")/GETPIVOTDATA("Total-New",'Distrib pivot table'!$C$2,"state","MS"))=0,,IF(GETPIVOTDATA("Total-New",'Distrib pivot table'!$C$2,"state","MS","group","2d1d")/GETPIVOTDATA("Total-New",'Distrib pivot table'!$C$2,"state","MS")&gt;0.0005,GETPIVOTDATA("Total-New",'Distrib pivot table'!$C$2,"state","MS","group","2d1d")/GETPIVOTDATA("Total-New",'Distrib pivot table'!$C$2,"state","MS"),"*"))</f>
        <v>0</v>
      </c>
      <c r="N44" s="1125">
        <f>IF((GETPIVOTDATA("Total-New",'Distrib pivot table'!$C$2,"state","NC","group","2d1d")/GETPIVOTDATA("Total-New",'Distrib pivot table'!$C$2,"state","NC"))=0,,IF(GETPIVOTDATA("Total-New",'Distrib pivot table'!$C$2,"state","NC","group","2d1d")/GETPIVOTDATA("Total-New",'Distrib pivot table'!$C$2,"state","NC")&gt;0.0005,GETPIVOTDATA("Total-New",'Distrib pivot table'!$C$2,"state","NC","group","2d1d")/GETPIVOTDATA("Total-New",'Distrib pivot table'!$C$2,"state","NC"),"*"))</f>
        <v>0</v>
      </c>
      <c r="O44" s="1125">
        <f>IF((GETPIVOTDATA("Total-New",'Distrib pivot table'!$C$2,"state","OK","group","2d1d")/GETPIVOTDATA("Total-New",'Distrib pivot table'!$C$2,"state","OK"))=0,,IF(GETPIVOTDATA("Total-New",'Distrib pivot table'!$C$2,"state","OK","group","2d1d")/GETPIVOTDATA("Total-New",'Distrib pivot table'!$C$2,"state","OK")&gt;0.0005,GETPIVOTDATA("Total-New",'Distrib pivot table'!$C$2,"state","OK","group","2d1d")/GETPIVOTDATA("Total-New",'Distrib pivot table'!$C$2,"state","OK"),"*"))</f>
        <v>0</v>
      </c>
      <c r="P44" s="1125">
        <f>IF((GETPIVOTDATA("Total-New",'Distrib pivot table'!$C$2,"state","SC","group","2d1d")/GETPIVOTDATA("Total-New",'Distrib pivot table'!$C$2,"state","SC"))=0,,IF(GETPIVOTDATA("Total-New",'Distrib pivot table'!$C$2,"state","SC","group","2d1d")/GETPIVOTDATA("Total-New",'Distrib pivot table'!$C$2,"state","SC")&gt;0.0005,GETPIVOTDATA("Total-New",'Distrib pivot table'!$C$2,"state","SC","group","2d1d")/GETPIVOTDATA("Total-New",'Distrib pivot table'!$C$2,"state","SC"),"*"))</f>
        <v>0</v>
      </c>
      <c r="Q44" s="1125">
        <f>IF((GETPIVOTDATA("Total-New",'Distrib pivot table'!$C$2,"state","TN","group","2d1d")/GETPIVOTDATA("Total-New",'Distrib pivot table'!$C$2,"state","TN"))=0,,IF(GETPIVOTDATA("Total-New",'Distrib pivot table'!$C$2,"state","TN","group","2d1d")/GETPIVOTDATA("Total-New",'Distrib pivot table'!$C$2,"state","TN")&gt;0.0005,GETPIVOTDATA("Total-New",'Distrib pivot table'!$C$2,"state","TN","group","2d1d")/GETPIVOTDATA("Total-New",'Distrib pivot table'!$C$2,"state","TN"),"*"))</f>
        <v>0</v>
      </c>
      <c r="R44" s="1125">
        <f>IF((GETPIVOTDATA("Total-New",'Distrib pivot table'!$C$2,"state","TX","group","2d1d")/GETPIVOTDATA("Total-New",'Distrib pivot table'!$C$2,"state","TX"))=0,,IF(GETPIVOTDATA("Total-New",'Distrib pivot table'!$C$2,"state","TX","group","2d1d")/GETPIVOTDATA("Total-New",'Distrib pivot table'!$C$2,"state","TX")&gt;0.0005,GETPIVOTDATA("Total-New",'Distrib pivot table'!$C$2,"state","TX","group","2d1d")/GETPIVOTDATA("Total-New",'Distrib pivot table'!$C$2,"state","TX"),"*"))</f>
        <v>0</v>
      </c>
      <c r="S44" s="1125">
        <f>IF((GETPIVOTDATA("Total-New",'Distrib pivot table'!$C$2,"state","VA","group","2d1d")/GETPIVOTDATA("Total-New",'Distrib pivot table'!$C$2,"state","VA"))=0,,IF(GETPIVOTDATA("Total-New",'Distrib pivot table'!$C$2,"state","VA","group","2d1d")/GETPIVOTDATA("Total-New",'Distrib pivot table'!$C$2,"state","VA")&gt;0.0005,GETPIVOTDATA("Total-New",'Distrib pivot table'!$C$2,"state","VA","group","2d1d")/GETPIVOTDATA("Total-New",'Distrib pivot table'!$C$2,"state","VA"),"*"))</f>
        <v>0</v>
      </c>
      <c r="T44" s="1125">
        <f>IF((GETPIVOTDATA("Total-New",'Distrib pivot table'!$C$2,"state","WV","group","2d1d")/GETPIVOTDATA("Total-New",'Distrib pivot table'!$C$2,"state","WV"))=0,,IF(GETPIVOTDATA("Total-New",'Distrib pivot table'!$C$2,"state","WV","group","2d1d")/GETPIVOTDATA("Total-New",'Distrib pivot table'!$C$2,"state","WV")&gt;0.0005,GETPIVOTDATA("Total-New",'Distrib pivot table'!$C$2,"state","WV","group","2d1d")/GETPIVOTDATA("Total-New",'Distrib pivot table'!$C$2,"state","WV"),"*"))</f>
        <v>0</v>
      </c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</row>
    <row r="45" spans="1:50" ht="12.6" customHeight="1">
      <c r="A45" s="1172"/>
      <c r="B45" s="128" t="s">
        <v>1883</v>
      </c>
      <c r="C45" s="817" t="s">
        <v>1582</v>
      </c>
      <c r="D45" s="1125">
        <f>IF(GETPIVOTDATA("Total-New",'Distrib pivot table'!$C$2,"group","2d1d1")/GETPIVOTDATA("Total-New",'Distrib pivot table'!$C$2)=0,,IF(GETPIVOTDATA("Total-New",'Distrib pivot table'!$C$2,"group","2d1d1")/GETPIVOTDATA("Total-New",'Distrib pivot table'!$C$2)&gt;0.0005,GETPIVOTDATA("Total-New",'Distrib pivot table'!$C$2,"group","2d1d1")/GETPIVOTDATA("Total-New",'Distrib pivot table'!$C$2),"*"))</f>
        <v>1.7092692266487326E-3</v>
      </c>
      <c r="E45" s="1125" t="str">
        <f>IF((GETPIVOTDATA("Total-New",'Distrib pivot table'!$C$2,"state","AL","group","2d1d1")/GETPIVOTDATA("Total-New",'Distrib pivot table'!$C$2,"state","AL"))=0,,IF(GETPIVOTDATA("Total-New",'Distrib pivot table'!$C$2,"state","AL","group","2d1d1")/GETPIVOTDATA("Total-New",'Distrib pivot table'!$C$2,"state","AL")&gt;0.0005,GETPIVOTDATA("Total-New",'Distrib pivot table'!$C$2,"state","AL","group","2d1d1")/GETPIVOTDATA("Total-New",'Distrib pivot table'!$C$2,"state","AL"),"*"))</f>
        <v>*</v>
      </c>
      <c r="F45" s="1125">
        <f>IF((GETPIVOTDATA("Total-New",'Distrib pivot table'!$C$2,"state","AR","group","2d1d1")/GETPIVOTDATA("Total-New",'Distrib pivot table'!$C$2,"state","AR"))=0,,IF(GETPIVOTDATA("Total-New",'Distrib pivot table'!$C$2,"state","AR","group","2d1d1")/GETPIVOTDATA("Total-New",'Distrib pivot table'!$C$2,"state","AR")&gt;0.0005,GETPIVOTDATA("Total-New",'Distrib pivot table'!$C$2,"state","AR","group","2d1d1")/GETPIVOTDATA("Total-New",'Distrib pivot table'!$C$2,"state","AR"),"*"))</f>
        <v>1.9981965684824697E-3</v>
      </c>
      <c r="G45" s="1125">
        <f>IF((GETPIVOTDATA("Total-New",'Distrib pivot table'!$C$2,"state","DE","group","2d1d1")/GETPIVOTDATA("Total-New",'Distrib pivot table'!$C$2,"state","DE"))=0,,IF(GETPIVOTDATA("Total-New",'Distrib pivot table'!$C$2,"state","DE","group","2d1d1")/GETPIVOTDATA("Total-New",'Distrib pivot table'!$C$2,"state","DE")&gt;0.0005,GETPIVOTDATA("Total-New",'Distrib pivot table'!$C$2,"state","DE","group","2d1d1")/GETPIVOTDATA("Total-New",'Distrib pivot table'!$C$2,"state","DE"),"*"))</f>
        <v>2.6573562582886063E-3</v>
      </c>
      <c r="H45" s="1125">
        <f>IF((GETPIVOTDATA("Total-New",'Distrib pivot table'!$C$2,"state","FL","group","2d1d1")/GETPIVOTDATA("Total-New",'Distrib pivot table'!$C$2,"state","FL"))=0,,IF(GETPIVOTDATA("Total-New",'Distrib pivot table'!$C$2,"state","FL","group","2d1d1")/GETPIVOTDATA("Total-New",'Distrib pivot table'!$C$2,"state","FL")&gt;0.0005,GETPIVOTDATA("Total-New",'Distrib pivot table'!$C$2,"state","FL","group","2d1d1")/GETPIVOTDATA("Total-New",'Distrib pivot table'!$C$2,"state","FL"),"*"))</f>
        <v>0</v>
      </c>
      <c r="I45" s="1125">
        <f>IF((GETPIVOTDATA("Total-New",'Distrib pivot table'!$C$2,"state","GA","group","2d1d1")/GETPIVOTDATA("Total-New",'Distrib pivot table'!$C$2,"state","GA"))=0,,IF(GETPIVOTDATA("Total-New",'Distrib pivot table'!$C$2,"state","GA","group","2d1d1")/GETPIVOTDATA("Total-New",'Distrib pivot table'!$C$2,"state","GA")&gt;0.0005,GETPIVOTDATA("Total-New",'Distrib pivot table'!$C$2,"state","GA","group","2d1d1")/GETPIVOTDATA("Total-New",'Distrib pivot table'!$C$2,"state","GA"),"*"))</f>
        <v>0</v>
      </c>
      <c r="J45" s="1125">
        <f>IF((GETPIVOTDATA("Total-New",'Distrib pivot table'!$C$2,"state","KY","group","2d1d1")/GETPIVOTDATA("Total-New",'Distrib pivot table'!$C$2,"state","KY"))=0,,IF(GETPIVOTDATA("Total-New",'Distrib pivot table'!$C$2,"state","KY","group","2d1d1")/GETPIVOTDATA("Total-New",'Distrib pivot table'!$C$2,"state","KY")&gt;0.0005,GETPIVOTDATA("Total-New",'Distrib pivot table'!$C$2,"state","KY","group","2d1d1")/GETPIVOTDATA("Total-New",'Distrib pivot table'!$C$2,"state","KY"),"*"))</f>
        <v>6.1128004055298838E-3</v>
      </c>
      <c r="K45" s="1125">
        <f>IF((GETPIVOTDATA("Total-New",'Distrib pivot table'!$C$2,"state","LA","group","2d1d1")/GETPIVOTDATA("Total-New",'Distrib pivot table'!$C$2,"state","LA"))=0,,IF(GETPIVOTDATA("Total-New",'Distrib pivot table'!$C$2,"state","LA","group","2d1d1")/GETPIVOTDATA("Total-New",'Distrib pivot table'!$C$2,"state","LA")&gt;0.0005,GETPIVOTDATA("Total-New",'Distrib pivot table'!$C$2,"state","LA","group","2d1d1")/GETPIVOTDATA("Total-New",'Distrib pivot table'!$C$2,"state","LA"),"*"))</f>
        <v>9.9019657328293376E-4</v>
      </c>
      <c r="L45" s="1125">
        <f>IF((GETPIVOTDATA("Total-New",'Distrib pivot table'!$C$2,"state","MD","group","2d1d1")/GETPIVOTDATA("Total-New",'Distrib pivot table'!$C$2,"state","MD"))=0,,IF(GETPIVOTDATA("Total-New",'Distrib pivot table'!$C$2,"state","MD","group","2d1d1")/GETPIVOTDATA("Total-New",'Distrib pivot table'!$C$2,"state","MD")&gt;0.0005,GETPIVOTDATA("Total-New",'Distrib pivot table'!$C$2,"state","MD","group","2d1d1")/GETPIVOTDATA("Total-New",'Distrib pivot table'!$C$2,"state","MD"),"*"))</f>
        <v>4.7683383667588121E-3</v>
      </c>
      <c r="M45" s="1125" t="str">
        <f>IF((GETPIVOTDATA("Total-New",'Distrib pivot table'!$C$2,"state","MS","group","2d1d1")/GETPIVOTDATA("Total-New",'Distrib pivot table'!$C$2,"state","MS"))=0,,IF(GETPIVOTDATA("Total-New",'Distrib pivot table'!$C$2,"state","MS","group","2d1d1")/GETPIVOTDATA("Total-New",'Distrib pivot table'!$C$2,"state","MS")&gt;0.0005,GETPIVOTDATA("Total-New",'Distrib pivot table'!$C$2,"state","MS","group","2d1d1")/GETPIVOTDATA("Total-New",'Distrib pivot table'!$C$2,"state","MS"),"*"))</f>
        <v>*</v>
      </c>
      <c r="N45" s="1125">
        <f>IF((GETPIVOTDATA("Total-New",'Distrib pivot table'!$C$2,"state","NC","group","2d1d1")/GETPIVOTDATA("Total-New",'Distrib pivot table'!$C$2,"state","NC"))=0,,IF(GETPIVOTDATA("Total-New",'Distrib pivot table'!$C$2,"state","NC","group","2d1d1")/GETPIVOTDATA("Total-New",'Distrib pivot table'!$C$2,"state","NC")&gt;0.0005,GETPIVOTDATA("Total-New",'Distrib pivot table'!$C$2,"state","NC","group","2d1d1")/GETPIVOTDATA("Total-New",'Distrib pivot table'!$C$2,"state","NC"),"*"))</f>
        <v>0</v>
      </c>
      <c r="O45" s="1125">
        <f>IF((GETPIVOTDATA("Total-New",'Distrib pivot table'!$C$2,"state","OK","group","2d1d1")/GETPIVOTDATA("Total-New",'Distrib pivot table'!$C$2,"state","OK"))=0,,IF(GETPIVOTDATA("Total-New",'Distrib pivot table'!$C$2,"state","OK","group","2d1d1")/GETPIVOTDATA("Total-New",'Distrib pivot table'!$C$2,"state","OK")&gt;0.0005,GETPIVOTDATA("Total-New",'Distrib pivot table'!$C$2,"state","OK","group","2d1d1")/GETPIVOTDATA("Total-New",'Distrib pivot table'!$C$2,"state","OK"),"*"))</f>
        <v>0</v>
      </c>
      <c r="P45" s="1125">
        <f>IF((GETPIVOTDATA("Total-New",'Distrib pivot table'!$C$2,"state","SC","group","2d1d1")/GETPIVOTDATA("Total-New",'Distrib pivot table'!$C$2,"state","SC"))=0,,IF(GETPIVOTDATA("Total-New",'Distrib pivot table'!$C$2,"state","SC","group","2d1d1")/GETPIVOTDATA("Total-New",'Distrib pivot table'!$C$2,"state","SC")&gt;0.0005,GETPIVOTDATA("Total-New",'Distrib pivot table'!$C$2,"state","SC","group","2d1d1")/GETPIVOTDATA("Total-New",'Distrib pivot table'!$C$2,"state","SC"),"*"))</f>
        <v>2.1782383085603581E-3</v>
      </c>
      <c r="Q45" s="1125">
        <f>IF((GETPIVOTDATA("Total-New",'Distrib pivot table'!$C$2,"state","TN","group","2d1d1")/GETPIVOTDATA("Total-New",'Distrib pivot table'!$C$2,"state","TN"))=0,,IF(GETPIVOTDATA("Total-New",'Distrib pivot table'!$C$2,"state","TN","group","2d1d1")/GETPIVOTDATA("Total-New",'Distrib pivot table'!$C$2,"state","TN")&gt;0.0005,GETPIVOTDATA("Total-New",'Distrib pivot table'!$C$2,"state","TN","group","2d1d1")/GETPIVOTDATA("Total-New",'Distrib pivot table'!$C$2,"state","TN"),"*"))</f>
        <v>1.6095687223185832E-2</v>
      </c>
      <c r="R45" s="1125">
        <f>IF((GETPIVOTDATA("Total-New",'Distrib pivot table'!$C$2,"state","TX","group","2d1d1")/GETPIVOTDATA("Total-New",'Distrib pivot table'!$C$2,"state","TX"))=0,,IF(GETPIVOTDATA("Total-New",'Distrib pivot table'!$C$2,"state","TX","group","2d1d1")/GETPIVOTDATA("Total-New",'Distrib pivot table'!$C$2,"state","TX")&gt;0.0005,GETPIVOTDATA("Total-New",'Distrib pivot table'!$C$2,"state","TX","group","2d1d1")/GETPIVOTDATA("Total-New",'Distrib pivot table'!$C$2,"state","TX"),"*"))</f>
        <v>0</v>
      </c>
      <c r="S45" s="1125" t="str">
        <f>IF((GETPIVOTDATA("Total-New",'Distrib pivot table'!$C$2,"state","VA","group","2d1d1")/GETPIVOTDATA("Total-New",'Distrib pivot table'!$C$2,"state","VA"))=0,,IF(GETPIVOTDATA("Total-New",'Distrib pivot table'!$C$2,"state","VA","group","2d1d1")/GETPIVOTDATA("Total-New",'Distrib pivot table'!$C$2,"state","VA")&gt;0.0005,GETPIVOTDATA("Total-New",'Distrib pivot table'!$C$2,"state","VA","group","2d1d1")/GETPIVOTDATA("Total-New",'Distrib pivot table'!$C$2,"state","VA"),"*"))</f>
        <v>*</v>
      </c>
      <c r="T45" s="1125">
        <f>IF((GETPIVOTDATA("Total-New",'Distrib pivot table'!$C$2,"state","WV","group","2d1d1")/GETPIVOTDATA("Total-New",'Distrib pivot table'!$C$2,"state","WV"))=0,,IF(GETPIVOTDATA("Total-New",'Distrib pivot table'!$C$2,"state","WV","group","2d1d1")/GETPIVOTDATA("Total-New",'Distrib pivot table'!$C$2,"state","WV")&gt;0.0005,GETPIVOTDATA("Total-New",'Distrib pivot table'!$C$2,"state","WV","group","2d1d1")/GETPIVOTDATA("Total-New",'Distrib pivot table'!$C$2,"state","WV"),"*"))</f>
        <v>4.8590549931447806E-3</v>
      </c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</row>
    <row r="46" spans="1:50" ht="12.6" customHeight="1">
      <c r="A46" s="1172"/>
      <c r="B46" s="128" t="s">
        <v>1761</v>
      </c>
      <c r="C46" s="817" t="s">
        <v>1583</v>
      </c>
      <c r="D46" s="1125">
        <f>IF(GETPIVOTDATA("Total-New",'Distrib pivot table'!$C$2,"group","2d1d2")/GETPIVOTDATA("Total-New",'Distrib pivot table'!$C$2)=0,,IF(GETPIVOTDATA("Total-New",'Distrib pivot table'!$C$2,"group","2d1d2")/GETPIVOTDATA("Total-New",'Distrib pivot table'!$C$2)&gt;0.0005,GETPIVOTDATA("Total-New",'Distrib pivot table'!$C$2,"group","2d1d2")/GETPIVOTDATA("Total-New",'Distrib pivot table'!$C$2),"*"))</f>
        <v>2.2800356548590703E-3</v>
      </c>
      <c r="E46" s="1125" t="str">
        <f>IF((GETPIVOTDATA("Total-New",'Distrib pivot table'!$C$2,"state","AL","group","2d1d2")/GETPIVOTDATA("Total-New",'Distrib pivot table'!$C$2,"state","AL"))=0,,IF(GETPIVOTDATA("Total-New",'Distrib pivot table'!$C$2,"state","AL","group","2d1d2")/GETPIVOTDATA("Total-New",'Distrib pivot table'!$C$2,"state","AL")&gt;0.0005,GETPIVOTDATA("Total-New",'Distrib pivot table'!$C$2,"state","AL","group","2d1d2")/GETPIVOTDATA("Total-New",'Distrib pivot table'!$C$2,"state","AL"),"*"))</f>
        <v>*</v>
      </c>
      <c r="F46" s="1125">
        <f>IF((GETPIVOTDATA("Total-New",'Distrib pivot table'!$C$2,"state","AR","group","2d1d2")/GETPIVOTDATA("Total-New",'Distrib pivot table'!$C$2,"state","AR"))=0,,IF(GETPIVOTDATA("Total-New",'Distrib pivot table'!$C$2,"state","AR","group","2d1d2")/GETPIVOTDATA("Total-New",'Distrib pivot table'!$C$2,"state","AR")&gt;0.0005,GETPIVOTDATA("Total-New",'Distrib pivot table'!$C$2,"state","AR","group","2d1d2")/GETPIVOTDATA("Total-New",'Distrib pivot table'!$C$2,"state","AR"),"*"))</f>
        <v>2.2007176263970905E-3</v>
      </c>
      <c r="G46" s="1125">
        <f>IF((GETPIVOTDATA("Total-New",'Distrib pivot table'!$C$2,"state","DE","group","2d1d2")/GETPIVOTDATA("Total-New",'Distrib pivot table'!$C$2,"state","DE"))=0,,IF(GETPIVOTDATA("Total-New",'Distrib pivot table'!$C$2,"state","DE","group","2d1d2")/GETPIVOTDATA("Total-New",'Distrib pivot table'!$C$2,"state","DE")&gt;0.0005,GETPIVOTDATA("Total-New",'Distrib pivot table'!$C$2,"state","DE","group","2d1d2")/GETPIVOTDATA("Total-New",'Distrib pivot table'!$C$2,"state","DE"),"*"))</f>
        <v>7.7916107836910645E-4</v>
      </c>
      <c r="H46" s="1125">
        <f>IF((GETPIVOTDATA("Total-New",'Distrib pivot table'!$C$2,"state","FL","group","2d1d2")/GETPIVOTDATA("Total-New",'Distrib pivot table'!$C$2,"state","FL"))=0,,IF(GETPIVOTDATA("Total-New",'Distrib pivot table'!$C$2,"state","FL","group","2d1d2")/GETPIVOTDATA("Total-New",'Distrib pivot table'!$C$2,"state","FL")&gt;0.0005,GETPIVOTDATA("Total-New",'Distrib pivot table'!$C$2,"state","FL","group","2d1d2")/GETPIVOTDATA("Total-New",'Distrib pivot table'!$C$2,"state","FL"),"*"))</f>
        <v>0</v>
      </c>
      <c r="I46" s="1125" t="str">
        <f>IF((GETPIVOTDATA("Total-New",'Distrib pivot table'!$C$2,"state","GA","group","2d1d2")/GETPIVOTDATA("Total-New",'Distrib pivot table'!$C$2,"state","GA"))=0,,IF(GETPIVOTDATA("Total-New",'Distrib pivot table'!$C$2,"state","GA","group","2d1d2")/GETPIVOTDATA("Total-New",'Distrib pivot table'!$C$2,"state","GA")&gt;0.0005,GETPIVOTDATA("Total-New",'Distrib pivot table'!$C$2,"state","GA","group","2d1d2")/GETPIVOTDATA("Total-New",'Distrib pivot table'!$C$2,"state","GA"),"*"))</f>
        <v>*</v>
      </c>
      <c r="J46" s="1125">
        <f>IF((GETPIVOTDATA("Total-New",'Distrib pivot table'!$C$2,"state","KY","group","2d1d2")/GETPIVOTDATA("Total-New",'Distrib pivot table'!$C$2,"state","KY"))=0,,IF(GETPIVOTDATA("Total-New",'Distrib pivot table'!$C$2,"state","KY","group","2d1d2")/GETPIVOTDATA("Total-New",'Distrib pivot table'!$C$2,"state","KY")&gt;0.0005,GETPIVOTDATA("Total-New",'Distrib pivot table'!$C$2,"state","KY","group","2d1d2")/GETPIVOTDATA("Total-New",'Distrib pivot table'!$C$2,"state","KY"),"*"))</f>
        <v>7.0964753017421257E-3</v>
      </c>
      <c r="K46" s="1125">
        <f>IF((GETPIVOTDATA("Total-New",'Distrib pivot table'!$C$2,"state","LA","group","2d1d2")/GETPIVOTDATA("Total-New",'Distrib pivot table'!$C$2,"state","LA"))=0,,IF(GETPIVOTDATA("Total-New",'Distrib pivot table'!$C$2,"state","LA","group","2d1d2")/GETPIVOTDATA("Total-New",'Distrib pivot table'!$C$2,"state","LA")&gt;0.0005,GETPIVOTDATA("Total-New",'Distrib pivot table'!$C$2,"state","LA","group","2d1d2")/GETPIVOTDATA("Total-New",'Distrib pivot table'!$C$2,"state","LA"),"*"))</f>
        <v>3.9035251068275157E-3</v>
      </c>
      <c r="L46" s="1125">
        <f>IF((GETPIVOTDATA("Total-New",'Distrib pivot table'!$C$2,"state","MD","group","2d1d2")/GETPIVOTDATA("Total-New",'Distrib pivot table'!$C$2,"state","MD"))=0,,IF(GETPIVOTDATA("Total-New",'Distrib pivot table'!$C$2,"state","MD","group","2d1d2")/GETPIVOTDATA("Total-New",'Distrib pivot table'!$C$2,"state","MD")&gt;0.0005,GETPIVOTDATA("Total-New",'Distrib pivot table'!$C$2,"state","MD","group","2d1d2")/GETPIVOTDATA("Total-New",'Distrib pivot table'!$C$2,"state","MD"),"*"))</f>
        <v>8.486610601531674E-4</v>
      </c>
      <c r="M46" s="1125">
        <f>IF((GETPIVOTDATA("Total-New",'Distrib pivot table'!$C$2,"state","MS","group","2d1d2")/GETPIVOTDATA("Total-New",'Distrib pivot table'!$C$2,"state","MS"))=0,,IF(GETPIVOTDATA("Total-New",'Distrib pivot table'!$C$2,"state","MS","group","2d1d2")/GETPIVOTDATA("Total-New",'Distrib pivot table'!$C$2,"state","MS")&gt;0.0005,GETPIVOTDATA("Total-New",'Distrib pivot table'!$C$2,"state","MS","group","2d1d2")/GETPIVOTDATA("Total-New",'Distrib pivot table'!$C$2,"state","MS"),"*"))</f>
        <v>1.8630292532552555E-3</v>
      </c>
      <c r="N46" s="1125">
        <f>IF((GETPIVOTDATA("Total-New",'Distrib pivot table'!$C$2,"state","NC","group","2d1d2")/GETPIVOTDATA("Total-New",'Distrib pivot table'!$C$2,"state","NC"))=0,,IF(GETPIVOTDATA("Total-New",'Distrib pivot table'!$C$2,"state","NC","group","2d1d2")/GETPIVOTDATA("Total-New",'Distrib pivot table'!$C$2,"state","NC")&gt;0.0005,GETPIVOTDATA("Total-New",'Distrib pivot table'!$C$2,"state","NC","group","2d1d2")/GETPIVOTDATA("Total-New",'Distrib pivot table'!$C$2,"state","NC"),"*"))</f>
        <v>0</v>
      </c>
      <c r="O46" s="1125">
        <f>IF((GETPIVOTDATA("Total-New",'Distrib pivot table'!$C$2,"state","OK","group","2d1d2")/GETPIVOTDATA("Total-New",'Distrib pivot table'!$C$2,"state","OK"))=0,,IF(GETPIVOTDATA("Total-New",'Distrib pivot table'!$C$2,"state","OK","group","2d1d2")/GETPIVOTDATA("Total-New",'Distrib pivot table'!$C$2,"state","OK")&gt;0.0005,GETPIVOTDATA("Total-New",'Distrib pivot table'!$C$2,"state","OK","group","2d1d2")/GETPIVOTDATA("Total-New",'Distrib pivot table'!$C$2,"state","OK"),"*"))</f>
        <v>0</v>
      </c>
      <c r="P46" s="1125">
        <f>IF((GETPIVOTDATA("Total-New",'Distrib pivot table'!$C$2,"state","SC","group","2d1d2")/GETPIVOTDATA("Total-New",'Distrib pivot table'!$C$2,"state","SC"))=0,,IF(GETPIVOTDATA("Total-New",'Distrib pivot table'!$C$2,"state","SC","group","2d1d2")/GETPIVOTDATA("Total-New",'Distrib pivot table'!$C$2,"state","SC")&gt;0.0005,GETPIVOTDATA("Total-New",'Distrib pivot table'!$C$2,"state","SC","group","2d1d2")/GETPIVOTDATA("Total-New",'Distrib pivot table'!$C$2,"state","SC"),"*"))</f>
        <v>1.757537492817552E-2</v>
      </c>
      <c r="Q46" s="1125">
        <f>IF((GETPIVOTDATA("Total-New",'Distrib pivot table'!$C$2,"state","TN","group","2d1d2")/GETPIVOTDATA("Total-New",'Distrib pivot table'!$C$2,"state","TN"))=0,,IF(GETPIVOTDATA("Total-New",'Distrib pivot table'!$C$2,"state","TN","group","2d1d2")/GETPIVOTDATA("Total-New",'Distrib pivot table'!$C$2,"state","TN")&gt;0.0005,GETPIVOTDATA("Total-New",'Distrib pivot table'!$C$2,"state","TN","group","2d1d2")/GETPIVOTDATA("Total-New",'Distrib pivot table'!$C$2,"state","TN"),"*"))</f>
        <v>1.5490790388780007E-2</v>
      </c>
      <c r="R46" s="1125">
        <f>IF((GETPIVOTDATA("Total-New",'Distrib pivot table'!$C$2,"state","TX","group","2d1d2")/GETPIVOTDATA("Total-New",'Distrib pivot table'!$C$2,"state","TX"))=0,,IF(GETPIVOTDATA("Total-New",'Distrib pivot table'!$C$2,"state","TX","group","2d1d2")/GETPIVOTDATA("Total-New",'Distrib pivot table'!$C$2,"state","TX")&gt;0.0005,GETPIVOTDATA("Total-New",'Distrib pivot table'!$C$2,"state","TX","group","2d1d2")/GETPIVOTDATA("Total-New",'Distrib pivot table'!$C$2,"state","TX"),"*"))</f>
        <v>0</v>
      </c>
      <c r="S46" s="1125">
        <f>IF((GETPIVOTDATA("Total-New",'Distrib pivot table'!$C$2,"state","VA","group","2d1d2")/GETPIVOTDATA("Total-New",'Distrib pivot table'!$C$2,"state","VA"))=0,,IF(GETPIVOTDATA("Total-New",'Distrib pivot table'!$C$2,"state","VA","group","2d1d2")/GETPIVOTDATA("Total-New",'Distrib pivot table'!$C$2,"state","VA")&gt;0.0005,GETPIVOTDATA("Total-New",'Distrib pivot table'!$C$2,"state","VA","group","2d1d2")/GETPIVOTDATA("Total-New",'Distrib pivot table'!$C$2,"state","VA"),"*"))</f>
        <v>0</v>
      </c>
      <c r="T46" s="1125">
        <f>IF((GETPIVOTDATA("Total-New",'Distrib pivot table'!$C$2,"state","WV","group","2d1d2")/GETPIVOTDATA("Total-New",'Distrib pivot table'!$C$2,"state","WV"))=0,,IF(GETPIVOTDATA("Total-New",'Distrib pivot table'!$C$2,"state","WV","group","2d1d2")/GETPIVOTDATA("Total-New",'Distrib pivot table'!$C$2,"state","WV")&gt;0.0005,GETPIVOTDATA("Total-New",'Distrib pivot table'!$C$2,"state","WV","group","2d1d2")/GETPIVOTDATA("Total-New",'Distrib pivot table'!$C$2,"state","WV"),"*"))</f>
        <v>3.8859886151242497E-3</v>
      </c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</row>
    <row r="47" spans="1:50" ht="12.6" customHeight="1">
      <c r="A47" s="1172"/>
      <c r="B47" s="128" t="s">
        <v>912</v>
      </c>
      <c r="C47" s="817" t="s">
        <v>1806</v>
      </c>
      <c r="D47" s="1125" t="str">
        <f>IF(GETPIVOTDATA("Total-New",'Distrib pivot table'!$C$2,"group","2d2")/GETPIVOTDATA("Total-New",'Distrib pivot table'!$C$2)=0,,IF(GETPIVOTDATA("Total-New",'Distrib pivot table'!$C$2,"group","2d2")/GETPIVOTDATA("Total-New",'Distrib pivot table'!$C$2)&gt;0.0005,GETPIVOTDATA("Total-New",'Distrib pivot table'!$C$2,"group","2d2")/GETPIVOTDATA("Total-New",'Distrib pivot table'!$C$2),"*"))</f>
        <v>*</v>
      </c>
      <c r="E47" s="1125">
        <f>IF((GETPIVOTDATA("Total-New",'Distrib pivot table'!$C$2,"state","AL","group","2d2")/GETPIVOTDATA("Total-New",'Distrib pivot table'!$C$2,"state","AL"))=0,,IF(GETPIVOTDATA("Total-New",'Distrib pivot table'!$C$2,"state","AL","group","2d2")/GETPIVOTDATA("Total-New",'Distrib pivot table'!$C$2,"state","AL")&gt;0.0005,GETPIVOTDATA("Total-New",'Distrib pivot table'!$C$2,"state","AL","group","2d2")/GETPIVOTDATA("Total-New",'Distrib pivot table'!$C$2,"state","AL"),"*"))</f>
        <v>0</v>
      </c>
      <c r="F47" s="1125">
        <f>IF((GETPIVOTDATA("Total-New",'Distrib pivot table'!$C$2,"state","AR","group","2d2")/GETPIVOTDATA("Total-New",'Distrib pivot table'!$C$2,"state","AR"))=0,,IF(GETPIVOTDATA("Total-New",'Distrib pivot table'!$C$2,"state","AR","group","2d2")/GETPIVOTDATA("Total-New",'Distrib pivot table'!$C$2,"state","AR")&gt;0.0005,GETPIVOTDATA("Total-New",'Distrib pivot table'!$C$2,"state","AR","group","2d2")/GETPIVOTDATA("Total-New",'Distrib pivot table'!$C$2,"state","AR"),"*"))</f>
        <v>0</v>
      </c>
      <c r="G47" s="1125">
        <f>IF((GETPIVOTDATA("Total-New",'Distrib pivot table'!$C$2,"state","DE","group","2d2")/GETPIVOTDATA("Total-New",'Distrib pivot table'!$C$2,"state","DE"))=0,,IF(GETPIVOTDATA("Total-New",'Distrib pivot table'!$C$2,"state","DE","group","2d2")/GETPIVOTDATA("Total-New",'Distrib pivot table'!$C$2,"state","DE")&gt;0.0005,GETPIVOTDATA("Total-New",'Distrib pivot table'!$C$2,"state","DE","group","2d2")/GETPIVOTDATA("Total-New",'Distrib pivot table'!$C$2,"state","DE"),"*"))</f>
        <v>0</v>
      </c>
      <c r="H47" s="1125">
        <f>IF((GETPIVOTDATA("Total-New",'Distrib pivot table'!$C$2,"state","FL","group","2d2")/GETPIVOTDATA("Total-New",'Distrib pivot table'!$C$2,"state","FL"))=0,,IF(GETPIVOTDATA("Total-New",'Distrib pivot table'!$C$2,"state","FL","group","2d2")/GETPIVOTDATA("Total-New",'Distrib pivot table'!$C$2,"state","FL")&gt;0.0005,GETPIVOTDATA("Total-New",'Distrib pivot table'!$C$2,"state","FL","group","2d2")/GETPIVOTDATA("Total-New",'Distrib pivot table'!$C$2,"state","FL"),"*"))</f>
        <v>0</v>
      </c>
      <c r="I47" s="1125">
        <f>IF((GETPIVOTDATA("Total-New",'Distrib pivot table'!$C$2,"state","GA","group","2d2")/GETPIVOTDATA("Total-New",'Distrib pivot table'!$C$2,"state","GA"))=0,,IF(GETPIVOTDATA("Total-New",'Distrib pivot table'!$C$2,"state","GA","group","2d2")/GETPIVOTDATA("Total-New",'Distrib pivot table'!$C$2,"state","GA")&gt;0.0005,GETPIVOTDATA("Total-New",'Distrib pivot table'!$C$2,"state","GA","group","2d2")/GETPIVOTDATA("Total-New",'Distrib pivot table'!$C$2,"state","GA"),"*"))</f>
        <v>0</v>
      </c>
      <c r="J47" s="1125" t="str">
        <f>IF((GETPIVOTDATA("Total-New",'Distrib pivot table'!$C$2,"state","KY","group","2d2")/GETPIVOTDATA("Total-New",'Distrib pivot table'!$C$2,"state","KY"))=0,,IF(GETPIVOTDATA("Total-New",'Distrib pivot table'!$C$2,"state","KY","group","2d2")/GETPIVOTDATA("Total-New",'Distrib pivot table'!$C$2,"state","KY")&gt;0.0005,GETPIVOTDATA("Total-New",'Distrib pivot table'!$C$2,"state","KY","group","2d2")/GETPIVOTDATA("Total-New",'Distrib pivot table'!$C$2,"state","KY"),"*"))</f>
        <v>*</v>
      </c>
      <c r="K47" s="1125">
        <f>IF((GETPIVOTDATA("Total-New",'Distrib pivot table'!$C$2,"state","LA","group","2d2")/GETPIVOTDATA("Total-New",'Distrib pivot table'!$C$2,"state","LA"))=0,,IF(GETPIVOTDATA("Total-New",'Distrib pivot table'!$C$2,"state","LA","group","2d2")/GETPIVOTDATA("Total-New",'Distrib pivot table'!$C$2,"state","LA")&gt;0.0005,GETPIVOTDATA("Total-New",'Distrib pivot table'!$C$2,"state","LA","group","2d2")/GETPIVOTDATA("Total-New",'Distrib pivot table'!$C$2,"state","LA"),"*"))</f>
        <v>0</v>
      </c>
      <c r="L47" s="1125">
        <f>IF((GETPIVOTDATA("Total-New",'Distrib pivot table'!$C$2,"state","MD","group","2d2")/GETPIVOTDATA("Total-New",'Distrib pivot table'!$C$2,"state","MD"))=0,,IF(GETPIVOTDATA("Total-New",'Distrib pivot table'!$C$2,"state","MD","group","2d2")/GETPIVOTDATA("Total-New",'Distrib pivot table'!$C$2,"state","MD")&gt;0.0005,GETPIVOTDATA("Total-New",'Distrib pivot table'!$C$2,"state","MD","group","2d2")/GETPIVOTDATA("Total-New",'Distrib pivot table'!$C$2,"state","MD"),"*"))</f>
        <v>0</v>
      </c>
      <c r="M47" s="1125" t="str">
        <f>IF((GETPIVOTDATA("Total-New",'Distrib pivot table'!$C$2,"state","MS","group","2d2")/GETPIVOTDATA("Total-New",'Distrib pivot table'!$C$2,"state","MS"))=0,,IF(GETPIVOTDATA("Total-New",'Distrib pivot table'!$C$2,"state","MS","group","2d2")/GETPIVOTDATA("Total-New",'Distrib pivot table'!$C$2,"state","MS")&gt;0.0005,GETPIVOTDATA("Total-New",'Distrib pivot table'!$C$2,"state","MS","group","2d2")/GETPIVOTDATA("Total-New",'Distrib pivot table'!$C$2,"state","MS"),"*"))</f>
        <v>*</v>
      </c>
      <c r="N47" s="1125">
        <f>IF((GETPIVOTDATA("Total-New",'Distrib pivot table'!$C$2,"state","NC","group","2d2")/GETPIVOTDATA("Total-New",'Distrib pivot table'!$C$2,"state","NC"))=0,,IF(GETPIVOTDATA("Total-New",'Distrib pivot table'!$C$2,"state","NC","group","2d2")/GETPIVOTDATA("Total-New",'Distrib pivot table'!$C$2,"state","NC")&gt;0.0005,GETPIVOTDATA("Total-New",'Distrib pivot table'!$C$2,"state","NC","group","2d2")/GETPIVOTDATA("Total-New",'Distrib pivot table'!$C$2,"state","NC"),"*"))</f>
        <v>0</v>
      </c>
      <c r="O47" s="1125">
        <f>IF((GETPIVOTDATA("Total-New",'Distrib pivot table'!$C$2,"state","OK","group","2d2")/GETPIVOTDATA("Total-New",'Distrib pivot table'!$C$2,"state","OK"))=0,,IF(GETPIVOTDATA("Total-New",'Distrib pivot table'!$C$2,"state","OK","group","2d2")/GETPIVOTDATA("Total-New",'Distrib pivot table'!$C$2,"state","OK")&gt;0.0005,GETPIVOTDATA("Total-New",'Distrib pivot table'!$C$2,"state","OK","group","2d2")/GETPIVOTDATA("Total-New",'Distrib pivot table'!$C$2,"state","OK"),"*"))</f>
        <v>0</v>
      </c>
      <c r="P47" s="1125">
        <f>IF((GETPIVOTDATA("Total-New",'Distrib pivot table'!$C$2,"state","SC","group","2d2")/GETPIVOTDATA("Total-New",'Distrib pivot table'!$C$2,"state","SC"))=0,,IF(GETPIVOTDATA("Total-New",'Distrib pivot table'!$C$2,"state","SC","group","2d2")/GETPIVOTDATA("Total-New",'Distrib pivot table'!$C$2,"state","SC")&gt;0.0005,GETPIVOTDATA("Total-New",'Distrib pivot table'!$C$2,"state","SC","group","2d2")/GETPIVOTDATA("Total-New",'Distrib pivot table'!$C$2,"state","SC"),"*"))</f>
        <v>0</v>
      </c>
      <c r="Q47" s="1125">
        <f>IF((GETPIVOTDATA("Total-New",'Distrib pivot table'!$C$2,"state","TN","group","2d2")/GETPIVOTDATA("Total-New",'Distrib pivot table'!$C$2,"state","TN"))=0,,IF(GETPIVOTDATA("Total-New",'Distrib pivot table'!$C$2,"state","TN","group","2d2")/GETPIVOTDATA("Total-New",'Distrib pivot table'!$C$2,"state","TN")&gt;0.0005,GETPIVOTDATA("Total-New",'Distrib pivot table'!$C$2,"state","TN","group","2d2")/GETPIVOTDATA("Total-New",'Distrib pivot table'!$C$2,"state","TN"),"*"))</f>
        <v>0</v>
      </c>
      <c r="R47" s="1125">
        <f>IF((GETPIVOTDATA("Total-New",'Distrib pivot table'!$C$2,"state","TX","group","2d2")/GETPIVOTDATA("Total-New",'Distrib pivot table'!$C$2,"state","TX"))=0,,IF(GETPIVOTDATA("Total-New",'Distrib pivot table'!$C$2,"state","TX","group","2d2")/GETPIVOTDATA("Total-New",'Distrib pivot table'!$C$2,"state","TX")&gt;0.0005,GETPIVOTDATA("Total-New",'Distrib pivot table'!$C$2,"state","TX","group","2d2")/GETPIVOTDATA("Total-New",'Distrib pivot table'!$C$2,"state","TX"),"*"))</f>
        <v>0</v>
      </c>
      <c r="S47" s="1125" t="str">
        <f>IF((GETPIVOTDATA("Total-New",'Distrib pivot table'!$C$2,"state","VA","group","2d2")/GETPIVOTDATA("Total-New",'Distrib pivot table'!$C$2,"state","VA"))=0,,IF(GETPIVOTDATA("Total-New",'Distrib pivot table'!$C$2,"state","VA","group","2d2")/GETPIVOTDATA("Total-New",'Distrib pivot table'!$C$2,"state","VA")&gt;0.0005,GETPIVOTDATA("Total-New",'Distrib pivot table'!$C$2,"state","VA","group","2d2")/GETPIVOTDATA("Total-New",'Distrib pivot table'!$C$2,"state","VA"),"*"))</f>
        <v>*</v>
      </c>
      <c r="T47" s="1125">
        <f>IF((GETPIVOTDATA("Total-New",'Distrib pivot table'!$C$2,"state","WV","group","2d2")/GETPIVOTDATA("Total-New",'Distrib pivot table'!$C$2,"state","WV"))=0,,IF(GETPIVOTDATA("Total-New",'Distrib pivot table'!$C$2,"state","WV","group","2d2")/GETPIVOTDATA("Total-New",'Distrib pivot table'!$C$2,"state","WV")&gt;0.0005,GETPIVOTDATA("Total-New",'Distrib pivot table'!$C$2,"state","WV","group","2d2")/GETPIVOTDATA("Total-New",'Distrib pivot table'!$C$2,"state","WV"),"*"))</f>
        <v>0</v>
      </c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spans="1:50" ht="12.6" customHeight="1">
      <c r="A48" s="1172"/>
      <c r="B48" s="128" t="s">
        <v>1883</v>
      </c>
      <c r="C48" s="817" t="s">
        <v>1764</v>
      </c>
      <c r="D48" s="1125">
        <f>IF(GETPIVOTDATA("Total-New",'Distrib pivot table'!$C$2,"group","2d2a")/GETPIVOTDATA("Total-New",'Distrib pivot table'!$C$2)=0,,IF(GETPIVOTDATA("Total-New",'Distrib pivot table'!$C$2,"group","2d2a")/GETPIVOTDATA("Total-New",'Distrib pivot table'!$C$2)&gt;0.0005,GETPIVOTDATA("Total-New",'Distrib pivot table'!$C$2,"group","2d2a")/GETPIVOTDATA("Total-New",'Distrib pivot table'!$C$2),"*"))</f>
        <v>6.9529473432262956E-3</v>
      </c>
      <c r="E48" s="1125">
        <f>IF((GETPIVOTDATA("Total-New",'Distrib pivot table'!$C$2,"state","AL","group","2d2a")/GETPIVOTDATA("Total-New",'Distrib pivot table'!$C$2,"state","AL"))=0,,IF(GETPIVOTDATA("Total-New",'Distrib pivot table'!$C$2,"state","AL","group","2d2a")/GETPIVOTDATA("Total-New",'Distrib pivot table'!$C$2,"state","AL")&gt;0.0005,GETPIVOTDATA("Total-New",'Distrib pivot table'!$C$2,"state","AL","group","2d2a")/GETPIVOTDATA("Total-New",'Distrib pivot table'!$C$2,"state","AL"),"*"))</f>
        <v>0</v>
      </c>
      <c r="F48" s="1125">
        <f>IF((GETPIVOTDATA("Total-New",'Distrib pivot table'!$C$2,"state","AR","group","2d2a")/GETPIVOTDATA("Total-New",'Distrib pivot table'!$C$2,"state","AR"))=0,,IF(GETPIVOTDATA("Total-New",'Distrib pivot table'!$C$2,"state","AR","group","2d2a")/GETPIVOTDATA("Total-New",'Distrib pivot table'!$C$2,"state","AR")&gt;0.0005,GETPIVOTDATA("Total-New",'Distrib pivot table'!$C$2,"state","AR","group","2d2a")/GETPIVOTDATA("Total-New",'Distrib pivot table'!$C$2,"state","AR"),"*"))</f>
        <v>0</v>
      </c>
      <c r="G48" s="1125">
        <f>IF((GETPIVOTDATA("Total-New",'Distrib pivot table'!$C$2,"state","DE","group","2d2a")/GETPIVOTDATA("Total-New",'Distrib pivot table'!$C$2,"state","DE"))=0,,IF(GETPIVOTDATA("Total-New",'Distrib pivot table'!$C$2,"state","DE","group","2d2a")/GETPIVOTDATA("Total-New",'Distrib pivot table'!$C$2,"state","DE")&gt;0.0005,GETPIVOTDATA("Total-New",'Distrib pivot table'!$C$2,"state","DE","group","2d2a")/GETPIVOTDATA("Total-New",'Distrib pivot table'!$C$2,"state","DE"),"*"))</f>
        <v>0</v>
      </c>
      <c r="H48" s="1125">
        <f>IF((GETPIVOTDATA("Total-New",'Distrib pivot table'!$C$2,"state","FL","group","2d2a")/GETPIVOTDATA("Total-New",'Distrib pivot table'!$C$2,"state","FL"))=0,,IF(GETPIVOTDATA("Total-New",'Distrib pivot table'!$C$2,"state","FL","group","2d2a")/GETPIVOTDATA("Total-New",'Distrib pivot table'!$C$2,"state","FL")&gt;0.0005,GETPIVOTDATA("Total-New",'Distrib pivot table'!$C$2,"state","FL","group","2d2a")/GETPIVOTDATA("Total-New",'Distrib pivot table'!$C$2,"state","FL"),"*"))</f>
        <v>1.6876459410323712E-2</v>
      </c>
      <c r="I48" s="1125">
        <f>IF((GETPIVOTDATA("Total-New",'Distrib pivot table'!$C$2,"state","GA","group","2d2a")/GETPIVOTDATA("Total-New",'Distrib pivot table'!$C$2,"state","GA"))=0,,IF(GETPIVOTDATA("Total-New",'Distrib pivot table'!$C$2,"state","GA","group","2d2a")/GETPIVOTDATA("Total-New",'Distrib pivot table'!$C$2,"state","GA")&gt;0.0005,GETPIVOTDATA("Total-New",'Distrib pivot table'!$C$2,"state","GA","group","2d2a")/GETPIVOTDATA("Total-New",'Distrib pivot table'!$C$2,"state","GA"),"*"))</f>
        <v>0</v>
      </c>
      <c r="J48" s="1125">
        <f>IF((GETPIVOTDATA("Total-New",'Distrib pivot table'!$C$2,"state","KY","group","2d2a")/GETPIVOTDATA("Total-New",'Distrib pivot table'!$C$2,"state","KY"))=0,,IF(GETPIVOTDATA("Total-New",'Distrib pivot table'!$C$2,"state","KY","group","2d2a")/GETPIVOTDATA("Total-New",'Distrib pivot table'!$C$2,"state","KY")&gt;0.0005,GETPIVOTDATA("Total-New",'Distrib pivot table'!$C$2,"state","KY","group","2d2a")/GETPIVOTDATA("Total-New",'Distrib pivot table'!$C$2,"state","KY"),"*"))</f>
        <v>0</v>
      </c>
      <c r="K48" s="1125">
        <f>IF((GETPIVOTDATA("Total-New",'Distrib pivot table'!$C$2,"state","LA","group","2d2a")/GETPIVOTDATA("Total-New",'Distrib pivot table'!$C$2,"state","LA"))=0,,IF(GETPIVOTDATA("Total-New",'Distrib pivot table'!$C$2,"state","LA","group","2d2a")/GETPIVOTDATA("Total-New",'Distrib pivot table'!$C$2,"state","LA")&gt;0.0005,GETPIVOTDATA("Total-New",'Distrib pivot table'!$C$2,"state","LA","group","2d2a")/GETPIVOTDATA("Total-New",'Distrib pivot table'!$C$2,"state","LA"),"*"))</f>
        <v>0</v>
      </c>
      <c r="L48" s="1125">
        <f>IF((GETPIVOTDATA("Total-New",'Distrib pivot table'!$C$2,"state","MD","group","2d2a")/GETPIVOTDATA("Total-New",'Distrib pivot table'!$C$2,"state","MD"))=0,,IF(GETPIVOTDATA("Total-New",'Distrib pivot table'!$C$2,"state","MD","group","2d2a")/GETPIVOTDATA("Total-New",'Distrib pivot table'!$C$2,"state","MD")&gt;0.0005,GETPIVOTDATA("Total-New",'Distrib pivot table'!$C$2,"state","MD","group","2d2a")/GETPIVOTDATA("Total-New",'Distrib pivot table'!$C$2,"state","MD"),"*"))</f>
        <v>0</v>
      </c>
      <c r="M48" s="1125">
        <f>IF((GETPIVOTDATA("Total-New",'Distrib pivot table'!$C$2,"state","MS","group","2d2a")/GETPIVOTDATA("Total-New",'Distrib pivot table'!$C$2,"state","MS"))=0,,IF(GETPIVOTDATA("Total-New",'Distrib pivot table'!$C$2,"state","MS","group","2d2a")/GETPIVOTDATA("Total-New",'Distrib pivot table'!$C$2,"state","MS")&gt;0.0005,GETPIVOTDATA("Total-New",'Distrib pivot table'!$C$2,"state","MS","group","2d2a")/GETPIVOTDATA("Total-New",'Distrib pivot table'!$C$2,"state","MS"),"*"))</f>
        <v>0</v>
      </c>
      <c r="N48" s="1125">
        <f>IF((GETPIVOTDATA("Total-New",'Distrib pivot table'!$C$2,"state","NC","group","2d2a")/GETPIVOTDATA("Total-New",'Distrib pivot table'!$C$2,"state","NC"))=0,,IF(GETPIVOTDATA("Total-New",'Distrib pivot table'!$C$2,"state","NC","group","2d2a")/GETPIVOTDATA("Total-New",'Distrib pivot table'!$C$2,"state","NC")&gt;0.0005,GETPIVOTDATA("Total-New",'Distrib pivot table'!$C$2,"state","NC","group","2d2a")/GETPIVOTDATA("Total-New",'Distrib pivot table'!$C$2,"state","NC"),"*"))</f>
        <v>2.7132925386771891E-2</v>
      </c>
      <c r="O48" s="1125">
        <f>IF((GETPIVOTDATA("Total-New",'Distrib pivot table'!$C$2,"state","OK","group","2d2a")/GETPIVOTDATA("Total-New",'Distrib pivot table'!$C$2,"state","OK"))=0,,IF(GETPIVOTDATA("Total-New",'Distrib pivot table'!$C$2,"state","OK","group","2d2a")/GETPIVOTDATA("Total-New",'Distrib pivot table'!$C$2,"state","OK")&gt;0.0005,GETPIVOTDATA("Total-New",'Distrib pivot table'!$C$2,"state","OK","group","2d2a")/GETPIVOTDATA("Total-New",'Distrib pivot table'!$C$2,"state","OK"),"*"))</f>
        <v>0</v>
      </c>
      <c r="P48" s="1125">
        <f>IF((GETPIVOTDATA("Total-New",'Distrib pivot table'!$C$2,"state","SC","group","2d2a")/GETPIVOTDATA("Total-New",'Distrib pivot table'!$C$2,"state","SC"))=0,,IF(GETPIVOTDATA("Total-New",'Distrib pivot table'!$C$2,"state","SC","group","2d2a")/GETPIVOTDATA("Total-New",'Distrib pivot table'!$C$2,"state","SC")&gt;0.0005,GETPIVOTDATA("Total-New",'Distrib pivot table'!$C$2,"state","SC","group","2d2a")/GETPIVOTDATA("Total-New",'Distrib pivot table'!$C$2,"state","SC"),"*"))</f>
        <v>0</v>
      </c>
      <c r="Q48" s="1125">
        <f>IF((GETPIVOTDATA("Total-New",'Distrib pivot table'!$C$2,"state","TN","group","2d2a")/GETPIVOTDATA("Total-New",'Distrib pivot table'!$C$2,"state","TN"))=0,,IF(GETPIVOTDATA("Total-New",'Distrib pivot table'!$C$2,"state","TN","group","2d2a")/GETPIVOTDATA("Total-New",'Distrib pivot table'!$C$2,"state","TN")&gt;0.0005,GETPIVOTDATA("Total-New",'Distrib pivot table'!$C$2,"state","TN","group","2d2a")/GETPIVOTDATA("Total-New",'Distrib pivot table'!$C$2,"state","TN"),"*"))</f>
        <v>0</v>
      </c>
      <c r="R48" s="1125">
        <f>IF((GETPIVOTDATA("Total-New",'Distrib pivot table'!$C$2,"state","TX","group","2d2a")/GETPIVOTDATA("Total-New",'Distrib pivot table'!$C$2,"state","TX"))=0,,IF(GETPIVOTDATA("Total-New",'Distrib pivot table'!$C$2,"state","TX","group","2d2a")/GETPIVOTDATA("Total-New",'Distrib pivot table'!$C$2,"state","TX")&gt;0.0005,GETPIVOTDATA("Total-New",'Distrib pivot table'!$C$2,"state","TX","group","2d2a")/GETPIVOTDATA("Total-New",'Distrib pivot table'!$C$2,"state","TX"),"*"))</f>
        <v>0</v>
      </c>
      <c r="S48" s="1125">
        <f>IF((GETPIVOTDATA("Total-New",'Distrib pivot table'!$C$2,"state","VA","group","2d2a")/GETPIVOTDATA("Total-New",'Distrib pivot table'!$C$2,"state","VA"))=0,,IF(GETPIVOTDATA("Total-New",'Distrib pivot table'!$C$2,"state","VA","group","2d2a")/GETPIVOTDATA("Total-New",'Distrib pivot table'!$C$2,"state","VA")&gt;0.0005,GETPIVOTDATA("Total-New",'Distrib pivot table'!$C$2,"state","VA","group","2d2a")/GETPIVOTDATA("Total-New",'Distrib pivot table'!$C$2,"state","VA"),"*"))</f>
        <v>3.2868995062915921E-2</v>
      </c>
      <c r="T48" s="1125">
        <f>IF((GETPIVOTDATA("Total-New",'Distrib pivot table'!$C$2,"state","WV","group","2d2a")/GETPIVOTDATA("Total-New",'Distrib pivot table'!$C$2,"state","WV"))=0,,IF(GETPIVOTDATA("Total-New",'Distrib pivot table'!$C$2,"state","WV","group","2d2a")/GETPIVOTDATA("Total-New",'Distrib pivot table'!$C$2,"state","WV")&gt;0.0005,GETPIVOTDATA("Total-New",'Distrib pivot table'!$C$2,"state","WV","group","2d2a")/GETPIVOTDATA("Total-New",'Distrib pivot table'!$C$2,"state","WV"),"*"))</f>
        <v>0</v>
      </c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</row>
    <row r="49" spans="1:50" ht="12.6" customHeight="1">
      <c r="A49" s="1172"/>
      <c r="B49" s="128" t="s">
        <v>1761</v>
      </c>
      <c r="C49" s="817" t="s">
        <v>1765</v>
      </c>
      <c r="D49" s="1125">
        <f>IF(GETPIVOTDATA("Total-New",'Distrib pivot table'!$C$2,"group","2d2b")/GETPIVOTDATA("Total-New",'Distrib pivot table'!$C$2)=0,,IF(GETPIVOTDATA("Total-New",'Distrib pivot table'!$C$2,"group","2d2b")/GETPIVOTDATA("Total-New",'Distrib pivot table'!$C$2)&gt;0.0005,GETPIVOTDATA("Total-New",'Distrib pivot table'!$C$2,"group","2d2b")/GETPIVOTDATA("Total-New",'Distrib pivot table'!$C$2),"*"))</f>
        <v>7.3830396672544913E-3</v>
      </c>
      <c r="E49" s="1125" t="str">
        <f>IF((GETPIVOTDATA("Total-New",'Distrib pivot table'!$C$2,"state","AL","group","2d2b")/GETPIVOTDATA("Total-New",'Distrib pivot table'!$C$2,"state","AL"))=0,,IF(GETPIVOTDATA("Total-New",'Distrib pivot table'!$C$2,"state","AL","group","2d2b")/GETPIVOTDATA("Total-New",'Distrib pivot table'!$C$2,"state","AL")&gt;0.0005,GETPIVOTDATA("Total-New",'Distrib pivot table'!$C$2,"state","AL","group","2d2b")/GETPIVOTDATA("Total-New",'Distrib pivot table'!$C$2,"state","AL"),"*"))</f>
        <v>*</v>
      </c>
      <c r="F49" s="1125" t="str">
        <f>IF((GETPIVOTDATA("Total-New",'Distrib pivot table'!$C$2,"state","AR","group","2d2b")/GETPIVOTDATA("Total-New",'Distrib pivot table'!$C$2,"state","AR"))=0,,IF(GETPIVOTDATA("Total-New",'Distrib pivot table'!$C$2,"state","AR","group","2d2b")/GETPIVOTDATA("Total-New",'Distrib pivot table'!$C$2,"state","AR")&gt;0.0005,GETPIVOTDATA("Total-New",'Distrib pivot table'!$C$2,"state","AR","group","2d2b")/GETPIVOTDATA("Total-New",'Distrib pivot table'!$C$2,"state","AR"),"*"))</f>
        <v>*</v>
      </c>
      <c r="G49" s="1125">
        <f>IF((GETPIVOTDATA("Total-New",'Distrib pivot table'!$C$2,"state","DE","group","2d2b")/GETPIVOTDATA("Total-New",'Distrib pivot table'!$C$2,"state","DE"))=0,,IF(GETPIVOTDATA("Total-New",'Distrib pivot table'!$C$2,"state","DE","group","2d2b")/GETPIVOTDATA("Total-New",'Distrib pivot table'!$C$2,"state","DE")&gt;0.0005,GETPIVOTDATA("Total-New",'Distrib pivot table'!$C$2,"state","DE","group","2d2b")/GETPIVOTDATA("Total-New",'Distrib pivot table'!$C$2,"state","DE"),"*"))</f>
        <v>0</v>
      </c>
      <c r="H49" s="1125">
        <f>IF((GETPIVOTDATA("Total-New",'Distrib pivot table'!$C$2,"state","FL","group","2d2b")/GETPIVOTDATA("Total-New",'Distrib pivot table'!$C$2,"state","FL"))=0,,IF(GETPIVOTDATA("Total-New",'Distrib pivot table'!$C$2,"state","FL","group","2d2b")/GETPIVOTDATA("Total-New",'Distrib pivot table'!$C$2,"state","FL")&gt;0.0005,GETPIVOTDATA("Total-New",'Distrib pivot table'!$C$2,"state","FL","group","2d2b")/GETPIVOTDATA("Total-New",'Distrib pivot table'!$C$2,"state","FL"),"*"))</f>
        <v>9.5781939247646815E-4</v>
      </c>
      <c r="I49" s="1125">
        <f>IF((GETPIVOTDATA("Total-New",'Distrib pivot table'!$C$2,"state","GA","group","2d2b")/GETPIVOTDATA("Total-New",'Distrib pivot table'!$C$2,"state","GA"))=0,,IF(GETPIVOTDATA("Total-New",'Distrib pivot table'!$C$2,"state","GA","group","2d2b")/GETPIVOTDATA("Total-New",'Distrib pivot table'!$C$2,"state","GA")&gt;0.0005,GETPIVOTDATA("Total-New",'Distrib pivot table'!$C$2,"state","GA","group","2d2b")/GETPIVOTDATA("Total-New",'Distrib pivot table'!$C$2,"state","GA"),"*"))</f>
        <v>8.8587914385919245E-2</v>
      </c>
      <c r="J49" s="1125">
        <f>IF((GETPIVOTDATA("Total-New",'Distrib pivot table'!$C$2,"state","KY","group","2d2b")/GETPIVOTDATA("Total-New",'Distrib pivot table'!$C$2,"state","KY"))=0,,IF(GETPIVOTDATA("Total-New",'Distrib pivot table'!$C$2,"state","KY","group","2d2b")/GETPIVOTDATA("Total-New",'Distrib pivot table'!$C$2,"state","KY")&gt;0.0005,GETPIVOTDATA("Total-New",'Distrib pivot table'!$C$2,"state","KY","group","2d2b")/GETPIVOTDATA("Total-New",'Distrib pivot table'!$C$2,"state","KY"),"*"))</f>
        <v>0</v>
      </c>
      <c r="K49" s="1125">
        <f>IF((GETPIVOTDATA("Total-New",'Distrib pivot table'!$C$2,"state","LA","group","2d2b")/GETPIVOTDATA("Total-New",'Distrib pivot table'!$C$2,"state","LA"))=0,,IF(GETPIVOTDATA("Total-New",'Distrib pivot table'!$C$2,"state","LA","group","2d2b")/GETPIVOTDATA("Total-New",'Distrib pivot table'!$C$2,"state","LA")&gt;0.0005,GETPIVOTDATA("Total-New",'Distrib pivot table'!$C$2,"state","LA","group","2d2b")/GETPIVOTDATA("Total-New",'Distrib pivot table'!$C$2,"state","LA"),"*"))</f>
        <v>1.7062539849903447E-3</v>
      </c>
      <c r="L49" s="1125">
        <f>IF((GETPIVOTDATA("Total-New",'Distrib pivot table'!$C$2,"state","MD","group","2d2b")/GETPIVOTDATA("Total-New",'Distrib pivot table'!$C$2,"state","MD"))=0,,IF(GETPIVOTDATA("Total-New",'Distrib pivot table'!$C$2,"state","MD","group","2d2b")/GETPIVOTDATA("Total-New",'Distrib pivot table'!$C$2,"state","MD")&gt;0.0005,GETPIVOTDATA("Total-New",'Distrib pivot table'!$C$2,"state","MD","group","2d2b")/GETPIVOTDATA("Total-New",'Distrib pivot table'!$C$2,"state","MD"),"*"))</f>
        <v>0</v>
      </c>
      <c r="M49" s="1125">
        <f>IF((GETPIVOTDATA("Total-New",'Distrib pivot table'!$C$2,"state","MS","group","2d2b")/GETPIVOTDATA("Total-New",'Distrib pivot table'!$C$2,"state","MS"))=0,,IF(GETPIVOTDATA("Total-New",'Distrib pivot table'!$C$2,"state","MS","group","2d2b")/GETPIVOTDATA("Total-New",'Distrib pivot table'!$C$2,"state","MS")&gt;0.0005,GETPIVOTDATA("Total-New",'Distrib pivot table'!$C$2,"state","MS","group","2d2b")/GETPIVOTDATA("Total-New",'Distrib pivot table'!$C$2,"state","MS"),"*"))</f>
        <v>3.3703405626066686E-3</v>
      </c>
      <c r="N49" s="1125">
        <f>IF((GETPIVOTDATA("Total-New",'Distrib pivot table'!$C$2,"state","NC","group","2d2b")/GETPIVOTDATA("Total-New",'Distrib pivot table'!$C$2,"state","NC"))=0,,IF(GETPIVOTDATA("Total-New",'Distrib pivot table'!$C$2,"state","NC","group","2d2b")/GETPIVOTDATA("Total-New",'Distrib pivot table'!$C$2,"state","NC")&gt;0.0005,GETPIVOTDATA("Total-New",'Distrib pivot table'!$C$2,"state","NC","group","2d2b")/GETPIVOTDATA("Total-New",'Distrib pivot table'!$C$2,"state","NC"),"*"))</f>
        <v>6.8909647756567553E-4</v>
      </c>
      <c r="O49" s="1125">
        <f>IF((GETPIVOTDATA("Total-New",'Distrib pivot table'!$C$2,"state","OK","group","2d2b")/GETPIVOTDATA("Total-New",'Distrib pivot table'!$C$2,"state","OK"))=0,,IF(GETPIVOTDATA("Total-New",'Distrib pivot table'!$C$2,"state","OK","group","2d2b")/GETPIVOTDATA("Total-New",'Distrib pivot table'!$C$2,"state","OK")&gt;0.0005,GETPIVOTDATA("Total-New",'Distrib pivot table'!$C$2,"state","OK","group","2d2b")/GETPIVOTDATA("Total-New",'Distrib pivot table'!$C$2,"state","OK"),"*"))</f>
        <v>0</v>
      </c>
      <c r="P49" s="1125">
        <f>IF((GETPIVOTDATA("Total-New",'Distrib pivot table'!$C$2,"state","SC","group","2d2b")/GETPIVOTDATA("Total-New",'Distrib pivot table'!$C$2,"state","SC"))=0,,IF(GETPIVOTDATA("Total-New",'Distrib pivot table'!$C$2,"state","SC","group","2d2b")/GETPIVOTDATA("Total-New",'Distrib pivot table'!$C$2,"state","SC")&gt;0.0005,GETPIVOTDATA("Total-New",'Distrib pivot table'!$C$2,"state","SC","group","2d2b")/GETPIVOTDATA("Total-New",'Distrib pivot table'!$C$2,"state","SC"),"*"))</f>
        <v>0</v>
      </c>
      <c r="Q49" s="1125">
        <f>IF((GETPIVOTDATA("Total-New",'Distrib pivot table'!$C$2,"state","TN","group","2d2b")/GETPIVOTDATA("Total-New",'Distrib pivot table'!$C$2,"state","TN"))=0,,IF(GETPIVOTDATA("Total-New",'Distrib pivot table'!$C$2,"state","TN","group","2d2b")/GETPIVOTDATA("Total-New",'Distrib pivot table'!$C$2,"state","TN")&gt;0.0005,GETPIVOTDATA("Total-New",'Distrib pivot table'!$C$2,"state","TN","group","2d2b")/GETPIVOTDATA("Total-New",'Distrib pivot table'!$C$2,"state","TN"),"*"))</f>
        <v>0</v>
      </c>
      <c r="R49" s="1125">
        <f>IF((GETPIVOTDATA("Total-New",'Distrib pivot table'!$C$2,"state","TX","group","2d2b")/GETPIVOTDATA("Total-New",'Distrib pivot table'!$C$2,"state","TX"))=0,,IF(GETPIVOTDATA("Total-New",'Distrib pivot table'!$C$2,"state","TX","group","2d2b")/GETPIVOTDATA("Total-New",'Distrib pivot table'!$C$2,"state","TX")&gt;0.0005,GETPIVOTDATA("Total-New",'Distrib pivot table'!$C$2,"state","TX","group","2d2b")/GETPIVOTDATA("Total-New",'Distrib pivot table'!$C$2,"state","TX"),"*"))</f>
        <v>0</v>
      </c>
      <c r="S49" s="1125">
        <f>IF((GETPIVOTDATA("Total-New",'Distrib pivot table'!$C$2,"state","VA","group","2d2b")/GETPIVOTDATA("Total-New",'Distrib pivot table'!$C$2,"state","VA"))=0,,IF(GETPIVOTDATA("Total-New",'Distrib pivot table'!$C$2,"state","VA","group","2d2b")/GETPIVOTDATA("Total-New",'Distrib pivot table'!$C$2,"state","VA")&gt;0.0005,GETPIVOTDATA("Total-New",'Distrib pivot table'!$C$2,"state","VA","group","2d2b")/GETPIVOTDATA("Total-New",'Distrib pivot table'!$C$2,"state","VA"),"*"))</f>
        <v>3.3037440321608737E-3</v>
      </c>
      <c r="T49" s="1125">
        <f>IF((GETPIVOTDATA("Total-New",'Distrib pivot table'!$C$2,"state","WV","group","2d2b")/GETPIVOTDATA("Total-New",'Distrib pivot table'!$C$2,"state","WV"))=0,,IF(GETPIVOTDATA("Total-New",'Distrib pivot table'!$C$2,"state","WV","group","2d2b")/GETPIVOTDATA("Total-New",'Distrib pivot table'!$C$2,"state","WV")&gt;0.0005,GETPIVOTDATA("Total-New",'Distrib pivot table'!$C$2,"state","WV","group","2d2b")/GETPIVOTDATA("Total-New",'Distrib pivot table'!$C$2,"state","WV"),"*"))</f>
        <v>0</v>
      </c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</row>
    <row r="50" spans="1:50" ht="12.6" customHeight="1">
      <c r="A50" s="1172"/>
      <c r="B50" s="128" t="s">
        <v>1879</v>
      </c>
      <c r="C50" s="817" t="s">
        <v>1807</v>
      </c>
      <c r="D50" s="1125" t="str">
        <f>IF(GETPIVOTDATA("Total-New",'Distrib pivot table'!$C$2,"group","2d3")/GETPIVOTDATA("Total-New",'Distrib pivot table'!$C$2)=0,,IF(GETPIVOTDATA("Total-New",'Distrib pivot table'!$C$2,"group","2d3")/GETPIVOTDATA("Total-New",'Distrib pivot table'!$C$2)&gt;0.0005,GETPIVOTDATA("Total-New",'Distrib pivot table'!$C$2,"group","2d3")/GETPIVOTDATA("Total-New",'Distrib pivot table'!$C$2),"*"))</f>
        <v>*</v>
      </c>
      <c r="E50" s="1125">
        <f>IF((GETPIVOTDATA("Total-New",'Distrib pivot table'!$C$2,"state","AL","group","2d3")/GETPIVOTDATA("Total-New",'Distrib pivot table'!$C$2,"state","AL"))=0,,IF(GETPIVOTDATA("Total-New",'Distrib pivot table'!$C$2,"state","AL","group","2d3")/GETPIVOTDATA("Total-New",'Distrib pivot table'!$C$2,"state","AL")&gt;0.0005,GETPIVOTDATA("Total-New",'Distrib pivot table'!$C$2,"state","AL","group","2d3")/GETPIVOTDATA("Total-New",'Distrib pivot table'!$C$2,"state","AL"),"*"))</f>
        <v>0</v>
      </c>
      <c r="F50" s="1125">
        <f>IF((GETPIVOTDATA("Total-New",'Distrib pivot table'!$C$2,"state","AR","group","2d3")/GETPIVOTDATA("Total-New",'Distrib pivot table'!$C$2,"state","AR"))=0,,IF(GETPIVOTDATA("Total-New",'Distrib pivot table'!$C$2,"state","AR","group","2d3")/GETPIVOTDATA("Total-New",'Distrib pivot table'!$C$2,"state","AR")&gt;0.0005,GETPIVOTDATA("Total-New",'Distrib pivot table'!$C$2,"state","AR","group","2d3")/GETPIVOTDATA("Total-New",'Distrib pivot table'!$C$2,"state","AR"),"*"))</f>
        <v>0</v>
      </c>
      <c r="G50" s="1125">
        <f>IF((GETPIVOTDATA("Total-New",'Distrib pivot table'!$C$2,"state","DE","group","2d3")/GETPIVOTDATA("Total-New",'Distrib pivot table'!$C$2,"state","DE"))=0,,IF(GETPIVOTDATA("Total-New",'Distrib pivot table'!$C$2,"state","DE","group","2d3")/GETPIVOTDATA("Total-New",'Distrib pivot table'!$C$2,"state","DE")&gt;0.0005,GETPIVOTDATA("Total-New",'Distrib pivot table'!$C$2,"state","DE","group","2d3")/GETPIVOTDATA("Total-New",'Distrib pivot table'!$C$2,"state","DE"),"*"))</f>
        <v>0</v>
      </c>
      <c r="H50" s="1125">
        <f>IF((GETPIVOTDATA("Total-New",'Distrib pivot table'!$C$2,"state","FL","group","2d3")/GETPIVOTDATA("Total-New",'Distrib pivot table'!$C$2,"state","FL"))=0,,IF(GETPIVOTDATA("Total-New",'Distrib pivot table'!$C$2,"state","FL","group","2d3")/GETPIVOTDATA("Total-New",'Distrib pivot table'!$C$2,"state","FL")&gt;0.0005,GETPIVOTDATA("Total-New",'Distrib pivot table'!$C$2,"state","FL","group","2d3")/GETPIVOTDATA("Total-New",'Distrib pivot table'!$C$2,"state","FL"),"*"))</f>
        <v>0</v>
      </c>
      <c r="I50" s="1125">
        <f>IF((GETPIVOTDATA("Total-New",'Distrib pivot table'!$C$2,"state","GA","group","2d3")/GETPIVOTDATA("Total-New",'Distrib pivot table'!$C$2,"state","GA"))=0,,IF(GETPIVOTDATA("Total-New",'Distrib pivot table'!$C$2,"state","GA","group","2d3")/GETPIVOTDATA("Total-New",'Distrib pivot table'!$C$2,"state","GA")&gt;0.0005,GETPIVOTDATA("Total-New",'Distrib pivot table'!$C$2,"state","GA","group","2d3")/GETPIVOTDATA("Total-New",'Distrib pivot table'!$C$2,"state","GA"),"*"))</f>
        <v>0</v>
      </c>
      <c r="J50" s="1125">
        <f>IF((GETPIVOTDATA("Total-New",'Distrib pivot table'!$C$2,"state","KY","group","2d3")/GETPIVOTDATA("Total-New",'Distrib pivot table'!$C$2,"state","KY"))=0,,IF(GETPIVOTDATA("Total-New",'Distrib pivot table'!$C$2,"state","KY","group","2d3")/GETPIVOTDATA("Total-New",'Distrib pivot table'!$C$2,"state","KY")&gt;0.0005,GETPIVOTDATA("Total-New",'Distrib pivot table'!$C$2,"state","KY","group","2d3")/GETPIVOTDATA("Total-New",'Distrib pivot table'!$C$2,"state","KY"),"*"))</f>
        <v>0</v>
      </c>
      <c r="K50" s="1125">
        <f>IF((GETPIVOTDATA("Total-New",'Distrib pivot table'!$C$2,"state","LA","group","2d3")/GETPIVOTDATA("Total-New",'Distrib pivot table'!$C$2,"state","LA"))=0,,IF(GETPIVOTDATA("Total-New",'Distrib pivot table'!$C$2,"state","LA","group","2d3")/GETPIVOTDATA("Total-New",'Distrib pivot table'!$C$2,"state","LA")&gt;0.0005,GETPIVOTDATA("Total-New",'Distrib pivot table'!$C$2,"state","LA","group","2d3")/GETPIVOTDATA("Total-New",'Distrib pivot table'!$C$2,"state","LA"),"*"))</f>
        <v>0</v>
      </c>
      <c r="L50" s="1125">
        <f>IF((GETPIVOTDATA("Total-New",'Distrib pivot table'!$C$2,"state","MD","group","2d3")/GETPIVOTDATA("Total-New",'Distrib pivot table'!$C$2,"state","MD"))=0,,IF(GETPIVOTDATA("Total-New",'Distrib pivot table'!$C$2,"state","MD","group","2d3")/GETPIVOTDATA("Total-New",'Distrib pivot table'!$C$2,"state","MD")&gt;0.0005,GETPIVOTDATA("Total-New",'Distrib pivot table'!$C$2,"state","MD","group","2d3")/GETPIVOTDATA("Total-New",'Distrib pivot table'!$C$2,"state","MD"),"*"))</f>
        <v>0</v>
      </c>
      <c r="M50" s="1125">
        <f>IF((GETPIVOTDATA("Total-New",'Distrib pivot table'!$C$2,"state","MS","group","2d3")/GETPIVOTDATA("Total-New",'Distrib pivot table'!$C$2,"state","MS"))=0,,IF(GETPIVOTDATA("Total-New",'Distrib pivot table'!$C$2,"state","MS","group","2d3")/GETPIVOTDATA("Total-New",'Distrib pivot table'!$C$2,"state","MS")&gt;0.0005,GETPIVOTDATA("Total-New",'Distrib pivot table'!$C$2,"state","MS","group","2d3")/GETPIVOTDATA("Total-New",'Distrib pivot table'!$C$2,"state","MS"),"*"))</f>
        <v>0</v>
      </c>
      <c r="N50" s="1125">
        <f>IF((GETPIVOTDATA("Total-New",'Distrib pivot table'!$C$2,"state","NC","group","2d3")/GETPIVOTDATA("Total-New",'Distrib pivot table'!$C$2,"state","NC"))=0,,IF(GETPIVOTDATA("Total-New",'Distrib pivot table'!$C$2,"state","NC","group","2d3")/GETPIVOTDATA("Total-New",'Distrib pivot table'!$C$2,"state","NC")&gt;0.0005,GETPIVOTDATA("Total-New",'Distrib pivot table'!$C$2,"state","NC","group","2d3")/GETPIVOTDATA("Total-New",'Distrib pivot table'!$C$2,"state","NC"),"*"))</f>
        <v>0</v>
      </c>
      <c r="O50" s="1125">
        <f>IF((GETPIVOTDATA("Total-New",'Distrib pivot table'!$C$2,"state","OK","group","2d3")/GETPIVOTDATA("Total-New",'Distrib pivot table'!$C$2,"state","OK"))=0,,IF(GETPIVOTDATA("Total-New",'Distrib pivot table'!$C$2,"state","OK","group","2d3")/GETPIVOTDATA("Total-New",'Distrib pivot table'!$C$2,"state","OK")&gt;0.0005,GETPIVOTDATA("Total-New",'Distrib pivot table'!$C$2,"state","OK","group","2d3")/GETPIVOTDATA("Total-New",'Distrib pivot table'!$C$2,"state","OK"),"*"))</f>
        <v>2.1286321684177625E-3</v>
      </c>
      <c r="P50" s="1125">
        <f>IF((GETPIVOTDATA("Total-New",'Distrib pivot table'!$C$2,"state","SC","group","2d3")/GETPIVOTDATA("Total-New",'Distrib pivot table'!$C$2,"state","SC"))=0,,IF(GETPIVOTDATA("Total-New",'Distrib pivot table'!$C$2,"state","SC","group","2d3")/GETPIVOTDATA("Total-New",'Distrib pivot table'!$C$2,"state","SC")&gt;0.0005,GETPIVOTDATA("Total-New",'Distrib pivot table'!$C$2,"state","SC","group","2d3")/GETPIVOTDATA("Total-New",'Distrib pivot table'!$C$2,"state","SC"),"*"))</f>
        <v>0</v>
      </c>
      <c r="Q50" s="1125">
        <f>IF((GETPIVOTDATA("Total-New",'Distrib pivot table'!$C$2,"state","TN","group","2d3")/GETPIVOTDATA("Total-New",'Distrib pivot table'!$C$2,"state","TN"))=0,,IF(GETPIVOTDATA("Total-New",'Distrib pivot table'!$C$2,"state","TN","group","2d3")/GETPIVOTDATA("Total-New",'Distrib pivot table'!$C$2,"state","TN")&gt;0.0005,GETPIVOTDATA("Total-New",'Distrib pivot table'!$C$2,"state","TN","group","2d3")/GETPIVOTDATA("Total-New",'Distrib pivot table'!$C$2,"state","TN"),"*"))</f>
        <v>0</v>
      </c>
      <c r="R50" s="1125">
        <f>IF((GETPIVOTDATA("Total-New",'Distrib pivot table'!$C$2,"state","TX","group","2d3")/GETPIVOTDATA("Total-New",'Distrib pivot table'!$C$2,"state","TX"))=0,,IF(GETPIVOTDATA("Total-New",'Distrib pivot table'!$C$2,"state","TX","group","2d3")/GETPIVOTDATA("Total-New",'Distrib pivot table'!$C$2,"state","TX")&gt;0.0005,GETPIVOTDATA("Total-New",'Distrib pivot table'!$C$2,"state","TX","group","2d3")/GETPIVOTDATA("Total-New",'Distrib pivot table'!$C$2,"state","TX"),"*"))</f>
        <v>0</v>
      </c>
      <c r="S50" s="1125">
        <f>IF((GETPIVOTDATA("Total-New",'Distrib pivot table'!$C$2,"state","VA","group","2d3")/GETPIVOTDATA("Total-New",'Distrib pivot table'!$C$2,"state","VA"))=0,,IF(GETPIVOTDATA("Total-New",'Distrib pivot table'!$C$2,"state","VA","group","2d3")/GETPIVOTDATA("Total-New",'Distrib pivot table'!$C$2,"state","VA")&gt;0.0005,GETPIVOTDATA("Total-New",'Distrib pivot table'!$C$2,"state","VA","group","2d3")/GETPIVOTDATA("Total-New",'Distrib pivot table'!$C$2,"state","VA"),"*"))</f>
        <v>0</v>
      </c>
      <c r="T50" s="1125">
        <f>IF((GETPIVOTDATA("Total-New",'Distrib pivot table'!$C$2,"state","WV","group","2d3")/GETPIVOTDATA("Total-New",'Distrib pivot table'!$C$2,"state","WV"))=0,,IF(GETPIVOTDATA("Total-New",'Distrib pivot table'!$C$2,"state","WV","group","2d3")/GETPIVOTDATA("Total-New",'Distrib pivot table'!$C$2,"state","WV")&gt;0.0005,GETPIVOTDATA("Total-New",'Distrib pivot table'!$C$2,"state","WV","group","2d3")/GETPIVOTDATA("Total-New",'Distrib pivot table'!$C$2,"state","WV"),"*"))</f>
        <v>0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</row>
    <row r="51" spans="1:50" ht="12.6" customHeight="1">
      <c r="A51" s="1172"/>
      <c r="B51" s="128" t="s">
        <v>1883</v>
      </c>
      <c r="C51" s="817" t="s">
        <v>1766</v>
      </c>
      <c r="D51" s="1125">
        <f>IF(GETPIVOTDATA("Total-New",'Distrib pivot table'!$C$2,"group","2d3a")/GETPIVOTDATA("Total-New",'Distrib pivot table'!$C$2)=0,,IF(GETPIVOTDATA("Total-New",'Distrib pivot table'!$C$2,"group","2d3a")/GETPIVOTDATA("Total-New",'Distrib pivot table'!$C$2)&gt;0.0005,GETPIVOTDATA("Total-New",'Distrib pivot table'!$C$2,"group","2d3a")/GETPIVOTDATA("Total-New",'Distrib pivot table'!$C$2),"*"))</f>
        <v>2.5644689800967085E-3</v>
      </c>
      <c r="E51" s="1125">
        <f>IF((GETPIVOTDATA("Total-New",'Distrib pivot table'!$C$2,"state","AL","group","2d3a")/GETPIVOTDATA("Total-New",'Distrib pivot table'!$C$2,"state","AL"))=0,,IF(GETPIVOTDATA("Total-New",'Distrib pivot table'!$C$2,"state","AL","group","2d3a")/GETPIVOTDATA("Total-New",'Distrib pivot table'!$C$2,"state","AL")&gt;0.0005,GETPIVOTDATA("Total-New",'Distrib pivot table'!$C$2,"state","AL","group","2d3a")/GETPIVOTDATA("Total-New",'Distrib pivot table'!$C$2,"state","AL"),"*"))</f>
        <v>0</v>
      </c>
      <c r="F51" s="1125">
        <f>IF((GETPIVOTDATA("Total-New",'Distrib pivot table'!$C$2,"state","AR","group","2d3a")/GETPIVOTDATA("Total-New",'Distrib pivot table'!$C$2,"state","AR"))=0,,IF(GETPIVOTDATA("Total-New",'Distrib pivot table'!$C$2,"state","AR","group","2d3a")/GETPIVOTDATA("Total-New",'Distrib pivot table'!$C$2,"state","AR")&gt;0.0005,GETPIVOTDATA("Total-New",'Distrib pivot table'!$C$2,"state","AR","group","2d3a")/GETPIVOTDATA("Total-New",'Distrib pivot table'!$C$2,"state","AR"),"*"))</f>
        <v>0</v>
      </c>
      <c r="G51" s="1125">
        <f>IF((GETPIVOTDATA("Total-New",'Distrib pivot table'!$C$2,"state","DE","group","2d3a")/GETPIVOTDATA("Total-New",'Distrib pivot table'!$C$2,"state","DE"))=0,,IF(GETPIVOTDATA("Total-New",'Distrib pivot table'!$C$2,"state","DE","group","2d3a")/GETPIVOTDATA("Total-New",'Distrib pivot table'!$C$2,"state","DE")&gt;0.0005,GETPIVOTDATA("Total-New",'Distrib pivot table'!$C$2,"state","DE","group","2d3a")/GETPIVOTDATA("Total-New",'Distrib pivot table'!$C$2,"state","DE"),"*"))</f>
        <v>0</v>
      </c>
      <c r="H51" s="1125">
        <f>IF((GETPIVOTDATA("Total-New",'Distrib pivot table'!$C$2,"state","FL","group","2d3a")/GETPIVOTDATA("Total-New",'Distrib pivot table'!$C$2,"state","FL"))=0,,IF(GETPIVOTDATA("Total-New",'Distrib pivot table'!$C$2,"state","FL","group","2d3a")/GETPIVOTDATA("Total-New",'Distrib pivot table'!$C$2,"state","FL")&gt;0.0005,GETPIVOTDATA("Total-New",'Distrib pivot table'!$C$2,"state","FL","group","2d3a")/GETPIVOTDATA("Total-New",'Distrib pivot table'!$C$2,"state","FL"),"*"))</f>
        <v>4.7276436315198704E-3</v>
      </c>
      <c r="I51" s="1125">
        <f>IF((GETPIVOTDATA("Total-New",'Distrib pivot table'!$C$2,"state","GA","group","2d3a")/GETPIVOTDATA("Total-New",'Distrib pivot table'!$C$2,"state","GA"))=0,,IF(GETPIVOTDATA("Total-New",'Distrib pivot table'!$C$2,"state","GA","group","2d3a")/GETPIVOTDATA("Total-New",'Distrib pivot table'!$C$2,"state","GA")&gt;0.0005,GETPIVOTDATA("Total-New",'Distrib pivot table'!$C$2,"state","GA","group","2d3a")/GETPIVOTDATA("Total-New",'Distrib pivot table'!$C$2,"state","GA"),"*"))</f>
        <v>0</v>
      </c>
      <c r="J51" s="1125">
        <f>IF((GETPIVOTDATA("Total-New",'Distrib pivot table'!$C$2,"state","KY","group","2d3a")/GETPIVOTDATA("Total-New",'Distrib pivot table'!$C$2,"state","KY"))=0,,IF(GETPIVOTDATA("Total-New",'Distrib pivot table'!$C$2,"state","KY","group","2d3a")/GETPIVOTDATA("Total-New",'Distrib pivot table'!$C$2,"state","KY")&gt;0.0005,GETPIVOTDATA("Total-New",'Distrib pivot table'!$C$2,"state","KY","group","2d3a")/GETPIVOTDATA("Total-New",'Distrib pivot table'!$C$2,"state","KY"),"*"))</f>
        <v>1.393295629622843E-2</v>
      </c>
      <c r="K51" s="1125">
        <f>IF((GETPIVOTDATA("Total-New",'Distrib pivot table'!$C$2,"state","LA","group","2d3a")/GETPIVOTDATA("Total-New",'Distrib pivot table'!$C$2,"state","LA"))=0,,IF(GETPIVOTDATA("Total-New",'Distrib pivot table'!$C$2,"state","LA","group","2d3a")/GETPIVOTDATA("Total-New",'Distrib pivot table'!$C$2,"state","LA")&gt;0.0005,GETPIVOTDATA("Total-New",'Distrib pivot table'!$C$2,"state","LA","group","2d3a")/GETPIVOTDATA("Total-New",'Distrib pivot table'!$C$2,"state","LA"),"*"))</f>
        <v>0</v>
      </c>
      <c r="L51" s="1125">
        <f>IF((GETPIVOTDATA("Total-New",'Distrib pivot table'!$C$2,"state","MD","group","2d3a")/GETPIVOTDATA("Total-New",'Distrib pivot table'!$C$2,"state","MD"))=0,,IF(GETPIVOTDATA("Total-New",'Distrib pivot table'!$C$2,"state","MD","group","2d3a")/GETPIVOTDATA("Total-New",'Distrib pivot table'!$C$2,"state","MD")&gt;0.0005,GETPIVOTDATA("Total-New",'Distrib pivot table'!$C$2,"state","MD","group","2d3a")/GETPIVOTDATA("Total-New",'Distrib pivot table'!$C$2,"state","MD"),"*"))</f>
        <v>0</v>
      </c>
      <c r="M51" s="1125">
        <f>IF((GETPIVOTDATA("Total-New",'Distrib pivot table'!$C$2,"state","MS","group","2d3a")/GETPIVOTDATA("Total-New",'Distrib pivot table'!$C$2,"state","MS"))=0,,IF(GETPIVOTDATA("Total-New",'Distrib pivot table'!$C$2,"state","MS","group","2d3a")/GETPIVOTDATA("Total-New",'Distrib pivot table'!$C$2,"state","MS")&gt;0.0005,GETPIVOTDATA("Total-New",'Distrib pivot table'!$C$2,"state","MS","group","2d3a")/GETPIVOTDATA("Total-New",'Distrib pivot table'!$C$2,"state","MS"),"*"))</f>
        <v>0</v>
      </c>
      <c r="N51" s="1125">
        <f>IF((GETPIVOTDATA("Total-New",'Distrib pivot table'!$C$2,"state","NC","group","2d3a")/GETPIVOTDATA("Total-New",'Distrib pivot table'!$C$2,"state","NC"))=0,,IF(GETPIVOTDATA("Total-New",'Distrib pivot table'!$C$2,"state","NC","group","2d3a")/GETPIVOTDATA("Total-New",'Distrib pivot table'!$C$2,"state","NC")&gt;0.0005,GETPIVOTDATA("Total-New",'Distrib pivot table'!$C$2,"state","NC","group","2d3a")/GETPIVOTDATA("Total-New",'Distrib pivot table'!$C$2,"state","NC"),"*"))</f>
        <v>8.3868704474496184E-3</v>
      </c>
      <c r="O51" s="1125">
        <f>IF((GETPIVOTDATA("Total-New",'Distrib pivot table'!$C$2,"state","OK","group","2d3a")/GETPIVOTDATA("Total-New",'Distrib pivot table'!$C$2,"state","OK"))=0,,IF(GETPIVOTDATA("Total-New",'Distrib pivot table'!$C$2,"state","OK","group","2d3a")/GETPIVOTDATA("Total-New",'Distrib pivot table'!$C$2,"state","OK")&gt;0.0005,GETPIVOTDATA("Total-New",'Distrib pivot table'!$C$2,"state","OK","group","2d3a")/GETPIVOTDATA("Total-New",'Distrib pivot table'!$C$2,"state","OK"),"*"))</f>
        <v>0</v>
      </c>
      <c r="P51" s="1125">
        <f>IF((GETPIVOTDATA("Total-New",'Distrib pivot table'!$C$2,"state","SC","group","2d3a")/GETPIVOTDATA("Total-New",'Distrib pivot table'!$C$2,"state","SC"))=0,,IF(GETPIVOTDATA("Total-New",'Distrib pivot table'!$C$2,"state","SC","group","2d3a")/GETPIVOTDATA("Total-New",'Distrib pivot table'!$C$2,"state","SC")&gt;0.0005,GETPIVOTDATA("Total-New",'Distrib pivot table'!$C$2,"state","SC","group","2d3a")/GETPIVOTDATA("Total-New",'Distrib pivot table'!$C$2,"state","SC"),"*"))</f>
        <v>1.280495512447259E-2</v>
      </c>
      <c r="Q51" s="1125">
        <f>IF((GETPIVOTDATA("Total-New",'Distrib pivot table'!$C$2,"state","TN","group","2d3a")/GETPIVOTDATA("Total-New",'Distrib pivot table'!$C$2,"state","TN"))=0,,IF(GETPIVOTDATA("Total-New",'Distrib pivot table'!$C$2,"state","TN","group","2d3a")/GETPIVOTDATA("Total-New",'Distrib pivot table'!$C$2,"state","TN")&gt;0.0005,GETPIVOTDATA("Total-New",'Distrib pivot table'!$C$2,"state","TN","group","2d3a")/GETPIVOTDATA("Total-New",'Distrib pivot table'!$C$2,"state","TN"),"*"))</f>
        <v>0</v>
      </c>
      <c r="R51" s="1125">
        <f>IF((GETPIVOTDATA("Total-New",'Distrib pivot table'!$C$2,"state","TX","group","2d3a")/GETPIVOTDATA("Total-New",'Distrib pivot table'!$C$2,"state","TX"))=0,,IF(GETPIVOTDATA("Total-New",'Distrib pivot table'!$C$2,"state","TX","group","2d3a")/GETPIVOTDATA("Total-New",'Distrib pivot table'!$C$2,"state","TX")&gt;0.0005,GETPIVOTDATA("Total-New",'Distrib pivot table'!$C$2,"state","TX","group","2d3a")/GETPIVOTDATA("Total-New",'Distrib pivot table'!$C$2,"state","TX"),"*"))</f>
        <v>0</v>
      </c>
      <c r="S51" s="1125">
        <f>IF((GETPIVOTDATA("Total-New",'Distrib pivot table'!$C$2,"state","VA","group","2d3a")/GETPIVOTDATA("Total-New",'Distrib pivot table'!$C$2,"state","VA"))=0,,IF(GETPIVOTDATA("Total-New",'Distrib pivot table'!$C$2,"state","VA","group","2d3a")/GETPIVOTDATA("Total-New",'Distrib pivot table'!$C$2,"state","VA")&gt;0.0005,GETPIVOTDATA("Total-New",'Distrib pivot table'!$C$2,"state","VA","group","2d3a")/GETPIVOTDATA("Total-New",'Distrib pivot table'!$C$2,"state","VA"),"*"))</f>
        <v>0</v>
      </c>
      <c r="T51" s="1125">
        <f>IF((GETPIVOTDATA("Total-New",'Distrib pivot table'!$C$2,"state","WV","group","2d3a")/GETPIVOTDATA("Total-New",'Distrib pivot table'!$C$2,"state","WV"))=0,,IF(GETPIVOTDATA("Total-New",'Distrib pivot table'!$C$2,"state","WV","group","2d3a")/GETPIVOTDATA("Total-New",'Distrib pivot table'!$C$2,"state","WV")&gt;0.0005,GETPIVOTDATA("Total-New",'Distrib pivot table'!$C$2,"state","WV","group","2d3a")/GETPIVOTDATA("Total-New",'Distrib pivot table'!$C$2,"state","WV"),"*"))</f>
        <v>0</v>
      </c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</row>
    <row r="52" spans="1:50" ht="12.6" customHeight="1">
      <c r="A52" s="1172"/>
      <c r="B52" s="811" t="s">
        <v>1761</v>
      </c>
      <c r="C52" s="817" t="s">
        <v>1767</v>
      </c>
      <c r="D52" s="1132">
        <f>IF(GETPIVOTDATA("Total-New",'Distrib pivot table'!$C$2,"group","2d3b")/GETPIVOTDATA("Total-New",'Distrib pivot table'!$C$2)=0,,IF(GETPIVOTDATA("Total-New",'Distrib pivot table'!$C$2,"group","2d3b")/GETPIVOTDATA("Total-New",'Distrib pivot table'!$C$2)&gt;0.0005,GETPIVOTDATA("Total-New",'Distrib pivot table'!$C$2,"group","2d3b")/GETPIVOTDATA("Total-New",'Distrib pivot table'!$C$2),"*"))</f>
        <v>5.2317072165445639E-3</v>
      </c>
      <c r="E52" s="1132">
        <f>IF((GETPIVOTDATA("Total-New",'Distrib pivot table'!$C$2,"state","AL","group","2d3b")/GETPIVOTDATA("Total-New",'Distrib pivot table'!$C$2,"state","AL"))=0,,IF(GETPIVOTDATA("Total-New",'Distrib pivot table'!$C$2,"state","AL","group","2d3b")/GETPIVOTDATA("Total-New",'Distrib pivot table'!$C$2,"state","AL")&gt;0.0005,GETPIVOTDATA("Total-New",'Distrib pivot table'!$C$2,"state","AL","group","2d3b")/GETPIVOTDATA("Total-New",'Distrib pivot table'!$C$2,"state","AL"),"*"))</f>
        <v>9.6800776638002748E-4</v>
      </c>
      <c r="F52" s="1132">
        <f>IF((GETPIVOTDATA("Total-New",'Distrib pivot table'!$C$2,"state","AR","group","2d3b")/GETPIVOTDATA("Total-New",'Distrib pivot table'!$C$2,"state","AR"))=0,,IF(GETPIVOTDATA("Total-New",'Distrib pivot table'!$C$2,"state","AR","group","2d3b")/GETPIVOTDATA("Total-New",'Distrib pivot table'!$C$2,"state","AR")&gt;0.0005,GETPIVOTDATA("Total-New",'Distrib pivot table'!$C$2,"state","AR","group","2d3b")/GETPIVOTDATA("Total-New",'Distrib pivot table'!$C$2,"state","AR"),"*"))</f>
        <v>0</v>
      </c>
      <c r="G52" s="1132">
        <f>IF((GETPIVOTDATA("Total-New",'Distrib pivot table'!$C$2,"state","DE","group","2d3b")/GETPIVOTDATA("Total-New",'Distrib pivot table'!$C$2,"state","DE"))=0,,IF(GETPIVOTDATA("Total-New",'Distrib pivot table'!$C$2,"state","DE","group","2d3b")/GETPIVOTDATA("Total-New",'Distrib pivot table'!$C$2,"state","DE")&gt;0.0005,GETPIVOTDATA("Total-New",'Distrib pivot table'!$C$2,"state","DE","group","2d3b")/GETPIVOTDATA("Total-New",'Distrib pivot table'!$C$2,"state","DE"),"*"))</f>
        <v>0</v>
      </c>
      <c r="H52" s="1132">
        <f>IF((GETPIVOTDATA("Total-New",'Distrib pivot table'!$C$2,"state","FL","group","2d3b")/GETPIVOTDATA("Total-New",'Distrib pivot table'!$C$2,"state","FL"))=0,,IF(GETPIVOTDATA("Total-New",'Distrib pivot table'!$C$2,"state","FL","group","2d3b")/GETPIVOTDATA("Total-New",'Distrib pivot table'!$C$2,"state","FL")&gt;0.0005,GETPIVOTDATA("Total-New",'Distrib pivot table'!$C$2,"state","FL","group","2d3b")/GETPIVOTDATA("Total-New",'Distrib pivot table'!$C$2,"state","FL"),"*"))</f>
        <v>1.73791567469204E-2</v>
      </c>
      <c r="I52" s="1132">
        <f>IF((GETPIVOTDATA("Total-New",'Distrib pivot table'!$C$2,"state","GA","group","2d3b")/GETPIVOTDATA("Total-New",'Distrib pivot table'!$C$2,"state","GA"))=0,,IF(GETPIVOTDATA("Total-New",'Distrib pivot table'!$C$2,"state","GA","group","2d3b")/GETPIVOTDATA("Total-New",'Distrib pivot table'!$C$2,"state","GA")&gt;0.0005,GETPIVOTDATA("Total-New",'Distrib pivot table'!$C$2,"state","GA","group","2d3b")/GETPIVOTDATA("Total-New",'Distrib pivot table'!$C$2,"state","GA"),"*"))</f>
        <v>1.0865421499435911E-2</v>
      </c>
      <c r="J52" s="1132" t="str">
        <f>IF((GETPIVOTDATA("Total-New",'Distrib pivot table'!$C$2,"state","KY","group","2d3b")/GETPIVOTDATA("Total-New",'Distrib pivot table'!$C$2,"state","KY"))=0,,IF(GETPIVOTDATA("Total-New",'Distrib pivot table'!$C$2,"state","KY","group","2d3b")/GETPIVOTDATA("Total-New",'Distrib pivot table'!$C$2,"state","KY")&gt;0.0005,GETPIVOTDATA("Total-New",'Distrib pivot table'!$C$2,"state","KY","group","2d3b")/GETPIVOTDATA("Total-New",'Distrib pivot table'!$C$2,"state","KY"),"*"))</f>
        <v>*</v>
      </c>
      <c r="K52" s="1132">
        <f>IF((GETPIVOTDATA("Total-New",'Distrib pivot table'!$C$2,"state","LA","group","2d3b")/GETPIVOTDATA("Total-New",'Distrib pivot table'!$C$2,"state","LA"))=0,,IF(GETPIVOTDATA("Total-New",'Distrib pivot table'!$C$2,"state","LA","group","2d3b")/GETPIVOTDATA("Total-New",'Distrib pivot table'!$C$2,"state","LA")&gt;0.0005,GETPIVOTDATA("Total-New",'Distrib pivot table'!$C$2,"state","LA","group","2d3b")/GETPIVOTDATA("Total-New",'Distrib pivot table'!$C$2,"state","LA"),"*"))</f>
        <v>0</v>
      </c>
      <c r="L52" s="1132">
        <f>IF((GETPIVOTDATA("Total-New",'Distrib pivot table'!$C$2,"state","MD","group","2d3b")/GETPIVOTDATA("Total-New",'Distrib pivot table'!$C$2,"state","MD"))=0,,IF(GETPIVOTDATA("Total-New",'Distrib pivot table'!$C$2,"state","MD","group","2d3b")/GETPIVOTDATA("Total-New",'Distrib pivot table'!$C$2,"state","MD")&gt;0.0005,GETPIVOTDATA("Total-New",'Distrib pivot table'!$C$2,"state","MD","group","2d3b")/GETPIVOTDATA("Total-New",'Distrib pivot table'!$C$2,"state","MD"),"*"))</f>
        <v>0</v>
      </c>
      <c r="M52" s="1132">
        <f>IF((GETPIVOTDATA("Total-New",'Distrib pivot table'!$C$2,"state","MS","group","2d3b")/GETPIVOTDATA("Total-New",'Distrib pivot table'!$C$2,"state","MS"))=0,,IF(GETPIVOTDATA("Total-New",'Distrib pivot table'!$C$2,"state","MS","group","2d3b")/GETPIVOTDATA("Total-New",'Distrib pivot table'!$C$2,"state","MS")&gt;0.0005,GETPIVOTDATA("Total-New",'Distrib pivot table'!$C$2,"state","MS","group","2d3b")/GETPIVOTDATA("Total-New",'Distrib pivot table'!$C$2,"state","MS"),"*"))</f>
        <v>0</v>
      </c>
      <c r="N52" s="1132">
        <f>IF((GETPIVOTDATA("Total-New",'Distrib pivot table'!$C$2,"state","NC","group","2d3b")/GETPIVOTDATA("Total-New",'Distrib pivot table'!$C$2,"state","NC"))=0,,IF(GETPIVOTDATA("Total-New",'Distrib pivot table'!$C$2,"state","NC","group","2d3b")/GETPIVOTDATA("Total-New",'Distrib pivot table'!$C$2,"state","NC")&gt;0.0005,GETPIVOTDATA("Total-New",'Distrib pivot table'!$C$2,"state","NC","group","2d3b")/GETPIVOTDATA("Total-New",'Distrib pivot table'!$C$2,"state","NC"),"*"))</f>
        <v>1.1599531501350855E-2</v>
      </c>
      <c r="O52" s="1132">
        <f>IF((GETPIVOTDATA("Total-New",'Distrib pivot table'!$C$2,"state","OK","group","2d3b")/GETPIVOTDATA("Total-New",'Distrib pivot table'!$C$2,"state","OK"))=0,,IF(GETPIVOTDATA("Total-New",'Distrib pivot table'!$C$2,"state","OK","group","2d3b")/GETPIVOTDATA("Total-New",'Distrib pivot table'!$C$2,"state","OK")&gt;0.0005,GETPIVOTDATA("Total-New",'Distrib pivot table'!$C$2,"state","OK","group","2d3b")/GETPIVOTDATA("Total-New",'Distrib pivot table'!$C$2,"state","OK"),"*"))</f>
        <v>0</v>
      </c>
      <c r="P52" s="1132">
        <f>IF((GETPIVOTDATA("Total-New",'Distrib pivot table'!$C$2,"state","SC","group","2d3b")/GETPIVOTDATA("Total-New",'Distrib pivot table'!$C$2,"state","SC"))=0,,IF(GETPIVOTDATA("Total-New",'Distrib pivot table'!$C$2,"state","SC","group","2d3b")/GETPIVOTDATA("Total-New",'Distrib pivot table'!$C$2,"state","SC")&gt;0.0005,GETPIVOTDATA("Total-New",'Distrib pivot table'!$C$2,"state","SC","group","2d3b")/GETPIVOTDATA("Total-New",'Distrib pivot table'!$C$2,"state","SC"),"*"))</f>
        <v>0</v>
      </c>
      <c r="Q52" s="1132">
        <f>IF((GETPIVOTDATA("Total-New",'Distrib pivot table'!$C$2,"state","TN","group","2d3b")/GETPIVOTDATA("Total-New",'Distrib pivot table'!$C$2,"state","TN"))=0,,IF(GETPIVOTDATA("Total-New",'Distrib pivot table'!$C$2,"state","TN","group","2d3b")/GETPIVOTDATA("Total-New",'Distrib pivot table'!$C$2,"state","TN")&gt;0.0005,GETPIVOTDATA("Total-New",'Distrib pivot table'!$C$2,"state","TN","group","2d3b")/GETPIVOTDATA("Total-New",'Distrib pivot table'!$C$2,"state","TN"),"*"))</f>
        <v>0</v>
      </c>
      <c r="R52" s="1132">
        <f>IF((GETPIVOTDATA("Total-New",'Distrib pivot table'!$C$2,"state","TX","group","2d3b")/GETPIVOTDATA("Total-New",'Distrib pivot table'!$C$2,"state","TX"))=0,,IF(GETPIVOTDATA("Total-New",'Distrib pivot table'!$C$2,"state","TX","group","2d3b")/GETPIVOTDATA("Total-New",'Distrib pivot table'!$C$2,"state","TX")&gt;0.0005,GETPIVOTDATA("Total-New",'Distrib pivot table'!$C$2,"state","TX","group","2d3b")/GETPIVOTDATA("Total-New",'Distrib pivot table'!$C$2,"state","TX"),"*"))</f>
        <v>0</v>
      </c>
      <c r="S52" s="1132">
        <f>IF((GETPIVOTDATA("Total-New",'Distrib pivot table'!$C$2,"state","VA","group","2d3b")/GETPIVOTDATA("Total-New",'Distrib pivot table'!$C$2,"state","VA"))=0,,IF(GETPIVOTDATA("Total-New",'Distrib pivot table'!$C$2,"state","VA","group","2d3b")/GETPIVOTDATA("Total-New",'Distrib pivot table'!$C$2,"state","VA")&gt;0.0005,GETPIVOTDATA("Total-New",'Distrib pivot table'!$C$2,"state","VA","group","2d3b")/GETPIVOTDATA("Total-New",'Distrib pivot table'!$C$2,"state","VA"),"*"))</f>
        <v>1.7255258267550196E-2</v>
      </c>
      <c r="T52" s="1132">
        <f>IF((GETPIVOTDATA("Total-New",'Distrib pivot table'!$C$2,"state","WV","group","2d3b")/GETPIVOTDATA("Total-New",'Distrib pivot table'!$C$2,"state","WV"))=0,,IF(GETPIVOTDATA("Total-New",'Distrib pivot table'!$C$2,"state","WV","group","2d3b")/GETPIVOTDATA("Total-New",'Distrib pivot table'!$C$2,"state","WV")&gt;0.0005,GETPIVOTDATA("Total-New",'Distrib pivot table'!$C$2,"state","WV","group","2d3b")/GETPIVOTDATA("Total-New",'Distrib pivot table'!$C$2,"state","WV"),"*"))</f>
        <v>0</v>
      </c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spans="1:50" ht="36" customHeight="1">
      <c r="A53" s="1168"/>
      <c r="B53" s="129" t="s">
        <v>1363</v>
      </c>
      <c r="C53" s="817" t="s">
        <v>1793</v>
      </c>
      <c r="D53" s="1133">
        <f>IF(GETPIVOTDATA("Total-New",'Distrib pivot table'!$C$2,"group","1d")/GETPIVOTDATA("Total-New",'Distrib pivot table'!$C$2)=0,,IF(GETPIVOTDATA("Total-New",'Distrib pivot table'!$C$2,"group","1d")/GETPIVOTDATA("Total-New",'Distrib pivot table'!$C$2)&gt;0.0005,GETPIVOTDATA("Total-New",'Distrib pivot table'!$C$2,"group","1d")/GETPIVOTDATA("Total-New",'Distrib pivot table'!$C$2),"*"))</f>
        <v>6.0609669323393976E-2</v>
      </c>
      <c r="E53" s="1133">
        <f>IF((GETPIVOTDATA("Total-New",'Distrib pivot table'!$C$2,"state","AL","group","1d")/GETPIVOTDATA("Total-New",'Distrib pivot table'!$C$2,"state","AL"))=0,,IF(GETPIVOTDATA("Total-New",'Distrib pivot table'!$C$2,"state","AL","group","1d")/GETPIVOTDATA("Total-New",'Distrib pivot table'!$C$2,"state","AL")&gt;0.0005,GETPIVOTDATA("Total-New",'Distrib pivot table'!$C$2,"state","AL","group","1d")/GETPIVOTDATA("Total-New",'Distrib pivot table'!$C$2,"state","AL"),"*"))</f>
        <v>0.16195213839105127</v>
      </c>
      <c r="F53" s="1133">
        <f>IF((GETPIVOTDATA("Total-New",'Distrib pivot table'!$C$2,"state","AR","group","1d")/GETPIVOTDATA("Total-New",'Distrib pivot table'!$C$2,"state","AR"))=0,,IF(GETPIVOTDATA("Total-New",'Distrib pivot table'!$C$2,"state","AR","group","1d")/GETPIVOTDATA("Total-New",'Distrib pivot table'!$C$2,"state","AR")&gt;0.0005,GETPIVOTDATA("Total-New",'Distrib pivot table'!$C$2,"state","AR","group","1d")/GETPIVOTDATA("Total-New",'Distrib pivot table'!$C$2,"state","AR"),"*"))</f>
        <v>0</v>
      </c>
      <c r="G53" s="1133">
        <f>IF((GETPIVOTDATA("Total-New",'Distrib pivot table'!$C$2,"state","DE","group","1d")/GETPIVOTDATA("Total-New",'Distrib pivot table'!$C$2,"state","DE"))=0,,IF(GETPIVOTDATA("Total-New",'Distrib pivot table'!$C$2,"state","DE","group","1d")/GETPIVOTDATA("Total-New",'Distrib pivot table'!$C$2,"state","DE")&gt;0.0005,GETPIVOTDATA("Total-New",'Distrib pivot table'!$C$2,"state","DE","group","1d")/GETPIVOTDATA("Total-New",'Distrib pivot table'!$C$2,"state","DE"),"*"))</f>
        <v>0</v>
      </c>
      <c r="H53" s="1133">
        <f>IF((GETPIVOTDATA("Total-New",'Distrib pivot table'!$C$2,"state","FL","group","1d")/GETPIVOTDATA("Total-New",'Distrib pivot table'!$C$2,"state","FL"))=0,,IF(GETPIVOTDATA("Total-New",'Distrib pivot table'!$C$2,"state","FL","group","1d")/GETPIVOTDATA("Total-New",'Distrib pivot table'!$C$2,"state","FL")&gt;0.0005,GETPIVOTDATA("Total-New",'Distrib pivot table'!$C$2,"state","FL","group","1d")/GETPIVOTDATA("Total-New",'Distrib pivot table'!$C$2,"state","FL"),"*"))</f>
        <v>4.7672589073846673E-2</v>
      </c>
      <c r="I53" s="1133">
        <f>IF((GETPIVOTDATA("Total-New",'Distrib pivot table'!$C$2,"state","GA","group","1d")/GETPIVOTDATA("Total-New",'Distrib pivot table'!$C$2,"state","GA"))=0,,IF(GETPIVOTDATA("Total-New",'Distrib pivot table'!$C$2,"state","GA","group","1d")/GETPIVOTDATA("Total-New",'Distrib pivot table'!$C$2,"state","GA")&gt;0.0005,GETPIVOTDATA("Total-New",'Distrib pivot table'!$C$2,"state","GA","group","1d")/GETPIVOTDATA("Total-New",'Distrib pivot table'!$C$2,"state","GA"),"*"))</f>
        <v>4.9892168159845537E-3</v>
      </c>
      <c r="J53" s="1133">
        <f>IF((GETPIVOTDATA("Total-New",'Distrib pivot table'!$C$2,"state","KY","group","1d")/GETPIVOTDATA("Total-New",'Distrib pivot table'!$C$2,"state","KY"))=0,,IF(GETPIVOTDATA("Total-New",'Distrib pivot table'!$C$2,"state","KY","group","1d")/GETPIVOTDATA("Total-New",'Distrib pivot table'!$C$2,"state","KY")&gt;0.0005,GETPIVOTDATA("Total-New",'Distrib pivot table'!$C$2,"state","KY","group","1d")/GETPIVOTDATA("Total-New",'Distrib pivot table'!$C$2,"state","KY"),"*"))</f>
        <v>5.8043282588446168E-2</v>
      </c>
      <c r="K53" s="1133">
        <f>IF((GETPIVOTDATA("Total-New",'Distrib pivot table'!$C$2,"state","LA","group","1d")/GETPIVOTDATA("Total-New",'Distrib pivot table'!$C$2,"state","LA"))=0,,IF(GETPIVOTDATA("Total-New",'Distrib pivot table'!$C$2,"state","LA","group","1d")/GETPIVOTDATA("Total-New",'Distrib pivot table'!$C$2,"state","LA")&gt;0.0005,GETPIVOTDATA("Total-New",'Distrib pivot table'!$C$2,"state","LA","group","1d")/GETPIVOTDATA("Total-New",'Distrib pivot table'!$C$2,"state","LA"),"*"))</f>
        <v>1.3784140700813068E-2</v>
      </c>
      <c r="L53" s="1133">
        <f>IF((GETPIVOTDATA("Total-New",'Distrib pivot table'!$C$2,"state","MD","group","1d")/GETPIVOTDATA("Total-New",'Distrib pivot table'!$C$2,"state","MD"))=0,,IF(GETPIVOTDATA("Total-New",'Distrib pivot table'!$C$2,"state","MD","group","1d")/GETPIVOTDATA("Total-New",'Distrib pivot table'!$C$2,"state","MD")&gt;0.0005,GETPIVOTDATA("Total-New",'Distrib pivot table'!$C$2,"state","MD","group","1d")/GETPIVOTDATA("Total-New",'Distrib pivot table'!$C$2,"state","MD"),"*"))</f>
        <v>0</v>
      </c>
      <c r="M53" s="1133">
        <f>IF((GETPIVOTDATA("Total-New",'Distrib pivot table'!$C$2,"state","MS","group","1d")/GETPIVOTDATA("Total-New",'Distrib pivot table'!$C$2,"state","MS"))=0,,IF(GETPIVOTDATA("Total-New",'Distrib pivot table'!$C$2,"state","MS","group","1d")/GETPIVOTDATA("Total-New",'Distrib pivot table'!$C$2,"state","MS")&gt;0.0005,GETPIVOTDATA("Total-New",'Distrib pivot table'!$C$2,"state","MS","group","1d")/GETPIVOTDATA("Total-New",'Distrib pivot table'!$C$2,"state","MS"),"*"))</f>
        <v>1.3945559714976985E-2</v>
      </c>
      <c r="N53" s="1133">
        <f>IF((GETPIVOTDATA("Total-New",'Distrib pivot table'!$C$2,"state","NC","group","1d")/GETPIVOTDATA("Total-New",'Distrib pivot table'!$C$2,"state","NC"))=0,,IF(GETPIVOTDATA("Total-New",'Distrib pivot table'!$C$2,"state","NC","group","1d")/GETPIVOTDATA("Total-New",'Distrib pivot table'!$C$2,"state","NC")&gt;0.0005,GETPIVOTDATA("Total-New",'Distrib pivot table'!$C$2,"state","NC","group","1d")/GETPIVOTDATA("Total-New",'Distrib pivot table'!$C$2,"state","NC"),"*"))</f>
        <v>6.8180978105375309E-2</v>
      </c>
      <c r="O53" s="1133">
        <f>IF((GETPIVOTDATA("Total-New",'Distrib pivot table'!$C$2,"state","OK","group","1d")/GETPIVOTDATA("Total-New",'Distrib pivot table'!$C$2,"state","OK"))=0,,IF(GETPIVOTDATA("Total-New",'Distrib pivot table'!$C$2,"state","OK","group","1d")/GETPIVOTDATA("Total-New",'Distrib pivot table'!$C$2,"state","OK")&gt;0.0005,GETPIVOTDATA("Total-New",'Distrib pivot table'!$C$2,"state","OK","group","1d")/GETPIVOTDATA("Total-New",'Distrib pivot table'!$C$2,"state","OK"),"*"))</f>
        <v>0.10301178320283955</v>
      </c>
      <c r="P53" s="1133">
        <f>IF((GETPIVOTDATA("Total-New",'Distrib pivot table'!$C$2,"state","SC","group","1d")/GETPIVOTDATA("Total-New",'Distrib pivot table'!$C$2,"state","SC"))=0,,IF(GETPIVOTDATA("Total-New",'Distrib pivot table'!$C$2,"state","SC","group","1d")/GETPIVOTDATA("Total-New",'Distrib pivot table'!$C$2,"state","SC")&gt;0.0005,GETPIVOTDATA("Total-New",'Distrib pivot table'!$C$2,"state","SC","group","1d")/GETPIVOTDATA("Total-New",'Distrib pivot table'!$C$2,"state","SC"),"*"))</f>
        <v>9.7212468532027179E-3</v>
      </c>
      <c r="Q53" s="1133">
        <f>IF((GETPIVOTDATA("Total-New",'Distrib pivot table'!$C$2,"state","TN","group","1d")/GETPIVOTDATA("Total-New",'Distrib pivot table'!$C$2,"state","TN"))=0,,IF(GETPIVOTDATA("Total-New",'Distrib pivot table'!$C$2,"state","TN","group","1d")/GETPIVOTDATA("Total-New",'Distrib pivot table'!$C$2,"state","TN")&gt;0.0005,GETPIVOTDATA("Total-New",'Distrib pivot table'!$C$2,"state","TN","group","1d")/GETPIVOTDATA("Total-New",'Distrib pivot table'!$C$2,"state","TN"),"*"))</f>
        <v>1.3701021033454917E-2</v>
      </c>
      <c r="R53" s="1133">
        <f>IF((GETPIVOTDATA("Total-New",'Distrib pivot table'!$C$2,"state","TX","group","1d")/GETPIVOTDATA("Total-New",'Distrib pivot table'!$C$2,"state","TX"))=0,,IF(GETPIVOTDATA("Total-New",'Distrib pivot table'!$C$2,"state","TX","group","1d")/GETPIVOTDATA("Total-New",'Distrib pivot table'!$C$2,"state","TX")&gt;0.0005,GETPIVOTDATA("Total-New",'Distrib pivot table'!$C$2,"state","TX","group","1d")/GETPIVOTDATA("Total-New",'Distrib pivot table'!$C$2,"state","TX"),"*"))</f>
        <v>0.12112531163327947</v>
      </c>
      <c r="S53" s="1133">
        <f>IF((GETPIVOTDATA("Total-New",'Distrib pivot table'!$C$2,"state","VA","group","1d")/GETPIVOTDATA("Total-New",'Distrib pivot table'!$C$2,"state","VA"))=0,,IF(GETPIVOTDATA("Total-New",'Distrib pivot table'!$C$2,"state","VA","group","1d")/GETPIVOTDATA("Total-New",'Distrib pivot table'!$C$2,"state","VA")&gt;0.0005,GETPIVOTDATA("Total-New",'Distrib pivot table'!$C$2,"state","VA","group","1d")/GETPIVOTDATA("Total-New",'Distrib pivot table'!$C$2,"state","VA"),"*"))</f>
        <v>3.6749572824155093E-2</v>
      </c>
      <c r="T53" s="1133">
        <f>IF((GETPIVOTDATA("Total-New",'Distrib pivot table'!$C$2,"state","WV","group","1d")/GETPIVOTDATA("Total-New",'Distrib pivot table'!$C$2,"state","WV"))=0,,IF(GETPIVOTDATA("Total-New",'Distrib pivot table'!$C$2,"state","WV","group","1d")/GETPIVOTDATA("Total-New",'Distrib pivot table'!$C$2,"state","WV")&gt;0.0005,GETPIVOTDATA("Total-New",'Distrib pivot table'!$C$2,"state","WV","group","1d")/GETPIVOTDATA("Total-New",'Distrib pivot table'!$C$2,"state","WV"),"*"))</f>
        <v>0.12892294511830771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</row>
    <row r="54" spans="1:50" ht="36" customHeight="1">
      <c r="A54" s="1168"/>
      <c r="B54" s="129" t="s">
        <v>1822</v>
      </c>
      <c r="C54" s="817" t="s">
        <v>1819</v>
      </c>
      <c r="D54" s="1131">
        <f>IF(GETPIVOTDATA("Total-New",'Distrib pivot table'!$C$2,"group","1e")/GETPIVOTDATA("Total-New",'Distrib pivot table'!$C$2)=0,,IF(GETPIVOTDATA("Total-New",'Distrib pivot table'!$C$2,"group","1e")/GETPIVOTDATA("Total-New",'Distrib pivot table'!$C$2)&gt;0.0005,GETPIVOTDATA("Total-New",'Distrib pivot table'!$C$2,"group","1e")/GETPIVOTDATA("Total-New",'Distrib pivot table'!$C$2),"*"))</f>
        <v>2.7391643155536015E-2</v>
      </c>
      <c r="E54" s="1131">
        <f>IF((GETPIVOTDATA("Total-New",'Distrib pivot table'!$C$2,"state","AL","group","1e")/GETPIVOTDATA("Total-New",'Distrib pivot table'!$C$2,"state","AL"))=0,,IF(GETPIVOTDATA("Total-New",'Distrib pivot table'!$C$2,"state","AL","group","1e")/GETPIVOTDATA("Total-New",'Distrib pivot table'!$C$2,"state","AL")&gt;0.0005,GETPIVOTDATA("Total-New",'Distrib pivot table'!$C$2,"state","AL","group","1e")/GETPIVOTDATA("Total-New",'Distrib pivot table'!$C$2,"state","AL"),"*"))</f>
        <v>0</v>
      </c>
      <c r="F54" s="1131">
        <f>IF((GETPIVOTDATA("Total-New",'Distrib pivot table'!$C$2,"state","AR","group","1e")/GETPIVOTDATA("Total-New",'Distrib pivot table'!$C$2,"state","AR"))=0,,IF(GETPIVOTDATA("Total-New",'Distrib pivot table'!$C$2,"state","AR","group","1e")/GETPIVOTDATA("Total-New",'Distrib pivot table'!$C$2,"state","AR")&gt;0.0005,GETPIVOTDATA("Total-New",'Distrib pivot table'!$C$2,"state","AR","group","1e")/GETPIVOTDATA("Total-New",'Distrib pivot table'!$C$2,"state","AR"),"*"))</f>
        <v>9.1960677853073255E-2</v>
      </c>
      <c r="G54" s="1131">
        <f>IF((GETPIVOTDATA("Total-New",'Distrib pivot table'!$C$2,"state","DE","group","1e")/GETPIVOTDATA("Total-New",'Distrib pivot table'!$C$2,"state","DE"))=0,,IF(GETPIVOTDATA("Total-New",'Distrib pivot table'!$C$2,"state","DE","group","1e")/GETPIVOTDATA("Total-New",'Distrib pivot table'!$C$2,"state","DE")&gt;0.0005,GETPIVOTDATA("Total-New",'Distrib pivot table'!$C$2,"state","DE","group","1e")/GETPIVOTDATA("Total-New",'Distrib pivot table'!$C$2,"state","DE"),"*"))</f>
        <v>0</v>
      </c>
      <c r="H54" s="1131">
        <f>IF((GETPIVOTDATA("Total-New",'Distrib pivot table'!$C$2,"state","FL","group","1e")/GETPIVOTDATA("Total-New",'Distrib pivot table'!$C$2,"state","FL"))=0,,IF(GETPIVOTDATA("Total-New",'Distrib pivot table'!$C$2,"state","FL","group","1e")/GETPIVOTDATA("Total-New",'Distrib pivot table'!$C$2,"state","FL")&gt;0.0005,GETPIVOTDATA("Total-New",'Distrib pivot table'!$C$2,"state","FL","group","1e")/GETPIVOTDATA("Total-New",'Distrib pivot table'!$C$2,"state","FL"),"*"))</f>
        <v>0</v>
      </c>
      <c r="I54" s="1131">
        <f>IF((GETPIVOTDATA("Total-New",'Distrib pivot table'!$C$2,"state","GA","group","1e")/GETPIVOTDATA("Total-New",'Distrib pivot table'!$C$2,"state","GA"))=0,,IF(GETPIVOTDATA("Total-New",'Distrib pivot table'!$C$2,"state","GA","group","1e")/GETPIVOTDATA("Total-New",'Distrib pivot table'!$C$2,"state","GA")&gt;0.0005,GETPIVOTDATA("Total-New",'Distrib pivot table'!$C$2,"state","GA","group","1e")/GETPIVOTDATA("Total-New",'Distrib pivot table'!$C$2,"state","GA"),"*"))</f>
        <v>5.2883749240625159E-2</v>
      </c>
      <c r="J54" s="1131">
        <f>IF((GETPIVOTDATA("Total-New",'Distrib pivot table'!$C$2,"state","KY","group","1e")/GETPIVOTDATA("Total-New",'Distrib pivot table'!$C$2,"state","KY"))=0,,IF(GETPIVOTDATA("Total-New",'Distrib pivot table'!$C$2,"state","KY","group","1e")/GETPIVOTDATA("Total-New",'Distrib pivot table'!$C$2,"state","KY")&gt;0.0005,GETPIVOTDATA("Total-New",'Distrib pivot table'!$C$2,"state","KY","group","1e")/GETPIVOTDATA("Total-New",'Distrib pivot table'!$C$2,"state","KY"),"*"))</f>
        <v>0</v>
      </c>
      <c r="K54" s="1131">
        <f>IF((GETPIVOTDATA("Total-New",'Distrib pivot table'!$C$2,"state","LA","group","1e")/GETPIVOTDATA("Total-New",'Distrib pivot table'!$C$2,"state","LA"))=0,,IF(GETPIVOTDATA("Total-New",'Distrib pivot table'!$C$2,"state","LA","group","1e")/GETPIVOTDATA("Total-New",'Distrib pivot table'!$C$2,"state","LA")&gt;0.0005,GETPIVOTDATA("Total-New",'Distrib pivot table'!$C$2,"state","LA","group","1e")/GETPIVOTDATA("Total-New",'Distrib pivot table'!$C$2,"state","LA"),"*"))</f>
        <v>0.1030476135398227</v>
      </c>
      <c r="L54" s="1131">
        <f>IF((GETPIVOTDATA("Total-New",'Distrib pivot table'!$C$2,"state","MD","group","1e")/GETPIVOTDATA("Total-New",'Distrib pivot table'!$C$2,"state","MD"))=0,,IF(GETPIVOTDATA("Total-New",'Distrib pivot table'!$C$2,"state","MD","group","1e")/GETPIVOTDATA("Total-New",'Distrib pivot table'!$C$2,"state","MD")&gt;0.0005,GETPIVOTDATA("Total-New",'Distrib pivot table'!$C$2,"state","MD","group","1e")/GETPIVOTDATA("Total-New",'Distrib pivot table'!$C$2,"state","MD"),"*"))</f>
        <v>7.6634843741104824E-2</v>
      </c>
      <c r="M54" s="1131">
        <f>IF((GETPIVOTDATA("Total-New",'Distrib pivot table'!$C$2,"state","MS","group","1e")/GETPIVOTDATA("Total-New",'Distrib pivot table'!$C$2,"state","MS"))=0,,IF(GETPIVOTDATA("Total-New",'Distrib pivot table'!$C$2,"state","MS","group","1e")/GETPIVOTDATA("Total-New",'Distrib pivot table'!$C$2,"state","MS")&gt;0.0005,GETPIVOTDATA("Total-New",'Distrib pivot table'!$C$2,"state","MS","group","1e")/GETPIVOTDATA("Total-New",'Distrib pivot table'!$C$2,"state","MS"),"*"))</f>
        <v>0.14311768885624185</v>
      </c>
      <c r="N54" s="1131">
        <f>IF((GETPIVOTDATA("Total-New",'Distrib pivot table'!$C$2,"state","NC","group","1e")/GETPIVOTDATA("Total-New",'Distrib pivot table'!$C$2,"state","NC"))=0,,IF(GETPIVOTDATA("Total-New",'Distrib pivot table'!$C$2,"state","NC","group","1e")/GETPIVOTDATA("Total-New",'Distrib pivot table'!$C$2,"state","NC")&gt;0.0005,GETPIVOTDATA("Total-New",'Distrib pivot table'!$C$2,"state","NC","group","1e")/GETPIVOTDATA("Total-New",'Distrib pivot table'!$C$2,"state","NC"),"*"))</f>
        <v>0</v>
      </c>
      <c r="O54" s="1131">
        <f>IF((GETPIVOTDATA("Total-New",'Distrib pivot table'!$C$2,"state","OK","group","1e")/GETPIVOTDATA("Total-New",'Distrib pivot table'!$C$2,"state","OK"))=0,,IF(GETPIVOTDATA("Total-New",'Distrib pivot table'!$C$2,"state","OK","group","1e")/GETPIVOTDATA("Total-New",'Distrib pivot table'!$C$2,"state","OK")&gt;0.0005,GETPIVOTDATA("Total-New",'Distrib pivot table'!$C$2,"state","OK","group","1e")/GETPIVOTDATA("Total-New",'Distrib pivot table'!$C$2,"state","OK"),"*"))</f>
        <v>0</v>
      </c>
      <c r="P54" s="1131">
        <f>IF((GETPIVOTDATA("Total-New",'Distrib pivot table'!$C$2,"state","SC","group","1e")/GETPIVOTDATA("Total-New",'Distrib pivot table'!$C$2,"state","SC"))=0,,IF(GETPIVOTDATA("Total-New",'Distrib pivot table'!$C$2,"state","SC","group","1e")/GETPIVOTDATA("Total-New",'Distrib pivot table'!$C$2,"state","SC")&gt;0.0005,GETPIVOTDATA("Total-New",'Distrib pivot table'!$C$2,"state","SC","group","1e")/GETPIVOTDATA("Total-New",'Distrib pivot table'!$C$2,"state","SC"),"*"))</f>
        <v>6.0436476254311117E-2</v>
      </c>
      <c r="Q54" s="1131">
        <f>IF((GETPIVOTDATA("Total-New",'Distrib pivot table'!$C$2,"state","TN","group","1e")/GETPIVOTDATA("Total-New",'Distrib pivot table'!$C$2,"state","TN"))=0,,IF(GETPIVOTDATA("Total-New",'Distrib pivot table'!$C$2,"state","TN","group","1e")/GETPIVOTDATA("Total-New",'Distrib pivot table'!$C$2,"state","TN")&gt;0.0005,GETPIVOTDATA("Total-New",'Distrib pivot table'!$C$2,"state","TN","group","1e")/GETPIVOTDATA("Total-New",'Distrib pivot table'!$C$2,"state","TN"),"*"))</f>
        <v>7.3286039160551084E-2</v>
      </c>
      <c r="R54" s="1131">
        <f>IF((GETPIVOTDATA("Total-New",'Distrib pivot table'!$C$2,"state","TX","group","1e")/GETPIVOTDATA("Total-New",'Distrib pivot table'!$C$2,"state","TX"))=0,,IF(GETPIVOTDATA("Total-New",'Distrib pivot table'!$C$2,"state","TX","group","1e")/GETPIVOTDATA("Total-New",'Distrib pivot table'!$C$2,"state","TX")&gt;0.0005,GETPIVOTDATA("Total-New",'Distrib pivot table'!$C$2,"state","TX","group","1e")/GETPIVOTDATA("Total-New",'Distrib pivot table'!$C$2,"state","TX"),"*"))</f>
        <v>0</v>
      </c>
      <c r="S54" s="1131">
        <f>IF((GETPIVOTDATA("Total-New",'Distrib pivot table'!$C$2,"state","VA","group","1e")/GETPIVOTDATA("Total-New",'Distrib pivot table'!$C$2,"state","VA"))=0,,IF(GETPIVOTDATA("Total-New",'Distrib pivot table'!$C$2,"state","VA","group","1e")/GETPIVOTDATA("Total-New",'Distrib pivot table'!$C$2,"state","VA")&gt;0.0005,GETPIVOTDATA("Total-New",'Distrib pivot table'!$C$2,"state","VA","group","1e")/GETPIVOTDATA("Total-New",'Distrib pivot table'!$C$2,"state","VA"),"*"))</f>
        <v>0</v>
      </c>
      <c r="T54" s="1131">
        <f>IF((GETPIVOTDATA("Total-New",'Distrib pivot table'!$C$2,"state","WV","group","1e")/GETPIVOTDATA("Total-New",'Distrib pivot table'!$C$2,"state","WV"))=0,,IF(GETPIVOTDATA("Total-New",'Distrib pivot table'!$C$2,"state","WV","group","1e")/GETPIVOTDATA("Total-New",'Distrib pivot table'!$C$2,"state","WV")&gt;0.0005,GETPIVOTDATA("Total-New",'Distrib pivot table'!$C$2,"state","WV","group","1e")/GETPIVOTDATA("Total-New",'Distrib pivot table'!$C$2,"state","WV"),"*"))</f>
        <v>2.9821537446854857E-2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</row>
    <row r="55" spans="1:50" s="7" customFormat="1" ht="36" customHeight="1">
      <c r="A55" s="1167"/>
      <c r="B55" s="130" t="s">
        <v>1823</v>
      </c>
      <c r="C55" s="819" t="s">
        <v>1820</v>
      </c>
      <c r="D55" s="1129">
        <f>IF(GETPIVOTDATA("Total-New",'Distrib pivot table'!$C$2,"group","1f")/GETPIVOTDATA("Total-New",'Distrib pivot table'!$C$2)=0,,IF(GETPIVOTDATA("Total-New",'Distrib pivot table'!$C$2,"group","1f")/GETPIVOTDATA("Total-New",'Distrib pivot table'!$C$2)&gt;0.0005,GETPIVOTDATA("Total-New",'Distrib pivot table'!$C$2,"group","1f")/GETPIVOTDATA("Total-New",'Distrib pivot table'!$C$2),"*"))</f>
        <v>7.4926054118442682E-3</v>
      </c>
      <c r="E55" s="1129">
        <f>IF((GETPIVOTDATA("Total-New",'Distrib pivot table'!$C$2,"state","AL","group","1f")/GETPIVOTDATA("Total-New",'Distrib pivot table'!$C$2,"state","AL"))=0,,IF(GETPIVOTDATA("Total-New",'Distrib pivot table'!$C$2,"state","AL","group","1f")/GETPIVOTDATA("Total-New",'Distrib pivot table'!$C$2,"state","AL")&gt;0.0005,GETPIVOTDATA("Total-New",'Distrib pivot table'!$C$2,"state","AL","group","1f")/GETPIVOTDATA("Total-New",'Distrib pivot table'!$C$2,"state","AL"),"*"))</f>
        <v>3.474025043999416E-3</v>
      </c>
      <c r="F55" s="1129">
        <f>IF((GETPIVOTDATA("Total-New",'Distrib pivot table'!$C$2,"state","AR","group","1f")/GETPIVOTDATA("Total-New",'Distrib pivot table'!$C$2,"state","AR"))=0,,IF(GETPIVOTDATA("Total-New",'Distrib pivot table'!$C$2,"state","AR","group","1f")/GETPIVOTDATA("Total-New",'Distrib pivot table'!$C$2,"state","AR")&gt;0.0005,GETPIVOTDATA("Total-New",'Distrib pivot table'!$C$2,"state","AR","group","1f")/GETPIVOTDATA("Total-New",'Distrib pivot table'!$C$2,"state","AR"),"*"))</f>
        <v>0</v>
      </c>
      <c r="G55" s="1129">
        <f>IF((GETPIVOTDATA("Total-New",'Distrib pivot table'!$C$2,"state","DE","group","1f")/GETPIVOTDATA("Total-New",'Distrib pivot table'!$C$2,"state","DE"))=0,,IF(GETPIVOTDATA("Total-New",'Distrib pivot table'!$C$2,"state","DE","group","1f")/GETPIVOTDATA("Total-New",'Distrib pivot table'!$C$2,"state","DE")&gt;0.0005,GETPIVOTDATA("Total-New",'Distrib pivot table'!$C$2,"state","DE","group","1f")/GETPIVOTDATA("Total-New",'Distrib pivot table'!$C$2,"state","DE"),"*"))</f>
        <v>0</v>
      </c>
      <c r="H55" s="1129">
        <f>IF((GETPIVOTDATA("Total-New",'Distrib pivot table'!$C$2,"state","FL","group","1f")/GETPIVOTDATA("Total-New",'Distrib pivot table'!$C$2,"state","FL"))=0,,IF(GETPIVOTDATA("Total-New",'Distrib pivot table'!$C$2,"state","FL","group","1f")/GETPIVOTDATA("Total-New",'Distrib pivot table'!$C$2,"state","FL")&gt;0.0005,GETPIVOTDATA("Total-New",'Distrib pivot table'!$C$2,"state","FL","group","1f")/GETPIVOTDATA("Total-New",'Distrib pivot table'!$C$2,"state","FL"),"*"))</f>
        <v>0</v>
      </c>
      <c r="I55" s="1129">
        <f>IF((GETPIVOTDATA("Total-New",'Distrib pivot table'!$C$2,"state","GA","group","1f")/GETPIVOTDATA("Total-New",'Distrib pivot table'!$C$2,"state","GA"))=0,,IF(GETPIVOTDATA("Total-New",'Distrib pivot table'!$C$2,"state","GA","group","1f")/GETPIVOTDATA("Total-New",'Distrib pivot table'!$C$2,"state","GA")&gt;0.0005,GETPIVOTDATA("Total-New",'Distrib pivot table'!$C$2,"state","GA","group","1f")/GETPIVOTDATA("Total-New",'Distrib pivot table'!$C$2,"state","GA"),"*"))</f>
        <v>1.7560016035491073E-2</v>
      </c>
      <c r="J55" s="1129">
        <f>IF((GETPIVOTDATA("Total-New",'Distrib pivot table'!$C$2,"state","KY","group","1f")/GETPIVOTDATA("Total-New",'Distrib pivot table'!$C$2,"state","KY"))=0,,IF(GETPIVOTDATA("Total-New",'Distrib pivot table'!$C$2,"state","KY","group","1f")/GETPIVOTDATA("Total-New",'Distrib pivot table'!$C$2,"state","KY")&gt;0.0005,GETPIVOTDATA("Total-New",'Distrib pivot table'!$C$2,"state","KY","group","1f")/GETPIVOTDATA("Total-New",'Distrib pivot table'!$C$2,"state","KY"),"*"))</f>
        <v>0</v>
      </c>
      <c r="K55" s="1129">
        <f>IF((GETPIVOTDATA("Total-New",'Distrib pivot table'!$C$2,"state","LA","group","1f")/GETPIVOTDATA("Total-New",'Distrib pivot table'!$C$2,"state","LA"))=0,,IF(GETPIVOTDATA("Total-New",'Distrib pivot table'!$C$2,"state","LA","group","1f")/GETPIVOTDATA("Total-New",'Distrib pivot table'!$C$2,"state","LA")&gt;0.0005,GETPIVOTDATA("Total-New",'Distrib pivot table'!$C$2,"state","LA","group","1f")/GETPIVOTDATA("Total-New",'Distrib pivot table'!$C$2,"state","LA"),"*"))</f>
        <v>0</v>
      </c>
      <c r="L55" s="1129">
        <f>IF((GETPIVOTDATA("Total-New",'Distrib pivot table'!$C$2,"state","MD","group","1f")/GETPIVOTDATA("Total-New",'Distrib pivot table'!$C$2,"state","MD"))=0,,IF(GETPIVOTDATA("Total-New",'Distrib pivot table'!$C$2,"state","MD","group","1f")/GETPIVOTDATA("Total-New",'Distrib pivot table'!$C$2,"state","MD")&gt;0.0005,GETPIVOTDATA("Total-New",'Distrib pivot table'!$C$2,"state","MD","group","1f")/GETPIVOTDATA("Total-New",'Distrib pivot table'!$C$2,"state","MD"),"*"))</f>
        <v>7.1291434310826046E-2</v>
      </c>
      <c r="M55" s="1129">
        <f>IF((GETPIVOTDATA("Total-New",'Distrib pivot table'!$C$2,"state","MS","group","1f")/GETPIVOTDATA("Total-New",'Distrib pivot table'!$C$2,"state","MS"))=0,,IF(GETPIVOTDATA("Total-New",'Distrib pivot table'!$C$2,"state","MS","group","1f")/GETPIVOTDATA("Total-New",'Distrib pivot table'!$C$2,"state","MS")&gt;0.0005,GETPIVOTDATA("Total-New",'Distrib pivot table'!$C$2,"state","MS","group","1f")/GETPIVOTDATA("Total-New",'Distrib pivot table'!$C$2,"state","MS"),"*"))</f>
        <v>0</v>
      </c>
      <c r="N55" s="1129">
        <f>IF((GETPIVOTDATA("Total-New",'Distrib pivot table'!$C$2,"state","NC","group","1f")/GETPIVOTDATA("Total-New",'Distrib pivot table'!$C$2,"state","NC"))=0,,IF(GETPIVOTDATA("Total-New",'Distrib pivot table'!$C$2,"state","NC","group","1f")/GETPIVOTDATA("Total-New",'Distrib pivot table'!$C$2,"state","NC")&gt;0.0005,GETPIVOTDATA("Total-New",'Distrib pivot table'!$C$2,"state","NC","group","1f")/GETPIVOTDATA("Total-New",'Distrib pivot table'!$C$2,"state","NC"),"*"))</f>
        <v>5.3205062889588621E-3</v>
      </c>
      <c r="O55" s="1129">
        <f>IF((GETPIVOTDATA("Total-New",'Distrib pivot table'!$C$2,"state","OK","group","1f")/GETPIVOTDATA("Total-New",'Distrib pivot table'!$C$2,"state","OK"))=0,,IF(GETPIVOTDATA("Total-New",'Distrib pivot table'!$C$2,"state","OK","group","1f")/GETPIVOTDATA("Total-New",'Distrib pivot table'!$C$2,"state","OK")&gt;0.0005,GETPIVOTDATA("Total-New",'Distrib pivot table'!$C$2,"state","OK","group","1f")/GETPIVOTDATA("Total-New",'Distrib pivot table'!$C$2,"state","OK"),"*"))</f>
        <v>0</v>
      </c>
      <c r="P55" s="1129">
        <f>IF((GETPIVOTDATA("Total-New",'Distrib pivot table'!$C$2,"state","SC","group","1f")/GETPIVOTDATA("Total-New",'Distrib pivot table'!$C$2,"state","SC"))=0,,IF(GETPIVOTDATA("Total-New",'Distrib pivot table'!$C$2,"state","SC","group","1f")/GETPIVOTDATA("Total-New",'Distrib pivot table'!$C$2,"state","SC")&gt;0.0005,GETPIVOTDATA("Total-New",'Distrib pivot table'!$C$2,"state","SC","group","1f")/GETPIVOTDATA("Total-New",'Distrib pivot table'!$C$2,"state","SC"),"*"))</f>
        <v>0</v>
      </c>
      <c r="Q55" s="1129">
        <f>IF((GETPIVOTDATA("Total-New",'Distrib pivot table'!$C$2,"state","TN","group","1f")/GETPIVOTDATA("Total-New",'Distrib pivot table'!$C$2,"state","TN"))=0,,IF(GETPIVOTDATA("Total-New",'Distrib pivot table'!$C$2,"state","TN","group","1f")/GETPIVOTDATA("Total-New",'Distrib pivot table'!$C$2,"state","TN")&gt;0.0005,GETPIVOTDATA("Total-New",'Distrib pivot table'!$C$2,"state","TN","group","1f")/GETPIVOTDATA("Total-New",'Distrib pivot table'!$C$2,"state","TN"),"*"))</f>
        <v>3.8755434052740669E-3</v>
      </c>
      <c r="R55" s="1129">
        <f>IF((GETPIVOTDATA("Total-New",'Distrib pivot table'!$C$2,"state","TX","group","1f")/GETPIVOTDATA("Total-New",'Distrib pivot table'!$C$2,"state","TX"))=0,,IF(GETPIVOTDATA("Total-New",'Distrib pivot table'!$C$2,"state","TX","group","1f")/GETPIVOTDATA("Total-New",'Distrib pivot table'!$C$2,"state","TX")&gt;0.0005,GETPIVOTDATA("Total-New",'Distrib pivot table'!$C$2,"state","TX","group","1f")/GETPIVOTDATA("Total-New",'Distrib pivot table'!$C$2,"state","TX"),"*"))</f>
        <v>0</v>
      </c>
      <c r="S55" s="1129">
        <f>IF((GETPIVOTDATA("Total-New",'Distrib pivot table'!$C$2,"state","VA","group","1f")/GETPIVOTDATA("Total-New",'Distrib pivot table'!$C$2,"state","VA"))=0,,IF(GETPIVOTDATA("Total-New",'Distrib pivot table'!$C$2,"state","VA","group","1f")/GETPIVOTDATA("Total-New",'Distrib pivot table'!$C$2,"state","VA")&gt;0.0005,GETPIVOTDATA("Total-New",'Distrib pivot table'!$C$2,"state","VA","group","1f")/GETPIVOTDATA("Total-New",'Distrib pivot table'!$C$2,"state","VA"),"*"))</f>
        <v>8.3288685414149057E-3</v>
      </c>
      <c r="T55" s="1129">
        <f>IF((GETPIVOTDATA("Total-New",'Distrib pivot table'!$C$2,"state","WV","group","1f")/GETPIVOTDATA("Total-New",'Distrib pivot table'!$C$2,"state","WV"))=0,,IF(GETPIVOTDATA("Total-New",'Distrib pivot table'!$C$2,"state","WV","group","1f")/GETPIVOTDATA("Total-New",'Distrib pivot table'!$C$2,"state","WV")&gt;0.0005,GETPIVOTDATA("Total-New",'Distrib pivot table'!$C$2,"state","WV","group","1f")/GETPIVOTDATA("Total-New",'Distrib pivot table'!$C$2,"state","WV"),"*"))</f>
        <v>0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</row>
    <row r="56" spans="1:50" s="61" customFormat="1" ht="12" customHeight="1">
      <c r="A56" s="135"/>
      <c r="B56" s="133" t="s">
        <v>670</v>
      </c>
      <c r="C56" s="410"/>
      <c r="D56" s="433">
        <f>SUM(D7,D15,D23,D27,D32,D33,D37,D53,D54,D55)</f>
        <v>0.99829785435571983</v>
      </c>
      <c r="E56" s="433">
        <f t="shared" ref="E56:T56" si="6">SUM(E7,E15,E23,E27,E32,E33,E37,E53,E54,E55)</f>
        <v>0.99936461902399987</v>
      </c>
      <c r="F56" s="433">
        <f t="shared" si="6"/>
        <v>0.99886302371112379</v>
      </c>
      <c r="G56" s="433">
        <f t="shared" si="6"/>
        <v>0.99911131395453601</v>
      </c>
      <c r="H56" s="433">
        <f t="shared" si="6"/>
        <v>0.99878549387853688</v>
      </c>
      <c r="I56" s="433">
        <f t="shared" si="6"/>
        <v>0.99909591857531466</v>
      </c>
      <c r="J56" s="433">
        <f t="shared" si="6"/>
        <v>0.99926881385081612</v>
      </c>
      <c r="K56" s="433">
        <f t="shared" si="6"/>
        <v>0.99956720785993303</v>
      </c>
      <c r="L56" s="433">
        <f t="shared" si="6"/>
        <v>0.9995984169477834</v>
      </c>
      <c r="M56" s="433">
        <f t="shared" si="6"/>
        <v>0.99884326444885052</v>
      </c>
      <c r="N56" s="433">
        <f t="shared" si="6"/>
        <v>0.99901370477777651</v>
      </c>
      <c r="O56" s="433">
        <f t="shared" si="6"/>
        <v>0.99994421053214577</v>
      </c>
      <c r="P56" s="433">
        <f t="shared" si="6"/>
        <v>0.99954909108021406</v>
      </c>
      <c r="Q56" s="433">
        <f t="shared" si="6"/>
        <v>0.99984998525983226</v>
      </c>
      <c r="R56" s="433">
        <f t="shared" si="6"/>
        <v>1</v>
      </c>
      <c r="S56" s="433">
        <f t="shared" si="6"/>
        <v>0.99895136852374522</v>
      </c>
      <c r="T56" s="433">
        <f t="shared" si="6"/>
        <v>0.99874737856546714</v>
      </c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</row>
    <row r="57" spans="1:50" s="10" customFormat="1" ht="36.75" customHeight="1">
      <c r="A57" s="1162" t="s">
        <v>1927</v>
      </c>
      <c r="B57" s="1163"/>
      <c r="C57" s="1163"/>
      <c r="D57" s="1163"/>
      <c r="E57" s="1163"/>
      <c r="F57" s="1163"/>
      <c r="G57" s="1163"/>
      <c r="H57" s="1163"/>
      <c r="I57" s="1163"/>
      <c r="J57" s="1163"/>
      <c r="K57" s="1163"/>
      <c r="L57" s="1163"/>
      <c r="M57" s="1163"/>
      <c r="N57" s="1163"/>
      <c r="O57" s="1163"/>
      <c r="P57" s="1163"/>
      <c r="Q57" s="1163"/>
      <c r="R57" s="1163"/>
      <c r="S57" s="1163"/>
      <c r="T57" s="1163"/>
    </row>
    <row r="58" spans="1:50" s="10" customFormat="1" ht="15" customHeight="1">
      <c r="A58" s="55" t="s">
        <v>639</v>
      </c>
      <c r="B58" s="134"/>
      <c r="C58" s="2"/>
      <c r="D58" s="2"/>
      <c r="E58" s="2"/>
      <c r="F58" s="2"/>
      <c r="G58" s="2"/>
      <c r="H58" s="1"/>
      <c r="I58" s="2"/>
      <c r="J58" s="2"/>
      <c r="K58" s="1"/>
      <c r="L58" s="1"/>
      <c r="M58" s="1"/>
      <c r="N58" s="2"/>
      <c r="O58" s="2"/>
      <c r="P58" s="2"/>
      <c r="Q58" s="2"/>
      <c r="R58" s="2"/>
      <c r="S58" s="2"/>
      <c r="T58" s="47"/>
    </row>
    <row r="59" spans="1:50" s="10" customFormat="1" ht="15" customHeight="1">
      <c r="A59" s="47" t="s">
        <v>41</v>
      </c>
      <c r="B59" s="134"/>
      <c r="C59" s="2"/>
      <c r="D59" s="2"/>
      <c r="E59" s="2"/>
      <c r="F59" s="2"/>
      <c r="G59" s="2"/>
      <c r="H59" s="1"/>
      <c r="I59" s="2"/>
      <c r="J59" s="2"/>
      <c r="K59" s="1"/>
      <c r="L59" s="1"/>
      <c r="M59" s="1"/>
      <c r="N59" s="2"/>
      <c r="O59" s="2"/>
      <c r="P59" s="2"/>
      <c r="Q59" s="2"/>
      <c r="R59" s="2"/>
      <c r="S59" s="2"/>
      <c r="T59" s="805" t="s">
        <v>2058</v>
      </c>
    </row>
    <row r="63" spans="1:50">
      <c r="F63" s="252"/>
    </row>
  </sheetData>
  <mergeCells count="4">
    <mergeCell ref="A5:A23"/>
    <mergeCell ref="A57:T57"/>
    <mergeCell ref="A24:T24"/>
    <mergeCell ref="A27:A55"/>
  </mergeCells>
  <phoneticPr fontId="5" type="noConversion"/>
  <printOptions horizontalCentered="1"/>
  <pageMargins left="0.25" right="0.27" top="0.7" bottom="0.5" header="0.7" footer="0.25"/>
  <pageSetup scale="74" firstPageNumber="85" orientation="landscape" useFirstPageNumber="1" r:id="rId1"/>
  <headerFooter alignWithMargins="0">
    <oddHeader>&amp;R&amp;"Arial,Regular"&amp;8SREB-State Data Exchange</oddHeader>
    <oddFooter>&amp;C&amp;"Arial,Regular"&amp;P</oddFooter>
  </headerFooter>
  <rowBreaks count="1" manualBreakCount="1">
    <brk id="26" max="19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 enableFormatConditionsCalculation="0">
    <tabColor indexed="16"/>
    <pageSetUpPr fitToPage="1"/>
  </sheetPr>
  <dimension ref="A1:AJ34"/>
  <sheetViews>
    <sheetView showGridLines="0" showZeros="0" view="pageBreakPreview" topLeftCell="Q1" zoomScaleNormal="100" workbookViewId="0">
      <selection activeCell="AG34" sqref="AG34"/>
    </sheetView>
  </sheetViews>
  <sheetFormatPr defaultColWidth="8.875" defaultRowHeight="12.75"/>
  <cols>
    <col min="1" max="1" width="14" style="7" customWidth="1"/>
    <col min="2" max="2" width="14.75" style="5" customWidth="1"/>
    <col min="3" max="3" width="12" style="4" customWidth="1"/>
    <col min="4" max="4" width="11.375" style="4" customWidth="1"/>
    <col min="5" max="5" width="12.875" style="4" customWidth="1"/>
    <col min="6" max="6" width="12.375" style="4" customWidth="1"/>
    <col min="7" max="7" width="12.875" style="4" customWidth="1"/>
    <col min="8" max="8" width="13.75" style="4" customWidth="1"/>
    <col min="9" max="9" width="12.125" style="4" bestFit="1" customWidth="1"/>
    <col min="10" max="10" width="13.125" style="4" bestFit="1" customWidth="1"/>
    <col min="11" max="11" width="11.75" style="4" customWidth="1"/>
    <col min="12" max="14" width="11.125" style="4" customWidth="1"/>
    <col min="15" max="15" width="12.75" style="4" customWidth="1"/>
    <col min="16" max="16" width="13.125" style="24" customWidth="1"/>
    <col min="17" max="17" width="2.375" style="35" customWidth="1"/>
    <col min="18" max="18" width="13.125" style="7" customWidth="1"/>
    <col min="19" max="19" width="11.375" style="5" customWidth="1"/>
    <col min="20" max="20" width="10.5" style="4" customWidth="1"/>
    <col min="21" max="22" width="8.5" style="4" customWidth="1"/>
    <col min="23" max="23" width="9.125" style="4" customWidth="1"/>
    <col min="24" max="24" width="7.25" style="4" customWidth="1"/>
    <col min="25" max="25" width="6.5" style="4" bestFit="1" customWidth="1"/>
    <col min="26" max="26" width="5.25" style="4" bestFit="1" customWidth="1"/>
    <col min="27" max="27" width="6.875" style="4" bestFit="1" customWidth="1"/>
    <col min="28" max="28" width="6.375" style="4" bestFit="1" customWidth="1"/>
    <col min="29" max="29" width="6.875" style="5" bestFit="1" customWidth="1"/>
    <col min="30" max="30" width="7" style="4" bestFit="1" customWidth="1"/>
    <col min="31" max="31" width="9.25" style="5" customWidth="1"/>
    <col min="32" max="32" width="9" style="5" customWidth="1"/>
    <col min="33" max="33" width="9.375" style="5" customWidth="1"/>
    <col min="34" max="35" width="6.875" style="5" customWidth="1"/>
    <col min="36" max="36" width="5.75" style="5" customWidth="1"/>
    <col min="37" max="16384" width="8.875" style="6"/>
  </cols>
  <sheetData>
    <row r="1" spans="1:36" s="143" customFormat="1" ht="15.75">
      <c r="A1" s="244"/>
      <c r="B1" s="142"/>
      <c r="P1" s="144"/>
      <c r="Q1" s="145"/>
      <c r="R1" s="1173" t="s">
        <v>1490</v>
      </c>
      <c r="S1" s="1173"/>
      <c r="T1" s="1173"/>
      <c r="U1" s="1173"/>
      <c r="V1" s="1173"/>
      <c r="W1" s="1173"/>
      <c r="X1" s="1173"/>
      <c r="Y1" s="1173"/>
      <c r="Z1" s="1173"/>
      <c r="AA1" s="1173"/>
      <c r="AB1" s="1173"/>
      <c r="AC1" s="1173"/>
      <c r="AD1" s="1173"/>
      <c r="AE1" s="1173"/>
      <c r="AF1" s="1173"/>
      <c r="AG1" s="1173"/>
      <c r="AH1" s="142"/>
      <c r="AI1" s="142"/>
      <c r="AJ1" s="142"/>
    </row>
    <row r="2" spans="1:36" s="143" customFormat="1" ht="18.75">
      <c r="A2" s="244" t="s">
        <v>1885</v>
      </c>
      <c r="B2" s="142"/>
      <c r="P2" s="144"/>
      <c r="Q2" s="145"/>
      <c r="R2" s="1173" t="s">
        <v>383</v>
      </c>
      <c r="S2" s="1173"/>
      <c r="T2" s="1173"/>
      <c r="U2" s="1173"/>
      <c r="V2" s="1173"/>
      <c r="W2" s="1173"/>
      <c r="X2" s="1173"/>
      <c r="Y2" s="1173"/>
      <c r="Z2" s="1173"/>
      <c r="AA2" s="1173"/>
      <c r="AB2" s="1173"/>
      <c r="AC2" s="1173"/>
      <c r="AD2" s="1173"/>
      <c r="AE2" s="1173"/>
      <c r="AF2" s="1173"/>
      <c r="AG2" s="1173"/>
      <c r="AH2" s="142"/>
      <c r="AI2" s="142"/>
      <c r="AJ2" s="142"/>
    </row>
    <row r="3" spans="1:36" s="143" customFormat="1" ht="15.75">
      <c r="A3" s="244" t="s">
        <v>409</v>
      </c>
      <c r="B3" s="141"/>
      <c r="C3" s="141"/>
      <c r="D3" s="141"/>
      <c r="E3" s="141"/>
      <c r="F3" s="148"/>
      <c r="G3" s="141"/>
      <c r="H3" s="141"/>
      <c r="I3" s="141"/>
      <c r="J3" s="141"/>
      <c r="K3" s="141"/>
      <c r="L3" s="141"/>
      <c r="M3" s="141"/>
      <c r="N3" s="141"/>
      <c r="O3" s="141"/>
      <c r="P3" s="146"/>
      <c r="Q3" s="147"/>
      <c r="R3" s="1173" t="s">
        <v>104</v>
      </c>
      <c r="S3" s="1173"/>
      <c r="T3" s="1173"/>
      <c r="U3" s="1173"/>
      <c r="V3" s="1173"/>
      <c r="W3" s="1173"/>
      <c r="X3" s="1173"/>
      <c r="Y3" s="1173"/>
      <c r="Z3" s="1173"/>
      <c r="AA3" s="1173"/>
      <c r="AB3" s="1173"/>
      <c r="AC3" s="1173"/>
      <c r="AD3" s="1173"/>
      <c r="AE3" s="1173"/>
      <c r="AF3" s="1173"/>
      <c r="AG3" s="1173"/>
      <c r="AH3" s="141"/>
      <c r="AI3" s="141"/>
      <c r="AJ3" s="141"/>
    </row>
    <row r="4" spans="1:36" s="61" customFormat="1" ht="15.75">
      <c r="A4" s="152"/>
      <c r="B4" s="153" t="s">
        <v>67</v>
      </c>
      <c r="C4" s="154"/>
      <c r="D4" s="154"/>
      <c r="E4" s="154"/>
      <c r="F4" s="155"/>
      <c r="G4" s="154"/>
      <c r="H4" s="155"/>
      <c r="I4" s="156" t="s">
        <v>648</v>
      </c>
      <c r="J4" s="153" t="s">
        <v>649</v>
      </c>
      <c r="K4" s="153"/>
      <c r="L4" s="153"/>
      <c r="M4" s="153"/>
      <c r="N4" s="153"/>
      <c r="O4" s="157"/>
      <c r="P4" s="158" t="s">
        <v>648</v>
      </c>
      <c r="Q4" s="159"/>
      <c r="R4" s="152" t="s">
        <v>648</v>
      </c>
      <c r="S4" s="153" t="s">
        <v>429</v>
      </c>
      <c r="T4" s="154"/>
      <c r="U4" s="154"/>
      <c r="V4" s="154"/>
      <c r="W4" s="155"/>
      <c r="X4" s="155"/>
      <c r="Y4" s="155"/>
      <c r="Z4" s="156" t="s">
        <v>648</v>
      </c>
      <c r="AA4" s="153" t="s">
        <v>878</v>
      </c>
      <c r="AB4" s="153"/>
      <c r="AC4" s="153"/>
      <c r="AD4" s="153"/>
      <c r="AE4" s="153"/>
      <c r="AF4" s="160"/>
      <c r="AG4" s="161" t="s">
        <v>648</v>
      </c>
    </row>
    <row r="5" spans="1:36" ht="61.5" customHeight="1">
      <c r="A5" s="17"/>
      <c r="B5" s="1186" t="s">
        <v>1514</v>
      </c>
      <c r="C5" s="1176" t="s">
        <v>410</v>
      </c>
      <c r="D5" s="40"/>
      <c r="E5" s="40"/>
      <c r="F5" s="40"/>
      <c r="G5" s="23"/>
      <c r="H5" s="22"/>
      <c r="I5" s="36"/>
      <c r="J5" s="38" t="s">
        <v>1513</v>
      </c>
      <c r="K5" s="39"/>
      <c r="L5" s="38" t="s">
        <v>1509</v>
      </c>
      <c r="M5" s="39"/>
      <c r="N5" s="49"/>
      <c r="O5" s="21" t="s">
        <v>648</v>
      </c>
      <c r="P5" s="37" t="s">
        <v>648</v>
      </c>
      <c r="Q5" s="30"/>
      <c r="R5" s="17"/>
      <c r="S5" s="1186" t="s">
        <v>413</v>
      </c>
      <c r="T5" s="1176" t="s">
        <v>452</v>
      </c>
      <c r="U5" s="1176" t="s">
        <v>411</v>
      </c>
      <c r="V5" s="1176" t="s">
        <v>414</v>
      </c>
      <c r="W5" s="1176" t="s">
        <v>415</v>
      </c>
      <c r="X5" s="1176" t="s">
        <v>1773</v>
      </c>
      <c r="Y5" s="1178" t="s">
        <v>449</v>
      </c>
      <c r="Z5" s="1180" t="s">
        <v>676</v>
      </c>
      <c r="AA5" s="1174" t="s">
        <v>1336</v>
      </c>
      <c r="AB5" s="1175"/>
      <c r="AC5" s="1174" t="s">
        <v>1601</v>
      </c>
      <c r="AD5" s="1175"/>
      <c r="AE5" s="1176" t="s">
        <v>412</v>
      </c>
      <c r="AF5" s="1182" t="s">
        <v>42</v>
      </c>
      <c r="AG5" s="1184" t="s">
        <v>43</v>
      </c>
      <c r="AH5" s="6"/>
      <c r="AI5" s="6"/>
      <c r="AJ5" s="6"/>
    </row>
    <row r="6" spans="1:36" s="4" customFormat="1" ht="63" customHeight="1">
      <c r="A6" s="77"/>
      <c r="B6" s="1190"/>
      <c r="C6" s="1193"/>
      <c r="D6" s="19" t="s">
        <v>411</v>
      </c>
      <c r="E6" s="19" t="s">
        <v>1509</v>
      </c>
      <c r="F6" s="19" t="s">
        <v>412</v>
      </c>
      <c r="G6" s="19" t="s">
        <v>1886</v>
      </c>
      <c r="H6" s="19" t="s">
        <v>1888</v>
      </c>
      <c r="I6" s="78" t="s">
        <v>644</v>
      </c>
      <c r="J6" s="19" t="s">
        <v>1508</v>
      </c>
      <c r="K6" s="20" t="s">
        <v>253</v>
      </c>
      <c r="L6" s="19" t="s">
        <v>1508</v>
      </c>
      <c r="M6" s="20" t="s">
        <v>253</v>
      </c>
      <c r="N6" s="20" t="s">
        <v>1887</v>
      </c>
      <c r="O6" s="20" t="s">
        <v>1318</v>
      </c>
      <c r="P6" s="19" t="s">
        <v>1321</v>
      </c>
      <c r="Q6" s="31"/>
      <c r="R6" s="77"/>
      <c r="S6" s="1187"/>
      <c r="T6" s="1177"/>
      <c r="U6" s="1177"/>
      <c r="V6" s="1194"/>
      <c r="W6" s="1177"/>
      <c r="X6" s="1177"/>
      <c r="Y6" s="1179"/>
      <c r="Z6" s="1181"/>
      <c r="AA6" s="19" t="s">
        <v>1508</v>
      </c>
      <c r="AB6" s="20" t="s">
        <v>253</v>
      </c>
      <c r="AC6" s="19" t="s">
        <v>1508</v>
      </c>
      <c r="AD6" s="20" t="s">
        <v>253</v>
      </c>
      <c r="AE6" s="1177"/>
      <c r="AF6" s="1183"/>
      <c r="AG6" s="1185"/>
    </row>
    <row r="7" spans="1:36" s="61" customFormat="1" ht="15" customHeight="1">
      <c r="A7" s="73" t="s">
        <v>1286</v>
      </c>
      <c r="B7" s="148">
        <f>+GETPIVOTDATA("Sum of State Gen Purp-New",'Amounts Pivot Table'!$A$3,"category2","Four-Year")+GETPIVOTDATA("Sum of State Gen Purp-New",'Amounts Pivot Table'!$A$3,"category2","Two-Year")+GETPIVOTDATA("Sum of State Gen Purp-New",'Amounts Pivot Table'!$A$3,"category2","Technical")</f>
        <v>20759019586.93</v>
      </c>
      <c r="C7" s="148">
        <f>+GETPIVOTDATA("Sum of State Ed Spec Purp-New",'Amounts Pivot Table'!$A$3,"category2","Four-Year")+GETPIVOTDATA("Sum of State Ed Spec Purp-New",'Amounts Pivot Table'!$A$3,"category2","Two-Year")+GETPIVOTDATA("Sum of State Ed Spec Purp-New",'Amounts Pivot Table'!$A$3,"category2","Technical")</f>
        <v>1628014413.6199999</v>
      </c>
      <c r="D7" s="148">
        <f>+GETPIVOTDATA("Sum of State Ed Spec Purp-New",'Amounts Pivot Table'!$A$3,"category2","Other")</f>
        <v>663017973.27999997</v>
      </c>
      <c r="E7" s="148">
        <f>+GETPIVOTDATA("Sum of Other Spec Purp State-New",'Amounts Pivot Table'!$A$3,"category2","Specialized")</f>
        <v>96157332</v>
      </c>
      <c r="F7" s="148">
        <f>+GETPIVOTDATA("Sum of Health State-New",'Amounts Pivot Table'!$A$3)</f>
        <v>3806278081.2799997</v>
      </c>
      <c r="G7" s="148">
        <f>+GETPIVOTDATA("Sum of Other Spec Purp State-New",'Amounts Pivot Table'!$A$3)</f>
        <v>4067335884.27</v>
      </c>
      <c r="H7" s="148">
        <f>SUM(B7:G7)</f>
        <v>31019823271.379997</v>
      </c>
      <c r="I7" s="148">
        <f>+GETPIVOTDATA("Sum of Local-New",'Amounts Pivot Table'!$A$3)</f>
        <v>1945748368</v>
      </c>
      <c r="J7" s="148">
        <f>+GETPIVOTDATA("Sum of Tuition Tot-New",'Amounts Pivot Table'!$A$3,"category2","Four-Year")+GETPIVOTDATA("Sum of Tuition Tot-New",'Amounts Pivot Table'!$A$3,"category2","Two-Year")+GETPIVOTDATA("Sum of Tuition Tot-New",'Amounts Pivot Table'!$A$3,"category2","Technical")</f>
        <v>18543638002.700001</v>
      </c>
      <c r="K7" s="148">
        <f>+GETPIVOTDATA("Sum of Tuition Debt-New",'Amounts Pivot Table'!$A$3,"category2","Four-Year")+GETPIVOTDATA("Sum of Tuition Debt-New",'Amounts Pivot Table'!$A$3,"category2","Two-Year")+GETPIVOTDATA("Sum of Tuition Debt-New",'Amounts Pivot Table'!$A$3,"category2","Technical")</f>
        <v>230236938</v>
      </c>
      <c r="L7" s="148">
        <f>+GETPIVOTDATA("Sum of Tuition SP Tot-New",'Amounts Pivot Table'!$A$3,"category2","Specialized")</f>
        <v>256531792</v>
      </c>
      <c r="M7" s="148">
        <f>+GETPIVOTDATA("Sum of Tuition SP Debt-New",'Amounts Pivot Table'!$A$3,"category2","Specialized")</f>
        <v>270262</v>
      </c>
      <c r="N7" s="148">
        <f>+GETPIVOTDATA("Sum of Health Tuition-New",'Amounts Pivot Table'!$A$3)</f>
        <v>880244337</v>
      </c>
      <c r="O7" s="148">
        <f>+J7+L7+N7-K7-M7</f>
        <v>19449906931.700001</v>
      </c>
      <c r="P7" s="148">
        <f>O7+H7+I7</f>
        <v>52415478571.080002</v>
      </c>
      <c r="Q7" s="149"/>
      <c r="R7" s="150" t="s">
        <v>1337</v>
      </c>
      <c r="S7" s="151">
        <f t="shared" ref="S7:S27" si="0">IF(B7/$P7=0,,IF(B7/$P7&gt;0.0005,B7/$P7,"*"))</f>
        <v>0.39604750643989528</v>
      </c>
      <c r="T7" s="151">
        <f t="shared" ref="T7:T27" si="1">IF(C7/$P7=0,,IF(C7/$P7&gt;0.0005,C7/$P7,"*"))</f>
        <v>3.1059802524024828E-2</v>
      </c>
      <c r="U7" s="151">
        <f t="shared" ref="U7:U27" si="2">IF(D7/$P7=0,,IF(D7/$P7&gt;0.0005,D7/$P7,"*"))</f>
        <v>1.2649278254340257E-2</v>
      </c>
      <c r="V7" s="151">
        <f t="shared" ref="V7:V27" si="3">IF(E7/$P7=0,,IF(E7/$P7&gt;0.0005,E7/$P7,"*"))</f>
        <v>1.8345216836969673E-3</v>
      </c>
      <c r="W7" s="151">
        <f t="shared" ref="W7:W27" si="4">IF(F7/$P7=0,,IF(F7/$P7&gt;0.0005,F7/$P7,"*"))</f>
        <v>7.2617444026927117E-2</v>
      </c>
      <c r="X7" s="151">
        <f t="shared" ref="X7:X27" si="5">IF(G7/$P7=0,,IF(G7/$P7&gt;0.0005,G7/$P7,"*"))</f>
        <v>7.7597991951067175E-2</v>
      </c>
      <c r="Y7" s="425">
        <f>SUM(S7:X7)</f>
        <v>0.59180654487995166</v>
      </c>
      <c r="Z7" s="151">
        <f t="shared" ref="Z7:AC22" si="6">IF(I7/$P7=0,,IF(I7/$P7&gt;0.0005,I7/$P7,"*"))</f>
        <v>3.7121636986704107E-2</v>
      </c>
      <c r="AA7" s="151">
        <f t="shared" si="6"/>
        <v>0.35378171693220728</v>
      </c>
      <c r="AB7" s="151">
        <f t="shared" si="6"/>
        <v>4.3925371717779592E-3</v>
      </c>
      <c r="AC7" s="151">
        <f t="shared" si="6"/>
        <v>4.8941991753851926E-3</v>
      </c>
      <c r="AD7" s="151" t="str">
        <f>IF(M7/$P7=0,,IF(M7/$P7&gt;0.0005,M7/$P7,"*"))</f>
        <v>*</v>
      </c>
      <c r="AE7" s="151">
        <f>IF(N7/$P7=0,,IF(N7/$P7&gt;0.0005,N7/$P7,"*"))</f>
        <v>1.6793595346197426E-2</v>
      </c>
      <c r="AF7" s="427">
        <f>J7/$P7-K7/$P7+L7/$P7-M7/$P7+N7/$P7</f>
        <v>0.37107181813334422</v>
      </c>
      <c r="AG7" s="420">
        <f>Y7+I7/$P7+AF7</f>
        <v>1</v>
      </c>
    </row>
    <row r="8" spans="1:36" s="66" customFormat="1" ht="4.5" customHeight="1">
      <c r="A8" s="63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5"/>
      <c r="R8" s="67"/>
      <c r="S8" s="151"/>
      <c r="T8" s="151"/>
      <c r="U8" s="151"/>
      <c r="V8" s="151"/>
      <c r="W8" s="151"/>
      <c r="X8" s="151"/>
      <c r="Y8" s="425"/>
      <c r="Z8" s="151"/>
      <c r="AA8" s="151"/>
      <c r="AB8" s="151"/>
      <c r="AC8" s="151"/>
      <c r="AD8" s="151"/>
      <c r="AE8" s="151"/>
      <c r="AF8" s="428"/>
      <c r="AG8" s="420"/>
    </row>
    <row r="9" spans="1:36" ht="12" customHeight="1">
      <c r="A9" s="7" t="s">
        <v>1892</v>
      </c>
      <c r="B9" s="29">
        <f>+GETPIVOTDATA("Sum of State Gen Purp-New",'Amounts Pivot Table'!$A$3,"state","AL","category2","Four-Year")+GETPIVOTDATA("Sum of State Gen Purp-New",'Amounts Pivot Table'!$A$3,"state","AL","category2","Two-Year")+GETPIVOTDATA("Sum of State Gen Purp-New",'Amounts Pivot Table'!$A$3,"state","AL","category2","Technical")</f>
        <v>989815519.07000005</v>
      </c>
      <c r="C9" s="29">
        <f>+GETPIVOTDATA("Sum of State Ed Spec Purp-New",'Amounts Pivot Table'!$A$3,"state","AL","category2","Four-Year")+GETPIVOTDATA("Sum of State Ed Spec Purp-New",'Amounts Pivot Table'!$A$3,"state","AL","category2","Two-Year")+GETPIVOTDATA("Sum of State Ed Spec Purp-New",'Amounts Pivot Table'!$A$3,"state","AL","category2","Technical")</f>
        <v>94876110</v>
      </c>
      <c r="D9" s="29">
        <f>+GETPIVOTDATA("Sum of State Ed Spec Purp-New",'Amounts Pivot Table'!$A$3,"state","AL","category2","Other")</f>
        <v>91602302</v>
      </c>
      <c r="E9" s="29">
        <f>+GETPIVOTDATA("Sum of Other Spec Purp State-New",'Amounts Pivot Table'!$A$3,"state","AL","category2","Specialized")</f>
        <v>0</v>
      </c>
      <c r="F9" s="29">
        <f>+GETPIVOTDATA("Sum of Health State-New",'Amounts Pivot Table'!$A$3,"state","AL")</f>
        <v>343782665</v>
      </c>
      <c r="G9" s="29">
        <f>+GETPIVOTDATA("Sum of Other Spec Purp State-New",'Amounts Pivot Table'!$A$3,"state","AL")</f>
        <v>56838138</v>
      </c>
      <c r="H9" s="29">
        <f>SUM(B9:G9)</f>
        <v>1576914734.0700002</v>
      </c>
      <c r="I9" s="29">
        <f>+GETPIVOTDATA("Sum of Local-New",'Amounts Pivot Table'!$A$3,"state","AL")</f>
        <v>1977650</v>
      </c>
      <c r="J9" s="29">
        <f>+GETPIVOTDATA("Sum of Tuition Tot-New",'Amounts Pivot Table'!$A$3,"state","AL","category2","Four-Year")+GETPIVOTDATA("Sum of Tuition Tot-New",'Amounts Pivot Table'!$A$3,"state","AL","category2","Two-Year")+GETPIVOTDATA("Sum of Tuition Tot-New",'Amounts Pivot Table'!$A$3,"state","AL","category2","Technical")</f>
        <v>1040031408</v>
      </c>
      <c r="K9" s="29">
        <f>+GETPIVOTDATA("Sum of Tuition Debt-New",'Amounts Pivot Table'!$A$3,"state","AL","category2","Four-Year")+GETPIVOTDATA("Sum of Tuition Debt-New",'Amounts Pivot Table'!$A$3,"state","AL","category2","Two-Year")+GETPIVOTDATA("Sum of Tuition Debt-New",'Amounts Pivot Table'!$A$3,"state","AL","category2","Technical")</f>
        <v>76690396</v>
      </c>
      <c r="L9" s="29">
        <f>+GETPIVOTDATA("Sum of Tuition SP Tot-New",'Amounts Pivot Table'!$A$3,"state","AL","category2","Specialized")</f>
        <v>0</v>
      </c>
      <c r="M9" s="29">
        <f>+GETPIVOTDATA("Sum of Tuition SP Debt-New",'Amounts Pivot Table'!$A$3,"state","AL","category2","Specialized")</f>
        <v>0</v>
      </c>
      <c r="N9" s="29">
        <f>+GETPIVOTDATA("Sum of Health Tuition-New",'Amounts Pivot Table'!$A$3,"state","AL")</f>
        <v>82834827</v>
      </c>
      <c r="O9" s="29">
        <f>+J9+L9+N9-K9-M9</f>
        <v>1046175839</v>
      </c>
      <c r="P9" s="29">
        <f>O9+H9+I9</f>
        <v>2625068223.0700002</v>
      </c>
      <c r="Q9" s="33"/>
      <c r="R9" s="67" t="s">
        <v>1892</v>
      </c>
      <c r="S9" s="151">
        <f t="shared" si="0"/>
        <v>0.37706277892938617</v>
      </c>
      <c r="T9" s="151">
        <f t="shared" si="1"/>
        <v>3.6142340669928573E-2</v>
      </c>
      <c r="U9" s="151">
        <f t="shared" si="2"/>
        <v>3.4895208130199265E-2</v>
      </c>
      <c r="V9" s="151">
        <f t="shared" si="3"/>
        <v>0</v>
      </c>
      <c r="W9" s="151">
        <f t="shared" si="4"/>
        <v>0.1309614211084954</v>
      </c>
      <c r="X9" s="151">
        <f t="shared" si="5"/>
        <v>2.1652061268536544E-2</v>
      </c>
      <c r="Y9" s="425">
        <f t="shared" ref="Y9:Y27" si="7">SUM(S9:X9)</f>
        <v>0.60071381010654601</v>
      </c>
      <c r="Z9" s="151">
        <f t="shared" si="6"/>
        <v>7.5337089627604086E-4</v>
      </c>
      <c r="AA9" s="151">
        <f t="shared" si="6"/>
        <v>0.39619214421166171</v>
      </c>
      <c r="AB9" s="151">
        <f t="shared" si="6"/>
        <v>2.9214629671723762E-2</v>
      </c>
      <c r="AC9" s="151">
        <f t="shared" si="6"/>
        <v>0</v>
      </c>
      <c r="AD9" s="151">
        <f t="shared" ref="AD9:AE27" si="8">IF(M9/$P9=0,,IF(M9/$P9&gt;0.0005,M9/$P9,"*"))</f>
        <v>0</v>
      </c>
      <c r="AE9" s="151">
        <f t="shared" si="8"/>
        <v>3.1555304457240051E-2</v>
      </c>
      <c r="AF9" s="428">
        <f t="shared" ref="AF9:AF27" si="9">J9/$P9-K9/$P9+L9/$P9-M9/$P9+N9/$P9</f>
        <v>0.39853281899717796</v>
      </c>
      <c r="AG9" s="420">
        <f t="shared" ref="AG9:AG27" si="10">Y9+I9/$P9+AF9</f>
        <v>1</v>
      </c>
      <c r="AH9" s="6"/>
      <c r="AI9" s="6"/>
      <c r="AJ9" s="6"/>
    </row>
    <row r="10" spans="1:36" ht="12" customHeight="1">
      <c r="A10" s="7" t="s">
        <v>1906</v>
      </c>
      <c r="B10" s="29">
        <f>+GETPIVOTDATA("Sum of State Gen Purp-New",'Amounts Pivot Table'!$A$3,"state","AR","category2","Four-Year")+GETPIVOTDATA("Sum of State Gen Purp-New",'Amounts Pivot Table'!$A$3,"state","AR","category2","Two-Year")+GETPIVOTDATA("Sum of State Gen Purp-New",'Amounts Pivot Table'!$A$3,"state","AR","category2","Technical")</f>
        <v>587257494</v>
      </c>
      <c r="C10" s="29">
        <f>+GETPIVOTDATA("Sum of State Ed Spec Purp-New",'Amounts Pivot Table'!$A$3,"state","AR","category2","Four-Year")+GETPIVOTDATA("Sum of State Ed Spec Purp-New",'Amounts Pivot Table'!$A$3,"state","AR","category2","Two-Year")+GETPIVOTDATA("Sum of State Ed Spec Purp-New",'Amounts Pivot Table'!$A$3,"state","AR","category2","Technical")</f>
        <v>94637023</v>
      </c>
      <c r="D10" s="29">
        <f>+GETPIVOTDATA("Sum of State Ed Spec Purp-New",'Amounts Pivot Table'!$A$3,"state","AR","category2","Other")</f>
        <v>425000</v>
      </c>
      <c r="E10" s="29">
        <f>+GETPIVOTDATA("Sum of Other Spec Purp State-New",'Amounts Pivot Table'!$A$3,"state","AR","category2","Specialized")</f>
        <v>0</v>
      </c>
      <c r="F10" s="29">
        <f>+GETPIVOTDATA("Sum of Health State-New",'Amounts Pivot Table'!$A$3,"state","AR")</f>
        <v>102272246</v>
      </c>
      <c r="G10" s="29">
        <f>+GETPIVOTDATA("Sum of Other Spec Purp State-New",'Amounts Pivot Table'!$A$3,"state","AR")</f>
        <v>52418214</v>
      </c>
      <c r="H10" s="29">
        <f t="shared" ref="H10:H27" si="11">SUM(B10:G10)</f>
        <v>837009977</v>
      </c>
      <c r="I10" s="29">
        <f>+GETPIVOTDATA("Sum of Local-New",'Amounts Pivot Table'!$A$3,"state","AR")</f>
        <v>19108000</v>
      </c>
      <c r="J10" s="29">
        <f>+GETPIVOTDATA("Sum of Tuition Tot-New",'Amounts Pivot Table'!$A$3,"state","AR","category2","Four-Year")+GETPIVOTDATA("Sum of Tuition Tot-New",'Amounts Pivot Table'!$A$3,"state","AR","category2","Two-Year")+GETPIVOTDATA("Sum of Tuition Tot-New",'Amounts Pivot Table'!$A$3,"state","AR","category2","Technical")</f>
        <v>483573324.69999999</v>
      </c>
      <c r="K10" s="29">
        <f>+GETPIVOTDATA("Sum of Tuition Debt-New",'Amounts Pivot Table'!$A$3,"state","AR","category2","Four-Year")+GETPIVOTDATA("Sum of Tuition Debt-New",'Amounts Pivot Table'!$A$3,"state","AR","category2","Two-Year")+GETPIVOTDATA("Sum of Tuition Debt-New",'Amounts Pivot Table'!$A$3,"state","AR","category2","Technical")</f>
        <v>0</v>
      </c>
      <c r="L10" s="29">
        <f>+GETPIVOTDATA("Sum of Tuition SP Tot-New",'Amounts Pivot Table'!$A$3,"state","AR","category2","Specialized")</f>
        <v>0</v>
      </c>
      <c r="M10" s="29">
        <f>+GETPIVOTDATA("Sum of Tuition SP Debt-New",'Amounts Pivot Table'!$A$3,"state","AR","category2","Specialized")</f>
        <v>0</v>
      </c>
      <c r="N10" s="29">
        <f>+GETPIVOTDATA("Sum of Health Tuition-New",'Amounts Pivot Table'!$A$3,"state","AR")</f>
        <v>23046000</v>
      </c>
      <c r="O10" s="29">
        <f t="shared" ref="O10:O27" si="12">+J10+L10+N10-K10-M10</f>
        <v>506619324.69999999</v>
      </c>
      <c r="P10" s="29">
        <f t="shared" ref="P10:P27" si="13">O10+H10+I10</f>
        <v>1362737301.7</v>
      </c>
      <c r="Q10" s="32"/>
      <c r="R10" s="67" t="s">
        <v>1906</v>
      </c>
      <c r="S10" s="151">
        <f t="shared" si="0"/>
        <v>0.43093961929962776</v>
      </c>
      <c r="T10" s="151">
        <f t="shared" si="1"/>
        <v>6.9446270298715196E-2</v>
      </c>
      <c r="U10" s="151" t="str">
        <f t="shared" si="2"/>
        <v>*</v>
      </c>
      <c r="V10" s="151">
        <f t="shared" si="3"/>
        <v>0</v>
      </c>
      <c r="W10" s="151">
        <f t="shared" si="4"/>
        <v>7.5049127863761028E-2</v>
      </c>
      <c r="X10" s="151">
        <f t="shared" si="5"/>
        <v>3.8465384292782505E-2</v>
      </c>
      <c r="Y10" s="425">
        <f t="shared" si="7"/>
        <v>0.61390040175488647</v>
      </c>
      <c r="Z10" s="151">
        <f t="shared" si="6"/>
        <v>1.4021778061085564E-2</v>
      </c>
      <c r="AA10" s="151">
        <f t="shared" si="6"/>
        <v>0.35485439790688011</v>
      </c>
      <c r="AB10" s="151">
        <f t="shared" si="6"/>
        <v>0</v>
      </c>
      <c r="AC10" s="151">
        <f t="shared" si="6"/>
        <v>0</v>
      </c>
      <c r="AD10" s="151">
        <f t="shared" si="8"/>
        <v>0</v>
      </c>
      <c r="AE10" s="151">
        <f t="shared" si="8"/>
        <v>1.691154998931222E-2</v>
      </c>
      <c r="AF10" s="428">
        <f t="shared" si="9"/>
        <v>0.37176594789619233</v>
      </c>
      <c r="AG10" s="420">
        <f t="shared" si="10"/>
        <v>0.99968812771216431</v>
      </c>
      <c r="AH10" s="6"/>
      <c r="AI10" s="6"/>
      <c r="AJ10" s="6"/>
    </row>
    <row r="11" spans="1:36" ht="12" customHeight="1">
      <c r="A11" s="7" t="s">
        <v>1893</v>
      </c>
      <c r="B11" s="29">
        <f>+GETPIVOTDATA("Sum of State Gen Purp-New",'Amounts Pivot Table'!$A$3,"state","DE","category2","Four-Year")+GETPIVOTDATA("Sum of State Gen Purp-New",'Amounts Pivot Table'!$A$3,"state","DE","category2","Two-Year")+GETPIVOTDATA("Sum of State Gen Purp-New",'Amounts Pivot Table'!$A$3,"state","DE","category2","Technical")</f>
        <v>224535300</v>
      </c>
      <c r="C11" s="29">
        <f>+GETPIVOTDATA("Sum of State Ed Spec Purp-New",'Amounts Pivot Table'!$A$3,"state","DE","category2","Four-Year")+GETPIVOTDATA("Sum of State Ed Spec Purp-New",'Amounts Pivot Table'!$A$3,"state","DE","category2","Two-Year")+GETPIVOTDATA("Sum of State Ed Spec Purp-New",'Amounts Pivot Table'!$A$3,"state","DE","category2","Technical")</f>
        <v>9592100</v>
      </c>
      <c r="D11" s="29">
        <f>+GETPIVOTDATA("Sum of State Ed Spec Purp-New",'Amounts Pivot Table'!$A$3,"state","DE","category2","Other")</f>
        <v>2278900</v>
      </c>
      <c r="E11" s="29">
        <f>+GETPIVOTDATA("Sum of Other Spec Purp State-New",'Amounts Pivot Table'!$A$3,"state","DE","category2","Specialized")</f>
        <v>0</v>
      </c>
      <c r="F11" s="29">
        <f>+GETPIVOTDATA("Sum of Health State-New",'Amounts Pivot Table'!$A$3,"state","DE")</f>
        <v>0</v>
      </c>
      <c r="G11" s="29">
        <f>+GETPIVOTDATA("Sum of Other Spec Purp State-New",'Amounts Pivot Table'!$A$3,"state","DE")</f>
        <v>18800551</v>
      </c>
      <c r="H11" s="29">
        <f t="shared" si="11"/>
        <v>255206851</v>
      </c>
      <c r="I11" s="29">
        <f>+GETPIVOTDATA("Sum of Local-New",'Amounts Pivot Table'!$A$3,"state","DE")</f>
        <v>0</v>
      </c>
      <c r="J11" s="29">
        <f>+GETPIVOTDATA("Sum of Tuition Tot-New",'Amounts Pivot Table'!$A$3,"state","DE","category2","Four-Year")+GETPIVOTDATA("Sum of Tuition Tot-New",'Amounts Pivot Table'!$A$3,"state","DE","category2","Two-Year")+GETPIVOTDATA("Sum of Tuition Tot-New",'Amounts Pivot Table'!$A$3,"state","DE","category2","Technical")</f>
        <v>396873003</v>
      </c>
      <c r="K11" s="29">
        <f>+GETPIVOTDATA("Sum of Tuition Debt-New",'Amounts Pivot Table'!$A$3,"state","DE","category2","Four-Year")+GETPIVOTDATA("Sum of Tuition Debt-New",'Amounts Pivot Table'!$A$3,"state","DE","category2","Two-Year")+GETPIVOTDATA("Sum of Tuition Debt-New",'Amounts Pivot Table'!$A$3,"state","DE","category2","Technical")</f>
        <v>3369319</v>
      </c>
      <c r="L11" s="29">
        <f>+GETPIVOTDATA("Sum of Tuition SP Tot-New",'Amounts Pivot Table'!$A$3,"state","DE","category2","Specialized")</f>
        <v>0</v>
      </c>
      <c r="M11" s="29">
        <f>+GETPIVOTDATA("Sum of Tuition SP Debt-New",'Amounts Pivot Table'!$A$3,"state","DE","category2","Specialized")</f>
        <v>0</v>
      </c>
      <c r="N11" s="29">
        <f>+GETPIVOTDATA("Sum of Health Tuition-New",'Amounts Pivot Table'!$A$3,"state","DE")</f>
        <v>0</v>
      </c>
      <c r="O11" s="29">
        <f t="shared" si="12"/>
        <v>393503684</v>
      </c>
      <c r="P11" s="29">
        <f t="shared" si="13"/>
        <v>648710535</v>
      </c>
      <c r="Q11" s="32"/>
      <c r="R11" s="67" t="s">
        <v>1893</v>
      </c>
      <c r="S11" s="151">
        <f t="shared" si="0"/>
        <v>0.34612556430889474</v>
      </c>
      <c r="T11" s="151">
        <f t="shared" si="1"/>
        <v>1.4786410089671197E-2</v>
      </c>
      <c r="U11" s="151">
        <f t="shared" si="2"/>
        <v>3.5129690008811093E-3</v>
      </c>
      <c r="V11" s="151">
        <f t="shared" si="3"/>
        <v>0</v>
      </c>
      <c r="W11" s="151">
        <f t="shared" si="4"/>
        <v>0</v>
      </c>
      <c r="X11" s="151">
        <f t="shared" si="5"/>
        <v>2.8981417728941306E-2</v>
      </c>
      <c r="Y11" s="425">
        <f t="shared" si="7"/>
        <v>0.39340636112838834</v>
      </c>
      <c r="Z11" s="151">
        <f t="shared" si="6"/>
        <v>0</v>
      </c>
      <c r="AA11" s="151">
        <f t="shared" si="6"/>
        <v>0.61178751012576049</v>
      </c>
      <c r="AB11" s="151">
        <f t="shared" si="6"/>
        <v>5.1938712541488167E-3</v>
      </c>
      <c r="AC11" s="151">
        <f t="shared" si="6"/>
        <v>0</v>
      </c>
      <c r="AD11" s="151">
        <f t="shared" si="8"/>
        <v>0</v>
      </c>
      <c r="AE11" s="151">
        <f t="shared" si="8"/>
        <v>0</v>
      </c>
      <c r="AF11" s="428">
        <f t="shared" si="9"/>
        <v>0.60659363887161166</v>
      </c>
      <c r="AG11" s="420">
        <f t="shared" si="10"/>
        <v>1</v>
      </c>
      <c r="AH11" s="6"/>
      <c r="AI11" s="6"/>
      <c r="AJ11" s="6"/>
    </row>
    <row r="12" spans="1:36" ht="12" customHeight="1">
      <c r="A12" s="7" t="s">
        <v>1900</v>
      </c>
      <c r="B12" s="29">
        <f>+GETPIVOTDATA("Sum of State Gen Purp-New",'Amounts Pivot Table'!$A$3,"state","FL","category2","Four-Year")+GETPIVOTDATA("Sum of State Gen Purp-New",'Amounts Pivot Table'!$A$3,"state","FL","category2","Two-Year")+GETPIVOTDATA("Sum of State Gen Purp-New",'Amounts Pivot Table'!$A$3,"state","FL","category2","Technical")</f>
        <v>3000715398</v>
      </c>
      <c r="C12" s="29">
        <f>+GETPIVOTDATA("Sum of State Ed Spec Purp-New",'Amounts Pivot Table'!$A$3,"state","FL","category2","Four-Year")+GETPIVOTDATA("Sum of State Ed Spec Purp-New",'Amounts Pivot Table'!$A$3,"state","FL","category2","Two-Year")+GETPIVOTDATA("Sum of State Ed Spec Purp-New",'Amounts Pivot Table'!$A$3,"state","FL","category2","Technical")</f>
        <v>258061416</v>
      </c>
      <c r="D12" s="29">
        <f>+GETPIVOTDATA("Sum of State Ed Spec Purp-New",'Amounts Pivot Table'!$A$3,"state","FL","category2","Other")</f>
        <v>36972896</v>
      </c>
      <c r="E12" s="29">
        <f>+GETPIVOTDATA("Sum of Other Spec Purp State-New",'Amounts Pivot Table'!$A$3,"state","FL","category2","Specialized")</f>
        <v>0</v>
      </c>
      <c r="F12" s="29">
        <f>+GETPIVOTDATA("Sum of Health State-New",'Amounts Pivot Table'!$A$3,"state","FL")</f>
        <v>228033873</v>
      </c>
      <c r="G12" s="29">
        <f>+GETPIVOTDATA("Sum of Other Spec Purp State-New",'Amounts Pivot Table'!$A$3,"state","FL")</f>
        <v>720901494</v>
      </c>
      <c r="H12" s="29">
        <f t="shared" si="11"/>
        <v>4244685077</v>
      </c>
      <c r="I12" s="29">
        <f>+GETPIVOTDATA("Sum of Local-New",'Amounts Pivot Table'!$A$3,"state","FL")</f>
        <v>0</v>
      </c>
      <c r="J12" s="29">
        <f>+GETPIVOTDATA("Sum of Tuition Tot-New",'Amounts Pivot Table'!$A$3,"state","FL","category2","Four-Year")+GETPIVOTDATA("Sum of Tuition Tot-New",'Amounts Pivot Table'!$A$3,"state","FL","category2","Two-Year")+GETPIVOTDATA("Sum of Tuition Tot-New",'Amounts Pivot Table'!$A$3,"state","FL","category2","Technical")</f>
        <v>1569925520</v>
      </c>
      <c r="K12" s="29">
        <f>+GETPIVOTDATA("Sum of Tuition Debt-New",'Amounts Pivot Table'!$A$3,"state","FL","category2","Four-Year")+GETPIVOTDATA("Sum of Tuition Debt-New",'Amounts Pivot Table'!$A$3,"state","FL","category2","Two-Year")+GETPIVOTDATA("Sum of Tuition Debt-New",'Amounts Pivot Table'!$A$3,"state","FL","category2","Technical")</f>
        <v>25658013</v>
      </c>
      <c r="L12" s="29">
        <f>+GETPIVOTDATA("Sum of Tuition SP Tot-New",'Amounts Pivot Table'!$A$3,"state","FL","category2","Specialized")</f>
        <v>0</v>
      </c>
      <c r="M12" s="29">
        <f>+GETPIVOTDATA("Sum of Tuition SP Debt-New",'Amounts Pivot Table'!$A$3,"state","FL","category2","Specialized")</f>
        <v>0</v>
      </c>
      <c r="N12" s="29">
        <f>+GETPIVOTDATA("Sum of Health Tuition-New",'Amounts Pivot Table'!$A$3,"state","FL")</f>
        <v>50340339</v>
      </c>
      <c r="O12" s="29">
        <f t="shared" si="12"/>
        <v>1594607846</v>
      </c>
      <c r="P12" s="29">
        <f t="shared" si="13"/>
        <v>5839292923</v>
      </c>
      <c r="Q12" s="32"/>
      <c r="R12" s="67" t="s">
        <v>1900</v>
      </c>
      <c r="S12" s="151">
        <f t="shared" si="0"/>
        <v>0.51388334813290204</v>
      </c>
      <c r="T12" s="151">
        <f t="shared" si="1"/>
        <v>4.4193949404993736E-2</v>
      </c>
      <c r="U12" s="151">
        <f t="shared" si="2"/>
        <v>6.3317419570389994E-3</v>
      </c>
      <c r="V12" s="151">
        <f t="shared" si="3"/>
        <v>0</v>
      </c>
      <c r="W12" s="151">
        <f t="shared" si="4"/>
        <v>3.9051624230360606E-2</v>
      </c>
      <c r="X12" s="151">
        <f t="shared" si="5"/>
        <v>0.12345698417705496</v>
      </c>
      <c r="Y12" s="425">
        <f t="shared" si="7"/>
        <v>0.72691764790235036</v>
      </c>
      <c r="Z12" s="151">
        <f t="shared" si="6"/>
        <v>0</v>
      </c>
      <c r="AA12" s="151">
        <f t="shared" si="6"/>
        <v>0.26885541463698892</v>
      </c>
      <c r="AB12" s="151">
        <f t="shared" si="6"/>
        <v>4.3940273828253027E-3</v>
      </c>
      <c r="AC12" s="151">
        <f t="shared" si="6"/>
        <v>0</v>
      </c>
      <c r="AD12" s="151">
        <f t="shared" si="8"/>
        <v>0</v>
      </c>
      <c r="AE12" s="151">
        <f t="shared" si="8"/>
        <v>8.6209648434860675E-3</v>
      </c>
      <c r="AF12" s="428">
        <f t="shared" si="9"/>
        <v>0.27308235209764969</v>
      </c>
      <c r="AG12" s="420">
        <f t="shared" si="10"/>
        <v>1</v>
      </c>
      <c r="AH12" s="6"/>
      <c r="AI12" s="6"/>
      <c r="AJ12" s="6"/>
    </row>
    <row r="13" spans="1:36" s="88" customFormat="1" ht="4.5" customHeight="1">
      <c r="A13" s="85"/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29"/>
      <c r="P13" s="86"/>
      <c r="Q13" s="87"/>
      <c r="R13" s="85"/>
      <c r="S13" s="151"/>
      <c r="T13" s="151"/>
      <c r="U13" s="151"/>
      <c r="V13" s="151"/>
      <c r="W13" s="151"/>
      <c r="X13" s="151"/>
      <c r="Y13" s="425"/>
      <c r="Z13" s="151"/>
      <c r="AA13" s="151"/>
      <c r="AB13" s="151"/>
      <c r="AC13" s="151"/>
      <c r="AD13" s="151"/>
      <c r="AE13" s="151"/>
      <c r="AF13" s="428"/>
      <c r="AG13" s="420"/>
    </row>
    <row r="14" spans="1:36" ht="12" customHeight="1">
      <c r="A14" s="7" t="s">
        <v>1901</v>
      </c>
      <c r="B14" s="29">
        <f>+GETPIVOTDATA("Sum of State Gen Purp-New",'Amounts Pivot Table'!$A$3,"state","GA","category2","Four-Year")+GETPIVOTDATA("Sum of State Gen Purp-New",'Amounts Pivot Table'!$A$3,"state","GA","category2","Two-Year")+GETPIVOTDATA("Sum of State Gen Purp-New",'Amounts Pivot Table'!$A$3,"state","GA","category2","Technical")</f>
        <v>1892532718</v>
      </c>
      <c r="C14" s="29">
        <f>+GETPIVOTDATA("Sum of State Ed Spec Purp-New",'Amounts Pivot Table'!$A$3,"state","GA","category2","Four-Year")+GETPIVOTDATA("Sum of State Ed Spec Purp-New",'Amounts Pivot Table'!$A$3,"state","GA","category2","Two-Year")+GETPIVOTDATA("Sum of State Ed Spec Purp-New",'Amounts Pivot Table'!$A$3,"state","GA","category2","Technical")</f>
        <v>104551710</v>
      </c>
      <c r="D14" s="29">
        <f>+GETPIVOTDATA("Sum of State Ed Spec Purp-New",'Amounts Pivot Table'!$A$3,"state","GA","category2","Other")</f>
        <v>47658837</v>
      </c>
      <c r="E14" s="29">
        <f>+GETPIVOTDATA("Sum of Other Spec Purp State-New",'Amounts Pivot Table'!$A$3,"state","GA","category2","Specialized")</f>
        <v>22051710</v>
      </c>
      <c r="F14" s="29">
        <f>+GETPIVOTDATA("Sum of Health State-New",'Amounts Pivot Table'!$A$3,"state","GA")</f>
        <v>198410129</v>
      </c>
      <c r="G14" s="29">
        <f>+GETPIVOTDATA("Sum of Other Spec Purp State-New",'Amounts Pivot Table'!$A$3,"state","GA")</f>
        <v>512965911</v>
      </c>
      <c r="H14" s="29">
        <f t="shared" si="11"/>
        <v>2778171015</v>
      </c>
      <c r="I14" s="29">
        <f>+GETPIVOTDATA("Sum of Local-New",'Amounts Pivot Table'!$A$3,"state","GA")</f>
        <v>0</v>
      </c>
      <c r="J14" s="29">
        <f>+GETPIVOTDATA("Sum of Tuition Tot-New",'Amounts Pivot Table'!$A$3,"state","GA","category2","Four-Year")+GETPIVOTDATA("Sum of Tuition Tot-New",'Amounts Pivot Table'!$A$3,"state","GA","category2","Two-Year")+GETPIVOTDATA("Sum of Tuition Tot-New",'Amounts Pivot Table'!$A$3,"state","GA","category2","Technical")</f>
        <v>1170278811</v>
      </c>
      <c r="K14" s="29">
        <f>+GETPIVOTDATA("Sum of Tuition Debt-New",'Amounts Pivot Table'!$A$3,"state","GA","category2","Four-Year")+GETPIVOTDATA("Sum of Tuition Debt-New",'Amounts Pivot Table'!$A$3,"state","GA","category2","Two-Year")+GETPIVOTDATA("Sum of Tuition Debt-New",'Amounts Pivot Table'!$A$3,"state","GA","category2","Technical")</f>
        <v>0</v>
      </c>
      <c r="L14" s="29">
        <f>+GETPIVOTDATA("Sum of Tuition SP Tot-New",'Amounts Pivot Table'!$A$3,"state","GA","category2","Specialized")</f>
        <v>17597306</v>
      </c>
      <c r="M14" s="29">
        <f>+GETPIVOTDATA("Sum of Tuition SP Debt-New",'Amounts Pivot Table'!$A$3,"state","GA","category2","Specialized")</f>
        <v>0</v>
      </c>
      <c r="N14" s="29">
        <f>+GETPIVOTDATA("Sum of Health Tuition-New",'Amounts Pivot Table'!$A$3,"state","GA")</f>
        <v>33561724</v>
      </c>
      <c r="O14" s="29">
        <f t="shared" si="12"/>
        <v>1221437841</v>
      </c>
      <c r="P14" s="29">
        <f t="shared" si="13"/>
        <v>3999608856</v>
      </c>
      <c r="Q14" s="32"/>
      <c r="R14" s="67" t="s">
        <v>1901</v>
      </c>
      <c r="S14" s="151">
        <f t="shared" si="0"/>
        <v>0.47317944982568066</v>
      </c>
      <c r="T14" s="151">
        <f t="shared" si="1"/>
        <v>2.6140483673336479E-2</v>
      </c>
      <c r="U14" s="151">
        <f t="shared" si="2"/>
        <v>1.1915874455699525E-2</v>
      </c>
      <c r="V14" s="151">
        <f t="shared" si="3"/>
        <v>5.5134666398488439E-3</v>
      </c>
      <c r="W14" s="151">
        <f t="shared" si="4"/>
        <v>4.9607383157569448E-2</v>
      </c>
      <c r="X14" s="151">
        <f t="shared" si="5"/>
        <v>0.12825401919752125</v>
      </c>
      <c r="Y14" s="425">
        <f t="shared" si="7"/>
        <v>0.69461067694965617</v>
      </c>
      <c r="Z14" s="151">
        <f t="shared" si="6"/>
        <v>0</v>
      </c>
      <c r="AA14" s="151">
        <f t="shared" si="6"/>
        <v>0.29259831476880799</v>
      </c>
      <c r="AB14" s="151">
        <f t="shared" si="6"/>
        <v>0</v>
      </c>
      <c r="AC14" s="151">
        <f t="shared" si="6"/>
        <v>4.3997567346120512E-3</v>
      </c>
      <c r="AD14" s="151">
        <f t="shared" si="8"/>
        <v>0</v>
      </c>
      <c r="AE14" s="151">
        <f t="shared" si="8"/>
        <v>8.3912515469237673E-3</v>
      </c>
      <c r="AF14" s="428">
        <f t="shared" si="9"/>
        <v>0.30538932305034383</v>
      </c>
      <c r="AG14" s="420">
        <f t="shared" si="10"/>
        <v>1</v>
      </c>
      <c r="AH14" s="6"/>
      <c r="AI14" s="6"/>
      <c r="AJ14" s="6"/>
    </row>
    <row r="15" spans="1:36" ht="12" customHeight="1">
      <c r="A15" s="7" t="s">
        <v>1894</v>
      </c>
      <c r="B15" s="29">
        <f>+GETPIVOTDATA("Sum of State Gen Purp-New",'Amounts Pivot Table'!$A$3,"state","KY","category2","Four-Year")+GETPIVOTDATA("Sum of State Gen Purp-New",'Amounts Pivot Table'!$A$3,"state","KY","category2","Two-Year")+GETPIVOTDATA("Sum of State Gen Purp-New",'Amounts Pivot Table'!$A$3,"state","KY","category2","Technical")</f>
        <v>786114300</v>
      </c>
      <c r="C15" s="29">
        <f>+GETPIVOTDATA("Sum of State Ed Spec Purp-New",'Amounts Pivot Table'!$A$3,"state","KY","category2","Four-Year")+GETPIVOTDATA("Sum of State Ed Spec Purp-New",'Amounts Pivot Table'!$A$3,"state","KY","category2","Two-Year")+GETPIVOTDATA("Sum of State Ed Spec Purp-New",'Amounts Pivot Table'!$A$3,"state","KY","category2","Technical")</f>
        <v>93450300</v>
      </c>
      <c r="D15" s="29">
        <f>+GETPIVOTDATA("Sum of State Ed Spec Purp-New",'Amounts Pivot Table'!$A$3,"state","KY","category2","Other")</f>
        <v>64884000</v>
      </c>
      <c r="E15" s="29">
        <f>+GETPIVOTDATA("Sum of Other Spec Purp State-New",'Amounts Pivot Table'!$A$3,"state","KY","category2","Specialized")</f>
        <v>0</v>
      </c>
      <c r="F15" s="29">
        <f>+GETPIVOTDATA("Sum of Health State-New",'Amounts Pivot Table'!$A$3,"state","KY")</f>
        <v>102660000</v>
      </c>
      <c r="G15" s="29">
        <f>+GETPIVOTDATA("Sum of Other Spec Purp State-New",'Amounts Pivot Table'!$A$3,"state","KY")</f>
        <v>206421250</v>
      </c>
      <c r="H15" s="29">
        <f t="shared" si="11"/>
        <v>1253529850</v>
      </c>
      <c r="I15" s="29">
        <f>+GETPIVOTDATA("Sum of Local-New",'Amounts Pivot Table'!$A$3,"state","KY")</f>
        <v>0</v>
      </c>
      <c r="J15" s="29">
        <f>+GETPIVOTDATA("Sum of Tuition Tot-New",'Amounts Pivot Table'!$A$3,"state","KY","category2","Four-Year")+GETPIVOTDATA("Sum of Tuition Tot-New",'Amounts Pivot Table'!$A$3,"state","KY","category2","Two-Year")+GETPIVOTDATA("Sum of Tuition Tot-New",'Amounts Pivot Table'!$A$3,"state","KY","category2","Technical")</f>
        <v>1064226100</v>
      </c>
      <c r="K15" s="29">
        <f>+GETPIVOTDATA("Sum of Tuition Debt-New",'Amounts Pivot Table'!$A$3,"state","KY","category2","Four-Year")+GETPIVOTDATA("Sum of Tuition Debt-New",'Amounts Pivot Table'!$A$3,"state","KY","category2","Two-Year")+GETPIVOTDATA("Sum of Tuition Debt-New",'Amounts Pivot Table'!$A$3,"state","KY","category2","Technical")</f>
        <v>0</v>
      </c>
      <c r="L15" s="29">
        <f>+GETPIVOTDATA("Sum of Tuition SP Tot-New",'Amounts Pivot Table'!$A$3,"state","KY","category2","Specialized")</f>
        <v>0</v>
      </c>
      <c r="M15" s="29">
        <f>+GETPIVOTDATA("Sum of Tuition SP Debt-New",'Amounts Pivot Table'!$A$3,"state","KY","category2","Specialized")</f>
        <v>0</v>
      </c>
      <c r="N15" s="29">
        <f>+GETPIVOTDATA("Sum of Health Tuition-New",'Amounts Pivot Table'!$A$3,"state","KY")</f>
        <v>33834000</v>
      </c>
      <c r="O15" s="29">
        <f t="shared" si="12"/>
        <v>1098060100</v>
      </c>
      <c r="P15" s="29">
        <f t="shared" si="13"/>
        <v>2351589950</v>
      </c>
      <c r="Q15" s="32"/>
      <c r="R15" s="67" t="s">
        <v>1894</v>
      </c>
      <c r="S15" s="151">
        <f t="shared" si="0"/>
        <v>0.33429055095255872</v>
      </c>
      <c r="T15" s="151">
        <f t="shared" si="1"/>
        <v>3.9739198579242102E-2</v>
      </c>
      <c r="U15" s="151">
        <f t="shared" si="2"/>
        <v>2.7591545031054415E-2</v>
      </c>
      <c r="V15" s="151">
        <f t="shared" si="3"/>
        <v>0</v>
      </c>
      <c r="W15" s="151">
        <f t="shared" si="4"/>
        <v>4.3655570138833089E-2</v>
      </c>
      <c r="X15" s="151">
        <f t="shared" si="5"/>
        <v>8.7779440458996688E-2</v>
      </c>
      <c r="Y15" s="425">
        <f t="shared" si="7"/>
        <v>0.53305630516068503</v>
      </c>
      <c r="Z15" s="151">
        <f t="shared" si="6"/>
        <v>0</v>
      </c>
      <c r="AA15" s="151">
        <f t="shared" si="6"/>
        <v>0.45255598238970191</v>
      </c>
      <c r="AB15" s="151">
        <f t="shared" si="6"/>
        <v>0</v>
      </c>
      <c r="AC15" s="151">
        <f t="shared" si="6"/>
        <v>0</v>
      </c>
      <c r="AD15" s="151">
        <f t="shared" si="8"/>
        <v>0</v>
      </c>
      <c r="AE15" s="151">
        <f t="shared" si="8"/>
        <v>1.438771244961308E-2</v>
      </c>
      <c r="AF15" s="428">
        <f t="shared" si="9"/>
        <v>0.46694369483931497</v>
      </c>
      <c r="AG15" s="420">
        <f t="shared" si="10"/>
        <v>1</v>
      </c>
      <c r="AH15" s="6"/>
      <c r="AI15" s="6"/>
      <c r="AJ15" s="6"/>
    </row>
    <row r="16" spans="1:36" ht="12" customHeight="1">
      <c r="A16" s="7" t="s">
        <v>1902</v>
      </c>
      <c r="B16" s="29">
        <f>+GETPIVOTDATA("Sum of State Gen Purp-New",'Amounts Pivot Table'!$A$3,"state","LA","category2","Four-Year")+GETPIVOTDATA("Sum of State Gen Purp-New",'Amounts Pivot Table'!$A$3,"state","LA","category2","Two-Year")+GETPIVOTDATA("Sum of State Gen Purp-New",'Amounts Pivot Table'!$A$3,"state","LA","category2","Technical")</f>
        <v>1052198655</v>
      </c>
      <c r="C16" s="29">
        <f>+GETPIVOTDATA("Sum of State Ed Spec Purp-New",'Amounts Pivot Table'!$A$3,"state","LA","category2","Four-Year")+GETPIVOTDATA("Sum of State Ed Spec Purp-New",'Amounts Pivot Table'!$A$3,"state","LA","category2","Two-Year")+GETPIVOTDATA("Sum of State Ed Spec Purp-New",'Amounts Pivot Table'!$A$3,"state","LA","category2","Technical")</f>
        <v>95418938</v>
      </c>
      <c r="D16" s="29">
        <f>+GETPIVOTDATA("Sum of State Ed Spec Purp-New",'Amounts Pivot Table'!$A$3,"state","LA","category2","Other")</f>
        <v>67313141.280000001</v>
      </c>
      <c r="E16" s="29">
        <f>+GETPIVOTDATA("Sum of Other Spec Purp State-New",'Amounts Pivot Table'!$A$3,"state","LA","category2","Specialized")</f>
        <v>0</v>
      </c>
      <c r="F16" s="29">
        <f>+GETPIVOTDATA("Sum of Health State-New",'Amounts Pivot Table'!$A$3,"state","LA")</f>
        <v>243625757</v>
      </c>
      <c r="G16" s="29">
        <f>+GETPIVOTDATA("Sum of Other Spec Purp State-New",'Amounts Pivot Table'!$A$3,"state","LA")</f>
        <v>201022101.94</v>
      </c>
      <c r="H16" s="29">
        <f t="shared" si="11"/>
        <v>1659578593.22</v>
      </c>
      <c r="I16" s="29">
        <f>+GETPIVOTDATA("Sum of Local-New",'Amounts Pivot Table'!$A$3,"state","LA")</f>
        <v>0</v>
      </c>
      <c r="J16" s="29">
        <f>+GETPIVOTDATA("Sum of Tuition Tot-New",'Amounts Pivot Table'!$A$3,"state","LA","category2","Four-Year")+GETPIVOTDATA("Sum of Tuition Tot-New",'Amounts Pivot Table'!$A$3,"state","LA","category2","Two-Year")+GETPIVOTDATA("Sum of Tuition Tot-New",'Amounts Pivot Table'!$A$3,"state","LA","category2","Technical")</f>
        <v>670933269</v>
      </c>
      <c r="K16" s="29">
        <f>+GETPIVOTDATA("Sum of Tuition Debt-New",'Amounts Pivot Table'!$A$3,"state","LA","category2","Four-Year")+GETPIVOTDATA("Sum of Tuition Debt-New",'Amounts Pivot Table'!$A$3,"state","LA","category2","Two-Year")+GETPIVOTDATA("Sum of Tuition Debt-New",'Amounts Pivot Table'!$A$3,"state","LA","category2","Technical")</f>
        <v>0</v>
      </c>
      <c r="L16" s="29">
        <f>+GETPIVOTDATA("Sum of Tuition SP Tot-New",'Amounts Pivot Table'!$A$3,"state","LA","category2","Specialized")</f>
        <v>0</v>
      </c>
      <c r="M16" s="29">
        <f>+GETPIVOTDATA("Sum of Tuition SP Debt-New",'Amounts Pivot Table'!$A$3,"state","LA","category2","Specialized")</f>
        <v>0</v>
      </c>
      <c r="N16" s="29">
        <f>+GETPIVOTDATA("Sum of Health Tuition-New",'Amounts Pivot Table'!$A$3,"state","LA")</f>
        <v>32442326</v>
      </c>
      <c r="O16" s="29">
        <f t="shared" si="12"/>
        <v>703375595</v>
      </c>
      <c r="P16" s="29">
        <f t="shared" si="13"/>
        <v>2362954188.2200003</v>
      </c>
      <c r="Q16" s="32"/>
      <c r="R16" s="67" t="s">
        <v>1902</v>
      </c>
      <c r="S16" s="151">
        <f t="shared" si="0"/>
        <v>0.44528948561318288</v>
      </c>
      <c r="T16" s="151">
        <f t="shared" si="1"/>
        <v>4.0381205220012553E-2</v>
      </c>
      <c r="U16" s="151">
        <f t="shared" si="2"/>
        <v>2.8486858363812206E-2</v>
      </c>
      <c r="V16" s="151">
        <f t="shared" si="3"/>
        <v>0</v>
      </c>
      <c r="W16" s="151">
        <f t="shared" si="4"/>
        <v>0.10310219225346974</v>
      </c>
      <c r="X16" s="151">
        <f t="shared" si="5"/>
        <v>8.5072365322253152E-2</v>
      </c>
      <c r="Y16" s="425">
        <f t="shared" si="7"/>
        <v>0.7023321067727305</v>
      </c>
      <c r="Z16" s="151">
        <f t="shared" si="6"/>
        <v>0</v>
      </c>
      <c r="AA16" s="151">
        <f t="shared" si="6"/>
        <v>0.28393833124010337</v>
      </c>
      <c r="AB16" s="151">
        <f t="shared" si="6"/>
        <v>0</v>
      </c>
      <c r="AC16" s="151">
        <f t="shared" si="6"/>
        <v>0</v>
      </c>
      <c r="AD16" s="151">
        <f t="shared" si="8"/>
        <v>0</v>
      </c>
      <c r="AE16" s="151">
        <f t="shared" si="8"/>
        <v>1.3729561987165996E-2</v>
      </c>
      <c r="AF16" s="428">
        <f t="shared" si="9"/>
        <v>0.29766789322726939</v>
      </c>
      <c r="AG16" s="420">
        <f t="shared" si="10"/>
        <v>0.99999999999999989</v>
      </c>
      <c r="AH16" s="6"/>
      <c r="AI16" s="6"/>
      <c r="AJ16" s="6"/>
    </row>
    <row r="17" spans="1:36" ht="12" customHeight="1">
      <c r="A17" s="7" t="s">
        <v>1905</v>
      </c>
      <c r="B17" s="29">
        <f>+GETPIVOTDATA("Sum of State Gen Purp-New",'Amounts Pivot Table'!$A$3,"state","MD","category2","Four-Year")+GETPIVOTDATA("Sum of State Gen Purp-New",'Amounts Pivot Table'!$A$3,"state","MD","category2","Two-Year")+GETPIVOTDATA("Sum of State Gen Purp-New",'Amounts Pivot Table'!$A$3,"state","MD","category2","Technical")</f>
        <v>1104513683</v>
      </c>
      <c r="C17" s="29">
        <f>+GETPIVOTDATA("Sum of State Ed Spec Purp-New",'Amounts Pivot Table'!$A$3,"state","MD","category2","Four-Year")+GETPIVOTDATA("Sum of State Ed Spec Purp-New",'Amounts Pivot Table'!$A$3,"state","MD","category2","Two-Year")+GETPIVOTDATA("Sum of State Ed Spec Purp-New",'Amounts Pivot Table'!$A$3,"state","MD","category2","Technical")</f>
        <v>76842005</v>
      </c>
      <c r="D17" s="29">
        <f>+GETPIVOTDATA("Sum of State Ed Spec Purp-New",'Amounts Pivot Table'!$A$3,"state","MD","category2","Other")</f>
        <v>5037806</v>
      </c>
      <c r="E17" s="29">
        <f>+GETPIVOTDATA("Sum of Other Spec Purp State-New",'Amounts Pivot Table'!$A$3,"state","MD","category2","Specialized")</f>
        <v>24933101</v>
      </c>
      <c r="F17" s="29">
        <f>+GETPIVOTDATA("Sum of Health State-New",'Amounts Pivot Table'!$A$3,"state","MD")</f>
        <v>175542673</v>
      </c>
      <c r="G17" s="29">
        <f>+GETPIVOTDATA("Sum of Other Spec Purp State-New",'Amounts Pivot Table'!$A$3,"state","MD")</f>
        <v>199988970.55000001</v>
      </c>
      <c r="H17" s="29">
        <f t="shared" si="11"/>
        <v>1586858238.55</v>
      </c>
      <c r="I17" s="29">
        <f>+GETPIVOTDATA("Sum of Local-New",'Amounts Pivot Table'!$A$3,"state","MD")</f>
        <v>329430416</v>
      </c>
      <c r="J17" s="29">
        <f>+GETPIVOTDATA("Sum of Tuition Tot-New",'Amounts Pivot Table'!$A$3,"state","MD","category2","Four-Year")+GETPIVOTDATA("Sum of Tuition Tot-New",'Amounts Pivot Table'!$A$3,"state","MD","category2","Two-Year")+GETPIVOTDATA("Sum of Tuition Tot-New",'Amounts Pivot Table'!$A$3,"state","MD","category2","Technical")</f>
        <v>1226925395</v>
      </c>
      <c r="K17" s="29">
        <f>+GETPIVOTDATA("Sum of Tuition Debt-New",'Amounts Pivot Table'!$A$3,"state","MD","category2","Four-Year")+GETPIVOTDATA("Sum of Tuition Debt-New",'Amounts Pivot Table'!$A$3,"state","MD","category2","Two-Year")+GETPIVOTDATA("Sum of Tuition Debt-New",'Amounts Pivot Table'!$A$3,"state","MD","category2","Technical")</f>
        <v>0</v>
      </c>
      <c r="L17" s="29">
        <f>+GETPIVOTDATA("Sum of Tuition SP Tot-New",'Amounts Pivot Table'!$A$3,"state","MD","category2","Specialized")</f>
        <v>219194268</v>
      </c>
      <c r="M17" s="29">
        <f>+GETPIVOTDATA("Sum of Tuition SP Debt-New",'Amounts Pivot Table'!$A$3,"state","MD","category2","Specialized")</f>
        <v>0</v>
      </c>
      <c r="N17" s="29">
        <f>+GETPIVOTDATA("Sum of Health Tuition-New",'Amounts Pivot Table'!$A$3,"state","MD")</f>
        <v>86882441</v>
      </c>
      <c r="O17" s="29">
        <f t="shared" si="12"/>
        <v>1533002104</v>
      </c>
      <c r="P17" s="29">
        <f t="shared" si="13"/>
        <v>3449290758.5500002</v>
      </c>
      <c r="Q17" s="32"/>
      <c r="R17" s="67" t="s">
        <v>1905</v>
      </c>
      <c r="S17" s="151">
        <f t="shared" si="0"/>
        <v>0.32021472247944421</v>
      </c>
      <c r="T17" s="151">
        <f t="shared" si="1"/>
        <v>2.2277624699955E-2</v>
      </c>
      <c r="U17" s="151">
        <f t="shared" si="2"/>
        <v>1.4605338756996449E-3</v>
      </c>
      <c r="V17" s="151">
        <f t="shared" si="3"/>
        <v>7.2284718063261449E-3</v>
      </c>
      <c r="W17" s="151">
        <f t="shared" si="4"/>
        <v>5.0892396520899261E-2</v>
      </c>
      <c r="X17" s="151">
        <f t="shared" si="5"/>
        <v>5.7979736864534615E-2</v>
      </c>
      <c r="Y17" s="425">
        <f t="shared" si="7"/>
        <v>0.46005348624685888</v>
      </c>
      <c r="Z17" s="151">
        <f t="shared" si="6"/>
        <v>9.550671110674494E-2</v>
      </c>
      <c r="AA17" s="151">
        <f t="shared" si="6"/>
        <v>0.3557036738520038</v>
      </c>
      <c r="AB17" s="151">
        <f t="shared" si="6"/>
        <v>0</v>
      </c>
      <c r="AC17" s="151">
        <f t="shared" si="6"/>
        <v>6.3547634381551546E-2</v>
      </c>
      <c r="AD17" s="151">
        <f t="shared" si="8"/>
        <v>0</v>
      </c>
      <c r="AE17" s="151">
        <f t="shared" si="8"/>
        <v>2.5188494412840774E-2</v>
      </c>
      <c r="AF17" s="428">
        <f t="shared" si="9"/>
        <v>0.4444398026463961</v>
      </c>
      <c r="AG17" s="420">
        <f t="shared" si="10"/>
        <v>1</v>
      </c>
      <c r="AH17" s="6"/>
      <c r="AI17" s="6"/>
      <c r="AJ17" s="6"/>
    </row>
    <row r="18" spans="1:36" s="88" customFormat="1" ht="4.5" customHeight="1">
      <c r="A18" s="85"/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29"/>
      <c r="P18" s="86"/>
      <c r="Q18" s="87"/>
      <c r="R18" s="85"/>
      <c r="S18" s="151"/>
      <c r="T18" s="151"/>
      <c r="U18" s="151"/>
      <c r="V18" s="151"/>
      <c r="W18" s="151"/>
      <c r="X18" s="151"/>
      <c r="Y18" s="425"/>
      <c r="Z18" s="151"/>
      <c r="AA18" s="151"/>
      <c r="AB18" s="151"/>
      <c r="AC18" s="151"/>
      <c r="AD18" s="151"/>
      <c r="AE18" s="151"/>
      <c r="AF18" s="428"/>
      <c r="AG18" s="420"/>
    </row>
    <row r="19" spans="1:36" ht="12" customHeight="1">
      <c r="A19" s="7" t="s">
        <v>1895</v>
      </c>
      <c r="B19" s="29">
        <f>+GETPIVOTDATA("Sum of State Gen Purp-New",'Amounts Pivot Table'!$A$3,"state","MS","category2","Four-Year")+GETPIVOTDATA("Sum of State Gen Purp-New",'Amounts Pivot Table'!$A$3,"state","MS","category2","Two-Year")+GETPIVOTDATA("Sum of State Gen Purp-New",'Amounts Pivot Table'!$A$3,"state","MS","category2","Technical")</f>
        <v>644525562.86000001</v>
      </c>
      <c r="C19" s="29">
        <f>+GETPIVOTDATA("Sum of State Ed Spec Purp-New",'Amounts Pivot Table'!$A$3,"state","MS","category2","Four-Year")+GETPIVOTDATA("Sum of State Ed Spec Purp-New",'Amounts Pivot Table'!$A$3,"state","MS","category2","Two-Year")+GETPIVOTDATA("Sum of State Ed Spec Purp-New",'Amounts Pivot Table'!$A$3,"state","MS","category2","Technical")</f>
        <v>80553911.620000005</v>
      </c>
      <c r="D19" s="29">
        <f>+GETPIVOTDATA("Sum of State Ed Spec Purp-New",'Amounts Pivot Table'!$A$3,"state","MS","category2","Other")</f>
        <v>59407503</v>
      </c>
      <c r="E19" s="29">
        <f>+GETPIVOTDATA("Sum of Other Spec Purp State-New",'Amounts Pivot Table'!$A$3,"state","MS","category2","Specialized")</f>
        <v>0</v>
      </c>
      <c r="F19" s="29">
        <f>+GETPIVOTDATA("Sum of Health State-New",'Amounts Pivot Table'!$A$3,"state","MS")</f>
        <v>244235701.28</v>
      </c>
      <c r="G19" s="29">
        <f>+GETPIVOTDATA("Sum of Other Spec Purp State-New",'Amounts Pivot Table'!$A$3,"state","MS")</f>
        <v>39279800.780000001</v>
      </c>
      <c r="H19" s="29">
        <f t="shared" si="11"/>
        <v>1068002479.54</v>
      </c>
      <c r="I19" s="29">
        <f>+GETPIVOTDATA("Sum of Local-New",'Amounts Pivot Table'!$A$3,"state","MS")</f>
        <v>47621527</v>
      </c>
      <c r="J19" s="29">
        <f>+GETPIVOTDATA("Sum of Tuition Tot-New",'Amounts Pivot Table'!$A$3,"state","MS","category2","Four-Year")+GETPIVOTDATA("Sum of Tuition Tot-New",'Amounts Pivot Table'!$A$3,"state","MS","category2","Two-Year")+GETPIVOTDATA("Sum of Tuition Tot-New",'Amounts Pivot Table'!$A$3,"state","MS","category2","Technical")</f>
        <v>536884872</v>
      </c>
      <c r="K19" s="29">
        <f>+GETPIVOTDATA("Sum of Tuition Debt-New",'Amounts Pivot Table'!$A$3,"state","MS","category2","Four-Year")+GETPIVOTDATA("Sum of Tuition Debt-New",'Amounts Pivot Table'!$A$3,"state","MS","category2","Two-Year")+GETPIVOTDATA("Sum of Tuition Debt-New",'Amounts Pivot Table'!$A$3,"state","MS","category2","Technical")</f>
        <v>0</v>
      </c>
      <c r="L19" s="29">
        <f>+GETPIVOTDATA("Sum of Tuition SP Tot-New",'Amounts Pivot Table'!$A$3,"state","MS","category2","Specialized")</f>
        <v>0</v>
      </c>
      <c r="M19" s="29">
        <f>+GETPIVOTDATA("Sum of Tuition SP Debt-New",'Amounts Pivot Table'!$A$3,"state","MS","category2","Specialized")</f>
        <v>0</v>
      </c>
      <c r="N19" s="29">
        <f>+GETPIVOTDATA("Sum of Health Tuition-New",'Amounts Pivot Table'!$A$3,"state","MS")</f>
        <v>18165908</v>
      </c>
      <c r="O19" s="29">
        <f t="shared" si="12"/>
        <v>555050780</v>
      </c>
      <c r="P19" s="29">
        <f t="shared" si="13"/>
        <v>1670674786.54</v>
      </c>
      <c r="Q19" s="32"/>
      <c r="R19" s="67" t="s">
        <v>1895</v>
      </c>
      <c r="S19" s="151">
        <f t="shared" si="0"/>
        <v>0.38578756802502839</v>
      </c>
      <c r="T19" s="151">
        <f t="shared" si="1"/>
        <v>4.8216392722864231E-2</v>
      </c>
      <c r="U19" s="151">
        <f t="shared" si="2"/>
        <v>3.5558986990540567E-2</v>
      </c>
      <c r="V19" s="151">
        <f t="shared" si="3"/>
        <v>0</v>
      </c>
      <c r="W19" s="151">
        <f t="shared" si="4"/>
        <v>0.14618985289519865</v>
      </c>
      <c r="X19" s="151">
        <f t="shared" si="5"/>
        <v>2.3511338709641529E-2</v>
      </c>
      <c r="Y19" s="425">
        <f t="shared" si="7"/>
        <v>0.63926413934327331</v>
      </c>
      <c r="Z19" s="151">
        <f t="shared" si="6"/>
        <v>2.8504366848454754E-2</v>
      </c>
      <c r="AA19" s="151">
        <f t="shared" si="6"/>
        <v>0.32135809813225175</v>
      </c>
      <c r="AB19" s="151">
        <f t="shared" si="6"/>
        <v>0</v>
      </c>
      <c r="AC19" s="151">
        <f t="shared" si="6"/>
        <v>0</v>
      </c>
      <c r="AD19" s="151">
        <f t="shared" si="8"/>
        <v>0</v>
      </c>
      <c r="AE19" s="151">
        <f t="shared" si="8"/>
        <v>1.0873395676020196E-2</v>
      </c>
      <c r="AF19" s="428">
        <f t="shared" si="9"/>
        <v>0.33223149380827194</v>
      </c>
      <c r="AG19" s="420">
        <f t="shared" si="10"/>
        <v>1</v>
      </c>
      <c r="AH19" s="6"/>
      <c r="AI19" s="6"/>
      <c r="AJ19" s="6"/>
    </row>
    <row r="20" spans="1:36" ht="12" customHeight="1">
      <c r="A20" s="7" t="s">
        <v>1896</v>
      </c>
      <c r="B20" s="29">
        <f>+GETPIVOTDATA("Sum of State Gen Purp-New",'Amounts Pivot Table'!$A$3,"state","NC","category2","Four-Year")+GETPIVOTDATA("Sum of State Gen Purp-New",'Amounts Pivot Table'!$A$3,"state","NC","category2","Two-Year")+GETPIVOTDATA("Sum of State Gen Purp-New",'Amounts Pivot Table'!$A$3,"state","NC","category2","Technical")</f>
        <v>2849519245</v>
      </c>
      <c r="C20" s="29">
        <f>+GETPIVOTDATA("Sum of State Ed Spec Purp-New",'Amounts Pivot Table'!$A$3,"state","NC","category2","Four-Year")+GETPIVOTDATA("Sum of State Ed Spec Purp-New",'Amounts Pivot Table'!$A$3,"state","NC","category2","Two-Year")+GETPIVOTDATA("Sum of State Ed Spec Purp-New",'Amounts Pivot Table'!$A$3,"state","NC","category2","Technical")</f>
        <v>191422670</v>
      </c>
      <c r="D20" s="29">
        <f>+GETPIVOTDATA("Sum of State Ed Spec Purp-New",'Amounts Pivot Table'!$A$3,"state","NC","category2","Other")</f>
        <v>60795675</v>
      </c>
      <c r="E20" s="29">
        <f>+GETPIVOTDATA("Sum of Other Spec Purp State-New",'Amounts Pivot Table'!$A$3,"state","NC","category2","Specialized")</f>
        <v>27949980</v>
      </c>
      <c r="F20" s="29">
        <f>+GETPIVOTDATA("Sum of Health State-New",'Amounts Pivot Table'!$A$3,"state","NC")</f>
        <v>304737389</v>
      </c>
      <c r="G20" s="29">
        <f>+GETPIVOTDATA("Sum of Other Spec Purp State-New",'Amounts Pivot Table'!$A$3,"state","NC")</f>
        <v>460358129</v>
      </c>
      <c r="H20" s="29">
        <f t="shared" si="11"/>
        <v>3894783088</v>
      </c>
      <c r="I20" s="29">
        <f>+GETPIVOTDATA("Sum of Local-New",'Amounts Pivot Table'!$A$3,"state","NC")</f>
        <v>222176535</v>
      </c>
      <c r="J20" s="29">
        <f>+GETPIVOTDATA("Sum of Tuition Tot-New",'Amounts Pivot Table'!$A$3,"state","NC","category2","Four-Year")+GETPIVOTDATA("Sum of Tuition Tot-New",'Amounts Pivot Table'!$A$3,"state","NC","category2","Two-Year")+GETPIVOTDATA("Sum of Tuition Tot-New",'Amounts Pivot Table'!$A$3,"state","NC","category2","Technical")</f>
        <v>1110811336</v>
      </c>
      <c r="K20" s="29">
        <f>+GETPIVOTDATA("Sum of Tuition Debt-New",'Amounts Pivot Table'!$A$3,"state","NC","category2","Four-Year")+GETPIVOTDATA("Sum of Tuition Debt-New",'Amounts Pivot Table'!$A$3,"state","NC","category2","Two-Year")+GETPIVOTDATA("Sum of Tuition Debt-New",'Amounts Pivot Table'!$A$3,"state","NC","category2","Technical")</f>
        <v>0</v>
      </c>
      <c r="L20" s="29">
        <f>+GETPIVOTDATA("Sum of Tuition SP Tot-New",'Amounts Pivot Table'!$A$3,"state","NC","category2","Specialized")</f>
        <v>0</v>
      </c>
      <c r="M20" s="29">
        <f>+GETPIVOTDATA("Sum of Tuition SP Debt-New",'Amounts Pivot Table'!$A$3,"state","NC","category2","Specialized")</f>
        <v>0</v>
      </c>
      <c r="N20" s="29">
        <f>+GETPIVOTDATA("Sum of Health Tuition-New",'Amounts Pivot Table'!$A$3,"state","NC")</f>
        <v>53434723</v>
      </c>
      <c r="O20" s="29">
        <f t="shared" si="12"/>
        <v>1164246059</v>
      </c>
      <c r="P20" s="29">
        <f t="shared" si="13"/>
        <v>5281205682</v>
      </c>
      <c r="Q20" s="32"/>
      <c r="R20" s="67" t="s">
        <v>1896</v>
      </c>
      <c r="S20" s="151">
        <f t="shared" si="0"/>
        <v>0.5395584676264461</v>
      </c>
      <c r="T20" s="151">
        <f t="shared" si="1"/>
        <v>3.6246016823852992E-2</v>
      </c>
      <c r="U20" s="151">
        <f t="shared" si="2"/>
        <v>1.1511703701904788E-2</v>
      </c>
      <c r="V20" s="151">
        <f t="shared" si="3"/>
        <v>5.2923483164577876E-3</v>
      </c>
      <c r="W20" s="151">
        <f t="shared" si="4"/>
        <v>5.7702238342778482E-2</v>
      </c>
      <c r="X20" s="151">
        <f t="shared" si="5"/>
        <v>8.7169134610500854E-2</v>
      </c>
      <c r="Y20" s="425">
        <f t="shared" si="7"/>
        <v>0.73747990942194086</v>
      </c>
      <c r="Z20" s="151">
        <f t="shared" si="6"/>
        <v>4.2069282731639686E-2</v>
      </c>
      <c r="AA20" s="151">
        <f t="shared" si="6"/>
        <v>0.21033290556851295</v>
      </c>
      <c r="AB20" s="151">
        <f t="shared" si="6"/>
        <v>0</v>
      </c>
      <c r="AC20" s="151">
        <f t="shared" si="6"/>
        <v>0</v>
      </c>
      <c r="AD20" s="151">
        <f t="shared" si="8"/>
        <v>0</v>
      </c>
      <c r="AE20" s="151">
        <f t="shared" si="8"/>
        <v>1.0117902277906396E-2</v>
      </c>
      <c r="AF20" s="428">
        <f t="shared" si="9"/>
        <v>0.22045080784641935</v>
      </c>
      <c r="AG20" s="420">
        <f t="shared" si="10"/>
        <v>0.99999999999999989</v>
      </c>
      <c r="AH20" s="6"/>
      <c r="AI20" s="6"/>
      <c r="AJ20" s="6"/>
    </row>
    <row r="21" spans="1:36" ht="12" customHeight="1">
      <c r="A21" s="7" t="s">
        <v>1903</v>
      </c>
      <c r="B21" s="29">
        <f>+GETPIVOTDATA("Sum of State Gen Purp-New",'Amounts Pivot Table'!$A$3,"state","OK","category2","Four-Year")+GETPIVOTDATA("Sum of State Gen Purp-New",'Amounts Pivot Table'!$A$3,"state","OK","category2","Two-Year")+GETPIVOTDATA("Sum of State Gen Purp-New",'Amounts Pivot Table'!$A$3,"state","OK","category2","Technical")</f>
        <v>724368254</v>
      </c>
      <c r="C21" s="29">
        <f>+GETPIVOTDATA("Sum of State Ed Spec Purp-New",'Amounts Pivot Table'!$A$3,"state","OK","category2","Four-Year")+GETPIVOTDATA("Sum of State Ed Spec Purp-New",'Amounts Pivot Table'!$A$3,"state","OK","category2","Two-Year")+GETPIVOTDATA("Sum of State Ed Spec Purp-New",'Amounts Pivot Table'!$A$3,"state","OK","category2","Technical")</f>
        <v>59836787</v>
      </c>
      <c r="D21" s="29">
        <f>+GETPIVOTDATA("Sum of State Ed Spec Purp-New",'Amounts Pivot Table'!$A$3,"state","OK","category2","Other")</f>
        <v>17595659</v>
      </c>
      <c r="E21" s="29">
        <f>+GETPIVOTDATA("Sum of Other Spec Purp State-New",'Amounts Pivot Table'!$A$3,"state","OK","category2","Specialized")</f>
        <v>0</v>
      </c>
      <c r="F21" s="29">
        <f>+GETPIVOTDATA("Sum of Health State-New",'Amounts Pivot Table'!$A$3,"state","OK")</f>
        <v>124939576</v>
      </c>
      <c r="G21" s="29">
        <f>+GETPIVOTDATA("Sum of Other Spec Purp State-New",'Amounts Pivot Table'!$A$3,"state","OK")</f>
        <v>87209344</v>
      </c>
      <c r="H21" s="29">
        <f t="shared" si="11"/>
        <v>1013949620</v>
      </c>
      <c r="I21" s="29">
        <f>+GETPIVOTDATA("Sum of Local-New",'Amounts Pivot Table'!$A$3,"state","OK")</f>
        <v>40666238</v>
      </c>
      <c r="J21" s="29">
        <f>+GETPIVOTDATA("Sum of Tuition Tot-New",'Amounts Pivot Table'!$A$3,"state","OK","category2","Four-Year")+GETPIVOTDATA("Sum of Tuition Tot-New",'Amounts Pivot Table'!$A$3,"state","OK","category2","Two-Year")+GETPIVOTDATA("Sum of Tuition Tot-New",'Amounts Pivot Table'!$A$3,"state","OK","category2","Technical")</f>
        <v>683728130</v>
      </c>
      <c r="K21" s="29">
        <f>+GETPIVOTDATA("Sum of Tuition Debt-New",'Amounts Pivot Table'!$A$3,"state","OK","category2","Four-Year")+GETPIVOTDATA("Sum of Tuition Debt-New",'Amounts Pivot Table'!$A$3,"state","OK","category2","Two-Year")+GETPIVOTDATA("Sum of Tuition Debt-New",'Amounts Pivot Table'!$A$3,"state","OK","category2","Technical")</f>
        <v>0</v>
      </c>
      <c r="L21" s="29">
        <f>+GETPIVOTDATA("Sum of Tuition SP Tot-New",'Amounts Pivot Table'!$A$3,"state","OK","category2","Specialized")</f>
        <v>0</v>
      </c>
      <c r="M21" s="29">
        <f>+GETPIVOTDATA("Sum of Tuition SP Debt-New",'Amounts Pivot Table'!$A$3,"state","OK","category2","Specialized")</f>
        <v>0</v>
      </c>
      <c r="N21" s="29">
        <f>+GETPIVOTDATA("Sum of Health Tuition-New",'Amounts Pivot Table'!$A$3,"state","OK")</f>
        <v>60346766</v>
      </c>
      <c r="O21" s="29">
        <f t="shared" si="12"/>
        <v>744074896</v>
      </c>
      <c r="P21" s="29">
        <f t="shared" si="13"/>
        <v>1798690754</v>
      </c>
      <c r="Q21" s="32"/>
      <c r="R21" s="67" t="s">
        <v>1903</v>
      </c>
      <c r="S21" s="151">
        <f t="shared" si="0"/>
        <v>0.40271972955279894</v>
      </c>
      <c r="T21" s="151">
        <f t="shared" si="1"/>
        <v>3.3266856388143751E-2</v>
      </c>
      <c r="U21" s="151">
        <f t="shared" si="2"/>
        <v>9.7824814859753268E-3</v>
      </c>
      <c r="V21" s="151">
        <f t="shared" si="3"/>
        <v>0</v>
      </c>
      <c r="W21" s="151">
        <f t="shared" si="4"/>
        <v>6.9461398921495762E-2</v>
      </c>
      <c r="X21" s="151">
        <f t="shared" si="5"/>
        <v>4.8484901479623664E-2</v>
      </c>
      <c r="Y21" s="425">
        <f t="shared" si="7"/>
        <v>0.56371536782803744</v>
      </c>
      <c r="Z21" s="151">
        <f t="shared" si="6"/>
        <v>2.2608799155477286E-2</v>
      </c>
      <c r="AA21" s="151">
        <f t="shared" si="6"/>
        <v>0.38012544873514148</v>
      </c>
      <c r="AB21" s="151">
        <f t="shared" si="6"/>
        <v>0</v>
      </c>
      <c r="AC21" s="151">
        <f t="shared" si="6"/>
        <v>0</v>
      </c>
      <c r="AD21" s="151">
        <f t="shared" si="8"/>
        <v>0</v>
      </c>
      <c r="AE21" s="151">
        <f t="shared" si="8"/>
        <v>3.3550384281343784E-2</v>
      </c>
      <c r="AF21" s="428">
        <f t="shared" si="9"/>
        <v>0.41367583301648525</v>
      </c>
      <c r="AG21" s="420">
        <f t="shared" si="10"/>
        <v>1</v>
      </c>
      <c r="AH21" s="6"/>
      <c r="AI21" s="6"/>
      <c r="AJ21" s="6"/>
    </row>
    <row r="22" spans="1:36" ht="12" customHeight="1">
      <c r="A22" s="7" t="s">
        <v>1897</v>
      </c>
      <c r="B22" s="29">
        <f>+GETPIVOTDATA("Sum of State Gen Purp-New",'Amounts Pivot Table'!$A$3,"state","SC","category2","Four-Year")+GETPIVOTDATA("Sum of State Gen Purp-New",'Amounts Pivot Table'!$A$3,"state","SC","category2","Two-Year")+GETPIVOTDATA("Sum of State Gen Purp-New",'Amounts Pivot Table'!$A$3,"state","SC","category2","Technical")</f>
        <v>477093846</v>
      </c>
      <c r="C22" s="29">
        <f>+GETPIVOTDATA("Sum of State Ed Spec Purp-New",'Amounts Pivot Table'!$A$3,"state","SC","category2","Four-Year")+GETPIVOTDATA("Sum of State Ed Spec Purp-New",'Amounts Pivot Table'!$A$3,"state","SC","category2","Two-Year")+GETPIVOTDATA("Sum of State Ed Spec Purp-New",'Amounts Pivot Table'!$A$3,"state","SC","category2","Technical")</f>
        <v>81242203</v>
      </c>
      <c r="D22" s="29">
        <f>+GETPIVOTDATA("Sum of State Ed Spec Purp-New",'Amounts Pivot Table'!$A$3,"state","SC","category2","Other")</f>
        <v>7767023</v>
      </c>
      <c r="E22" s="29">
        <f>+GETPIVOTDATA("Sum of Other Spec Purp State-New",'Amounts Pivot Table'!$A$3,"state","SC","category2","Specialized")</f>
        <v>0</v>
      </c>
      <c r="F22" s="29">
        <f>+GETPIVOTDATA("Sum of Health State-New",'Amounts Pivot Table'!$A$3,"state","SC")</f>
        <v>102444750</v>
      </c>
      <c r="G22" s="29">
        <f>+GETPIVOTDATA("Sum of Other Spec Purp State-New",'Amounts Pivot Table'!$A$3,"state","SC")</f>
        <v>333757116</v>
      </c>
      <c r="H22" s="29">
        <f t="shared" si="11"/>
        <v>1002304938</v>
      </c>
      <c r="I22" s="29">
        <f>+GETPIVOTDATA("Sum of Local-New",'Amounts Pivot Table'!$A$3,"state","SC")</f>
        <v>56196184</v>
      </c>
      <c r="J22" s="29">
        <f>+GETPIVOTDATA("Sum of Tuition Tot-New",'Amounts Pivot Table'!$A$3,"state","SC","category2","Four-Year")+GETPIVOTDATA("Sum of Tuition Tot-New",'Amounts Pivot Table'!$A$3,"state","SC","category2","Two-Year")+GETPIVOTDATA("Sum of Tuition Tot-New",'Amounts Pivot Table'!$A$3,"state","SC","category2","Technical")</f>
        <v>1285212945</v>
      </c>
      <c r="K22" s="29">
        <f>+GETPIVOTDATA("Sum of Tuition Debt-New",'Amounts Pivot Table'!$A$3,"state","SC","category2","Four-Year")+GETPIVOTDATA("Sum of Tuition Debt-New",'Amounts Pivot Table'!$A$3,"state","SC","category2","Two-Year")+GETPIVOTDATA("Sum of Tuition Debt-New",'Amounts Pivot Table'!$A$3,"state","SC","category2","Technical")</f>
        <v>74086787</v>
      </c>
      <c r="L22" s="29">
        <f>+GETPIVOTDATA("Sum of Tuition SP Tot-New",'Amounts Pivot Table'!$A$3,"state","SC","category2","Specialized")</f>
        <v>0</v>
      </c>
      <c r="M22" s="29">
        <f>+GETPIVOTDATA("Sum of Tuition SP Debt-New",'Amounts Pivot Table'!$A$3,"state","SC","category2","Specialized")</f>
        <v>0</v>
      </c>
      <c r="N22" s="29">
        <f>+GETPIVOTDATA("Sum of Health Tuition-New",'Amounts Pivot Table'!$A$3,"state","SC")</f>
        <v>61071790</v>
      </c>
      <c r="O22" s="29">
        <f t="shared" si="12"/>
        <v>1272197948</v>
      </c>
      <c r="P22" s="29">
        <f t="shared" si="13"/>
        <v>2330699070</v>
      </c>
      <c r="Q22" s="32"/>
      <c r="R22" s="67" t="s">
        <v>1897</v>
      </c>
      <c r="S22" s="151">
        <f t="shared" si="0"/>
        <v>0.2046998911790015</v>
      </c>
      <c r="T22" s="151">
        <f t="shared" si="1"/>
        <v>3.4857440004041361E-2</v>
      </c>
      <c r="U22" s="151">
        <f t="shared" si="2"/>
        <v>3.3324864200507875E-3</v>
      </c>
      <c r="V22" s="151">
        <f t="shared" si="3"/>
        <v>0</v>
      </c>
      <c r="W22" s="151">
        <f t="shared" si="4"/>
        <v>4.3954516187282813E-2</v>
      </c>
      <c r="X22" s="151">
        <f t="shared" si="5"/>
        <v>0.14320043299283591</v>
      </c>
      <c r="Y22" s="425">
        <f t="shared" si="7"/>
        <v>0.43004476678321241</v>
      </c>
      <c r="Z22" s="151">
        <f t="shared" si="6"/>
        <v>2.4111299791268206E-2</v>
      </c>
      <c r="AA22" s="151">
        <f t="shared" si="6"/>
        <v>0.55142809363201062</v>
      </c>
      <c r="AB22" s="151">
        <f t="shared" si="6"/>
        <v>3.1787367126722199E-2</v>
      </c>
      <c r="AC22" s="151">
        <f t="shared" si="6"/>
        <v>0</v>
      </c>
      <c r="AD22" s="151">
        <f t="shared" si="8"/>
        <v>0</v>
      </c>
      <c r="AE22" s="151">
        <f t="shared" si="8"/>
        <v>2.620320692023102E-2</v>
      </c>
      <c r="AF22" s="428">
        <f t="shared" si="9"/>
        <v>0.54584393342551951</v>
      </c>
      <c r="AG22" s="420">
        <f t="shared" si="10"/>
        <v>1</v>
      </c>
      <c r="AH22" s="6"/>
      <c r="AI22" s="6"/>
      <c r="AJ22" s="6"/>
    </row>
    <row r="23" spans="1:36" s="88" customFormat="1" ht="4.5" customHeight="1">
      <c r="A23" s="85"/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29"/>
      <c r="P23" s="86"/>
      <c r="Q23" s="87"/>
      <c r="R23" s="85"/>
      <c r="S23" s="151"/>
      <c r="T23" s="151"/>
      <c r="U23" s="151"/>
      <c r="V23" s="151"/>
      <c r="W23" s="151"/>
      <c r="X23" s="151"/>
      <c r="Y23" s="425"/>
      <c r="Z23" s="151"/>
      <c r="AA23" s="151"/>
      <c r="AB23" s="151"/>
      <c r="AC23" s="151"/>
      <c r="AD23" s="151"/>
      <c r="AE23" s="151"/>
      <c r="AF23" s="428"/>
      <c r="AG23" s="420"/>
    </row>
    <row r="24" spans="1:36" ht="12" customHeight="1">
      <c r="A24" s="7" t="s">
        <v>647</v>
      </c>
      <c r="B24" s="29">
        <f>+GETPIVOTDATA("Sum of State Gen Purp-New",'Amounts Pivot Table'!$A$3,"state","TN","category2","Four-Year")+GETPIVOTDATA("Sum of State Gen Purp-New",'Amounts Pivot Table'!$A$3,"state","TN","category2","Two-Year")+GETPIVOTDATA("Sum of State Gen Purp-New",'Amounts Pivot Table'!$A$3,"state","TN","category2","Technical")</f>
        <v>899468500</v>
      </c>
      <c r="C24" s="29">
        <f>+GETPIVOTDATA("Sum of State Ed Spec Purp-New",'Amounts Pivot Table'!$A$3,"state","TN","category2","Four-Year")+GETPIVOTDATA("Sum of State Ed Spec Purp-New",'Amounts Pivot Table'!$A$3,"state","TN","category2","Two-Year")+GETPIVOTDATA("Sum of State Ed Spec Purp-New",'Amounts Pivot Table'!$A$3,"state","TN","category2","Technical")</f>
        <v>61966900</v>
      </c>
      <c r="D24" s="29">
        <f>+GETPIVOTDATA("Sum of State Ed Spec Purp-New",'Amounts Pivot Table'!$A$3,"state","TN","category2","Other")</f>
        <v>369000</v>
      </c>
      <c r="E24" s="29">
        <f>+GETPIVOTDATA("Sum of Other Spec Purp State-New",'Amounts Pivot Table'!$A$3,"state","TN","category2","Specialized")</f>
        <v>7821000</v>
      </c>
      <c r="F24" s="29">
        <f>+GETPIVOTDATA("Sum of Health State-New",'Amounts Pivot Table'!$A$3,"state","TN")</f>
        <v>158927400</v>
      </c>
      <c r="G24" s="29">
        <f>+GETPIVOTDATA("Sum of Other Spec Purp State-New",'Amounts Pivot Table'!$A$3,"state","TN")</f>
        <v>375095400</v>
      </c>
      <c r="H24" s="29">
        <f t="shared" si="11"/>
        <v>1503648200</v>
      </c>
      <c r="I24" s="29">
        <f>+GETPIVOTDATA("Sum of Local-New",'Amounts Pivot Table'!$A$3,"state","TN")</f>
        <v>0</v>
      </c>
      <c r="J24" s="29">
        <f>+GETPIVOTDATA("Sum of Tuition Tot-New",'Amounts Pivot Table'!$A$3,"state","TN","category2","Four-Year")+GETPIVOTDATA("Sum of Tuition Tot-New",'Amounts Pivot Table'!$A$3,"state","TN","category2","Two-Year")+GETPIVOTDATA("Sum of Tuition Tot-New",'Amounts Pivot Table'!$A$3,"state","TN","category2","Technical")</f>
        <v>932559609</v>
      </c>
      <c r="K24" s="29">
        <f>+GETPIVOTDATA("Sum of Tuition Debt-New",'Amounts Pivot Table'!$A$3,"state","TN","category2","Four-Year")+GETPIVOTDATA("Sum of Tuition Debt-New",'Amounts Pivot Table'!$A$3,"state","TN","category2","Two-Year")+GETPIVOTDATA("Sum of Tuition Debt-New",'Amounts Pivot Table'!$A$3,"state","TN","category2","Technical")</f>
        <v>25380166</v>
      </c>
      <c r="L24" s="29">
        <f>+GETPIVOTDATA("Sum of Tuition SP Tot-New",'Amounts Pivot Table'!$A$3,"state","TN","category2","Specialized")</f>
        <v>1916900</v>
      </c>
      <c r="M24" s="29">
        <f>+GETPIVOTDATA("Sum of Tuition SP Debt-New",'Amounts Pivot Table'!$A$3,"state","TN","category2","Specialized")</f>
        <v>205000</v>
      </c>
      <c r="N24" s="29">
        <f>+GETPIVOTDATA("Sum of Health Tuition-New",'Amounts Pivot Table'!$A$3,"state","TN")</f>
        <v>55039742</v>
      </c>
      <c r="O24" s="29">
        <f t="shared" si="12"/>
        <v>963931085</v>
      </c>
      <c r="P24" s="29">
        <f t="shared" si="13"/>
        <v>2467579285</v>
      </c>
      <c r="Q24" s="32"/>
      <c r="R24" s="67" t="s">
        <v>647</v>
      </c>
      <c r="S24" s="151">
        <f t="shared" si="0"/>
        <v>0.36451452865880257</v>
      </c>
      <c r="T24" s="151">
        <f t="shared" si="1"/>
        <v>2.5112425110992938E-2</v>
      </c>
      <c r="U24" s="151" t="str">
        <f t="shared" si="2"/>
        <v>*</v>
      </c>
      <c r="V24" s="151">
        <f t="shared" si="3"/>
        <v>3.1695030216627872E-3</v>
      </c>
      <c r="W24" s="151">
        <f t="shared" si="4"/>
        <v>6.4406197995781928E-2</v>
      </c>
      <c r="X24" s="151">
        <f t="shared" si="5"/>
        <v>0.15200946218025979</v>
      </c>
      <c r="Y24" s="425">
        <f t="shared" si="7"/>
        <v>0.60921211696749999</v>
      </c>
      <c r="Z24" s="151">
        <f t="shared" ref="Z24:AC27" si="14">IF(I24/$P24=0,,IF(I24/$P24&gt;0.0005,I24/$P24,"*"))</f>
        <v>0</v>
      </c>
      <c r="AA24" s="151">
        <f t="shared" si="14"/>
        <v>0.3779248815504625</v>
      </c>
      <c r="AB24" s="151">
        <f t="shared" si="14"/>
        <v>1.0285451071129412E-2</v>
      </c>
      <c r="AC24" s="151">
        <f t="shared" si="14"/>
        <v>7.7683420818634404E-4</v>
      </c>
      <c r="AD24" s="151" t="str">
        <f t="shared" si="8"/>
        <v>*</v>
      </c>
      <c r="AE24" s="151">
        <f t="shared" si="8"/>
        <v>2.2305156448093621E-2</v>
      </c>
      <c r="AF24" s="428">
        <f t="shared" si="9"/>
        <v>0.39063834376450435</v>
      </c>
      <c r="AG24" s="420">
        <f t="shared" si="10"/>
        <v>0.99985046073200434</v>
      </c>
      <c r="AH24" s="6"/>
      <c r="AI24" s="6"/>
      <c r="AJ24" s="6"/>
    </row>
    <row r="25" spans="1:36" ht="12" customHeight="1">
      <c r="A25" s="7" t="s">
        <v>1898</v>
      </c>
      <c r="B25" s="29">
        <f>+GETPIVOTDATA("Sum of State Gen Purp-New",'Amounts Pivot Table'!$A$3,"state","TX","category2","Four-Year")+GETPIVOTDATA("Sum of State Gen Purp-New",'Amounts Pivot Table'!$A$3,"state","TX","category2","Two-Year")+GETPIVOTDATA("Sum of State Gen Purp-New",'Amounts Pivot Table'!$A$3,"state","TX","category2","Technical")</f>
        <v>3864526422</v>
      </c>
      <c r="C25" s="29">
        <f>+GETPIVOTDATA("Sum of State Ed Spec Purp-New",'Amounts Pivot Table'!$A$3,"state","TX","category2","Four-Year")+GETPIVOTDATA("Sum of State Ed Spec Purp-New",'Amounts Pivot Table'!$A$3,"state","TX","category2","Two-Year")+GETPIVOTDATA("Sum of State Ed Spec Purp-New",'Amounts Pivot Table'!$A$3,"state","TX","category2","Technical")</f>
        <v>187152569</v>
      </c>
      <c r="D25" s="29">
        <f>+GETPIVOTDATA("Sum of State Ed Spec Purp-New",'Amounts Pivot Table'!$A$3,"state","TX","category2","Other")</f>
        <v>101853029</v>
      </c>
      <c r="E25" s="29">
        <f>+GETPIVOTDATA("Sum of Other Spec Purp State-New",'Amounts Pivot Table'!$A$3,"state","TX","category2","Specialized")</f>
        <v>0</v>
      </c>
      <c r="F25" s="29">
        <f>+GETPIVOTDATA("Sum of Health State-New",'Amounts Pivot Table'!$A$3,"state","TX")</f>
        <v>1299283604</v>
      </c>
      <c r="G25" s="29">
        <f>+GETPIVOTDATA("Sum of Other Spec Purp State-New",'Amounts Pivot Table'!$A$3,"state","TX")</f>
        <v>461715784</v>
      </c>
      <c r="H25" s="29">
        <f t="shared" si="11"/>
        <v>5914531408</v>
      </c>
      <c r="I25" s="29">
        <f>+GETPIVOTDATA("Sum of Local-New",'Amounts Pivot Table'!$A$3,"state","TX")</f>
        <v>1218857326</v>
      </c>
      <c r="J25" s="29">
        <f>+GETPIVOTDATA("Sum of Tuition Tot-New",'Amounts Pivot Table'!$A$3,"state","TX","category2","Four-Year")+GETPIVOTDATA("Sum of Tuition Tot-New",'Amounts Pivot Table'!$A$3,"state","TX","category2","Two-Year")+GETPIVOTDATA("Sum of Tuition Tot-New",'Amounts Pivot Table'!$A$3,"state","TX","category2","Technical")</f>
        <v>4160217303</v>
      </c>
      <c r="K25" s="29">
        <f>+GETPIVOTDATA("Sum of Tuition Debt-New",'Amounts Pivot Table'!$A$3,"state","TX","category2","Four-Year")+GETPIVOTDATA("Sum of Tuition Debt-New",'Amounts Pivot Table'!$A$3,"state","TX","category2","Two-Year")+GETPIVOTDATA("Sum of Tuition Debt-New",'Amounts Pivot Table'!$A$3,"state","TX","category2","Technical")</f>
        <v>2823797</v>
      </c>
      <c r="L25" s="29">
        <f>+GETPIVOTDATA("Sum of Tuition SP Tot-New",'Amounts Pivot Table'!$A$3,"state","TX","category2","Specialized")</f>
        <v>0</v>
      </c>
      <c r="M25" s="29">
        <f>+GETPIVOTDATA("Sum of Tuition SP Debt-New",'Amounts Pivot Table'!$A$3,"state","TX","category2","Specialized")</f>
        <v>0</v>
      </c>
      <c r="N25" s="29">
        <f>+GETPIVOTDATA("Sum of Health Tuition-New",'Amounts Pivot Table'!$A$3,"state","TX")</f>
        <v>150475754</v>
      </c>
      <c r="O25" s="29">
        <f t="shared" si="12"/>
        <v>4307869260</v>
      </c>
      <c r="P25" s="29">
        <f t="shared" si="13"/>
        <v>11441257994</v>
      </c>
      <c r="Q25" s="32"/>
      <c r="R25" s="67" t="s">
        <v>1898</v>
      </c>
      <c r="S25" s="151">
        <f t="shared" si="0"/>
        <v>0.33777111083646805</v>
      </c>
      <c r="T25" s="151">
        <f t="shared" si="1"/>
        <v>1.6357691531660778E-2</v>
      </c>
      <c r="U25" s="151">
        <f t="shared" si="2"/>
        <v>8.902257868270565E-3</v>
      </c>
      <c r="V25" s="151">
        <f t="shared" si="3"/>
        <v>0</v>
      </c>
      <c r="W25" s="151">
        <f t="shared" si="4"/>
        <v>0.11356125390069584</v>
      </c>
      <c r="X25" s="151">
        <f t="shared" si="5"/>
        <v>4.0355333674158209E-2</v>
      </c>
      <c r="Y25" s="425">
        <f t="shared" si="7"/>
        <v>0.51694764781125346</v>
      </c>
      <c r="Z25" s="151">
        <f t="shared" si="14"/>
        <v>0.1065317578398451</v>
      </c>
      <c r="AA25" s="151">
        <f t="shared" si="14"/>
        <v>0.3636153738672524</v>
      </c>
      <c r="AB25" s="151" t="str">
        <f t="shared" si="14"/>
        <v>*</v>
      </c>
      <c r="AC25" s="151">
        <f t="shared" si="14"/>
        <v>0</v>
      </c>
      <c r="AD25" s="151">
        <f t="shared" si="8"/>
        <v>0</v>
      </c>
      <c r="AE25" s="151">
        <f t="shared" si="8"/>
        <v>1.3152028743597267E-2</v>
      </c>
      <c r="AF25" s="428">
        <f t="shared" si="9"/>
        <v>0.37652059434890151</v>
      </c>
      <c r="AG25" s="420">
        <f t="shared" si="10"/>
        <v>1</v>
      </c>
      <c r="AH25" s="6"/>
      <c r="AI25" s="6"/>
      <c r="AJ25" s="6"/>
    </row>
    <row r="26" spans="1:36" ht="12" customHeight="1">
      <c r="A26" s="7" t="s">
        <v>1899</v>
      </c>
      <c r="B26" s="29">
        <f>+GETPIVOTDATA("Sum of State Gen Purp-New",'Amounts Pivot Table'!$A$3,"state","VA","category2","Four-Year")+GETPIVOTDATA("Sum of State Gen Purp-New",'Amounts Pivot Table'!$A$3,"state","VA","category2","Two-Year")+GETPIVOTDATA("Sum of State Gen Purp-New",'Amounts Pivot Table'!$A$3,"state","VA","category2","Technical")</f>
        <v>1389566368</v>
      </c>
      <c r="C26" s="29">
        <f>+GETPIVOTDATA("Sum of State Ed Spec Purp-New",'Amounts Pivot Table'!$A$3,"state","VA","category2","Four-Year")+GETPIVOTDATA("Sum of State Ed Spec Purp-New",'Amounts Pivot Table'!$A$3,"state","VA","category2","Two-Year")+GETPIVOTDATA("Sum of State Ed Spec Purp-New",'Amounts Pivot Table'!$A$3,"state","VA","category2","Technical")</f>
        <v>98628357</v>
      </c>
      <c r="D26" s="29">
        <f>+GETPIVOTDATA("Sum of State Ed Spec Purp-New",'Amounts Pivot Table'!$A$3,"state","VA","category2","Other")</f>
        <v>92843702</v>
      </c>
      <c r="E26" s="29">
        <f>+GETPIVOTDATA("Sum of Other Spec Purp State-New",'Amounts Pivot Table'!$A$3,"state","VA","category2","Specialized")</f>
        <v>13401541</v>
      </c>
      <c r="F26" s="29">
        <f>+GETPIVOTDATA("Sum of Health State-New",'Amounts Pivot Table'!$A$3,"state","VA")</f>
        <v>79368533</v>
      </c>
      <c r="G26" s="29">
        <f>+GETPIVOTDATA("Sum of Other Spec Purp State-New",'Amounts Pivot Table'!$A$3,"state","VA")</f>
        <v>238907125</v>
      </c>
      <c r="H26" s="29">
        <f t="shared" si="11"/>
        <v>1912715626</v>
      </c>
      <c r="I26" s="29">
        <f>+GETPIVOTDATA("Sum of Local-New",'Amounts Pivot Table'!$A$3,"state","VA")</f>
        <v>9714492</v>
      </c>
      <c r="J26" s="29">
        <f>+GETPIVOTDATA("Sum of Tuition Tot-New",'Amounts Pivot Table'!$A$3,"state","VA","category2","Four-Year")+GETPIVOTDATA("Sum of Tuition Tot-New",'Amounts Pivot Table'!$A$3,"state","VA","category2","Two-Year")+GETPIVOTDATA("Sum of Tuition Tot-New",'Amounts Pivot Table'!$A$3,"state","VA","category2","Technical")</f>
        <v>1743562151</v>
      </c>
      <c r="K26" s="29">
        <f>+GETPIVOTDATA("Sum of Tuition Debt-New",'Amounts Pivot Table'!$A$3,"state","VA","category2","Four-Year")+GETPIVOTDATA("Sum of Tuition Debt-New",'Amounts Pivot Table'!$A$3,"state","VA","category2","Two-Year")+GETPIVOTDATA("Sum of Tuition Debt-New",'Amounts Pivot Table'!$A$3,"state","VA","category2","Technical")</f>
        <v>3934738</v>
      </c>
      <c r="L26" s="29">
        <f>+GETPIVOTDATA("Sum of Tuition SP Tot-New",'Amounts Pivot Table'!$A$3,"state","VA","category2","Specialized")</f>
        <v>17823318</v>
      </c>
      <c r="M26" s="29">
        <f>+GETPIVOTDATA("Sum of Tuition SP Debt-New",'Amounts Pivot Table'!$A$3,"state","VA","category2","Specialized")</f>
        <v>65262</v>
      </c>
      <c r="N26" s="29">
        <f>+GETPIVOTDATA("Sum of Health Tuition-New",'Amounts Pivot Table'!$A$3,"state","VA")</f>
        <v>74742012</v>
      </c>
      <c r="O26" s="29">
        <f t="shared" si="12"/>
        <v>1832127481</v>
      </c>
      <c r="P26" s="29">
        <f t="shared" si="13"/>
        <v>3754557599</v>
      </c>
      <c r="Q26" s="32"/>
      <c r="R26" s="67" t="s">
        <v>1899</v>
      </c>
      <c r="S26" s="151">
        <f t="shared" si="0"/>
        <v>0.37010122534013096</v>
      </c>
      <c r="T26" s="151">
        <f t="shared" si="1"/>
        <v>2.6268968952898465E-2</v>
      </c>
      <c r="U26" s="151">
        <f t="shared" si="2"/>
        <v>2.472826679359727E-2</v>
      </c>
      <c r="V26" s="151">
        <f t="shared" si="3"/>
        <v>3.5694061541549946E-3</v>
      </c>
      <c r="W26" s="151">
        <f t="shared" si="4"/>
        <v>2.1139250339677635E-2</v>
      </c>
      <c r="X26" s="151">
        <f t="shared" si="5"/>
        <v>6.3631231829718429E-2</v>
      </c>
      <c r="Y26" s="425">
        <f t="shared" si="7"/>
        <v>0.50943834941017785</v>
      </c>
      <c r="Z26" s="151">
        <f t="shared" si="14"/>
        <v>2.5873865945184558E-3</v>
      </c>
      <c r="AA26" s="151">
        <f t="shared" si="14"/>
        <v>0.4643855114819348</v>
      </c>
      <c r="AB26" s="151">
        <f t="shared" si="14"/>
        <v>1.0479897820845764E-3</v>
      </c>
      <c r="AC26" s="151">
        <f t="shared" si="14"/>
        <v>4.7471153471575758E-3</v>
      </c>
      <c r="AD26" s="151" t="str">
        <f t="shared" si="8"/>
        <v>*</v>
      </c>
      <c r="AE26" s="151">
        <f t="shared" si="8"/>
        <v>1.990700902282256E-2</v>
      </c>
      <c r="AF26" s="428">
        <f t="shared" si="9"/>
        <v>0.48797426399530375</v>
      </c>
      <c r="AG26" s="420">
        <f t="shared" si="10"/>
        <v>1</v>
      </c>
      <c r="AH26" s="6"/>
      <c r="AI26" s="6"/>
      <c r="AJ26" s="6"/>
    </row>
    <row r="27" spans="1:36" ht="12" customHeight="1">
      <c r="A27" s="8" t="s">
        <v>1904</v>
      </c>
      <c r="B27" s="29">
        <f>+GETPIVOTDATA("Sum of State Gen Purp-New",'Amounts Pivot Table'!$A$3,"state","WV","category2","Four-Year")+GETPIVOTDATA("Sum of State Gen Purp-New",'Amounts Pivot Table'!$A$3,"state","WV","category2","Two-Year")+GETPIVOTDATA("Sum of State Gen Purp-New",'Amounts Pivot Table'!$A$3,"state","WV","category2","Technical")</f>
        <v>272268322</v>
      </c>
      <c r="C27" s="29">
        <f>+GETPIVOTDATA("Sum of State Ed Spec Purp-New",'Amounts Pivot Table'!$A$3,"state","WV","category2","Four-Year")+GETPIVOTDATA("Sum of State Ed Spec Purp-New",'Amounts Pivot Table'!$A$3,"state","WV","category2","Two-Year")+GETPIVOTDATA("Sum of State Ed Spec Purp-New",'Amounts Pivot Table'!$A$3,"state","WV","category2","Technical")</f>
        <v>39781414</v>
      </c>
      <c r="D27" s="29">
        <f>+GETPIVOTDATA("Sum of State Ed Spec Purp-New",'Amounts Pivot Table'!$A$3,"state","WV","category2","Other")</f>
        <v>6213500</v>
      </c>
      <c r="E27" s="29">
        <f>+GETPIVOTDATA("Sum of Other Spec Purp State-New",'Amounts Pivot Table'!$A$3,"state","WV","category2","Specialized")</f>
        <v>0</v>
      </c>
      <c r="F27" s="29">
        <f>+GETPIVOTDATA("Sum of Health State-New",'Amounts Pivot Table'!$A$3,"state","WV")</f>
        <v>98013785</v>
      </c>
      <c r="G27" s="29">
        <f>+GETPIVOTDATA("Sum of Other Spec Purp State-New",'Amounts Pivot Table'!$A$3,"state","WV")</f>
        <v>101656555</v>
      </c>
      <c r="H27" s="29">
        <f t="shared" si="11"/>
        <v>517933576</v>
      </c>
      <c r="I27" s="29">
        <f>+GETPIVOTDATA("Sum of Local-New",'Amounts Pivot Table'!$A$3,"state","WV")</f>
        <v>0</v>
      </c>
      <c r="J27" s="29">
        <f>+GETPIVOTDATA("Sum of Tuition Tot-New",'Amounts Pivot Table'!$A$3,"state","WV","category2","Four-Year")+GETPIVOTDATA("Sum of Tuition Tot-New",'Amounts Pivot Table'!$A$3,"state","WV","category2","Two-Year")+GETPIVOTDATA("Sum of Tuition Tot-New",'Amounts Pivot Table'!$A$3,"state","WV","category2","Technical")</f>
        <v>467894826</v>
      </c>
      <c r="K27" s="29">
        <f>+GETPIVOTDATA("Sum of Tuition Debt-New",'Amounts Pivot Table'!$A$3,"state","WV","category2","Four-Year")+GETPIVOTDATA("Sum of Tuition Debt-New",'Amounts Pivot Table'!$A$3,"state","WV","category2","Two-Year")+GETPIVOTDATA("Sum of Tuition Debt-New",'Amounts Pivot Table'!$A$3,"state","WV","category2","Technical")</f>
        <v>18293722</v>
      </c>
      <c r="L27" s="29">
        <f>+GETPIVOTDATA("Sum of Tuition SP Tot-New",'Amounts Pivot Table'!$A$3,"state","WV","category2","Specialized")</f>
        <v>0</v>
      </c>
      <c r="M27" s="29">
        <f>+GETPIVOTDATA("Sum of Tuition SP Debt-New",'Amounts Pivot Table'!$A$3,"state","WV","category2","Specialized")</f>
        <v>0</v>
      </c>
      <c r="N27" s="29">
        <f>+GETPIVOTDATA("Sum of Health Tuition-New",'Amounts Pivot Table'!$A$3,"state","WV")</f>
        <v>64025985</v>
      </c>
      <c r="O27" s="29">
        <f t="shared" si="12"/>
        <v>513627089</v>
      </c>
      <c r="P27" s="29">
        <f t="shared" si="13"/>
        <v>1031560665</v>
      </c>
      <c r="Q27" s="34"/>
      <c r="R27" s="68" t="s">
        <v>1904</v>
      </c>
      <c r="S27" s="424">
        <f t="shared" si="0"/>
        <v>0.26393825514857139</v>
      </c>
      <c r="T27" s="424">
        <f t="shared" si="1"/>
        <v>3.8564299075905535E-2</v>
      </c>
      <c r="U27" s="424">
        <f t="shared" si="2"/>
        <v>6.0233975672191803E-3</v>
      </c>
      <c r="V27" s="424">
        <f t="shared" si="3"/>
        <v>0</v>
      </c>
      <c r="W27" s="424">
        <f t="shared" si="4"/>
        <v>9.5015046933764197E-2</v>
      </c>
      <c r="X27" s="424">
        <f t="shared" si="5"/>
        <v>9.8546366150942755E-2</v>
      </c>
      <c r="Y27" s="429">
        <f t="shared" si="7"/>
        <v>0.50208736487640304</v>
      </c>
      <c r="Z27" s="431">
        <f t="shared" si="14"/>
        <v>0</v>
      </c>
      <c r="AA27" s="431">
        <f t="shared" si="14"/>
        <v>0.45357955365620695</v>
      </c>
      <c r="AB27" s="431">
        <f t="shared" si="14"/>
        <v>1.773402439690738E-2</v>
      </c>
      <c r="AC27" s="431">
        <f t="shared" si="14"/>
        <v>0</v>
      </c>
      <c r="AD27" s="431">
        <f t="shared" si="8"/>
        <v>0</v>
      </c>
      <c r="AE27" s="431">
        <f t="shared" si="8"/>
        <v>6.2067105864297374E-2</v>
      </c>
      <c r="AF27" s="430">
        <f t="shared" si="9"/>
        <v>0.49791263512359696</v>
      </c>
      <c r="AG27" s="426">
        <f t="shared" si="10"/>
        <v>1</v>
      </c>
      <c r="AH27" s="6"/>
      <c r="AI27" s="6"/>
      <c r="AJ27" s="6"/>
    </row>
    <row r="28" spans="1:36" s="73" customFormat="1" ht="24" customHeight="1">
      <c r="A28" s="1191" t="s">
        <v>669</v>
      </c>
      <c r="B28" s="1192"/>
      <c r="C28" s="1192"/>
      <c r="D28" s="1192"/>
      <c r="E28" s="1192"/>
      <c r="F28" s="1192"/>
      <c r="G28" s="1192"/>
      <c r="H28" s="1192"/>
      <c r="I28" s="1192"/>
      <c r="J28" s="1192"/>
      <c r="K28" s="1192"/>
      <c r="L28" s="1192"/>
      <c r="M28" s="1192"/>
      <c r="N28" s="1192"/>
      <c r="O28" s="1192"/>
      <c r="P28" s="1192"/>
      <c r="Q28" s="162"/>
      <c r="R28" s="1188" t="s">
        <v>652</v>
      </c>
      <c r="S28" s="1189"/>
      <c r="T28" s="1189"/>
      <c r="U28" s="1189"/>
      <c r="V28" s="1189"/>
      <c r="W28" s="1189"/>
      <c r="X28" s="1189"/>
      <c r="Y28" s="1189"/>
      <c r="Z28" s="1189"/>
      <c r="AA28" s="1189"/>
      <c r="AB28" s="1189"/>
      <c r="AC28" s="1189"/>
      <c r="AD28" s="1189"/>
      <c r="AE28" s="1189"/>
      <c r="AF28" s="1189"/>
      <c r="AG28" s="1189"/>
      <c r="AH28" s="163"/>
      <c r="AI28" s="163"/>
      <c r="AJ28" s="163"/>
    </row>
    <row r="29" spans="1:36" s="73" customFormat="1" ht="12.75" customHeight="1">
      <c r="A29" s="1188" t="s">
        <v>1884</v>
      </c>
      <c r="B29" s="1189"/>
      <c r="C29" s="1189"/>
      <c r="D29" s="1189"/>
      <c r="E29" s="1189"/>
      <c r="F29" s="1189"/>
      <c r="G29" s="1189"/>
      <c r="H29" s="1189"/>
      <c r="I29" s="1189"/>
      <c r="J29" s="1189"/>
      <c r="K29" s="1189"/>
      <c r="L29" s="1189"/>
      <c r="M29" s="1189"/>
      <c r="N29" s="1189"/>
      <c r="O29" s="1189"/>
      <c r="P29" s="1189"/>
      <c r="Q29" s="162"/>
      <c r="R29" s="1188" t="s">
        <v>1884</v>
      </c>
      <c r="S29" s="1189"/>
      <c r="T29" s="1189"/>
      <c r="U29" s="1189"/>
      <c r="V29" s="1189"/>
      <c r="W29" s="1189"/>
      <c r="X29" s="1189"/>
      <c r="Y29" s="1189"/>
      <c r="Z29" s="1189"/>
      <c r="AA29" s="1189"/>
      <c r="AB29" s="1189"/>
      <c r="AC29" s="1189"/>
      <c r="AD29" s="1189"/>
      <c r="AE29" s="1189"/>
      <c r="AF29" s="1189"/>
      <c r="AG29" s="1189"/>
      <c r="AH29" s="163"/>
      <c r="AI29" s="163"/>
      <c r="AJ29" s="163"/>
    </row>
    <row r="30" spans="1:36" s="73" customFormat="1" ht="13.5" customHeight="1">
      <c r="A30" s="1188" t="s">
        <v>1598</v>
      </c>
      <c r="B30" s="1189"/>
      <c r="C30" s="1189"/>
      <c r="D30" s="1189"/>
      <c r="E30" s="1189"/>
      <c r="F30" s="1189"/>
      <c r="G30" s="1189"/>
      <c r="H30" s="1189"/>
      <c r="I30" s="1189"/>
      <c r="J30" s="1189"/>
      <c r="K30" s="1189"/>
      <c r="L30" s="1189"/>
      <c r="M30" s="1189"/>
      <c r="N30" s="1189"/>
      <c r="O30" s="1189"/>
      <c r="P30" s="1189"/>
      <c r="Q30" s="162"/>
      <c r="R30" s="1188" t="s">
        <v>386</v>
      </c>
      <c r="S30" s="1189"/>
      <c r="T30" s="1189"/>
      <c r="U30" s="1189"/>
      <c r="V30" s="1189"/>
      <c r="W30" s="1189"/>
      <c r="X30" s="1189"/>
      <c r="Y30" s="1189"/>
      <c r="Z30" s="1189"/>
      <c r="AA30" s="1189"/>
      <c r="AB30" s="1189"/>
      <c r="AC30" s="1189"/>
      <c r="AD30" s="1189"/>
      <c r="AE30" s="1189"/>
      <c r="AF30" s="1189"/>
      <c r="AG30" s="1189"/>
      <c r="AH30" s="114"/>
      <c r="AI30" s="114"/>
      <c r="AJ30" s="114"/>
    </row>
    <row r="31" spans="1:36" s="73" customFormat="1">
      <c r="A31" s="1188" t="s">
        <v>1758</v>
      </c>
      <c r="B31" s="1189"/>
      <c r="C31" s="1189"/>
      <c r="D31" s="1189"/>
      <c r="E31" s="1189"/>
      <c r="F31" s="1189"/>
      <c r="G31" s="1189"/>
      <c r="H31" s="1189"/>
      <c r="I31" s="1189"/>
      <c r="J31" s="1189"/>
      <c r="K31" s="1189"/>
      <c r="L31" s="1189"/>
      <c r="M31" s="1189"/>
      <c r="N31" s="1189"/>
      <c r="O31" s="1189"/>
      <c r="P31" s="1189"/>
      <c r="Q31" s="162"/>
      <c r="R31" s="1188" t="s">
        <v>1758</v>
      </c>
      <c r="S31" s="1189"/>
      <c r="T31" s="1189"/>
      <c r="U31" s="1189"/>
      <c r="V31" s="1189"/>
      <c r="W31" s="1189"/>
      <c r="X31" s="1189"/>
      <c r="Y31" s="1189"/>
      <c r="Z31" s="1189"/>
      <c r="AA31" s="1189"/>
      <c r="AB31" s="1189"/>
      <c r="AC31" s="1189"/>
      <c r="AD31" s="1189"/>
      <c r="AE31" s="1189"/>
      <c r="AF31" s="1189"/>
      <c r="AG31" s="1189"/>
      <c r="AH31" s="163"/>
      <c r="AI31" s="163"/>
      <c r="AJ31" s="163"/>
    </row>
    <row r="32" spans="1:36" s="73" customFormat="1">
      <c r="A32" s="1188" t="s">
        <v>1346</v>
      </c>
      <c r="B32" s="1189"/>
      <c r="C32" s="1189"/>
      <c r="D32" s="1189"/>
      <c r="E32" s="1189"/>
      <c r="F32" s="1189"/>
      <c r="G32" s="1189"/>
      <c r="H32" s="1189"/>
      <c r="I32" s="1189"/>
      <c r="J32" s="1189"/>
      <c r="K32" s="1189"/>
      <c r="L32" s="1189"/>
      <c r="M32" s="1189"/>
      <c r="N32" s="1189"/>
      <c r="O32" s="1189"/>
      <c r="P32" s="1189"/>
      <c r="Q32" s="162"/>
      <c r="R32" s="1188" t="s">
        <v>1346</v>
      </c>
      <c r="S32" s="1189"/>
      <c r="T32" s="1189"/>
      <c r="U32" s="1189"/>
      <c r="V32" s="1189"/>
      <c r="W32" s="1189"/>
      <c r="X32" s="1189"/>
      <c r="Y32" s="1189"/>
      <c r="Z32" s="1189"/>
      <c r="AA32" s="1189"/>
      <c r="AB32" s="1189"/>
      <c r="AC32" s="1189"/>
      <c r="AD32" s="1189"/>
      <c r="AE32" s="1189"/>
      <c r="AF32" s="1189"/>
      <c r="AG32" s="1189"/>
      <c r="AH32" s="163"/>
      <c r="AI32" s="163"/>
      <c r="AJ32" s="163"/>
    </row>
    <row r="33" spans="1:36" s="73" customFormat="1">
      <c r="A33" s="189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2"/>
      <c r="R33" s="72" t="s">
        <v>41</v>
      </c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</row>
    <row r="34" spans="1:36">
      <c r="AG34" s="805" t="s">
        <v>2058</v>
      </c>
    </row>
  </sheetData>
  <mergeCells count="28">
    <mergeCell ref="R32:AG32"/>
    <mergeCell ref="R31:AG31"/>
    <mergeCell ref="V5:V6"/>
    <mergeCell ref="R28:AG28"/>
    <mergeCell ref="R29:AG29"/>
    <mergeCell ref="R30:AG30"/>
    <mergeCell ref="U5:U6"/>
    <mergeCell ref="W5:W6"/>
    <mergeCell ref="T5:T6"/>
    <mergeCell ref="A32:P32"/>
    <mergeCell ref="B5:B6"/>
    <mergeCell ref="A28:P28"/>
    <mergeCell ref="A29:P29"/>
    <mergeCell ref="A30:P30"/>
    <mergeCell ref="A31:P31"/>
    <mergeCell ref="C5:C6"/>
    <mergeCell ref="R1:AG1"/>
    <mergeCell ref="AA5:AB5"/>
    <mergeCell ref="AC5:AD5"/>
    <mergeCell ref="AE5:AE6"/>
    <mergeCell ref="X5:X6"/>
    <mergeCell ref="Y5:Y6"/>
    <mergeCell ref="Z5:Z6"/>
    <mergeCell ref="AF5:AF6"/>
    <mergeCell ref="AG5:AG6"/>
    <mergeCell ref="S5:S6"/>
    <mergeCell ref="R2:AG2"/>
    <mergeCell ref="R3:AG3"/>
  </mergeCells>
  <phoneticPr fontId="5" type="noConversion"/>
  <printOptions horizontalCentered="1"/>
  <pageMargins left="0.25" right="0.25" top="0.7" bottom="0.25" header="0.75" footer="0.25"/>
  <pageSetup scale="92" firstPageNumber="87" orientation="landscape" useFirstPageNumber="1" r:id="rId1"/>
  <headerFooter alignWithMargins="0">
    <oddHeader>&amp;R&amp;"Arial,Regular"&amp;8SREB-State Data Exchange</oddHeader>
    <oddFooter xml:space="preserve">&amp;C&amp;"Arial,Regular"&amp;P&amp;R&amp;"Arial,Regular"&amp;8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9" enableFormatConditionsCalculation="0">
    <tabColor indexed="16"/>
  </sheetPr>
  <dimension ref="A1:AC550"/>
  <sheetViews>
    <sheetView showGridLines="0" showZeros="0" view="pageBreakPreview" zoomScale="80" zoomScaleNormal="100" zoomScaleSheetLayoutView="80" workbookViewId="0">
      <pane xSplit="1" topLeftCell="B1" activePane="topRight" state="frozen"/>
      <selection pane="topRight" activeCell="G209" sqref="G209"/>
    </sheetView>
  </sheetViews>
  <sheetFormatPr defaultColWidth="8.875" defaultRowHeight="12.75"/>
  <cols>
    <col min="1" max="1" width="12.125" style="73" customWidth="1"/>
    <col min="2" max="2" width="8.5" style="73" customWidth="1"/>
    <col min="3" max="3" width="11.375" style="73" customWidth="1"/>
    <col min="4" max="4" width="9.125" style="73" customWidth="1"/>
    <col min="5" max="5" width="10" style="73" customWidth="1"/>
    <col min="6" max="6" width="9.25" style="73" customWidth="1"/>
    <col min="7" max="7" width="10.25" style="73" customWidth="1"/>
    <col min="8" max="8" width="10.375" style="73" customWidth="1"/>
    <col min="9" max="9" width="10.875" style="73" customWidth="1"/>
    <col min="10" max="10" width="9.25" style="73" customWidth="1"/>
    <col min="11" max="11" width="8.625" style="73" customWidth="1"/>
    <col min="12" max="12" width="2.5" style="73" customWidth="1"/>
    <col min="13" max="13" width="8.75" style="403" customWidth="1"/>
    <col min="14" max="16" width="10.875" style="73" customWidth="1"/>
    <col min="17" max="17" width="10.75" style="73" customWidth="1"/>
    <col min="18" max="18" width="12.625" style="73" bestFit="1" customWidth="1"/>
    <col min="19" max="19" width="11.75" style="73" customWidth="1"/>
    <col min="20" max="21" width="12.625" style="73" bestFit="1" customWidth="1"/>
    <col min="22" max="22" width="12.375" style="73" customWidth="1"/>
    <col min="23" max="16384" width="8.875" style="73"/>
  </cols>
  <sheetData>
    <row r="1" spans="1:29" s="94" customFormat="1" ht="15.75">
      <c r="A1" s="91" t="s">
        <v>1491</v>
      </c>
      <c r="B1" s="92"/>
      <c r="C1" s="92"/>
      <c r="D1" s="92"/>
      <c r="E1" s="92"/>
      <c r="F1" s="92"/>
      <c r="G1" s="92"/>
      <c r="H1" s="92"/>
      <c r="I1" s="92"/>
      <c r="J1" s="92" t="s">
        <v>648</v>
      </c>
      <c r="K1" s="92"/>
      <c r="L1" s="165"/>
      <c r="M1" s="395"/>
      <c r="N1" s="93"/>
      <c r="O1" s="93"/>
      <c r="P1" s="93"/>
      <c r="Q1" s="93"/>
    </row>
    <row r="2" spans="1:29" s="94" customFormat="1" ht="18.75">
      <c r="A2" s="1173" t="s">
        <v>276</v>
      </c>
      <c r="B2" s="1173"/>
      <c r="C2" s="1173"/>
      <c r="D2" s="1173"/>
      <c r="E2" s="1173"/>
      <c r="F2" s="1173"/>
      <c r="G2" s="1173"/>
      <c r="H2" s="1173"/>
      <c r="I2" s="1173"/>
      <c r="J2" s="92"/>
      <c r="K2" s="92"/>
      <c r="L2" s="165"/>
      <c r="M2" s="395"/>
      <c r="N2" s="93"/>
      <c r="O2" s="93"/>
      <c r="P2" s="93"/>
      <c r="Q2" s="93"/>
    </row>
    <row r="3" spans="1:29" s="94" customFormat="1" ht="15.75">
      <c r="A3" s="91" t="s">
        <v>105</v>
      </c>
      <c r="B3" s="91"/>
      <c r="C3" s="91"/>
      <c r="D3" s="91"/>
      <c r="E3" s="91"/>
      <c r="F3" s="91"/>
      <c r="G3" s="91"/>
      <c r="H3" s="91"/>
      <c r="I3" s="91"/>
      <c r="J3" s="92" t="s">
        <v>648</v>
      </c>
      <c r="K3" s="91"/>
      <c r="L3" s="166"/>
      <c r="M3" s="396"/>
      <c r="N3" s="93"/>
      <c r="O3" s="93"/>
      <c r="P3" s="93"/>
      <c r="Q3" s="93"/>
    </row>
    <row r="4" spans="1:29" s="100" customFormat="1" ht="17.25" customHeight="1">
      <c r="A4" s="96"/>
      <c r="B4" s="96"/>
      <c r="C4" s="96"/>
      <c r="D4" s="96"/>
      <c r="E4" s="96"/>
      <c r="F4" s="96"/>
      <c r="G4" s="97"/>
      <c r="H4" s="96"/>
      <c r="I4" s="96"/>
      <c r="J4" s="98"/>
      <c r="K4" s="96"/>
      <c r="L4" s="167"/>
      <c r="M4" s="396"/>
      <c r="N4" s="99"/>
      <c r="O4" s="99"/>
      <c r="P4" s="99"/>
      <c r="Q4" s="99" t="s">
        <v>862</v>
      </c>
    </row>
    <row r="5" spans="1:29" s="61" customFormat="1" ht="15.75">
      <c r="A5" s="60"/>
      <c r="B5" s="1204" t="s">
        <v>454</v>
      </c>
      <c r="C5" s="1204"/>
      <c r="D5" s="1204"/>
      <c r="E5" s="1205"/>
      <c r="F5" s="1206" t="s">
        <v>909</v>
      </c>
      <c r="G5" s="1207"/>
      <c r="H5" s="1207"/>
      <c r="I5" s="1207"/>
      <c r="J5" s="73" t="s">
        <v>648</v>
      </c>
      <c r="K5" s="73"/>
      <c r="L5" s="168"/>
      <c r="M5" s="395"/>
      <c r="N5" s="73"/>
      <c r="O5" s="73"/>
      <c r="P5" s="73"/>
      <c r="Q5" s="74"/>
    </row>
    <row r="6" spans="1:29" s="6" customFormat="1" ht="50.25" customHeight="1">
      <c r="A6" s="50"/>
      <c r="B6" s="51" t="s">
        <v>643</v>
      </c>
      <c r="C6" s="52" t="s">
        <v>645</v>
      </c>
      <c r="D6" s="52" t="s">
        <v>1835</v>
      </c>
      <c r="E6" s="52" t="s">
        <v>670</v>
      </c>
      <c r="F6" s="53" t="s">
        <v>643</v>
      </c>
      <c r="G6" s="52" t="s">
        <v>645</v>
      </c>
      <c r="H6" s="52" t="s">
        <v>1835</v>
      </c>
      <c r="I6" s="52" t="s">
        <v>670</v>
      </c>
      <c r="J6" s="16"/>
      <c r="K6" s="7"/>
      <c r="L6" s="169"/>
      <c r="M6" s="397" t="s">
        <v>1772</v>
      </c>
      <c r="N6" s="7"/>
      <c r="O6" s="7"/>
      <c r="P6" s="7"/>
      <c r="Q6" s="8"/>
      <c r="R6" s="51" t="s">
        <v>643</v>
      </c>
      <c r="S6" s="52" t="s">
        <v>645</v>
      </c>
      <c r="T6" s="52" t="s">
        <v>1835</v>
      </c>
      <c r="U6" s="52" t="s">
        <v>670</v>
      </c>
    </row>
    <row r="7" spans="1:29" s="61" customFormat="1" ht="16.5" customHeight="1">
      <c r="A7" s="73" t="s">
        <v>455</v>
      </c>
      <c r="B7" s="102">
        <f>IF($M7&gt;0,('Amounts Pivot Table'!I$631/$M7),0)</f>
        <v>6874.162788146331</v>
      </c>
      <c r="C7" s="102">
        <f>IF($M7&gt;0,('Amounts Pivot Table'!I$634/$M7),0)</f>
        <v>700.91343289221243</v>
      </c>
      <c r="D7" s="102">
        <f>IF($M7&gt;0,('Amounts Pivot Table'!I$640/$M7),0)</f>
        <v>6587.8607030676521</v>
      </c>
      <c r="E7" s="102">
        <f>SUM(B7:D7)</f>
        <v>14162.936924106196</v>
      </c>
      <c r="F7" s="115"/>
      <c r="G7" s="116"/>
      <c r="H7" s="116"/>
      <c r="I7" s="116"/>
      <c r="J7" s="101"/>
      <c r="K7" s="73"/>
      <c r="L7" s="170"/>
      <c r="M7" s="395">
        <f>+[1]Tables!H70</f>
        <v>2169412.5269444445</v>
      </c>
      <c r="N7" s="73"/>
      <c r="O7" s="73"/>
      <c r="P7" s="73"/>
      <c r="Q7" s="73" t="s">
        <v>455</v>
      </c>
      <c r="R7" s="61">
        <f t="shared" ref="R7:U9" si="0">B7*$M7</f>
        <v>14912894864.860001</v>
      </c>
      <c r="S7" s="61">
        <f t="shared" si="0"/>
        <v>1520570381.6199999</v>
      </c>
      <c r="T7" s="61">
        <f t="shared" si="0"/>
        <v>14291787535</v>
      </c>
      <c r="U7" s="61">
        <f t="shared" si="0"/>
        <v>30725252781.48</v>
      </c>
    </row>
    <row r="8" spans="1:29" s="61" customFormat="1" ht="9" customHeight="1">
      <c r="A8" s="73"/>
      <c r="B8" s="102"/>
      <c r="C8" s="102"/>
      <c r="D8" s="102"/>
      <c r="E8" s="102"/>
      <c r="F8" s="115"/>
      <c r="G8" s="116"/>
      <c r="H8" s="116"/>
      <c r="I8" s="116"/>
      <c r="J8" s="101"/>
      <c r="K8" s="73"/>
      <c r="L8" s="170"/>
      <c r="M8" s="395"/>
      <c r="N8" s="73"/>
      <c r="O8" s="73"/>
      <c r="P8" s="73"/>
      <c r="Q8" s="73"/>
    </row>
    <row r="9" spans="1:29" s="61" customFormat="1">
      <c r="A9" s="73" t="s">
        <v>1892</v>
      </c>
      <c r="B9" s="75">
        <f>IF($M9&gt;0,('Amounts Pivot Table'!I$7/$M9),0)</f>
        <v>5473.5545643263094</v>
      </c>
      <c r="C9" s="75">
        <f>IF($M9&gt;0,('Amounts Pivot Table'!I$10/$M9),0)</f>
        <v>694.2134311562852</v>
      </c>
      <c r="D9" s="75">
        <f>IF($M9&gt;0,('Amounts Pivot Table'!I$16/$M9),0)</f>
        <v>6600.1552248749795</v>
      </c>
      <c r="E9" s="75">
        <f>SUM(B9:D9)</f>
        <v>12767.923220357574</v>
      </c>
      <c r="F9" s="117">
        <f>IF(B9&gt;0,RANK(B9,B$9:B$27),)</f>
        <v>14</v>
      </c>
      <c r="G9" s="107">
        <f>IF(C9&gt;0,RANK(C9,C$9:C$27),)</f>
        <v>10</v>
      </c>
      <c r="H9" s="107">
        <f>IF(D9&gt;0,RANK(D9,D$9:D$27),)</f>
        <v>9</v>
      </c>
      <c r="I9" s="107">
        <f>IF(E9&gt;0,RANK(E9,E$9:E$27),)</f>
        <v>10</v>
      </c>
      <c r="J9" s="75"/>
      <c r="K9" s="73"/>
      <c r="L9" s="170"/>
      <c r="M9" s="395">
        <f>+[1]Tables!H72</f>
        <v>123079.5</v>
      </c>
      <c r="N9" s="73"/>
      <c r="O9" s="73"/>
      <c r="P9" s="73"/>
      <c r="Q9" s="73" t="s">
        <v>1892</v>
      </c>
      <c r="R9" s="73">
        <f t="shared" si="0"/>
        <v>673682359</v>
      </c>
      <c r="S9" s="73">
        <f t="shared" si="0"/>
        <v>85443442</v>
      </c>
      <c r="T9" s="73">
        <f t="shared" si="0"/>
        <v>812343805</v>
      </c>
      <c r="U9" s="73">
        <f t="shared" si="0"/>
        <v>1571469606</v>
      </c>
    </row>
    <row r="10" spans="1:29" s="61" customFormat="1">
      <c r="A10" s="73" t="s">
        <v>1906</v>
      </c>
      <c r="B10" s="75">
        <f>IF($M10&gt;0,('Amounts Pivot Table'!I$46/$M10),0)</f>
        <v>5925.703790228642</v>
      </c>
      <c r="C10" s="75">
        <f>IF($M10&gt;0,('Amounts Pivot Table'!I$49/$M10),0)</f>
        <v>1291.0493331310229</v>
      </c>
      <c r="D10" s="75">
        <f>IF($M10&gt;0,('Amounts Pivot Table'!I$55/$M10),0)</f>
        <v>5403.5371346766524</v>
      </c>
      <c r="E10" s="75">
        <f t="shared" ref="E10:E27" si="1">SUM(B10:D10)</f>
        <v>12620.290258036317</v>
      </c>
      <c r="F10" s="117">
        <f t="shared" ref="F10:F27" si="2">IF(B10&gt;0,RANK(B10,B$9:B$27),)</f>
        <v>11</v>
      </c>
      <c r="G10" s="107">
        <f t="shared" ref="G10:G27" si="3">IF(C10&gt;0,RANK(C10,C$9:C$27),)</f>
        <v>2</v>
      </c>
      <c r="H10" s="107">
        <f t="shared" ref="H10:H27" si="4">IF(D10&gt;0,RANK(D10,D$9:D$27),)</f>
        <v>12</v>
      </c>
      <c r="I10" s="107">
        <f t="shared" ref="I10:I27" si="5">IF(E10&gt;0,RANK(E10,E$9:E$27),)</f>
        <v>11</v>
      </c>
      <c r="J10" s="75"/>
      <c r="K10" s="73"/>
      <c r="L10" s="170"/>
      <c r="M10" s="395">
        <f>+[1]Tables!H73</f>
        <v>71726.983333333337</v>
      </c>
      <c r="N10" s="73"/>
      <c r="O10" s="73"/>
      <c r="P10" s="73"/>
      <c r="Q10" s="73" t="s">
        <v>1906</v>
      </c>
      <c r="R10" s="73">
        <f t="shared" ref="R10:R12" si="6">B10*$M10</f>
        <v>425032857</v>
      </c>
      <c r="S10" s="73">
        <f t="shared" ref="S10:S12" si="7">C10*$M10</f>
        <v>92603074</v>
      </c>
      <c r="T10" s="73">
        <f t="shared" ref="T10:T12" si="8">D10*$M10</f>
        <v>387579418</v>
      </c>
      <c r="U10" s="73">
        <f t="shared" ref="U10:U12" si="9">E10*$M10</f>
        <v>905215349</v>
      </c>
      <c r="V10" s="255"/>
    </row>
    <row r="11" spans="1:29" s="61" customFormat="1">
      <c r="A11" s="73" t="s">
        <v>1893</v>
      </c>
      <c r="B11" s="256">
        <f>IF($M11&gt;0,('Amounts Pivot Table'!I$85/$M11),0)</f>
        <v>7302.427895033813</v>
      </c>
      <c r="C11" s="256">
        <f>IF($M11&gt;0,('Amounts Pivot Table'!I$88/$M11),0)</f>
        <v>427.85042935508636</v>
      </c>
      <c r="D11" s="256">
        <f>IF($M11&gt;0,('Amounts Pivot Table'!I$94/$M11),0)</f>
        <v>15883.187642780729</v>
      </c>
      <c r="E11" s="256">
        <f>SUM(B11:D11)</f>
        <v>23613.465967169628</v>
      </c>
      <c r="F11" s="257">
        <f>IF(B11&gt;0,RANK(B11,B$9:B$27),)</f>
        <v>4</v>
      </c>
      <c r="G11" s="122">
        <f>IF(C11&gt;0,RANK(C11,C$9:C$27),)</f>
        <v>16</v>
      </c>
      <c r="H11" s="122">
        <f>IF(D11&gt;0,RANK(D11,D$9:D$27),)</f>
        <v>1</v>
      </c>
      <c r="I11" s="122">
        <f>IF(E11&gt;0,RANK(E11,E$9:E$27),)</f>
        <v>1</v>
      </c>
      <c r="J11" s="75"/>
      <c r="K11" s="73"/>
      <c r="L11" s="170"/>
      <c r="M11" s="395">
        <f>+[1]Tables!H74</f>
        <v>22419.283333333336</v>
      </c>
      <c r="N11" s="73"/>
      <c r="O11" s="73"/>
      <c r="P11" s="73"/>
      <c r="Q11" s="73" t="s">
        <v>1893</v>
      </c>
      <c r="R11" s="73">
        <f t="shared" si="6"/>
        <v>163715200</v>
      </c>
      <c r="S11" s="73">
        <f t="shared" si="7"/>
        <v>9592100</v>
      </c>
      <c r="T11" s="73">
        <f t="shared" si="8"/>
        <v>356089684</v>
      </c>
      <c r="U11" s="73">
        <f t="shared" si="9"/>
        <v>529396984</v>
      </c>
      <c r="V11" s="256"/>
      <c r="W11" s="256"/>
      <c r="X11" s="256"/>
      <c r="Y11" s="256"/>
      <c r="Z11" s="257"/>
      <c r="AA11" s="122"/>
      <c r="AB11" s="122"/>
      <c r="AC11" s="122"/>
    </row>
    <row r="12" spans="1:29" s="61" customFormat="1">
      <c r="A12" s="73" t="s">
        <v>1900</v>
      </c>
      <c r="B12" s="75">
        <f>IF($M12&gt;0,('Amounts Pivot Table'!I$124/$M12),0)</f>
        <v>7652.2264564630468</v>
      </c>
      <c r="C12" s="75">
        <f>IF($M12&gt;0,('Amounts Pivot Table'!I$127/$M12),0)</f>
        <v>997.78454716437091</v>
      </c>
      <c r="D12" s="75">
        <f>IF($M12&gt;0,('Amounts Pivot Table'!I$133/$M12),0)</f>
        <v>3757.4384369906443</v>
      </c>
      <c r="E12" s="75">
        <f t="shared" si="1"/>
        <v>12407.449440618062</v>
      </c>
      <c r="F12" s="117">
        <f t="shared" si="2"/>
        <v>3</v>
      </c>
      <c r="G12" s="107">
        <f t="shared" si="3"/>
        <v>3</v>
      </c>
      <c r="H12" s="107">
        <f t="shared" si="4"/>
        <v>16</v>
      </c>
      <c r="I12" s="107">
        <f t="shared" si="5"/>
        <v>14</v>
      </c>
      <c r="J12" s="75"/>
      <c r="K12" s="73"/>
      <c r="L12" s="170"/>
      <c r="M12" s="395">
        <f>+[1]Tables!H75</f>
        <v>258634.40833333333</v>
      </c>
      <c r="N12" s="73"/>
      <c r="O12" s="73"/>
      <c r="P12" s="73"/>
      <c r="Q12" s="73" t="s">
        <v>1900</v>
      </c>
      <c r="R12" s="73">
        <f t="shared" si="6"/>
        <v>1979129062</v>
      </c>
      <c r="S12" s="73">
        <f t="shared" si="7"/>
        <v>258061416</v>
      </c>
      <c r="T12" s="73">
        <f t="shared" si="8"/>
        <v>971802867</v>
      </c>
      <c r="U12" s="73">
        <f t="shared" si="9"/>
        <v>3208993345</v>
      </c>
    </row>
    <row r="13" spans="1:29" s="61" customFormat="1" ht="9" customHeight="1">
      <c r="A13" s="73"/>
      <c r="B13" s="102"/>
      <c r="C13" s="102"/>
      <c r="D13" s="102"/>
      <c r="E13" s="102"/>
      <c r="F13" s="117">
        <f t="shared" si="2"/>
        <v>0</v>
      </c>
      <c r="G13" s="107">
        <f t="shared" si="3"/>
        <v>0</v>
      </c>
      <c r="H13" s="107">
        <f t="shared" si="4"/>
        <v>0</v>
      </c>
      <c r="I13" s="107">
        <f t="shared" si="5"/>
        <v>0</v>
      </c>
      <c r="J13" s="101"/>
      <c r="K13" s="73"/>
      <c r="L13" s="170"/>
      <c r="M13" s="395"/>
      <c r="N13" s="73"/>
      <c r="O13" s="73"/>
      <c r="P13" s="73"/>
      <c r="R13" s="73"/>
      <c r="S13" s="73"/>
      <c r="T13" s="73"/>
      <c r="U13" s="73"/>
    </row>
    <row r="14" spans="1:29" s="61" customFormat="1">
      <c r="A14" s="73" t="s">
        <v>1901</v>
      </c>
      <c r="B14" s="75">
        <f>IF($M14&gt;0,('Amounts Pivot Table'!I$163/$M14),0)</f>
        <v>7235.0201527273084</v>
      </c>
      <c r="C14" s="75">
        <f>IF($M14&gt;0,('Amounts Pivot Table'!I$166/$M14),0)</f>
        <v>552.61963224304577</v>
      </c>
      <c r="D14" s="75">
        <f>IF($M14&gt;0,('Amounts Pivot Table'!I$172/$M14),0)</f>
        <v>4780.3409557251607</v>
      </c>
      <c r="E14" s="75">
        <f t="shared" si="1"/>
        <v>12567.980740695515</v>
      </c>
      <c r="F14" s="117">
        <f t="shared" si="2"/>
        <v>5</v>
      </c>
      <c r="G14" s="107">
        <f t="shared" si="3"/>
        <v>12</v>
      </c>
      <c r="H14" s="107">
        <f t="shared" si="4"/>
        <v>15</v>
      </c>
      <c r="I14" s="107">
        <f t="shared" si="5"/>
        <v>13</v>
      </c>
      <c r="J14" s="75"/>
      <c r="K14" s="73"/>
      <c r="L14" s="170"/>
      <c r="M14" s="395">
        <f>+[1]Tables!H77</f>
        <v>188927.9025</v>
      </c>
      <c r="N14" s="73"/>
      <c r="O14" s="73"/>
      <c r="P14" s="73"/>
      <c r="Q14" s="73" t="s">
        <v>1901</v>
      </c>
      <c r="R14" s="73">
        <f t="shared" ref="R14:U17" si="10">B14*$M14</f>
        <v>1366897182</v>
      </c>
      <c r="S14" s="73">
        <f t="shared" si="10"/>
        <v>104405268</v>
      </c>
      <c r="T14" s="73">
        <f t="shared" si="10"/>
        <v>903139790</v>
      </c>
      <c r="U14" s="73">
        <f t="shared" si="10"/>
        <v>2374442240</v>
      </c>
    </row>
    <row r="15" spans="1:29" s="61" customFormat="1">
      <c r="A15" s="73" t="s">
        <v>1894</v>
      </c>
      <c r="B15" s="75">
        <f>IF($M15&gt;0,('Amounts Pivot Table'!I$202/$M15),0)</f>
        <v>6216.3265899040816</v>
      </c>
      <c r="C15" s="75">
        <f>IF($M15&gt;0,('Amounts Pivot Table'!I$205/$M15),0)</f>
        <v>958.23938817799228</v>
      </c>
      <c r="D15" s="75">
        <f>IF($M15&gt;0,('Amounts Pivot Table'!I$211/$M15),0)</f>
        <v>9134.340219179252</v>
      </c>
      <c r="E15" s="75">
        <f t="shared" si="1"/>
        <v>16308.906197261327</v>
      </c>
      <c r="F15" s="117">
        <f t="shared" si="2"/>
        <v>10</v>
      </c>
      <c r="G15" s="107">
        <f t="shared" si="3"/>
        <v>4</v>
      </c>
      <c r="H15" s="107">
        <f t="shared" si="4"/>
        <v>3</v>
      </c>
      <c r="I15" s="107">
        <f t="shared" si="5"/>
        <v>4</v>
      </c>
      <c r="J15" s="75"/>
      <c r="K15" s="73"/>
      <c r="L15" s="170"/>
      <c r="M15" s="395">
        <f>+[1]Tables!H78</f>
        <v>97522.916666666672</v>
      </c>
      <c r="N15" s="73"/>
      <c r="O15" s="73"/>
      <c r="P15" s="73"/>
      <c r="Q15" s="73" t="s">
        <v>1894</v>
      </c>
      <c r="R15" s="73">
        <f t="shared" si="10"/>
        <v>606234300</v>
      </c>
      <c r="S15" s="73">
        <f t="shared" si="10"/>
        <v>93450300</v>
      </c>
      <c r="T15" s="73">
        <f t="shared" si="10"/>
        <v>890807500</v>
      </c>
      <c r="U15" s="73">
        <f t="shared" si="10"/>
        <v>1590492100</v>
      </c>
    </row>
    <row r="16" spans="1:29" s="61" customFormat="1">
      <c r="A16" s="73" t="s">
        <v>1902</v>
      </c>
      <c r="B16" s="75">
        <f>IF($M16&gt;0,('Amounts Pivot Table'!I$241/$M16),0)</f>
        <v>6955.0120966051963</v>
      </c>
      <c r="C16" s="75">
        <f>IF($M16&gt;0,('Amounts Pivot Table'!I$244/$M16),0)</f>
        <v>800.93731170916249</v>
      </c>
      <c r="D16" s="75">
        <f>IF($M16&gt;0,('Amounts Pivot Table'!I$250/$M16),0)</f>
        <v>4821.0150483445095</v>
      </c>
      <c r="E16" s="75">
        <f t="shared" si="1"/>
        <v>12576.964456658869</v>
      </c>
      <c r="F16" s="117">
        <f t="shared" si="2"/>
        <v>6</v>
      </c>
      <c r="G16" s="107">
        <f t="shared" si="3"/>
        <v>6</v>
      </c>
      <c r="H16" s="107">
        <f t="shared" si="4"/>
        <v>14</v>
      </c>
      <c r="I16" s="107">
        <f t="shared" si="5"/>
        <v>12</v>
      </c>
      <c r="J16" s="75"/>
      <c r="K16" s="73"/>
      <c r="L16" s="170"/>
      <c r="M16" s="395">
        <f>+[1]Tables!H79</f>
        <v>119134.09027777778</v>
      </c>
      <c r="N16" s="73"/>
      <c r="O16" s="73"/>
      <c r="P16" s="73"/>
      <c r="Q16" s="73" t="s">
        <v>1902</v>
      </c>
      <c r="R16" s="73">
        <f t="shared" si="10"/>
        <v>828579039</v>
      </c>
      <c r="S16" s="73">
        <f t="shared" si="10"/>
        <v>95418938</v>
      </c>
      <c r="T16" s="73">
        <f t="shared" si="10"/>
        <v>574347242</v>
      </c>
      <c r="U16" s="73">
        <f t="shared" si="10"/>
        <v>1498345219</v>
      </c>
    </row>
    <row r="17" spans="1:21" s="61" customFormat="1">
      <c r="A17" s="73" t="s">
        <v>1905</v>
      </c>
      <c r="B17" s="75">
        <f>IF($M17&gt;0,('Amounts Pivot Table'!I$280/$M17),0)</f>
        <v>8742.3446504985604</v>
      </c>
      <c r="C17" s="75">
        <f>IF($M17&gt;0,('Amounts Pivot Table'!I$283/$M17),0)</f>
        <v>793.99344066660649</v>
      </c>
      <c r="D17" s="75">
        <f>IF($M17&gt;0,('Amounts Pivot Table'!I$289/$M17),0)</f>
        <v>9112.3491345914317</v>
      </c>
      <c r="E17" s="75">
        <f t="shared" si="1"/>
        <v>18648.687225756599</v>
      </c>
      <c r="F17" s="117">
        <f t="shared" si="2"/>
        <v>2</v>
      </c>
      <c r="G17" s="107">
        <f t="shared" si="3"/>
        <v>7</v>
      </c>
      <c r="H17" s="107">
        <f t="shared" si="4"/>
        <v>4</v>
      </c>
      <c r="I17" s="107">
        <f t="shared" si="5"/>
        <v>2</v>
      </c>
      <c r="J17" s="75"/>
      <c r="K17" s="73"/>
      <c r="L17" s="170"/>
      <c r="M17" s="395">
        <f>+[1]Tables!H80</f>
        <v>96779.143333333326</v>
      </c>
      <c r="N17" s="73"/>
      <c r="O17" s="73"/>
      <c r="P17" s="73"/>
      <c r="Q17" s="73" t="s">
        <v>1905</v>
      </c>
      <c r="R17" s="73">
        <f t="shared" si="10"/>
        <v>846076626</v>
      </c>
      <c r="S17" s="73">
        <f t="shared" si="10"/>
        <v>76842005</v>
      </c>
      <c r="T17" s="73">
        <f t="shared" si="10"/>
        <v>881885343.00000012</v>
      </c>
      <c r="U17" s="73">
        <f t="shared" si="10"/>
        <v>1804803974.0000002</v>
      </c>
    </row>
    <row r="18" spans="1:21" s="61" customFormat="1" ht="9" customHeight="1">
      <c r="A18" s="73"/>
      <c r="B18" s="102"/>
      <c r="C18" s="102"/>
      <c r="D18" s="102"/>
      <c r="E18" s="102"/>
      <c r="F18" s="117">
        <f t="shared" si="2"/>
        <v>0</v>
      </c>
      <c r="G18" s="107">
        <f t="shared" si="3"/>
        <v>0</v>
      </c>
      <c r="H18" s="107">
        <f t="shared" si="4"/>
        <v>0</v>
      </c>
      <c r="I18" s="107">
        <f t="shared" si="5"/>
        <v>0</v>
      </c>
      <c r="J18" s="101"/>
      <c r="K18" s="73"/>
      <c r="L18" s="170"/>
      <c r="M18" s="395"/>
      <c r="N18" s="73"/>
      <c r="O18" s="73"/>
      <c r="P18" s="73"/>
      <c r="R18" s="73"/>
      <c r="S18" s="73"/>
      <c r="T18" s="73"/>
      <c r="U18" s="73"/>
    </row>
    <row r="19" spans="1:21" s="61" customFormat="1">
      <c r="A19" s="73" t="s">
        <v>1895</v>
      </c>
      <c r="B19" s="75">
        <f>IF($M19&gt;0,('Amounts Pivot Table'!I$319/$M19),0)</f>
        <v>6766.3802322846313</v>
      </c>
      <c r="C19" s="75">
        <f>IF($M19&gt;0,('Amounts Pivot Table'!I$322/$M19),0)</f>
        <v>1343.0063339416347</v>
      </c>
      <c r="D19" s="75">
        <f>IF($M19&gt;0,('Amounts Pivot Table'!I$328/$M19),0)</f>
        <v>6700.9274185201093</v>
      </c>
      <c r="E19" s="75">
        <f t="shared" si="1"/>
        <v>14810.313984746375</v>
      </c>
      <c r="F19" s="117">
        <f t="shared" si="2"/>
        <v>7</v>
      </c>
      <c r="G19" s="107">
        <f t="shared" si="3"/>
        <v>1</v>
      </c>
      <c r="H19" s="107">
        <f t="shared" si="4"/>
        <v>8</v>
      </c>
      <c r="I19" s="107">
        <f t="shared" si="5"/>
        <v>6</v>
      </c>
      <c r="J19" s="75"/>
      <c r="K19" s="73"/>
      <c r="L19" s="170"/>
      <c r="M19" s="395">
        <f>+[1]Tables!H82</f>
        <v>59980.291666666679</v>
      </c>
      <c r="N19" s="73"/>
      <c r="O19" s="73"/>
      <c r="P19" s="73"/>
      <c r="Q19" s="73" t="s">
        <v>1895</v>
      </c>
      <c r="R19" s="73">
        <f t="shared" ref="R19:U22" si="11">B19*$M19</f>
        <v>405849459.86000001</v>
      </c>
      <c r="S19" s="73">
        <f t="shared" si="11"/>
        <v>80553911.620000005</v>
      </c>
      <c r="T19" s="73">
        <f t="shared" si="11"/>
        <v>401923581</v>
      </c>
      <c r="U19" s="73">
        <f t="shared" si="11"/>
        <v>888326952.48000002</v>
      </c>
    </row>
    <row r="20" spans="1:21" s="61" customFormat="1">
      <c r="A20" s="73" t="s">
        <v>1896</v>
      </c>
      <c r="B20" s="75">
        <f>IF($M20&gt;0,('Amounts Pivot Table'!I$358/$M20),0)</f>
        <v>10974.943591469351</v>
      </c>
      <c r="C20" s="75">
        <f>IF($M20&gt;0,('Amounts Pivot Table'!I$361/$M20),0)</f>
        <v>577.1128716686726</v>
      </c>
      <c r="D20" s="75">
        <f>IF($M20&gt;0,('Amounts Pivot Table'!I$367/$M20),0)</f>
        <v>4932.9519743673864</v>
      </c>
      <c r="E20" s="75">
        <f t="shared" si="1"/>
        <v>16485.00843750541</v>
      </c>
      <c r="F20" s="117">
        <f t="shared" si="2"/>
        <v>1</v>
      </c>
      <c r="G20" s="107">
        <f t="shared" si="3"/>
        <v>11</v>
      </c>
      <c r="H20" s="107">
        <f t="shared" si="4"/>
        <v>13</v>
      </c>
      <c r="I20" s="107">
        <f t="shared" si="5"/>
        <v>3</v>
      </c>
      <c r="J20" s="75"/>
      <c r="K20" s="73"/>
      <c r="L20" s="170"/>
      <c r="M20" s="395">
        <f>+[1]Tables!H83</f>
        <v>187703.58333333334</v>
      </c>
      <c r="N20" s="73"/>
      <c r="O20" s="73"/>
      <c r="P20" s="73"/>
      <c r="Q20" s="73" t="s">
        <v>1896</v>
      </c>
      <c r="R20" s="73">
        <f t="shared" si="11"/>
        <v>2060036239</v>
      </c>
      <c r="S20" s="73">
        <f t="shared" si="11"/>
        <v>108326154</v>
      </c>
      <c r="T20" s="73">
        <f t="shared" si="11"/>
        <v>925932762</v>
      </c>
      <c r="U20" s="73">
        <f t="shared" si="11"/>
        <v>3094295155</v>
      </c>
    </row>
    <row r="21" spans="1:21" s="61" customFormat="1">
      <c r="A21" s="73" t="s">
        <v>1903</v>
      </c>
      <c r="B21" s="75">
        <f>IF($M21&gt;0,('Amounts Pivot Table'!I$397/$M21),0)</f>
        <v>6347.4238325135657</v>
      </c>
      <c r="C21" s="75">
        <f>IF($M21&gt;0,('Amounts Pivot Table'!I$400/$M21),0)</f>
        <v>696.27126947168279</v>
      </c>
      <c r="D21" s="75">
        <f>IF($M21&gt;0,('Amounts Pivot Table'!I$406/$M21),0)</f>
        <v>6543.4958790489527</v>
      </c>
      <c r="E21" s="75">
        <f t="shared" si="1"/>
        <v>13587.1909810342</v>
      </c>
      <c r="F21" s="117">
        <f t="shared" si="2"/>
        <v>9</v>
      </c>
      <c r="G21" s="107">
        <f t="shared" si="3"/>
        <v>9</v>
      </c>
      <c r="H21" s="107">
        <f t="shared" si="4"/>
        <v>10</v>
      </c>
      <c r="I21" s="107">
        <f t="shared" si="5"/>
        <v>9</v>
      </c>
      <c r="J21" s="75"/>
      <c r="K21" s="73"/>
      <c r="L21" s="170"/>
      <c r="M21" s="395">
        <f>+[1]Tables!H84</f>
        <v>85938.9</v>
      </c>
      <c r="N21" s="73"/>
      <c r="O21" s="73"/>
      <c r="P21" s="73"/>
      <c r="Q21" s="73" t="s">
        <v>1903</v>
      </c>
      <c r="R21" s="73">
        <f t="shared" si="11"/>
        <v>545490622</v>
      </c>
      <c r="S21" s="73">
        <f t="shared" si="11"/>
        <v>59836786.999999993</v>
      </c>
      <c r="T21" s="73">
        <f t="shared" si="11"/>
        <v>562340838</v>
      </c>
      <c r="U21" s="73">
        <f t="shared" si="11"/>
        <v>1167668247</v>
      </c>
    </row>
    <row r="22" spans="1:21" s="61" customFormat="1">
      <c r="A22" s="73" t="s">
        <v>1897</v>
      </c>
      <c r="B22" s="75">
        <f>IF($M22&gt;0,('Amounts Pivot Table'!I$436/$M22),0)</f>
        <v>4017.0436218419973</v>
      </c>
      <c r="C22" s="75">
        <f>IF($M22&gt;0,('Amounts Pivot Table'!I$439/$M22),0)</f>
        <v>802.73558540953809</v>
      </c>
      <c r="D22" s="75">
        <f>IF($M22&gt;0,('Amounts Pivot Table'!I$445/$M22),0)</f>
        <v>10851.065048650578</v>
      </c>
      <c r="E22" s="75">
        <f t="shared" si="1"/>
        <v>15670.844255902113</v>
      </c>
      <c r="F22" s="117">
        <f t="shared" si="2"/>
        <v>15</v>
      </c>
      <c r="G22" s="107">
        <f t="shared" si="3"/>
        <v>5</v>
      </c>
      <c r="H22" s="107">
        <f t="shared" si="4"/>
        <v>2</v>
      </c>
      <c r="I22" s="107">
        <f t="shared" si="5"/>
        <v>5</v>
      </c>
      <c r="J22" s="75"/>
      <c r="K22" s="73"/>
      <c r="L22" s="170"/>
      <c r="M22" s="395">
        <f>+[1]Tables!H85</f>
        <v>85342.854166666657</v>
      </c>
      <c r="N22" s="73"/>
      <c r="O22" s="73"/>
      <c r="P22" s="73"/>
      <c r="Q22" s="73" t="s">
        <v>1897</v>
      </c>
      <c r="R22" s="73">
        <f t="shared" si="11"/>
        <v>342825968</v>
      </c>
      <c r="S22" s="73">
        <f t="shared" si="11"/>
        <v>68507746</v>
      </c>
      <c r="T22" s="73">
        <f t="shared" si="11"/>
        <v>926060861.99999988</v>
      </c>
      <c r="U22" s="73">
        <f t="shared" si="11"/>
        <v>1337394576</v>
      </c>
    </row>
    <row r="23" spans="1:21" s="61" customFormat="1" ht="9" customHeight="1">
      <c r="A23" s="73"/>
      <c r="B23" s="102"/>
      <c r="C23" s="102"/>
      <c r="D23" s="102"/>
      <c r="E23" s="102"/>
      <c r="F23" s="117">
        <f t="shared" si="2"/>
        <v>0</v>
      </c>
      <c r="G23" s="107">
        <f t="shared" si="3"/>
        <v>0</v>
      </c>
      <c r="H23" s="107">
        <f t="shared" si="4"/>
        <v>0</v>
      </c>
      <c r="I23" s="107">
        <f t="shared" si="5"/>
        <v>0</v>
      </c>
      <c r="J23" s="101"/>
      <c r="K23" s="73"/>
      <c r="L23" s="170"/>
      <c r="M23" s="395"/>
      <c r="N23" s="73"/>
      <c r="O23" s="73"/>
      <c r="P23" s="73"/>
      <c r="R23" s="73"/>
      <c r="S23" s="73"/>
      <c r="T23" s="73"/>
      <c r="U23" s="73"/>
    </row>
    <row r="24" spans="1:21" s="61" customFormat="1">
      <c r="A24" s="73" t="s">
        <v>647</v>
      </c>
      <c r="B24" s="75">
        <f>IF($M24&gt;0,('Amounts Pivot Table'!I$475/$M24),0)</f>
        <v>5554.3709371820578</v>
      </c>
      <c r="C24" s="75">
        <f>IF($M24&gt;0,('Amounts Pivot Table'!I$478/$M24),0)</f>
        <v>545.81548056354438</v>
      </c>
      <c r="D24" s="75">
        <f>IF($M24&gt;0,('Amounts Pivot Table'!I$484/$M24),0)</f>
        <v>6215.056226636767</v>
      </c>
      <c r="E24" s="75">
        <f t="shared" si="1"/>
        <v>12315.242644382368</v>
      </c>
      <c r="F24" s="117">
        <f t="shared" si="2"/>
        <v>13</v>
      </c>
      <c r="G24" s="107">
        <f t="shared" si="3"/>
        <v>14</v>
      </c>
      <c r="H24" s="107">
        <f t="shared" si="4"/>
        <v>11</v>
      </c>
      <c r="I24" s="107">
        <f t="shared" si="5"/>
        <v>15</v>
      </c>
      <c r="J24" s="75"/>
      <c r="K24" s="73"/>
      <c r="L24" s="170"/>
      <c r="M24" s="395">
        <f>+[1]Tables!H87</f>
        <v>113530.85833333332</v>
      </c>
      <c r="N24" s="73"/>
      <c r="O24" s="73"/>
      <c r="P24" s="73"/>
      <c r="Q24" s="73" t="s">
        <v>647</v>
      </c>
      <c r="R24" s="73">
        <f t="shared" ref="R24:U27" si="12">B24*$M24</f>
        <v>630592500</v>
      </c>
      <c r="S24" s="73">
        <f t="shared" si="12"/>
        <v>61966900.000000007</v>
      </c>
      <c r="T24" s="73">
        <f t="shared" si="12"/>
        <v>705600668</v>
      </c>
      <c r="U24" s="73">
        <f t="shared" si="12"/>
        <v>1398160067.9999998</v>
      </c>
    </row>
    <row r="25" spans="1:21" s="61" customFormat="1">
      <c r="A25" s="73" t="s">
        <v>1898</v>
      </c>
      <c r="B25" s="75">
        <f>IF($M25&gt;0,('Amounts Pivot Table'!I$514/$M25),0)</f>
        <v>6650.5398682434552</v>
      </c>
      <c r="C25" s="75">
        <f>IF($M25&gt;0,('Amounts Pivot Table'!I$517/$M25),0)</f>
        <v>442.78283119239791</v>
      </c>
      <c r="D25" s="75">
        <f>IF($M25&gt;0,('Amounts Pivot Table'!I$523/$M25),0)</f>
        <v>7510.8784747565205</v>
      </c>
      <c r="E25" s="75">
        <f t="shared" si="1"/>
        <v>14604.201174192374</v>
      </c>
      <c r="F25" s="117">
        <f t="shared" si="2"/>
        <v>8</v>
      </c>
      <c r="G25" s="107">
        <f t="shared" si="3"/>
        <v>15</v>
      </c>
      <c r="H25" s="107">
        <f t="shared" si="4"/>
        <v>6</v>
      </c>
      <c r="I25" s="107">
        <f t="shared" si="5"/>
        <v>7</v>
      </c>
      <c r="J25" s="75"/>
      <c r="K25" s="73"/>
      <c r="L25" s="170"/>
      <c r="M25" s="395">
        <f>+[1]Tables!H88</f>
        <v>422673.5</v>
      </c>
      <c r="N25" s="73"/>
      <c r="O25" s="73"/>
      <c r="P25" s="73"/>
      <c r="Q25" s="73" t="s">
        <v>1898</v>
      </c>
      <c r="R25" s="73">
        <f t="shared" si="12"/>
        <v>2811006963</v>
      </c>
      <c r="S25" s="73">
        <f t="shared" si="12"/>
        <v>187152569</v>
      </c>
      <c r="T25" s="73">
        <f t="shared" si="12"/>
        <v>3174649293</v>
      </c>
      <c r="U25" s="73">
        <f t="shared" si="12"/>
        <v>6172808825.000001</v>
      </c>
    </row>
    <row r="26" spans="1:21" s="76" customFormat="1" ht="12.75" customHeight="1">
      <c r="A26" s="73" t="s">
        <v>1899</v>
      </c>
      <c r="B26" s="75">
        <f>IF($M26&gt;0,('Amounts Pivot Table'!I$553/$M26),0)</f>
        <v>5659.3780782974827</v>
      </c>
      <c r="C26" s="75">
        <f>IF($M26&gt;0,('Amounts Pivot Table'!I$556/$M26),0)</f>
        <v>547.32289781863994</v>
      </c>
      <c r="D26" s="75">
        <f>IF($M26&gt;0,('Amounts Pivot Table'!I$562/$M26),0)</f>
        <v>7843.1065609966336</v>
      </c>
      <c r="E26" s="75">
        <f t="shared" si="1"/>
        <v>14049.807537112756</v>
      </c>
      <c r="F26" s="117">
        <f t="shared" si="2"/>
        <v>12</v>
      </c>
      <c r="G26" s="107">
        <f t="shared" si="3"/>
        <v>13</v>
      </c>
      <c r="H26" s="107">
        <f t="shared" si="4"/>
        <v>5</v>
      </c>
      <c r="I26" s="107">
        <f t="shared" si="5"/>
        <v>8</v>
      </c>
      <c r="J26" s="75"/>
      <c r="L26" s="171"/>
      <c r="M26" s="395">
        <f>+[1]Tables!H89</f>
        <v>180201.40833333333</v>
      </c>
      <c r="N26" s="73"/>
      <c r="O26" s="90"/>
      <c r="P26" s="90"/>
      <c r="Q26" s="73" t="s">
        <v>1899</v>
      </c>
      <c r="R26" s="73">
        <f t="shared" si="12"/>
        <v>1019827900</v>
      </c>
      <c r="S26" s="73">
        <f t="shared" si="12"/>
        <v>98628357.000000015</v>
      </c>
      <c r="T26" s="73">
        <f t="shared" si="12"/>
        <v>1413338848</v>
      </c>
      <c r="U26" s="73">
        <f t="shared" si="12"/>
        <v>2531795105</v>
      </c>
    </row>
    <row r="27" spans="1:21" s="61" customFormat="1">
      <c r="A27" s="74" t="s">
        <v>1904</v>
      </c>
      <c r="B27" s="104">
        <f>IF($M27&gt;0,('Amounts Pivot Table'!I$592/$M27),0)</f>
        <v>3725.0111629864095</v>
      </c>
      <c r="C27" s="104">
        <f>IF($M27&gt;0,('Amounts Pivot Table'!I$595/$M27),0)</f>
        <v>712.71266631237336</v>
      </c>
      <c r="D27" s="104">
        <f>IF($M27&gt;0,('Amounts Pivot Table'!I$601/$M27),0)</f>
        <v>7236.9660421266653</v>
      </c>
      <c r="E27" s="105">
        <f t="shared" si="1"/>
        <v>11674.689871425449</v>
      </c>
      <c r="F27" s="118">
        <f t="shared" si="2"/>
        <v>16</v>
      </c>
      <c r="G27" s="119">
        <f t="shared" si="3"/>
        <v>8</v>
      </c>
      <c r="H27" s="119">
        <f t="shared" si="4"/>
        <v>7</v>
      </c>
      <c r="I27" s="119">
        <f t="shared" si="5"/>
        <v>16</v>
      </c>
      <c r="J27" s="75"/>
      <c r="K27" s="73"/>
      <c r="L27" s="172"/>
      <c r="M27" s="395">
        <f>+[1]Tables!H90</f>
        <v>55816.903333333335</v>
      </c>
      <c r="N27" s="73"/>
      <c r="O27" s="73"/>
      <c r="P27" s="73"/>
      <c r="Q27" s="74" t="s">
        <v>1904</v>
      </c>
      <c r="R27" s="74">
        <f t="shared" si="12"/>
        <v>207918588</v>
      </c>
      <c r="S27" s="74">
        <f t="shared" si="12"/>
        <v>39781414</v>
      </c>
      <c r="T27" s="74">
        <f t="shared" si="12"/>
        <v>403945034</v>
      </c>
      <c r="U27" s="74">
        <f t="shared" si="12"/>
        <v>651645036.00000012</v>
      </c>
    </row>
    <row r="28" spans="1:21" s="61" customFormat="1" ht="13.5" customHeight="1">
      <c r="A28" s="99" t="s">
        <v>1919</v>
      </c>
      <c r="B28" s="75"/>
      <c r="C28" s="75"/>
      <c r="D28" s="75"/>
      <c r="E28" s="75"/>
      <c r="F28" s="107"/>
      <c r="G28" s="107"/>
      <c r="H28" s="107"/>
      <c r="I28" s="107"/>
      <c r="J28" s="75"/>
      <c r="K28" s="75"/>
      <c r="L28" s="176"/>
      <c r="M28" s="395"/>
      <c r="N28" s="73"/>
      <c r="O28" s="73"/>
      <c r="P28" s="73"/>
      <c r="Q28" s="73"/>
    </row>
    <row r="29" spans="1:21" s="61" customFormat="1" ht="40.5" customHeight="1">
      <c r="A29" s="1188" t="s">
        <v>275</v>
      </c>
      <c r="B29" s="1195"/>
      <c r="C29" s="1195"/>
      <c r="D29" s="1195"/>
      <c r="E29" s="1195"/>
      <c r="F29" s="1195"/>
      <c r="G29" s="1196"/>
      <c r="H29" s="1196"/>
      <c r="I29" s="1196"/>
      <c r="J29" s="106"/>
      <c r="K29" s="106"/>
      <c r="L29" s="173"/>
      <c r="M29" s="395"/>
      <c r="N29" s="253"/>
      <c r="O29" s="253"/>
      <c r="P29" s="253"/>
      <c r="Q29" s="73"/>
      <c r="R29" s="258"/>
    </row>
    <row r="30" spans="1:21" s="76" customFormat="1" ht="16.5" customHeight="1">
      <c r="A30" s="1188" t="s">
        <v>453</v>
      </c>
      <c r="B30" s="1201"/>
      <c r="C30" s="1201"/>
      <c r="D30" s="1201"/>
      <c r="E30" s="1201"/>
      <c r="F30" s="1201"/>
      <c r="G30" s="1201"/>
      <c r="H30" s="1201"/>
      <c r="I30" s="1201"/>
      <c r="J30" s="106"/>
      <c r="L30" s="171"/>
      <c r="M30" s="395"/>
      <c r="N30" s="90"/>
      <c r="O30" s="90"/>
      <c r="P30" s="90"/>
      <c r="Q30" s="90"/>
      <c r="R30" s="258"/>
    </row>
    <row r="31" spans="1:21" s="61" customFormat="1" ht="19.5" customHeight="1">
      <c r="A31" s="1188" t="s">
        <v>494</v>
      </c>
      <c r="B31" s="1195"/>
      <c r="C31" s="1195"/>
      <c r="D31" s="1195"/>
      <c r="E31" s="1195"/>
      <c r="F31" s="1195"/>
      <c r="G31" s="1196"/>
      <c r="H31" s="1196"/>
      <c r="I31" s="1196"/>
      <c r="J31" s="190"/>
      <c r="K31" s="190"/>
      <c r="L31" s="173"/>
      <c r="M31" s="395"/>
      <c r="N31" s="73"/>
      <c r="O31" s="73"/>
      <c r="P31" s="73"/>
      <c r="Q31" s="73"/>
    </row>
    <row r="32" spans="1:21" s="61" customFormat="1">
      <c r="A32" s="191"/>
      <c r="B32" s="106"/>
      <c r="C32" s="106"/>
      <c r="D32" s="106"/>
      <c r="E32" s="106"/>
      <c r="F32" s="106"/>
      <c r="G32" s="190"/>
      <c r="H32" s="190"/>
      <c r="I32" s="190"/>
      <c r="J32" s="190"/>
      <c r="K32" s="190"/>
      <c r="L32" s="173"/>
      <c r="M32" s="395"/>
      <c r="N32" s="73"/>
      <c r="O32" s="73"/>
      <c r="P32" s="73"/>
      <c r="Q32" s="73"/>
    </row>
    <row r="33" spans="1:17" s="61" customFormat="1">
      <c r="A33" s="189"/>
      <c r="B33" s="106"/>
      <c r="C33" s="106"/>
      <c r="D33" s="106"/>
      <c r="E33" s="106"/>
      <c r="F33" s="106"/>
      <c r="G33" s="190"/>
      <c r="H33" s="190"/>
      <c r="I33" s="805" t="s">
        <v>2058</v>
      </c>
      <c r="J33" s="190"/>
      <c r="K33" s="190"/>
      <c r="L33" s="173"/>
      <c r="M33" s="395"/>
      <c r="N33" s="254"/>
      <c r="O33" s="73"/>
      <c r="P33" s="73"/>
      <c r="Q33" s="73"/>
    </row>
    <row r="34" spans="1:17" s="61" customFormat="1" ht="15.75">
      <c r="A34" s="1173" t="s">
        <v>1492</v>
      </c>
      <c r="B34" s="1173"/>
      <c r="C34" s="1173"/>
      <c r="D34" s="1173"/>
      <c r="E34" s="1173"/>
      <c r="F34" s="1173"/>
      <c r="G34" s="1173"/>
      <c r="H34" s="1173"/>
      <c r="I34" s="1173"/>
      <c r="J34" s="95"/>
      <c r="K34" s="95"/>
      <c r="L34" s="172"/>
      <c r="M34" s="398"/>
      <c r="N34" s="73"/>
      <c r="O34" s="73"/>
      <c r="P34" s="73"/>
      <c r="Q34" s="73"/>
    </row>
    <row r="35" spans="1:17" s="61" customFormat="1" ht="18.75">
      <c r="A35" s="1173" t="s">
        <v>276</v>
      </c>
      <c r="B35" s="1173"/>
      <c r="C35" s="1173"/>
      <c r="D35" s="1173"/>
      <c r="E35" s="1173"/>
      <c r="F35" s="1173"/>
      <c r="G35" s="1173"/>
      <c r="H35" s="1173"/>
      <c r="I35" s="1173"/>
      <c r="J35" s="95"/>
      <c r="K35" s="95"/>
      <c r="L35" s="172"/>
      <c r="M35" s="397"/>
      <c r="N35" s="73"/>
      <c r="O35" s="73"/>
      <c r="P35" s="73"/>
      <c r="Q35" s="73"/>
    </row>
    <row r="36" spans="1:17" s="61" customFormat="1" ht="15.75">
      <c r="A36" s="1173" t="s">
        <v>106</v>
      </c>
      <c r="B36" s="1173"/>
      <c r="C36" s="1173"/>
      <c r="D36" s="1173"/>
      <c r="E36" s="1173"/>
      <c r="F36" s="1173"/>
      <c r="G36" s="1173"/>
      <c r="H36" s="1173"/>
      <c r="I36" s="1173"/>
      <c r="J36" s="95"/>
      <c r="K36" s="95"/>
      <c r="L36" s="167"/>
      <c r="M36" s="397"/>
      <c r="N36" s="73"/>
      <c r="O36" s="73"/>
      <c r="P36" s="73"/>
      <c r="Q36" s="73"/>
    </row>
    <row r="37" spans="1:17" s="61" customFormat="1" ht="9.75" customHeight="1">
      <c r="A37" s="91"/>
      <c r="B37" s="91"/>
      <c r="C37" s="91"/>
      <c r="D37" s="91"/>
      <c r="E37" s="91"/>
      <c r="F37" s="91"/>
      <c r="G37" s="108"/>
      <c r="H37" s="91"/>
      <c r="I37" s="91"/>
      <c r="J37" s="91"/>
      <c r="K37" s="91"/>
      <c r="L37" s="167"/>
      <c r="M37" s="397"/>
      <c r="N37" s="73"/>
      <c r="O37" s="73"/>
      <c r="P37" s="73"/>
      <c r="Q37" s="73"/>
    </row>
    <row r="38" spans="1:17" s="61" customFormat="1" ht="17.25" customHeight="1">
      <c r="A38" s="60"/>
      <c r="B38" s="109" t="s">
        <v>454</v>
      </c>
      <c r="C38" s="110"/>
      <c r="D38" s="110"/>
      <c r="E38" s="110"/>
      <c r="F38" s="57" t="s">
        <v>909</v>
      </c>
      <c r="G38" s="58"/>
      <c r="H38" s="58"/>
      <c r="I38" s="58"/>
      <c r="L38" s="167"/>
      <c r="M38" s="395"/>
      <c r="N38" s="73"/>
      <c r="O38" s="73"/>
      <c r="P38" s="73"/>
      <c r="Q38" s="73"/>
    </row>
    <row r="39" spans="1:17" s="6" customFormat="1" ht="45">
      <c r="A39" s="50"/>
      <c r="B39" s="51" t="s">
        <v>643</v>
      </c>
      <c r="C39" s="52" t="s">
        <v>645</v>
      </c>
      <c r="D39" s="52" t="s">
        <v>1835</v>
      </c>
      <c r="E39" s="52" t="s">
        <v>670</v>
      </c>
      <c r="F39" s="53" t="s">
        <v>643</v>
      </c>
      <c r="G39" s="52" t="s">
        <v>645</v>
      </c>
      <c r="H39" s="52" t="s">
        <v>1835</v>
      </c>
      <c r="I39" s="52" t="s">
        <v>670</v>
      </c>
      <c r="L39" s="174"/>
      <c r="M39" s="397" t="s">
        <v>1772</v>
      </c>
      <c r="N39" s="7"/>
      <c r="O39" s="7"/>
      <c r="P39" s="7"/>
      <c r="Q39" s="7"/>
    </row>
    <row r="40" spans="1:17" s="61" customFormat="1" ht="16.5" customHeight="1">
      <c r="A40" s="73" t="s">
        <v>455</v>
      </c>
      <c r="B40" s="102">
        <f>IF($M40&gt;0,('Amounts Pivot Table'!C$631/$M40),0)</f>
        <v>7561.8486791968253</v>
      </c>
      <c r="C40" s="102">
        <f>IF($M40&gt;0,('Amounts Pivot Table'!C$634/$M40),0)</f>
        <v>1481.8097542688424</v>
      </c>
      <c r="D40" s="102">
        <f>IF($M40&gt;0,('Amounts Pivot Table'!C$640/$M40),0)</f>
        <v>7990.8068495198413</v>
      </c>
      <c r="E40" s="102">
        <f>SUM(B40:D40)</f>
        <v>17034.465282985508</v>
      </c>
      <c r="F40" s="115"/>
      <c r="G40" s="116"/>
      <c r="H40" s="116"/>
      <c r="I40" s="116"/>
      <c r="J40" s="75"/>
      <c r="L40" s="170"/>
      <c r="M40" s="395">
        <f>+[1]Tables!B70</f>
        <v>913767.99333333329</v>
      </c>
      <c r="N40" s="73"/>
      <c r="O40" s="73"/>
      <c r="P40" s="73"/>
      <c r="Q40" s="73"/>
    </row>
    <row r="41" spans="1:17" s="113" customFormat="1">
      <c r="A41" s="111"/>
      <c r="B41" s="192"/>
      <c r="C41" s="192"/>
      <c r="D41" s="192"/>
      <c r="E41" s="192"/>
      <c r="F41" s="193"/>
      <c r="G41" s="194"/>
      <c r="H41" s="194"/>
      <c r="I41" s="194"/>
      <c r="J41" s="112"/>
      <c r="L41" s="177"/>
      <c r="M41" s="395">
        <f>+[1]Tables!B71</f>
        <v>0</v>
      </c>
      <c r="N41" s="111"/>
      <c r="O41" s="111"/>
      <c r="P41" s="111"/>
      <c r="Q41" s="111"/>
    </row>
    <row r="42" spans="1:17" s="61" customFormat="1" ht="12.75" customHeight="1">
      <c r="A42" s="73" t="s">
        <v>1892</v>
      </c>
      <c r="B42" s="75">
        <f>IF($M42&gt;0,('Amounts Pivot Table'!C$7/$M42),0)</f>
        <v>6130.6352004883693</v>
      </c>
      <c r="C42" s="75">
        <f>IF($M42&gt;0,('Amounts Pivot Table'!C$10/$M42),0)</f>
        <v>1212.6967983598804</v>
      </c>
      <c r="D42" s="75">
        <f>IF($M42&gt;0,('Amounts Pivot Table'!C$16/$M42),0)</f>
        <v>8555.8454337696203</v>
      </c>
      <c r="E42" s="75">
        <f>SUM(B42:D42)</f>
        <v>15899.177432617871</v>
      </c>
      <c r="F42" s="117">
        <f>IF(B42&gt;0,RANK(B42,$B$42:$B$60),)</f>
        <v>13</v>
      </c>
      <c r="G42" s="107">
        <f>IF(C42&gt;0,RANK(C42,C$42:C$60),)</f>
        <v>12</v>
      </c>
      <c r="H42" s="107">
        <f>IF(D42&gt;0,RANK(D42,D$42:D$60),)</f>
        <v>8</v>
      </c>
      <c r="I42" s="107">
        <f>IF(E42&gt;0,RANK(E42,E$42:E$60),)</f>
        <v>12</v>
      </c>
      <c r="J42" s="75"/>
      <c r="L42" s="170"/>
      <c r="M42" s="395">
        <f>+[1]Tables!B72</f>
        <v>57825.05</v>
      </c>
      <c r="N42" s="73"/>
      <c r="O42" s="73"/>
      <c r="P42" s="73"/>
      <c r="Q42" s="73"/>
    </row>
    <row r="43" spans="1:17" s="61" customFormat="1" ht="12.75" customHeight="1">
      <c r="A43" s="73" t="s">
        <v>1906</v>
      </c>
      <c r="B43" s="75">
        <f>IF($M43&gt;0,('Amounts Pivot Table'!C$46/$M43),0)</f>
        <v>6970.1749355802867</v>
      </c>
      <c r="C43" s="75">
        <f>IF($M43&gt;0,('Amounts Pivot Table'!C$49/$M43),0)</f>
        <v>4761.2632324030556</v>
      </c>
      <c r="D43" s="75">
        <f>IF($M43&gt;0,('Amounts Pivot Table'!C$55/$M43),0)</f>
        <v>5607.8765274683719</v>
      </c>
      <c r="E43" s="75">
        <f>SUM(B43:D43)</f>
        <v>17339.314695451714</v>
      </c>
      <c r="F43" s="117">
        <f t="shared" ref="F43:F60" si="13">IF(B43&gt;0,RANK(B43,$B$42:$B$60),)</f>
        <v>8</v>
      </c>
      <c r="G43" s="107">
        <f t="shared" ref="G43:G60" si="14">IF(C43&gt;0,RANK(C43,C$42:C$60),)</f>
        <v>1</v>
      </c>
      <c r="H43" s="107">
        <f t="shared" ref="H43:H60" si="15">IF(D43&gt;0,RANK(D43,D$42:D$60),)</f>
        <v>14</v>
      </c>
      <c r="I43" s="107">
        <f t="shared" ref="I43:I60" si="16">IF(E43&gt;0,RANK(E43,E$42:E$60),)</f>
        <v>8</v>
      </c>
      <c r="J43" s="75"/>
      <c r="L43" s="170"/>
      <c r="M43" s="395">
        <f>+[1]Tables!B73</f>
        <v>17188.708333333332</v>
      </c>
      <c r="N43" s="73"/>
      <c r="O43" s="73"/>
      <c r="P43" s="73"/>
      <c r="Q43" s="73"/>
    </row>
    <row r="44" spans="1:17" s="61" customFormat="1" ht="12.75" customHeight="1">
      <c r="A44" s="73" t="s">
        <v>1893</v>
      </c>
      <c r="B44" s="75">
        <f>IF($M44&gt;0,('Amounts Pivot Table'!C$85/$M44),0)</f>
        <v>6608.1626301955339</v>
      </c>
      <c r="C44" s="75">
        <f>IF($M44&gt;0,('Amounts Pivot Table'!C$88/$M44),0)</f>
        <v>507.38272428851712</v>
      </c>
      <c r="D44" s="75">
        <f>IF($M44&gt;0,('Amounts Pivot Table'!C$94/$M44),0)</f>
        <v>17340.020550055608</v>
      </c>
      <c r="E44" s="75">
        <f>SUM(B44:D44)</f>
        <v>24455.565904539661</v>
      </c>
      <c r="F44" s="117">
        <f t="shared" si="13"/>
        <v>12</v>
      </c>
      <c r="G44" s="107">
        <f t="shared" si="14"/>
        <v>16</v>
      </c>
      <c r="H44" s="107">
        <f t="shared" si="15"/>
        <v>1</v>
      </c>
      <c r="I44" s="107">
        <f t="shared" si="16"/>
        <v>2</v>
      </c>
      <c r="J44" s="75"/>
      <c r="L44" s="170"/>
      <c r="M44" s="395">
        <f>+[1]Tables!B74</f>
        <v>18905.058333333334</v>
      </c>
      <c r="N44" s="253"/>
      <c r="O44" s="253"/>
      <c r="P44" s="253"/>
      <c r="Q44" s="73"/>
    </row>
    <row r="45" spans="1:17" s="61" customFormat="1" ht="12.75" customHeight="1">
      <c r="A45" s="73" t="s">
        <v>1900</v>
      </c>
      <c r="B45" s="75">
        <f>IF($M45&gt;0,('Amounts Pivot Table'!C$124/$M45),0)</f>
        <v>7568.5228458572765</v>
      </c>
      <c r="C45" s="75">
        <f>IF($M45&gt;0,('Amounts Pivot Table'!C$127/$M45),0)</f>
        <v>1333.1006650320639</v>
      </c>
      <c r="D45" s="75">
        <f>IF($M45&gt;0,('Amounts Pivot Table'!C$133/$M45),0)</f>
        <v>3673.4410773349759</v>
      </c>
      <c r="E45" s="75">
        <f>SUM(B45:D45)</f>
        <v>12575.064588224315</v>
      </c>
      <c r="F45" s="117">
        <f t="shared" si="13"/>
        <v>7</v>
      </c>
      <c r="G45" s="107">
        <f t="shared" si="14"/>
        <v>11</v>
      </c>
      <c r="H45" s="107">
        <f t="shared" si="15"/>
        <v>16</v>
      </c>
      <c r="I45" s="107">
        <f t="shared" si="16"/>
        <v>16</v>
      </c>
      <c r="J45" s="75"/>
      <c r="L45" s="170"/>
      <c r="M45" s="395">
        <f>+[1]Tables!B75</f>
        <v>165014.59999999998</v>
      </c>
      <c r="N45" s="73"/>
      <c r="O45" s="73"/>
      <c r="P45" s="73"/>
      <c r="Q45" s="73"/>
    </row>
    <row r="46" spans="1:17" s="113" customFormat="1">
      <c r="A46" s="111"/>
      <c r="B46" s="192"/>
      <c r="C46" s="192"/>
      <c r="D46" s="192"/>
      <c r="E46" s="192"/>
      <c r="F46" s="117">
        <f t="shared" si="13"/>
        <v>0</v>
      </c>
      <c r="G46" s="107">
        <f t="shared" si="14"/>
        <v>0</v>
      </c>
      <c r="H46" s="107">
        <f t="shared" si="15"/>
        <v>0</v>
      </c>
      <c r="I46" s="107">
        <f t="shared" si="16"/>
        <v>0</v>
      </c>
      <c r="J46" s="112"/>
      <c r="L46" s="177"/>
      <c r="M46" s="395"/>
      <c r="N46" s="111"/>
      <c r="O46" s="111"/>
      <c r="P46" s="111"/>
      <c r="Q46" s="111"/>
    </row>
    <row r="47" spans="1:17" s="61" customFormat="1" ht="12.75" customHeight="1">
      <c r="A47" s="73" t="s">
        <v>1901</v>
      </c>
      <c r="B47" s="75">
        <f>IF($M47&gt;0,('Amounts Pivot Table'!C$163/$M47),0)</f>
        <v>9364.2761426261095</v>
      </c>
      <c r="C47" s="75">
        <f>IF($M47&gt;0,('Amounts Pivot Table'!C$166/$M47),0)</f>
        <v>1395.7231572276924</v>
      </c>
      <c r="D47" s="75">
        <f>IF($M47&gt;0,('Amounts Pivot Table'!C$172/$M47),0)</f>
        <v>5575.6471799053888</v>
      </c>
      <c r="E47" s="75">
        <f>SUM(B47:D47)</f>
        <v>16335.646479759191</v>
      </c>
      <c r="F47" s="117">
        <f t="shared" si="13"/>
        <v>3</v>
      </c>
      <c r="G47" s="107">
        <f t="shared" si="14"/>
        <v>9</v>
      </c>
      <c r="H47" s="107">
        <f t="shared" si="15"/>
        <v>15</v>
      </c>
      <c r="I47" s="107">
        <f t="shared" si="16"/>
        <v>11</v>
      </c>
      <c r="J47" s="75"/>
      <c r="L47" s="170"/>
      <c r="M47" s="395">
        <f>+[1]Tables!B77</f>
        <v>61082.480833333335</v>
      </c>
      <c r="N47" s="73"/>
      <c r="O47" s="73"/>
      <c r="P47" s="73"/>
      <c r="Q47" s="73"/>
    </row>
    <row r="48" spans="1:17" s="61" customFormat="1" ht="12.75" customHeight="1">
      <c r="A48" s="73" t="s">
        <v>1894</v>
      </c>
      <c r="B48" s="75">
        <f>IF($M48&gt;0,('Amounts Pivot Table'!C$202/$M48),0)</f>
        <v>7987.8604055382139</v>
      </c>
      <c r="C48" s="75">
        <f>IF($M48&gt;0,('Amounts Pivot Table'!C$205/$M48),0)</f>
        <v>2170.5959194252086</v>
      </c>
      <c r="D48" s="75">
        <f>IF($M48&gt;0,('Amounts Pivot Table'!C$211/$M48),0)</f>
        <v>11051.491327793065</v>
      </c>
      <c r="E48" s="75">
        <f>SUM(B48:D48)</f>
        <v>21209.947652756488</v>
      </c>
      <c r="F48" s="117">
        <f t="shared" si="13"/>
        <v>4</v>
      </c>
      <c r="G48" s="107">
        <f t="shared" si="14"/>
        <v>6</v>
      </c>
      <c r="H48" s="107">
        <f t="shared" si="15"/>
        <v>4</v>
      </c>
      <c r="I48" s="107">
        <f t="shared" si="16"/>
        <v>4</v>
      </c>
      <c r="J48" s="75"/>
      <c r="L48" s="170"/>
      <c r="M48" s="395">
        <f>+[1]Tables!B78</f>
        <v>36783.216666666667</v>
      </c>
      <c r="N48" s="73"/>
      <c r="O48" s="73"/>
      <c r="P48" s="73"/>
      <c r="Q48" s="73"/>
    </row>
    <row r="49" spans="1:17" s="61" customFormat="1" ht="12.75" customHeight="1">
      <c r="A49" s="73" t="s">
        <v>1902</v>
      </c>
      <c r="B49" s="75">
        <f>IF($M49&gt;0,('Amounts Pivot Table'!C$241/$M49),0)</f>
        <v>7934.3568693735579</v>
      </c>
      <c r="C49" s="75">
        <f>IF($M49&gt;0,('Amounts Pivot Table'!C$244/$M49),0)</f>
        <v>3167.4641891712095</v>
      </c>
      <c r="D49" s="75">
        <f>IF($M49&gt;0,('Amounts Pivot Table'!C$250/$M49),0)</f>
        <v>6506.9594466153176</v>
      </c>
      <c r="E49" s="75">
        <f>SUM(B49:D49)</f>
        <v>17608.780505160084</v>
      </c>
      <c r="F49" s="117">
        <f t="shared" si="13"/>
        <v>5</v>
      </c>
      <c r="G49" s="107">
        <f t="shared" si="14"/>
        <v>2</v>
      </c>
      <c r="H49" s="107">
        <f t="shared" si="15"/>
        <v>13</v>
      </c>
      <c r="I49" s="107">
        <f t="shared" si="16"/>
        <v>7</v>
      </c>
      <c r="J49" s="75"/>
      <c r="L49" s="170"/>
      <c r="M49" s="395">
        <f>+[1]Tables!B79</f>
        <v>28341.345833333333</v>
      </c>
      <c r="N49" s="73"/>
      <c r="O49" s="73"/>
      <c r="P49" s="73"/>
      <c r="Q49" s="73"/>
    </row>
    <row r="50" spans="1:17" s="61" customFormat="1" ht="12.75" customHeight="1">
      <c r="A50" s="73" t="s">
        <v>1905</v>
      </c>
      <c r="B50" s="75">
        <f>IF($M50&gt;0,('Amounts Pivot Table'!C$280/$M50),0)</f>
        <v>11272.959890753265</v>
      </c>
      <c r="C50" s="75">
        <f>IF($M50&gt;0,('Amounts Pivot Table'!C$283/$M50),0)</f>
        <v>2386.6768576448385</v>
      </c>
      <c r="D50" s="75">
        <f>IF($M50&gt;0,('Amounts Pivot Table'!C$289/$M50),0)</f>
        <v>11951.085862010774</v>
      </c>
      <c r="E50" s="75">
        <f>SUM(B50:D50)</f>
        <v>25610.722610408877</v>
      </c>
      <c r="F50" s="117">
        <f t="shared" si="13"/>
        <v>2</v>
      </c>
      <c r="G50" s="107">
        <f t="shared" si="14"/>
        <v>4</v>
      </c>
      <c r="H50" s="107">
        <f t="shared" si="15"/>
        <v>3</v>
      </c>
      <c r="I50" s="107">
        <f t="shared" si="16"/>
        <v>1</v>
      </c>
      <c r="J50" s="75"/>
      <c r="L50" s="170"/>
      <c r="M50" s="395">
        <f>+[1]Tables!B80</f>
        <v>32196.233333333334</v>
      </c>
      <c r="N50" s="73"/>
      <c r="O50" s="73"/>
      <c r="P50" s="73"/>
      <c r="Q50" s="73"/>
    </row>
    <row r="51" spans="1:17" s="113" customFormat="1">
      <c r="A51" s="111"/>
      <c r="B51" s="192"/>
      <c r="C51" s="192"/>
      <c r="D51" s="192"/>
      <c r="E51" s="192"/>
      <c r="F51" s="117">
        <f t="shared" si="13"/>
        <v>0</v>
      </c>
      <c r="G51" s="107">
        <f t="shared" si="14"/>
        <v>0</v>
      </c>
      <c r="H51" s="107">
        <f t="shared" si="15"/>
        <v>0</v>
      </c>
      <c r="I51" s="107">
        <f t="shared" si="16"/>
        <v>0</v>
      </c>
      <c r="J51" s="112"/>
      <c r="L51" s="177"/>
      <c r="M51" s="395"/>
      <c r="N51" s="111"/>
      <c r="O51" s="111"/>
      <c r="P51" s="111"/>
      <c r="Q51" s="111"/>
    </row>
    <row r="52" spans="1:17" s="61" customFormat="1" ht="12.75" customHeight="1">
      <c r="A52" s="73" t="s">
        <v>1895</v>
      </c>
      <c r="B52" s="75">
        <f>IF($M52&gt;0,('Amounts Pivot Table'!C$319/$M52),0)</f>
        <v>6685.5539865345736</v>
      </c>
      <c r="C52" s="75">
        <f>IF($M52&gt;0,('Amounts Pivot Table'!C$322/$M52),0)</f>
        <v>2467.392119347634</v>
      </c>
      <c r="D52" s="75">
        <f>IF($M52&gt;0,('Amounts Pivot Table'!C$328/$M52),0)</f>
        <v>6633.8124325200224</v>
      </c>
      <c r="E52" s="75">
        <f>SUM(B52:D52)</f>
        <v>15786.75853840223</v>
      </c>
      <c r="F52" s="117">
        <f t="shared" si="13"/>
        <v>11</v>
      </c>
      <c r="G52" s="107">
        <f t="shared" si="14"/>
        <v>3</v>
      </c>
      <c r="H52" s="107">
        <f t="shared" si="15"/>
        <v>12</v>
      </c>
      <c r="I52" s="107">
        <f t="shared" si="16"/>
        <v>14</v>
      </c>
      <c r="J52" s="75"/>
      <c r="L52" s="170"/>
      <c r="M52" s="395">
        <f>+[1]Tables!B82</f>
        <v>28079.316666666666</v>
      </c>
      <c r="N52" s="73"/>
      <c r="O52" s="73"/>
      <c r="P52" s="73"/>
      <c r="Q52" s="73"/>
    </row>
    <row r="53" spans="1:17" s="61" customFormat="1" ht="12.75" customHeight="1">
      <c r="A53" s="73" t="s">
        <v>1896</v>
      </c>
      <c r="B53" s="75">
        <f>IF($M53&gt;0,('Amounts Pivot Table'!C$358/$M53),0)</f>
        <v>12874.396700548974</v>
      </c>
      <c r="C53" s="75">
        <f>IF($M53&gt;0,('Amounts Pivot Table'!C$361/$M53),0)</f>
        <v>2068.7037343531974</v>
      </c>
      <c r="D53" s="75">
        <f>IF($M53&gt;0,('Amounts Pivot Table'!C$367/$M53),0)</f>
        <v>7119.9273232127753</v>
      </c>
      <c r="E53" s="75">
        <f>SUM(B53:D53)</f>
        <v>22063.027758114946</v>
      </c>
      <c r="F53" s="117">
        <f t="shared" si="13"/>
        <v>1</v>
      </c>
      <c r="G53" s="107">
        <f t="shared" si="14"/>
        <v>7</v>
      </c>
      <c r="H53" s="107">
        <f t="shared" si="15"/>
        <v>11</v>
      </c>
      <c r="I53" s="107">
        <f t="shared" si="16"/>
        <v>3</v>
      </c>
      <c r="J53" s="75"/>
      <c r="L53" s="170"/>
      <c r="M53" s="395">
        <f>+[1]Tables!B83</f>
        <v>52364.26666666667</v>
      </c>
      <c r="N53" s="73"/>
      <c r="O53" s="73"/>
      <c r="P53" s="73"/>
      <c r="Q53" s="73"/>
    </row>
    <row r="54" spans="1:17" s="61" customFormat="1" ht="12.75" customHeight="1">
      <c r="A54" s="73" t="s">
        <v>1903</v>
      </c>
      <c r="B54" s="75">
        <f>IF($M54&gt;0,('Amounts Pivot Table'!C$397/$M54),0)</f>
        <v>6969.8220282458688</v>
      </c>
      <c r="C54" s="75">
        <f>IF($M54&gt;0,('Amounts Pivot Table'!C$400/$M54),0)</f>
        <v>1390.6056338355493</v>
      </c>
      <c r="D54" s="75">
        <f>IF($M54&gt;0,('Amounts Pivot Table'!C$406/$M54),0)</f>
        <v>8312.9833392595265</v>
      </c>
      <c r="E54" s="75">
        <f>SUM(B54:D54)</f>
        <v>16673.411001340944</v>
      </c>
      <c r="F54" s="117">
        <f t="shared" si="13"/>
        <v>9</v>
      </c>
      <c r="G54" s="107">
        <f t="shared" si="14"/>
        <v>10</v>
      </c>
      <c r="H54" s="107">
        <f t="shared" si="15"/>
        <v>9</v>
      </c>
      <c r="I54" s="107">
        <f t="shared" si="16"/>
        <v>9</v>
      </c>
      <c r="J54" s="75"/>
      <c r="L54" s="170"/>
      <c r="M54" s="395">
        <f>+[1]Tables!B84</f>
        <v>43029.3</v>
      </c>
      <c r="N54" s="73"/>
      <c r="O54" s="73"/>
      <c r="P54" s="73"/>
      <c r="Q54" s="73"/>
    </row>
    <row r="55" spans="1:17" s="61" customFormat="1" ht="12.75" customHeight="1">
      <c r="A55" s="73" t="s">
        <v>1897</v>
      </c>
      <c r="B55" s="75">
        <f>IF($M55&gt;0,('Amounts Pivot Table'!C$436/$M55),0)</f>
        <v>5158.5709941872537</v>
      </c>
      <c r="C55" s="75">
        <f>IF($M55&gt;0,('Amounts Pivot Table'!C$439/$M55),0)</f>
        <v>1197.3642173402382</v>
      </c>
      <c r="D55" s="75">
        <f>IF($M55&gt;0,('Amounts Pivot Table'!C$445/$M55),0)</f>
        <v>12905.401742663193</v>
      </c>
      <c r="E55" s="75">
        <f>SUM(B55:D55)</f>
        <v>19261.336954190687</v>
      </c>
      <c r="F55" s="117">
        <f t="shared" si="13"/>
        <v>15</v>
      </c>
      <c r="G55" s="107">
        <f t="shared" si="14"/>
        <v>13</v>
      </c>
      <c r="H55" s="107">
        <f t="shared" si="15"/>
        <v>2</v>
      </c>
      <c r="I55" s="107">
        <f t="shared" si="16"/>
        <v>5</v>
      </c>
      <c r="J55" s="75"/>
      <c r="L55" s="170"/>
      <c r="M55" s="395">
        <f>+[1]Tables!B85</f>
        <v>40917.258333333331</v>
      </c>
      <c r="N55" s="73"/>
      <c r="O55" s="73"/>
      <c r="P55" s="73"/>
      <c r="Q55" s="73"/>
    </row>
    <row r="56" spans="1:17" s="113" customFormat="1">
      <c r="A56" s="111"/>
      <c r="B56" s="192"/>
      <c r="C56" s="192"/>
      <c r="D56" s="192"/>
      <c r="E56" s="192"/>
      <c r="F56" s="117">
        <f t="shared" si="13"/>
        <v>0</v>
      </c>
      <c r="G56" s="107">
        <f t="shared" si="14"/>
        <v>0</v>
      </c>
      <c r="H56" s="107">
        <f t="shared" si="15"/>
        <v>0</v>
      </c>
      <c r="I56" s="107">
        <f t="shared" si="16"/>
        <v>0</v>
      </c>
      <c r="J56" s="112"/>
      <c r="L56" s="177"/>
      <c r="M56" s="395"/>
      <c r="N56" s="111"/>
      <c r="O56" s="111"/>
      <c r="P56" s="111"/>
      <c r="Q56" s="111"/>
    </row>
    <row r="57" spans="1:17" s="61" customFormat="1" ht="12.75" customHeight="1">
      <c r="A57" s="73" t="s">
        <v>647</v>
      </c>
      <c r="B57" s="75">
        <f>IF($M57&gt;0,('Amounts Pivot Table'!C$475/$M57),0)</f>
        <v>6925.0135252328364</v>
      </c>
      <c r="C57" s="75">
        <f>IF($M57&gt;0,('Amounts Pivot Table'!C$478/$M57),0)</f>
        <v>2382.2678141447291</v>
      </c>
      <c r="D57" s="75">
        <f>IF($M57&gt;0,('Amounts Pivot Table'!C$484/$M57),0)</f>
        <v>7275.3898900701379</v>
      </c>
      <c r="E57" s="75">
        <f>SUM(B57:D57)</f>
        <v>16582.671229447704</v>
      </c>
      <c r="F57" s="117">
        <f t="shared" si="13"/>
        <v>10</v>
      </c>
      <c r="G57" s="107">
        <f t="shared" si="14"/>
        <v>5</v>
      </c>
      <c r="H57" s="107">
        <f t="shared" si="15"/>
        <v>10</v>
      </c>
      <c r="I57" s="107">
        <f t="shared" si="16"/>
        <v>10</v>
      </c>
      <c r="J57" s="75"/>
      <c r="K57" s="101"/>
      <c r="L57" s="170"/>
      <c r="M57" s="395">
        <f>+[1]Tables!B87</f>
        <v>25800.541666666664</v>
      </c>
      <c r="N57" s="73"/>
      <c r="O57" s="73"/>
      <c r="P57" s="73"/>
      <c r="Q57" s="73"/>
    </row>
    <row r="58" spans="1:17" s="61" customFormat="1" ht="12.75" customHeight="1">
      <c r="A58" s="73" t="s">
        <v>1898</v>
      </c>
      <c r="B58" s="75">
        <f>IF($M58&gt;0,('Amounts Pivot Table'!C$514/$M58),0)</f>
        <v>7697.0093459321424</v>
      </c>
      <c r="C58" s="75">
        <f>IF($M58&gt;0,('Amounts Pivot Table'!C$517/$M58),0)</f>
        <v>919.4980734532046</v>
      </c>
      <c r="D58" s="75">
        <f>IF($M58&gt;0,('Amounts Pivot Table'!C$523/$M58),0)</f>
        <v>9090.0291518403828</v>
      </c>
      <c r="E58" s="75">
        <f>SUM(B58:D58)</f>
        <v>17706.53657122573</v>
      </c>
      <c r="F58" s="117">
        <f t="shared" si="13"/>
        <v>6</v>
      </c>
      <c r="G58" s="107">
        <f t="shared" si="14"/>
        <v>14</v>
      </c>
      <c r="H58" s="107">
        <f t="shared" si="15"/>
        <v>7</v>
      </c>
      <c r="I58" s="107">
        <f t="shared" si="16"/>
        <v>6</v>
      </c>
      <c r="J58" s="75"/>
      <c r="K58" s="101"/>
      <c r="L58" s="170"/>
      <c r="M58" s="395">
        <f>+[1]Tables!B88</f>
        <v>203537.75</v>
      </c>
      <c r="N58" s="73"/>
      <c r="O58" s="73"/>
      <c r="P58" s="73"/>
      <c r="Q58" s="73"/>
    </row>
    <row r="59" spans="1:17" s="76" customFormat="1" ht="12.75" customHeight="1">
      <c r="A59" s="73" t="s">
        <v>1899</v>
      </c>
      <c r="B59" s="75">
        <f>IF($M59&gt;0,('Amounts Pivot Table'!C$553/$M59),0)</f>
        <v>5321.6081587560921</v>
      </c>
      <c r="C59" s="75">
        <f>IF($M59&gt;0,('Amounts Pivot Table'!C$556/$M59),0)</f>
        <v>897.4867973243214</v>
      </c>
      <c r="D59" s="75">
        <f>IF($M59&gt;0,('Amounts Pivot Table'!C$562/$M59),0)</f>
        <v>9601.8148749042884</v>
      </c>
      <c r="E59" s="75">
        <f>SUM(B59:D59)</f>
        <v>15820.909830984703</v>
      </c>
      <c r="F59" s="117">
        <f t="shared" si="13"/>
        <v>14</v>
      </c>
      <c r="G59" s="107">
        <f t="shared" si="14"/>
        <v>15</v>
      </c>
      <c r="H59" s="107">
        <f t="shared" si="15"/>
        <v>5</v>
      </c>
      <c r="I59" s="107">
        <f t="shared" si="16"/>
        <v>13</v>
      </c>
      <c r="J59" s="75"/>
      <c r="K59" s="101"/>
      <c r="L59" s="171"/>
      <c r="M59" s="395">
        <f>+[1]Tables!B89</f>
        <v>76804.191666666666</v>
      </c>
      <c r="N59" s="90"/>
      <c r="O59" s="90"/>
      <c r="P59" s="90"/>
      <c r="Q59" s="90"/>
    </row>
    <row r="60" spans="1:17" s="61" customFormat="1" ht="12.75" customHeight="1">
      <c r="A60" s="74" t="s">
        <v>1904</v>
      </c>
      <c r="B60" s="104">
        <f>IF($M60&gt;0,('Amounts Pivot Table'!C$592/$M60),0)</f>
        <v>3131.4522461091155</v>
      </c>
      <c r="C60" s="104">
        <f>IF($M60&gt;0,('Amounts Pivot Table'!C$595/$M60),0)</f>
        <v>1420.8987525423599</v>
      </c>
      <c r="D60" s="104">
        <f>IF($M60&gt;0,('Amounts Pivot Table'!C$601/$M60),0)</f>
        <v>9272.7937626152689</v>
      </c>
      <c r="E60" s="105">
        <f>SUM(B60:D60)</f>
        <v>13825.144761266743</v>
      </c>
      <c r="F60" s="118">
        <f t="shared" si="13"/>
        <v>16</v>
      </c>
      <c r="G60" s="119">
        <f t="shared" si="14"/>
        <v>8</v>
      </c>
      <c r="H60" s="119">
        <f t="shared" si="15"/>
        <v>6</v>
      </c>
      <c r="I60" s="119">
        <f t="shared" si="16"/>
        <v>15</v>
      </c>
      <c r="J60" s="75"/>
      <c r="K60" s="101"/>
      <c r="L60" s="172"/>
      <c r="M60" s="395">
        <f>+[1]Tables!B90</f>
        <v>25898.674999999999</v>
      </c>
      <c r="N60" s="73"/>
      <c r="O60" s="73"/>
      <c r="P60" s="73"/>
      <c r="Q60" s="73"/>
    </row>
    <row r="61" spans="1:17" s="61" customFormat="1" ht="39.75" customHeight="1">
      <c r="A61" s="1188" t="s">
        <v>275</v>
      </c>
      <c r="B61" s="1195"/>
      <c r="C61" s="1195"/>
      <c r="D61" s="1195"/>
      <c r="E61" s="1195"/>
      <c r="F61" s="1195"/>
      <c r="G61" s="1196"/>
      <c r="H61" s="1196"/>
      <c r="I61" s="1196"/>
      <c r="J61" s="101"/>
      <c r="K61" s="101"/>
      <c r="L61" s="173"/>
      <c r="M61" s="399"/>
      <c r="N61" s="73"/>
      <c r="O61" s="73"/>
      <c r="P61" s="73"/>
      <c r="Q61" s="73"/>
    </row>
    <row r="62" spans="1:17" s="76" customFormat="1" ht="22.5" customHeight="1">
      <c r="A62" s="1188" t="s">
        <v>453</v>
      </c>
      <c r="B62" s="1201"/>
      <c r="C62" s="1201"/>
      <c r="D62" s="1201"/>
      <c r="E62" s="1201"/>
      <c r="F62" s="1201"/>
      <c r="G62" s="1201"/>
      <c r="H62" s="1201"/>
      <c r="I62" s="1201"/>
      <c r="J62" s="106"/>
      <c r="L62" s="171"/>
      <c r="M62" s="395"/>
      <c r="N62" s="90"/>
      <c r="O62" s="90"/>
      <c r="P62" s="90"/>
      <c r="Q62" s="90"/>
    </row>
    <row r="63" spans="1:17" s="61" customFormat="1">
      <c r="A63" s="1188" t="s">
        <v>1600</v>
      </c>
      <c r="B63" s="1195"/>
      <c r="C63" s="1195"/>
      <c r="D63" s="1195"/>
      <c r="E63" s="1195"/>
      <c r="F63" s="1195"/>
      <c r="G63" s="1196"/>
      <c r="H63" s="1196"/>
      <c r="I63" s="1196"/>
      <c r="J63" s="1196"/>
      <c r="K63" s="1196"/>
      <c r="L63" s="173"/>
      <c r="M63" s="395"/>
      <c r="N63" s="73"/>
      <c r="O63" s="73"/>
      <c r="P63" s="73"/>
      <c r="Q63" s="73"/>
    </row>
    <row r="64" spans="1:17" s="61" customFormat="1">
      <c r="A64" s="189"/>
      <c r="B64" s="106"/>
      <c r="C64" s="106"/>
      <c r="D64" s="106"/>
      <c r="E64" s="106"/>
      <c r="F64" s="106"/>
      <c r="G64" s="190"/>
      <c r="H64" s="190"/>
      <c r="I64" s="190"/>
      <c r="J64" s="190"/>
      <c r="K64" s="190"/>
      <c r="L64" s="173"/>
      <c r="M64" s="395"/>
      <c r="N64" s="73"/>
      <c r="O64" s="73"/>
      <c r="P64" s="73"/>
      <c r="Q64" s="73"/>
    </row>
    <row r="65" spans="1:17" s="61" customFormat="1">
      <c r="A65" s="189"/>
      <c r="B65" s="106"/>
      <c r="C65" s="106"/>
      <c r="D65" s="106"/>
      <c r="E65" s="106"/>
      <c r="F65" s="106"/>
      <c r="G65" s="190"/>
      <c r="H65" s="190"/>
      <c r="I65" s="805" t="s">
        <v>2058</v>
      </c>
      <c r="J65" s="190"/>
      <c r="K65" s="190"/>
      <c r="L65" s="173"/>
      <c r="M65" s="395"/>
      <c r="N65" s="73"/>
      <c r="O65" s="73"/>
      <c r="P65" s="73"/>
      <c r="Q65" s="73"/>
    </row>
    <row r="66" spans="1:17" s="61" customFormat="1" ht="15.75">
      <c r="A66" s="1173" t="s">
        <v>1493</v>
      </c>
      <c r="B66" s="1173"/>
      <c r="C66" s="1173"/>
      <c r="D66" s="1173"/>
      <c r="E66" s="1173"/>
      <c r="F66" s="1173"/>
      <c r="G66" s="1173"/>
      <c r="H66" s="1173"/>
      <c r="I66" s="1173"/>
      <c r="J66" s="95"/>
      <c r="L66" s="172"/>
      <c r="M66" s="395"/>
      <c r="N66" s="73"/>
      <c r="O66" s="73"/>
      <c r="P66" s="73"/>
      <c r="Q66" s="73"/>
    </row>
    <row r="67" spans="1:17" s="61" customFormat="1" ht="18.75">
      <c r="A67" s="1173" t="s">
        <v>276</v>
      </c>
      <c r="B67" s="1173"/>
      <c r="C67" s="1173"/>
      <c r="D67" s="1173"/>
      <c r="E67" s="1173"/>
      <c r="F67" s="1173"/>
      <c r="G67" s="1173"/>
      <c r="H67" s="1173"/>
      <c r="I67" s="1173"/>
      <c r="J67" s="95"/>
      <c r="K67" s="95"/>
      <c r="L67" s="172"/>
      <c r="M67" s="395"/>
      <c r="N67" s="73"/>
      <c r="O67" s="73"/>
      <c r="P67" s="73"/>
      <c r="Q67" s="73"/>
    </row>
    <row r="68" spans="1:17" s="61" customFormat="1" ht="15.75">
      <c r="A68" s="1173" t="s">
        <v>107</v>
      </c>
      <c r="B68" s="1173"/>
      <c r="C68" s="1173"/>
      <c r="D68" s="1173"/>
      <c r="E68" s="1173"/>
      <c r="F68" s="1173"/>
      <c r="G68" s="1173"/>
      <c r="H68" s="1173"/>
      <c r="I68" s="1173"/>
      <c r="J68" s="95"/>
      <c r="K68" s="95"/>
      <c r="L68" s="167"/>
      <c r="M68" s="395"/>
      <c r="N68" s="73"/>
      <c r="O68" s="73"/>
      <c r="P68" s="73"/>
      <c r="Q68" s="73"/>
    </row>
    <row r="69" spans="1:17" s="61" customFormat="1" ht="6.75" customHeight="1">
      <c r="A69" s="91"/>
      <c r="B69" s="91"/>
      <c r="C69" s="91"/>
      <c r="D69" s="91"/>
      <c r="E69" s="91"/>
      <c r="F69" s="91"/>
      <c r="G69" s="108" t="s">
        <v>648</v>
      </c>
      <c r="H69" s="91"/>
      <c r="I69" s="91"/>
      <c r="J69" s="91"/>
      <c r="K69" s="91"/>
      <c r="L69" s="167"/>
      <c r="M69" s="395"/>
      <c r="N69" s="73"/>
      <c r="O69" s="73"/>
      <c r="P69" s="73"/>
      <c r="Q69" s="73"/>
    </row>
    <row r="70" spans="1:17" s="61" customFormat="1" ht="15.75" customHeight="1">
      <c r="A70" s="60"/>
      <c r="B70" s="109" t="s">
        <v>454</v>
      </c>
      <c r="C70" s="110"/>
      <c r="D70" s="110"/>
      <c r="E70" s="110"/>
      <c r="F70" s="57" t="s">
        <v>909</v>
      </c>
      <c r="G70" s="58"/>
      <c r="H70" s="58"/>
      <c r="I70" s="58"/>
      <c r="L70" s="167"/>
      <c r="M70" s="395"/>
      <c r="N70" s="73"/>
      <c r="O70" s="73"/>
      <c r="P70" s="73"/>
      <c r="Q70" s="73"/>
    </row>
    <row r="71" spans="1:17" s="6" customFormat="1" ht="45">
      <c r="A71" s="50"/>
      <c r="B71" s="51" t="s">
        <v>643</v>
      </c>
      <c r="C71" s="52" t="s">
        <v>645</v>
      </c>
      <c r="D71" s="52" t="s">
        <v>1835</v>
      </c>
      <c r="E71" s="52" t="s">
        <v>670</v>
      </c>
      <c r="F71" s="53" t="s">
        <v>643</v>
      </c>
      <c r="G71" s="52" t="s">
        <v>645</v>
      </c>
      <c r="H71" s="52" t="s">
        <v>1835</v>
      </c>
      <c r="I71" s="52" t="s">
        <v>670</v>
      </c>
      <c r="L71" s="174"/>
      <c r="M71" s="395" t="s">
        <v>1772</v>
      </c>
      <c r="N71" s="7"/>
      <c r="O71" s="7"/>
      <c r="P71" s="7"/>
      <c r="Q71" s="7"/>
    </row>
    <row r="72" spans="1:17" s="61" customFormat="1" ht="16.5" customHeight="1">
      <c r="A72" s="73" t="s">
        <v>455</v>
      </c>
      <c r="B72" s="102">
        <f>IF($M72&gt;0,('Amounts Pivot Table'!D$631/$M72),0)</f>
        <v>7650.7340040978515</v>
      </c>
      <c r="C72" s="102">
        <f>IF($M72&gt;0,('Amounts Pivot Table'!D$634/$M72),0)</f>
        <v>291.82731884469325</v>
      </c>
      <c r="D72" s="102">
        <f>IF($M72&gt;0,('Amounts Pivot Table'!D$640/$M72),0)</f>
        <v>5890.6258973263075</v>
      </c>
      <c r="E72" s="102">
        <f>SUM(B72:D72)</f>
        <v>13833.187220268852</v>
      </c>
      <c r="F72" s="115"/>
      <c r="G72" s="116"/>
      <c r="H72" s="116"/>
      <c r="I72" s="116"/>
      <c r="J72" s="102"/>
      <c r="L72" s="170"/>
      <c r="M72" s="395">
        <f>+[1]Tables!C70</f>
        <v>270156.35277777782</v>
      </c>
      <c r="N72" s="73"/>
      <c r="O72" s="73"/>
      <c r="P72" s="73"/>
      <c r="Q72" s="73"/>
    </row>
    <row r="73" spans="1:17" s="61" customFormat="1" ht="10.5" customHeight="1">
      <c r="A73" s="73"/>
      <c r="B73" s="102"/>
      <c r="C73" s="102"/>
      <c r="D73" s="102"/>
      <c r="E73" s="102"/>
      <c r="F73" s="115"/>
      <c r="G73" s="116"/>
      <c r="H73" s="116"/>
      <c r="I73" s="116"/>
      <c r="J73" s="102"/>
      <c r="L73" s="170"/>
      <c r="M73" s="395">
        <f>+[1]Tables!C71</f>
        <v>0</v>
      </c>
      <c r="N73" s="73"/>
      <c r="O73" s="73"/>
      <c r="P73" s="73"/>
      <c r="Q73" s="73"/>
    </row>
    <row r="74" spans="1:17" s="61" customFormat="1">
      <c r="A74" s="73" t="s">
        <v>1892</v>
      </c>
      <c r="B74" s="75">
        <f>IF($M74&gt;0,('Amounts Pivot Table'!D$7/$M74),0)</f>
        <v>7977.4828386965064</v>
      </c>
      <c r="C74" s="75">
        <f>IF($M74&gt;0,('Amounts Pivot Table'!D$10/$M74),0)</f>
        <v>0</v>
      </c>
      <c r="D74" s="75">
        <f>IF($M74&gt;0,('Amounts Pivot Table'!D$16/$M74),0)</f>
        <v>7640.1187468633307</v>
      </c>
      <c r="E74" s="75">
        <f>SUM(B74:D74)</f>
        <v>15617.601585559838</v>
      </c>
      <c r="F74" s="117">
        <f>IF(B74&gt;0,RANK(B74,$B$74:$B$92),)</f>
        <v>4</v>
      </c>
      <c r="G74" s="107">
        <f>IF(C74&gt;0,RANK(C74,$C$74:$C$92),)</f>
        <v>0</v>
      </c>
      <c r="H74" s="107">
        <f>IF(D74&gt;0,RANK(D74,$D$74:$D$92),)</f>
        <v>3</v>
      </c>
      <c r="I74" s="107">
        <f>IF(E74&gt;0,RANK(E74,$E$74:$E$92),)</f>
        <v>3</v>
      </c>
      <c r="J74" s="75"/>
      <c r="L74" s="170"/>
      <c r="M74" s="395">
        <f>+[1]Tables!C72</f>
        <v>5878.05</v>
      </c>
      <c r="N74" s="73"/>
      <c r="O74" s="73"/>
      <c r="P74" s="73"/>
      <c r="Q74" s="73"/>
    </row>
    <row r="75" spans="1:17" s="61" customFormat="1">
      <c r="A75" s="73" t="s">
        <v>1906</v>
      </c>
      <c r="B75" s="75">
        <f>IF($M75&gt;0,('Amounts Pivot Table'!D$46/$M75),0)</f>
        <v>0</v>
      </c>
      <c r="C75" s="75">
        <f>IF($M75&gt;0,('Amounts Pivot Table'!D$49/$M75),0)</f>
        <v>0</v>
      </c>
      <c r="D75" s="75">
        <f>IF($M75&gt;0,('Amounts Pivot Table'!D$55/$M75),0)</f>
        <v>0</v>
      </c>
      <c r="E75" s="75">
        <f>SUM(B75:D75)</f>
        <v>0</v>
      </c>
      <c r="F75" s="117">
        <f t="shared" ref="F75:F92" si="17">IF(B75&gt;0,RANK(B75,$B$74:$B$92),)</f>
        <v>0</v>
      </c>
      <c r="G75" s="107">
        <f t="shared" ref="G75:G92" si="18">IF(C75&gt;0,RANK(C75,$C$74:$C$92),)</f>
        <v>0</v>
      </c>
      <c r="H75" s="107">
        <f t="shared" ref="H75:H92" si="19">IF(D75&gt;0,RANK(D75,$D$74:$D$92),)</f>
        <v>0</v>
      </c>
      <c r="I75" s="107">
        <f t="shared" ref="I75:I92" si="20">IF(E75&gt;0,RANK(E75,$E$74:$E$92),)</f>
        <v>0</v>
      </c>
      <c r="J75" s="75"/>
      <c r="L75" s="170"/>
      <c r="M75" s="395">
        <f>+[1]Tables!C73</f>
        <v>0</v>
      </c>
      <c r="N75" s="73"/>
      <c r="O75" s="73"/>
      <c r="P75" s="73"/>
      <c r="Q75" s="73"/>
    </row>
    <row r="76" spans="1:17" s="61" customFormat="1">
      <c r="A76" s="73" t="s">
        <v>1893</v>
      </c>
      <c r="B76" s="75">
        <f>IF($M76&gt;0,('Amounts Pivot Table'!D$85/$M76),0)</f>
        <v>0</v>
      </c>
      <c r="C76" s="75">
        <f>IF($M76&gt;0,('Amounts Pivot Table'!D$88/$M76),0)</f>
        <v>0</v>
      </c>
      <c r="D76" s="75">
        <f>IF($M76&gt;0,('Amounts Pivot Table'!D$94/$M76),0)</f>
        <v>0</v>
      </c>
      <c r="E76" s="75">
        <f>SUM(B76:D76)</f>
        <v>0</v>
      </c>
      <c r="F76" s="117">
        <f t="shared" si="17"/>
        <v>0</v>
      </c>
      <c r="G76" s="107">
        <f t="shared" si="18"/>
        <v>0</v>
      </c>
      <c r="H76" s="107">
        <f t="shared" si="19"/>
        <v>0</v>
      </c>
      <c r="I76" s="107">
        <f t="shared" si="20"/>
        <v>0</v>
      </c>
      <c r="J76" s="75"/>
      <c r="L76" s="170"/>
      <c r="M76" s="395">
        <f>+[1]Tables!C74</f>
        <v>0</v>
      </c>
      <c r="N76" s="73"/>
      <c r="O76" s="73"/>
      <c r="P76" s="73"/>
      <c r="Q76" s="73"/>
    </row>
    <row r="77" spans="1:17" s="61" customFormat="1">
      <c r="A77" s="73" t="s">
        <v>1900</v>
      </c>
      <c r="B77" s="75">
        <f>IF($M77&gt;0,('Amounts Pivot Table'!D$124/$M77),0)</f>
        <v>7527.0360339120034</v>
      </c>
      <c r="C77" s="75">
        <f>IF($M77&gt;0,('Amounts Pivot Table'!D$127/$M77),0)</f>
        <v>551.01837510447342</v>
      </c>
      <c r="D77" s="75">
        <f>IF($M77&gt;0,('Amounts Pivot Table'!D$133/$M77),0)</f>
        <v>3917.8100264869267</v>
      </c>
      <c r="E77" s="75">
        <f>SUM(B77:D77)</f>
        <v>11995.864435503403</v>
      </c>
      <c r="F77" s="117">
        <f t="shared" si="17"/>
        <v>5</v>
      </c>
      <c r="G77" s="107">
        <f t="shared" si="18"/>
        <v>2</v>
      </c>
      <c r="H77" s="107">
        <f t="shared" si="19"/>
        <v>10</v>
      </c>
      <c r="I77" s="107">
        <f t="shared" si="20"/>
        <v>10</v>
      </c>
      <c r="J77" s="75"/>
      <c r="L77" s="170"/>
      <c r="M77" s="395">
        <f>+[1]Tables!C75</f>
        <v>51887.23333333333</v>
      </c>
      <c r="N77" s="73"/>
      <c r="O77" s="73"/>
      <c r="P77" s="73"/>
      <c r="Q77" s="73"/>
    </row>
    <row r="78" spans="1:17" s="61" customFormat="1" ht="7.5" customHeight="1">
      <c r="A78" s="73"/>
      <c r="B78" s="75"/>
      <c r="C78" s="75"/>
      <c r="D78" s="75"/>
      <c r="E78" s="75"/>
      <c r="F78" s="117">
        <f t="shared" si="17"/>
        <v>0</v>
      </c>
      <c r="G78" s="107">
        <f t="shared" si="18"/>
        <v>0</v>
      </c>
      <c r="H78" s="107">
        <f t="shared" si="19"/>
        <v>0</v>
      </c>
      <c r="I78" s="107">
        <f t="shared" si="20"/>
        <v>0</v>
      </c>
      <c r="J78" s="75"/>
      <c r="L78" s="170"/>
      <c r="M78" s="395"/>
      <c r="N78" s="73"/>
      <c r="O78" s="73"/>
      <c r="P78" s="73"/>
      <c r="Q78" s="73"/>
    </row>
    <row r="79" spans="1:17" s="61" customFormat="1">
      <c r="A79" s="73" t="s">
        <v>1901</v>
      </c>
      <c r="B79" s="75">
        <f>IF($M79&gt;0,('Amounts Pivot Table'!D$163/$M79),0)</f>
        <v>10975.312775914079</v>
      </c>
      <c r="C79" s="75">
        <f>IF($M79&gt;0,('Amounts Pivot Table'!D$166/$M79),0)</f>
        <v>864.77512824115172</v>
      </c>
      <c r="D79" s="75">
        <f>IF($M79&gt;0,('Amounts Pivot Table'!D$172/$M79),0)</f>
        <v>7892.286341846193</v>
      </c>
      <c r="E79" s="75">
        <f>SUM(B79:D79)</f>
        <v>19732.374246001425</v>
      </c>
      <c r="F79" s="117">
        <f t="shared" si="17"/>
        <v>1</v>
      </c>
      <c r="G79" s="107">
        <f t="shared" si="18"/>
        <v>1</v>
      </c>
      <c r="H79" s="107">
        <f t="shared" si="19"/>
        <v>2</v>
      </c>
      <c r="I79" s="107">
        <f t="shared" si="20"/>
        <v>1</v>
      </c>
      <c r="J79" s="75"/>
      <c r="L79" s="170"/>
      <c r="M79" s="395">
        <f>+[1]Tables!C77</f>
        <v>21887.474999999999</v>
      </c>
      <c r="N79" s="73"/>
      <c r="O79" s="73"/>
      <c r="P79" s="73"/>
      <c r="Q79" s="73"/>
    </row>
    <row r="80" spans="1:17" s="61" customFormat="1">
      <c r="A80" s="73" t="s">
        <v>1894</v>
      </c>
      <c r="B80" s="75">
        <f>IF($M80&gt;0,('Amounts Pivot Table'!D$202/$M80),0)</f>
        <v>0</v>
      </c>
      <c r="C80" s="75">
        <f>IF($M80&gt;0,('Amounts Pivot Table'!D$205/$M80),0)</f>
        <v>0</v>
      </c>
      <c r="D80" s="75">
        <f>IF($M80&gt;0,('Amounts Pivot Table'!D$211/$M80),0)</f>
        <v>0</v>
      </c>
      <c r="E80" s="75">
        <f>SUM(B80:D80)</f>
        <v>0</v>
      </c>
      <c r="F80" s="117">
        <f t="shared" si="17"/>
        <v>0</v>
      </c>
      <c r="G80" s="107">
        <f t="shared" si="18"/>
        <v>0</v>
      </c>
      <c r="H80" s="107">
        <f t="shared" si="19"/>
        <v>0</v>
      </c>
      <c r="I80" s="107">
        <f t="shared" si="20"/>
        <v>0</v>
      </c>
      <c r="J80" s="75"/>
      <c r="L80" s="170"/>
      <c r="M80" s="395">
        <f>+[1]Tables!C78</f>
        <v>0</v>
      </c>
      <c r="N80" s="73"/>
      <c r="O80" s="73"/>
      <c r="P80" s="73"/>
      <c r="Q80" s="73"/>
    </row>
    <row r="81" spans="1:17" s="61" customFormat="1">
      <c r="A81" s="73" t="s">
        <v>1902</v>
      </c>
      <c r="B81" s="75">
        <f>IF($M81&gt;0,('Amounts Pivot Table'!D$241/$M81),0)</f>
        <v>7432.0933853154538</v>
      </c>
      <c r="C81" s="75">
        <f>IF($M81&gt;0,('Amounts Pivot Table'!D$244/$M81),0)</f>
        <v>0</v>
      </c>
      <c r="D81" s="75">
        <f>IF($M81&gt;0,('Amounts Pivot Table'!D$250/$M81),0)</f>
        <v>4914.1067135710018</v>
      </c>
      <c r="E81" s="75">
        <f>SUM(B81:D81)</f>
        <v>12346.200098886457</v>
      </c>
      <c r="F81" s="117">
        <f t="shared" si="17"/>
        <v>6</v>
      </c>
      <c r="G81" s="107">
        <f t="shared" si="18"/>
        <v>0</v>
      </c>
      <c r="H81" s="107">
        <f t="shared" si="19"/>
        <v>8</v>
      </c>
      <c r="I81" s="107">
        <f t="shared" si="20"/>
        <v>9</v>
      </c>
      <c r="J81" s="75"/>
      <c r="L81" s="170"/>
      <c r="M81" s="395">
        <f>+[1]Tables!C79</f>
        <v>29832.194444444445</v>
      </c>
      <c r="N81" s="73"/>
      <c r="O81" s="73"/>
      <c r="P81" s="73"/>
      <c r="Q81" s="73"/>
    </row>
    <row r="82" spans="1:17" s="61" customFormat="1">
      <c r="A82" s="73" t="s">
        <v>1905</v>
      </c>
      <c r="B82" s="75">
        <f>IF($M82&gt;0,('Amounts Pivot Table'!D$280/$M82),0)</f>
        <v>8900.7981198955804</v>
      </c>
      <c r="C82" s="75">
        <f>IF($M82&gt;0,('Amounts Pivot Table'!D$283/$M82),0)</f>
        <v>0</v>
      </c>
      <c r="D82" s="75">
        <f>IF($M82&gt;0,('Amounts Pivot Table'!D$289/$M82),0)</f>
        <v>8507.5636736967826</v>
      </c>
      <c r="E82" s="75">
        <f>SUM(B82:D82)</f>
        <v>17408.361793592361</v>
      </c>
      <c r="F82" s="117">
        <f t="shared" si="17"/>
        <v>3</v>
      </c>
      <c r="G82" s="107">
        <f t="shared" si="18"/>
        <v>0</v>
      </c>
      <c r="H82" s="107">
        <f t="shared" si="19"/>
        <v>1</v>
      </c>
      <c r="I82" s="107">
        <f t="shared" si="20"/>
        <v>2</v>
      </c>
      <c r="J82" s="75"/>
      <c r="L82" s="170"/>
      <c r="M82" s="395">
        <f>+[1]Tables!C80</f>
        <v>10276.025000000001</v>
      </c>
      <c r="N82" s="73"/>
      <c r="O82" s="73"/>
      <c r="P82" s="73"/>
      <c r="Q82" s="73"/>
    </row>
    <row r="83" spans="1:17" s="61" customFormat="1" ht="6.75" customHeight="1">
      <c r="A83" s="73"/>
      <c r="B83" s="75"/>
      <c r="C83" s="75"/>
      <c r="D83" s="75"/>
      <c r="E83" s="75"/>
      <c r="F83" s="117">
        <f t="shared" si="17"/>
        <v>0</v>
      </c>
      <c r="G83" s="107">
        <f t="shared" si="18"/>
        <v>0</v>
      </c>
      <c r="H83" s="107">
        <f t="shared" si="19"/>
        <v>0</v>
      </c>
      <c r="I83" s="107">
        <f t="shared" si="20"/>
        <v>0</v>
      </c>
      <c r="J83" s="75"/>
      <c r="L83" s="170"/>
      <c r="M83" s="395"/>
      <c r="N83" s="73"/>
      <c r="O83" s="73"/>
      <c r="P83" s="73"/>
      <c r="Q83" s="73"/>
    </row>
    <row r="84" spans="1:17" s="61" customFormat="1">
      <c r="A84" s="73" t="s">
        <v>1895</v>
      </c>
      <c r="B84" s="75">
        <f>IF($M84&gt;0,('Amounts Pivot Table'!D$319/$M84),0)</f>
        <v>6440.7566791974614</v>
      </c>
      <c r="C84" s="75">
        <f>IF($M84&gt;0,('Amounts Pivot Table'!D$322/$M84),0)</f>
        <v>314.21679561182327</v>
      </c>
      <c r="D84" s="75">
        <f>IF($M84&gt;0,('Amounts Pivot Table'!D$328/$M84),0)</f>
        <v>7243.5792785139847</v>
      </c>
      <c r="E84" s="75">
        <f>SUM(B84:D84)</f>
        <v>13998.552753323271</v>
      </c>
      <c r="F84" s="117">
        <f t="shared" si="17"/>
        <v>8</v>
      </c>
      <c r="G84" s="107">
        <f t="shared" si="18"/>
        <v>4</v>
      </c>
      <c r="H84" s="107">
        <f t="shared" si="19"/>
        <v>4</v>
      </c>
      <c r="I84" s="107">
        <f t="shared" si="20"/>
        <v>5</v>
      </c>
      <c r="J84" s="75"/>
      <c r="L84" s="170"/>
      <c r="M84" s="395">
        <f>+[1]Tables!C82</f>
        <v>20963.908333333336</v>
      </c>
      <c r="N84" s="73"/>
      <c r="O84" s="73"/>
      <c r="P84" s="73"/>
      <c r="Q84" s="73"/>
    </row>
    <row r="85" spans="1:17" s="61" customFormat="1">
      <c r="A85" s="73" t="s">
        <v>1896</v>
      </c>
      <c r="B85" s="75">
        <f>IF($M85&gt;0,('Amounts Pivot Table'!D$358/$M85),0)</f>
        <v>10188.300665100296</v>
      </c>
      <c r="C85" s="75">
        <f>IF($M85&gt;0,('Amounts Pivot Table'!D$361/$M85),0)</f>
        <v>0</v>
      </c>
      <c r="D85" s="75">
        <f>IF($M85&gt;0,('Amounts Pivot Table'!D$367/$M85),0)</f>
        <v>4323.069684996899</v>
      </c>
      <c r="E85" s="75">
        <f>SUM(B85:D85)</f>
        <v>14511.370350097195</v>
      </c>
      <c r="F85" s="117">
        <f t="shared" si="17"/>
        <v>2</v>
      </c>
      <c r="G85" s="107">
        <f t="shared" si="18"/>
        <v>0</v>
      </c>
      <c r="H85" s="107">
        <f t="shared" si="19"/>
        <v>9</v>
      </c>
      <c r="I85" s="107">
        <f t="shared" si="20"/>
        <v>4</v>
      </c>
      <c r="J85" s="75"/>
      <c r="L85" s="170"/>
      <c r="M85" s="395">
        <f>+[1]Tables!C83</f>
        <v>35457.058333333334</v>
      </c>
      <c r="N85" s="73"/>
      <c r="O85" s="73"/>
      <c r="P85" s="73"/>
      <c r="Q85" s="73"/>
    </row>
    <row r="86" spans="1:17" s="61" customFormat="1">
      <c r="A86" s="73" t="s">
        <v>1903</v>
      </c>
      <c r="B86" s="75">
        <f>IF($M86&gt;0,('Amounts Pivot Table'!D$397/$M86),0)</f>
        <v>0</v>
      </c>
      <c r="C86" s="75">
        <f>IF($M86&gt;0,('Amounts Pivot Table'!D$400/$M86),0)</f>
        <v>0</v>
      </c>
      <c r="D86" s="75">
        <f>IF($M86&gt;0,('Amounts Pivot Table'!D$406/$M86),0)</f>
        <v>0</v>
      </c>
      <c r="E86" s="75">
        <f>SUM(B86:D86)</f>
        <v>0</v>
      </c>
      <c r="F86" s="117">
        <f t="shared" si="17"/>
        <v>0</v>
      </c>
      <c r="G86" s="107">
        <f t="shared" si="18"/>
        <v>0</v>
      </c>
      <c r="H86" s="107">
        <f t="shared" si="19"/>
        <v>0</v>
      </c>
      <c r="I86" s="107">
        <f t="shared" si="20"/>
        <v>0</v>
      </c>
      <c r="J86" s="75"/>
      <c r="L86" s="170"/>
      <c r="M86" s="395">
        <f>+[1]Tables!C84</f>
        <v>0</v>
      </c>
      <c r="N86" s="73"/>
      <c r="O86" s="73"/>
      <c r="P86" s="73"/>
      <c r="Q86" s="73"/>
    </row>
    <row r="87" spans="1:17" s="61" customFormat="1">
      <c r="A87" s="73" t="s">
        <v>1897</v>
      </c>
      <c r="B87" s="75">
        <f>IF($M87&gt;0,('Amounts Pivot Table'!D$436/$M87),0)</f>
        <v>0</v>
      </c>
      <c r="C87" s="75">
        <f>IF($M87&gt;0,('Amounts Pivot Table'!D$439/$M87),0)</f>
        <v>0</v>
      </c>
      <c r="D87" s="75">
        <f>IF($M87&gt;0,('Amounts Pivot Table'!D$445/$M87),0)</f>
        <v>0</v>
      </c>
      <c r="E87" s="75">
        <f>SUM(B87:D87)</f>
        <v>0</v>
      </c>
      <c r="F87" s="117">
        <f t="shared" si="17"/>
        <v>0</v>
      </c>
      <c r="G87" s="107">
        <f t="shared" si="18"/>
        <v>0</v>
      </c>
      <c r="H87" s="107">
        <f t="shared" si="19"/>
        <v>0</v>
      </c>
      <c r="I87" s="107">
        <f t="shared" si="20"/>
        <v>0</v>
      </c>
      <c r="J87" s="75"/>
      <c r="L87" s="170"/>
      <c r="M87" s="395">
        <f>+[1]Tables!C85</f>
        <v>0</v>
      </c>
      <c r="N87" s="73"/>
      <c r="O87" s="73"/>
      <c r="P87" s="73"/>
      <c r="Q87" s="73"/>
    </row>
    <row r="88" spans="1:17" s="61" customFormat="1" ht="7.5" customHeight="1">
      <c r="A88" s="73"/>
      <c r="B88" s="75"/>
      <c r="C88" s="75"/>
      <c r="D88" s="75"/>
      <c r="E88" s="75"/>
      <c r="F88" s="117">
        <f t="shared" si="17"/>
        <v>0</v>
      </c>
      <c r="G88" s="107">
        <f t="shared" si="18"/>
        <v>0</v>
      </c>
      <c r="H88" s="107">
        <f t="shared" si="19"/>
        <v>0</v>
      </c>
      <c r="I88" s="107">
        <f t="shared" si="20"/>
        <v>0</v>
      </c>
      <c r="J88" s="101"/>
      <c r="K88" s="101"/>
      <c r="L88" s="170"/>
      <c r="M88" s="395"/>
      <c r="N88" s="73"/>
      <c r="O88" s="73"/>
      <c r="P88" s="73"/>
      <c r="Q88" s="73"/>
    </row>
    <row r="89" spans="1:17" s="61" customFormat="1">
      <c r="A89" s="73" t="s">
        <v>647</v>
      </c>
      <c r="B89" s="75">
        <f>IF($M89&gt;0,('Amounts Pivot Table'!D$475/$M89),0)</f>
        <v>6831.4567376229252</v>
      </c>
      <c r="C89" s="75">
        <f>IF($M89&gt;0,('Amounts Pivot Table'!D$478/$M89),0)</f>
        <v>0</v>
      </c>
      <c r="D89" s="75">
        <f>IF($M89&gt;0,('Amounts Pivot Table'!D$484/$M89),0)</f>
        <v>6603.8217314615704</v>
      </c>
      <c r="E89" s="75">
        <f>SUM(B89:D89)</f>
        <v>13435.278469084496</v>
      </c>
      <c r="F89" s="117">
        <f t="shared" si="17"/>
        <v>7</v>
      </c>
      <c r="G89" s="107">
        <f t="shared" si="18"/>
        <v>0</v>
      </c>
      <c r="H89" s="107">
        <f t="shared" si="19"/>
        <v>6</v>
      </c>
      <c r="I89" s="107">
        <f t="shared" si="20"/>
        <v>6</v>
      </c>
      <c r="J89" s="101"/>
      <c r="K89" s="101"/>
      <c r="L89" s="170"/>
      <c r="M89" s="395">
        <f>+[1]Tables!C87</f>
        <v>16554.8</v>
      </c>
      <c r="N89" s="73"/>
      <c r="O89" s="73"/>
      <c r="P89" s="73"/>
      <c r="Q89" s="73"/>
    </row>
    <row r="90" spans="1:17" s="61" customFormat="1">
      <c r="A90" s="73" t="s">
        <v>1898</v>
      </c>
      <c r="B90" s="75">
        <f>IF($M90&gt;0,('Amounts Pivot Table'!D$514/$M90),0)</f>
        <v>5987.2229846814562</v>
      </c>
      <c r="C90" s="75">
        <f>IF($M90&gt;0,('Amounts Pivot Table'!D$517/$M90),0)</f>
        <v>0</v>
      </c>
      <c r="D90" s="75">
        <f>IF($M90&gt;0,('Amounts Pivot Table'!D$523/$M90),0)</f>
        <v>6453.9867545705001</v>
      </c>
      <c r="E90" s="75">
        <f>SUM(B90:D90)</f>
        <v>12441.209739251957</v>
      </c>
      <c r="F90" s="117">
        <f t="shared" si="17"/>
        <v>10</v>
      </c>
      <c r="G90" s="107">
        <f t="shared" si="18"/>
        <v>0</v>
      </c>
      <c r="H90" s="107">
        <f t="shared" si="19"/>
        <v>7</v>
      </c>
      <c r="I90" s="107">
        <f t="shared" si="20"/>
        <v>8</v>
      </c>
      <c r="J90" s="101"/>
      <c r="K90" s="101"/>
      <c r="L90" s="170"/>
      <c r="M90" s="395">
        <f>+[1]Tables!C88</f>
        <v>25617.641666666663</v>
      </c>
      <c r="N90" s="73"/>
      <c r="O90" s="73"/>
      <c r="P90" s="73"/>
      <c r="Q90" s="73"/>
    </row>
    <row r="91" spans="1:17" s="76" customFormat="1" ht="14.25" customHeight="1">
      <c r="A91" s="73" t="s">
        <v>1899</v>
      </c>
      <c r="B91" s="75">
        <f>IF($M91&gt;0,('Amounts Pivot Table'!D$553/$M91),0)</f>
        <v>6048.0402031068315</v>
      </c>
      <c r="C91" s="75">
        <f>IF($M91&gt;0,('Amounts Pivot Table'!D$556/$M91),0)</f>
        <v>477.45733591839178</v>
      </c>
      <c r="D91" s="75">
        <f>IF($M91&gt;0,('Amounts Pivot Table'!D$562/$M91),0)</f>
        <v>6884.5650068626737</v>
      </c>
      <c r="E91" s="75">
        <f>SUM(B91:D91)</f>
        <v>13410.062545887897</v>
      </c>
      <c r="F91" s="117">
        <f t="shared" si="17"/>
        <v>9</v>
      </c>
      <c r="G91" s="107">
        <f t="shared" si="18"/>
        <v>3</v>
      </c>
      <c r="H91" s="107">
        <f t="shared" si="19"/>
        <v>5</v>
      </c>
      <c r="I91" s="107">
        <f t="shared" si="20"/>
        <v>7</v>
      </c>
      <c r="J91" s="101"/>
      <c r="K91" s="101"/>
      <c r="L91" s="171"/>
      <c r="M91" s="395">
        <f>+[1]Tables!C89</f>
        <v>51801.966666666667</v>
      </c>
      <c r="N91" s="90"/>
      <c r="O91" s="90"/>
      <c r="P91" s="90"/>
      <c r="Q91" s="90"/>
    </row>
    <row r="92" spans="1:17" s="61" customFormat="1">
      <c r="A92" s="74" t="s">
        <v>1904</v>
      </c>
      <c r="B92" s="104">
        <f>IF($M92&gt;0,('Amounts Pivot Table'!D$592/$M92),0)</f>
        <v>0</v>
      </c>
      <c r="C92" s="104">
        <f>IF($M92&gt;0,('Amounts Pivot Table'!D$595/$M92),0)</f>
        <v>0</v>
      </c>
      <c r="D92" s="104">
        <f>IF($M92&gt;0,('Amounts Pivot Table'!D$601/$M92),0)</f>
        <v>0</v>
      </c>
      <c r="E92" s="105">
        <f>SUM(B92:D92)</f>
        <v>0</v>
      </c>
      <c r="F92" s="118">
        <f t="shared" si="17"/>
        <v>0</v>
      </c>
      <c r="G92" s="119">
        <f t="shared" si="18"/>
        <v>0</v>
      </c>
      <c r="H92" s="119">
        <f t="shared" si="19"/>
        <v>0</v>
      </c>
      <c r="I92" s="119">
        <f t="shared" si="20"/>
        <v>0</v>
      </c>
      <c r="J92" s="101"/>
      <c r="K92" s="101"/>
      <c r="L92" s="172"/>
      <c r="M92" s="395">
        <f>+[1]Tables!C90</f>
        <v>0</v>
      </c>
      <c r="N92" s="73"/>
      <c r="O92" s="73"/>
      <c r="P92" s="73"/>
      <c r="Q92" s="73"/>
    </row>
    <row r="93" spans="1:17" s="61" customFormat="1" ht="39" customHeight="1">
      <c r="A93" s="1188" t="s">
        <v>275</v>
      </c>
      <c r="B93" s="1195"/>
      <c r="C93" s="1195"/>
      <c r="D93" s="1195"/>
      <c r="E93" s="1195"/>
      <c r="F93" s="1195"/>
      <c r="G93" s="1196"/>
      <c r="H93" s="1196"/>
      <c r="I93" s="1196"/>
      <c r="J93" s="101"/>
      <c r="K93" s="101"/>
      <c r="L93" s="173"/>
      <c r="M93" s="399"/>
      <c r="N93" s="73"/>
      <c r="O93" s="73"/>
      <c r="P93" s="73"/>
      <c r="Q93" s="73"/>
    </row>
    <row r="94" spans="1:17" s="76" customFormat="1" ht="22.5" customHeight="1">
      <c r="A94" s="1188" t="s">
        <v>453</v>
      </c>
      <c r="B94" s="1201"/>
      <c r="C94" s="1201"/>
      <c r="D94" s="1201"/>
      <c r="E94" s="1201"/>
      <c r="F94" s="1201"/>
      <c r="G94" s="1201"/>
      <c r="H94" s="1201"/>
      <c r="I94" s="1201"/>
      <c r="J94" s="106"/>
      <c r="L94" s="171"/>
      <c r="M94" s="395"/>
      <c r="N94" s="90"/>
      <c r="O94" s="90"/>
      <c r="P94" s="90"/>
      <c r="Q94" s="90"/>
    </row>
    <row r="95" spans="1:17" s="61" customFormat="1">
      <c r="A95" s="191" t="s">
        <v>1600</v>
      </c>
      <c r="B95" s="73"/>
      <c r="C95" s="73"/>
      <c r="D95" s="73"/>
      <c r="E95" s="73"/>
      <c r="F95" s="73"/>
      <c r="L95" s="173"/>
      <c r="M95" s="395"/>
      <c r="N95" s="73"/>
      <c r="O95" s="73"/>
      <c r="P95" s="73"/>
      <c r="Q95" s="73"/>
    </row>
    <row r="96" spans="1:17" s="61" customFormat="1">
      <c r="A96" s="191"/>
      <c r="B96" s="73"/>
      <c r="C96" s="73"/>
      <c r="D96" s="73"/>
      <c r="E96" s="73"/>
      <c r="F96" s="73"/>
      <c r="L96" s="173"/>
      <c r="M96" s="395"/>
      <c r="N96" s="73"/>
      <c r="O96" s="73"/>
      <c r="P96" s="73"/>
      <c r="Q96" s="73"/>
    </row>
    <row r="97" spans="1:17" s="61" customFormat="1">
      <c r="A97" s="191"/>
      <c r="B97" s="73"/>
      <c r="C97" s="73"/>
      <c r="D97" s="73"/>
      <c r="E97" s="73"/>
      <c r="F97" s="73"/>
      <c r="I97" s="805" t="s">
        <v>1931</v>
      </c>
      <c r="L97" s="173"/>
      <c r="M97" s="395"/>
      <c r="N97" s="73"/>
      <c r="O97" s="73"/>
      <c r="P97" s="73"/>
      <c r="Q97" s="73"/>
    </row>
    <row r="98" spans="1:17" s="61" customFormat="1" ht="15.75">
      <c r="A98" s="1173" t="s">
        <v>1494</v>
      </c>
      <c r="B98" s="1173"/>
      <c r="C98" s="1173"/>
      <c r="D98" s="1173"/>
      <c r="E98" s="1173"/>
      <c r="F98" s="1173"/>
      <c r="G98" s="1173"/>
      <c r="H98" s="1173"/>
      <c r="I98" s="1173"/>
      <c r="J98" s="101"/>
      <c r="K98" s="101"/>
      <c r="L98" s="172"/>
      <c r="M98" s="395"/>
      <c r="N98" s="73"/>
      <c r="O98" s="73"/>
      <c r="P98" s="73"/>
      <c r="Q98" s="73"/>
    </row>
    <row r="99" spans="1:17" s="61" customFormat="1" ht="18.75">
      <c r="A99" s="1173" t="s">
        <v>276</v>
      </c>
      <c r="B99" s="1173"/>
      <c r="C99" s="1173"/>
      <c r="D99" s="1173"/>
      <c r="E99" s="1173"/>
      <c r="F99" s="1173"/>
      <c r="G99" s="1173"/>
      <c r="H99" s="1173"/>
      <c r="I99" s="1173"/>
      <c r="J99" s="101"/>
      <c r="K99" s="101"/>
      <c r="L99" s="172"/>
      <c r="M99" s="395"/>
      <c r="N99" s="73"/>
      <c r="O99" s="73"/>
      <c r="P99" s="73"/>
      <c r="Q99" s="73"/>
    </row>
    <row r="100" spans="1:17" s="61" customFormat="1" ht="15.75">
      <c r="A100" s="1173" t="s">
        <v>108</v>
      </c>
      <c r="B100" s="1173"/>
      <c r="C100" s="1173"/>
      <c r="D100" s="1173"/>
      <c r="E100" s="1173"/>
      <c r="F100" s="1173"/>
      <c r="G100" s="1173"/>
      <c r="H100" s="1173"/>
      <c r="I100" s="1173"/>
      <c r="J100" s="91"/>
      <c r="K100" s="91"/>
      <c r="L100" s="167"/>
      <c r="M100" s="395"/>
      <c r="N100" s="73"/>
      <c r="O100" s="73"/>
      <c r="P100" s="73"/>
      <c r="Q100" s="73"/>
    </row>
    <row r="101" spans="1:17" s="61" customFormat="1" ht="9" customHeight="1">
      <c r="A101" s="91"/>
      <c r="B101" s="91"/>
      <c r="C101" s="91"/>
      <c r="D101" s="91"/>
      <c r="E101" s="91"/>
      <c r="F101" s="91"/>
      <c r="G101" s="108"/>
      <c r="H101" s="91"/>
      <c r="I101" s="91"/>
      <c r="J101" s="91"/>
      <c r="K101" s="91"/>
      <c r="L101" s="167"/>
      <c r="M101" s="395"/>
      <c r="N101" s="73"/>
      <c r="O101" s="73"/>
      <c r="P101" s="73"/>
      <c r="Q101" s="73"/>
    </row>
    <row r="102" spans="1:17" s="61" customFormat="1" ht="15.75" customHeight="1">
      <c r="A102" s="60"/>
      <c r="B102" s="109" t="s">
        <v>454</v>
      </c>
      <c r="C102" s="110"/>
      <c r="D102" s="110"/>
      <c r="E102" s="110"/>
      <c r="F102" s="57" t="s">
        <v>909</v>
      </c>
      <c r="G102" s="58"/>
      <c r="H102" s="58"/>
      <c r="I102" s="58"/>
      <c r="L102" s="167"/>
      <c r="M102" s="395"/>
      <c r="N102" s="73"/>
      <c r="O102" s="73"/>
      <c r="P102" s="73"/>
      <c r="Q102" s="73"/>
    </row>
    <row r="103" spans="1:17" s="6" customFormat="1" ht="45">
      <c r="A103" s="54"/>
      <c r="B103" s="51" t="s">
        <v>643</v>
      </c>
      <c r="C103" s="52" t="s">
        <v>645</v>
      </c>
      <c r="D103" s="52" t="s">
        <v>1835</v>
      </c>
      <c r="E103" s="52" t="s">
        <v>670</v>
      </c>
      <c r="F103" s="53" t="s">
        <v>643</v>
      </c>
      <c r="G103" s="52" t="s">
        <v>645</v>
      </c>
      <c r="H103" s="52" t="s">
        <v>1835</v>
      </c>
      <c r="I103" s="52" t="s">
        <v>670</v>
      </c>
      <c r="L103" s="174"/>
      <c r="M103" s="395" t="s">
        <v>1772</v>
      </c>
      <c r="N103" s="7"/>
      <c r="O103" s="7"/>
      <c r="P103" s="7"/>
      <c r="Q103" s="7"/>
    </row>
    <row r="104" spans="1:17" s="61" customFormat="1" ht="16.5" customHeight="1">
      <c r="A104" s="73" t="s">
        <v>455</v>
      </c>
      <c r="B104" s="102">
        <f>IF($M104&gt;0,('Amounts Pivot Table'!E$631/$M104),0)</f>
        <v>6180.4500535983561</v>
      </c>
      <c r="C104" s="102">
        <f>IF($M104&gt;0,('Amounts Pivot Table'!E$634/$M104),0)</f>
        <v>66.808841390115774</v>
      </c>
      <c r="D104" s="102">
        <f>IF($M104&gt;0,('Amounts Pivot Table'!E$640/$M104),0)</f>
        <v>5813.8766411098613</v>
      </c>
      <c r="E104" s="102">
        <f>SUM(B104:D104)</f>
        <v>12061.135536098333</v>
      </c>
      <c r="F104" s="115"/>
      <c r="G104" s="116"/>
      <c r="H104" s="116"/>
      <c r="I104" s="116"/>
      <c r="J104" s="102"/>
      <c r="L104" s="170"/>
      <c r="M104" s="395">
        <f>+[1]Tables!D70</f>
        <v>579402.1</v>
      </c>
      <c r="N104" s="73"/>
      <c r="O104" s="73"/>
      <c r="P104" s="73"/>
      <c r="Q104" s="73"/>
    </row>
    <row r="105" spans="1:17" s="113" customFormat="1">
      <c r="A105" s="111"/>
      <c r="B105" s="112"/>
      <c r="C105" s="112"/>
      <c r="D105" s="112"/>
      <c r="E105" s="112"/>
      <c r="F105" s="120"/>
      <c r="G105" s="121"/>
      <c r="H105" s="121"/>
      <c r="I105" s="121"/>
      <c r="J105" s="112"/>
      <c r="L105" s="177"/>
      <c r="M105" s="395">
        <f>+[1]Tables!D71</f>
        <v>0</v>
      </c>
      <c r="N105" s="111"/>
      <c r="O105" s="111"/>
      <c r="P105" s="111"/>
      <c r="Q105" s="111"/>
    </row>
    <row r="106" spans="1:17" s="61" customFormat="1" ht="12.75" customHeight="1">
      <c r="A106" s="73" t="s">
        <v>1892</v>
      </c>
      <c r="B106" s="75">
        <f>IF($M106&gt;0,('Amounts Pivot Table'!E$7/$M106),0)</f>
        <v>7159.7277570389679</v>
      </c>
      <c r="C106" s="75">
        <f>IF($M106&gt;0,('Amounts Pivot Table'!E$10/$M106),0)</f>
        <v>478.92254852547433</v>
      </c>
      <c r="D106" s="75">
        <f>IF($M106&gt;0,('Amounts Pivot Table'!E$16/$M106),0)</f>
        <v>8146.0023946335268</v>
      </c>
      <c r="E106" s="75">
        <f>SUM(B106:D106)</f>
        <v>15784.65270019797</v>
      </c>
      <c r="F106" s="117">
        <f>IF(B106&gt;0,RANK(B106,$B$106:$B$124),)</f>
        <v>3</v>
      </c>
      <c r="G106" s="107">
        <f>IF(C106&gt;0,RANK(C106,$C$106:$C$124),)</f>
        <v>1</v>
      </c>
      <c r="H106" s="107">
        <f>IF(D106&gt;0,RANK(D106,$D$106:$D$124),)</f>
        <v>2</v>
      </c>
      <c r="I106" s="107">
        <f>IF(E106&gt;0,RANK(E106,$E$106:$E$124),)</f>
        <v>1</v>
      </c>
      <c r="J106" s="75"/>
      <c r="L106" s="170"/>
      <c r="M106" s="395">
        <f>+[1]Tables!D72</f>
        <v>22452.983333333334</v>
      </c>
      <c r="N106" s="73"/>
      <c r="O106" s="73"/>
      <c r="P106" s="73"/>
      <c r="Q106" s="73"/>
    </row>
    <row r="107" spans="1:17" s="61" customFormat="1" ht="12.75" customHeight="1">
      <c r="A107" s="73" t="s">
        <v>1906</v>
      </c>
      <c r="B107" s="75">
        <f>IF($M107&gt;0,('Amounts Pivot Table'!E$46/$M107),0)</f>
        <v>5742.8331939152322</v>
      </c>
      <c r="C107" s="75">
        <f>IF($M107&gt;0,('Amounts Pivot Table'!E$49/$M107),0)</f>
        <v>117.30881187462873</v>
      </c>
      <c r="D107" s="75">
        <f>IF($M107&gt;0,('Amounts Pivot Table'!E$55/$M107),0)</f>
        <v>5825.7739876335272</v>
      </c>
      <c r="E107" s="75">
        <f>SUM(B107:D107)</f>
        <v>11685.915993423388</v>
      </c>
      <c r="F107" s="117">
        <f t="shared" ref="F107:F124" si="21">IF(B107&gt;0,RANK(B107,$B$106:$B$124),)</f>
        <v>6</v>
      </c>
      <c r="G107" s="107">
        <f t="shared" ref="G107:G124" si="22">IF(C107&gt;0,RANK(C107,$C$106:$C$124),)</f>
        <v>7</v>
      </c>
      <c r="H107" s="107">
        <f t="shared" ref="H107:H124" si="23">IF(D107&gt;0,RANK(D107,$D$106:$D$124),)</f>
        <v>9</v>
      </c>
      <c r="I107" s="107">
        <f t="shared" ref="I107:I124" si="24">IF(E107&gt;0,RANK(E107,$E$106:$E$124),)</f>
        <v>7</v>
      </c>
      <c r="J107" s="75"/>
      <c r="L107" s="170"/>
      <c r="M107" s="395">
        <f>+[1]Tables!D73</f>
        <v>30314.491666666665</v>
      </c>
      <c r="N107" s="73"/>
      <c r="O107" s="73"/>
      <c r="P107" s="73"/>
      <c r="Q107" s="73"/>
    </row>
    <row r="108" spans="1:17" s="61" customFormat="1" ht="12.75" customHeight="1">
      <c r="A108" s="73" t="s">
        <v>1893</v>
      </c>
      <c r="B108" s="75">
        <f>IF($M108&gt;0,('Amounts Pivot Table'!E$85/$M108),0)</f>
        <v>0</v>
      </c>
      <c r="C108" s="75">
        <f>IF($M108&gt;0,('Amounts Pivot Table'!E$88/$M108),0)</f>
        <v>0</v>
      </c>
      <c r="D108" s="75">
        <f>IF($M108&gt;0,('Amounts Pivot Table'!E$94/$M108),0)</f>
        <v>0</v>
      </c>
      <c r="E108" s="75">
        <f>SUM(B108:D108)</f>
        <v>0</v>
      </c>
      <c r="F108" s="117">
        <f t="shared" si="21"/>
        <v>0</v>
      </c>
      <c r="G108" s="107">
        <f t="shared" si="22"/>
        <v>0</v>
      </c>
      <c r="H108" s="107">
        <f t="shared" si="23"/>
        <v>0</v>
      </c>
      <c r="I108" s="107">
        <f t="shared" si="24"/>
        <v>0</v>
      </c>
      <c r="J108" s="75"/>
      <c r="L108" s="170"/>
      <c r="M108" s="395">
        <f>+[1]Tables!D74</f>
        <v>0</v>
      </c>
      <c r="N108" s="73"/>
      <c r="O108" s="73"/>
      <c r="P108" s="73"/>
      <c r="Q108" s="73"/>
    </row>
    <row r="109" spans="1:17" s="61" customFormat="1" ht="12.75" customHeight="1">
      <c r="A109" s="73" t="s">
        <v>1900</v>
      </c>
      <c r="B109" s="75">
        <f>IF($M109&gt;0,('Amounts Pivot Table'!E$124/$M109),0)</f>
        <v>8248.8273207418915</v>
      </c>
      <c r="C109" s="75">
        <f>IF($M109&gt;0,('Amounts Pivot Table'!E$127/$M109),0)</f>
        <v>248.10760118233301</v>
      </c>
      <c r="D109" s="75">
        <f>IF($M109&gt;0,('Amounts Pivot Table'!E$133/$M109),0)</f>
        <v>3935.9011997112307</v>
      </c>
      <c r="E109" s="75">
        <f>SUM(B109:D109)</f>
        <v>12432.836121635455</v>
      </c>
      <c r="F109" s="117">
        <f t="shared" si="21"/>
        <v>2</v>
      </c>
      <c r="G109" s="107">
        <f t="shared" si="22"/>
        <v>3</v>
      </c>
      <c r="H109" s="107">
        <f t="shared" si="23"/>
        <v>13</v>
      </c>
      <c r="I109" s="107">
        <f t="shared" si="24"/>
        <v>6</v>
      </c>
      <c r="J109" s="75"/>
      <c r="L109" s="170"/>
      <c r="M109" s="395">
        <f>+[1]Tables!D75</f>
        <v>32655.774999999998</v>
      </c>
      <c r="N109" s="73"/>
      <c r="O109" s="73"/>
      <c r="P109" s="73"/>
      <c r="Q109" s="73"/>
    </row>
    <row r="110" spans="1:17" s="113" customFormat="1">
      <c r="A110" s="111"/>
      <c r="B110" s="112"/>
      <c r="C110" s="112"/>
      <c r="D110" s="112"/>
      <c r="E110" s="112"/>
      <c r="F110" s="117">
        <f t="shared" si="21"/>
        <v>0</v>
      </c>
      <c r="G110" s="107">
        <f t="shared" si="22"/>
        <v>0</v>
      </c>
      <c r="H110" s="107">
        <f t="shared" si="23"/>
        <v>0</v>
      </c>
      <c r="I110" s="107">
        <f t="shared" si="24"/>
        <v>0</v>
      </c>
      <c r="J110" s="112"/>
      <c r="L110" s="177"/>
      <c r="M110" s="395"/>
      <c r="N110" s="111"/>
      <c r="O110" s="111"/>
      <c r="P110" s="111"/>
      <c r="Q110" s="111"/>
    </row>
    <row r="111" spans="1:17" s="61" customFormat="1" ht="12.75" customHeight="1">
      <c r="A111" s="73" t="s">
        <v>1901</v>
      </c>
      <c r="B111" s="75">
        <f>IF($M111&gt;0,('Amounts Pivot Table'!E$163/$M111),0)</f>
        <v>5152.8787871537397</v>
      </c>
      <c r="C111" s="75">
        <f>IF($M111&gt;0,('Amounts Pivot Table'!E$166/$M111),0)</f>
        <v>0</v>
      </c>
      <c r="D111" s="75">
        <f>IF($M111&gt;0,('Amounts Pivot Table'!E$172/$M111),0)</f>
        <v>3616.1061028556746</v>
      </c>
      <c r="E111" s="75">
        <f>SUM(B111:D111)</f>
        <v>8768.9848900094148</v>
      </c>
      <c r="F111" s="117">
        <f t="shared" si="21"/>
        <v>9</v>
      </c>
      <c r="G111" s="107">
        <f t="shared" si="22"/>
        <v>0</v>
      </c>
      <c r="H111" s="107">
        <f t="shared" si="23"/>
        <v>14</v>
      </c>
      <c r="I111" s="107">
        <f t="shared" si="24"/>
        <v>14</v>
      </c>
      <c r="J111" s="75"/>
      <c r="L111" s="170"/>
      <c r="M111" s="395">
        <f>+[1]Tables!D77</f>
        <v>36570.174999999996</v>
      </c>
      <c r="N111" s="73"/>
      <c r="O111" s="73"/>
      <c r="P111" s="73"/>
      <c r="Q111" s="73"/>
    </row>
    <row r="112" spans="1:17" s="61" customFormat="1" ht="12.75" customHeight="1">
      <c r="A112" s="73" t="s">
        <v>1894</v>
      </c>
      <c r="B112" s="75">
        <f>IF($M112&gt;0,('Amounts Pivot Table'!E$202/$M112),0)</f>
        <v>5112.5710520956454</v>
      </c>
      <c r="C112" s="75">
        <f>IF($M112&gt;0,('Amounts Pivot Table'!E$205/$M112),0)</f>
        <v>134.90190916144903</v>
      </c>
      <c r="D112" s="75">
        <f>IF($M112&gt;0,('Amounts Pivot Table'!E$211/$M112),0)</f>
        <v>8124.9307349584533</v>
      </c>
      <c r="E112" s="75">
        <f>SUM(B112:D112)</f>
        <v>13372.403696215548</v>
      </c>
      <c r="F112" s="117">
        <f t="shared" si="21"/>
        <v>10</v>
      </c>
      <c r="G112" s="107">
        <f t="shared" si="22"/>
        <v>5</v>
      </c>
      <c r="H112" s="107">
        <f t="shared" si="23"/>
        <v>3</v>
      </c>
      <c r="I112" s="107">
        <f t="shared" si="24"/>
        <v>4</v>
      </c>
      <c r="J112" s="75"/>
      <c r="L112" s="170"/>
      <c r="M112" s="395">
        <f>+[1]Tables!D78</f>
        <v>38995.741666666669</v>
      </c>
      <c r="N112" s="73"/>
      <c r="O112" s="73"/>
      <c r="P112" s="73"/>
      <c r="Q112" s="73"/>
    </row>
    <row r="113" spans="1:17" s="61" customFormat="1" ht="12.75" customHeight="1">
      <c r="A113" s="73" t="s">
        <v>1902</v>
      </c>
      <c r="B113" s="75">
        <f>IF($M113&gt;0,('Amounts Pivot Table'!E$241/$M113),0)</f>
        <v>6700.0580526973408</v>
      </c>
      <c r="C113" s="75">
        <f>IF($M113&gt;0,('Amounts Pivot Table'!E$244/$M113),0)</f>
        <v>197.01087027602497</v>
      </c>
      <c r="D113" s="75">
        <f>IF($M113&gt;0,('Amounts Pivot Table'!E$250/$M113),0)</f>
        <v>3992.0405200503278</v>
      </c>
      <c r="E113" s="75">
        <f>SUM(B113:D113)</f>
        <v>10889.109443023694</v>
      </c>
      <c r="F113" s="117">
        <f t="shared" si="21"/>
        <v>5</v>
      </c>
      <c r="G113" s="107">
        <f t="shared" si="22"/>
        <v>4</v>
      </c>
      <c r="H113" s="107">
        <f t="shared" si="23"/>
        <v>12</v>
      </c>
      <c r="I113" s="107">
        <f t="shared" si="24"/>
        <v>10</v>
      </c>
      <c r="J113" s="75"/>
      <c r="L113" s="170"/>
      <c r="M113" s="395">
        <f>+[1]Tables!D79</f>
        <v>28672.224999999999</v>
      </c>
      <c r="N113" s="73"/>
      <c r="O113" s="73"/>
      <c r="P113" s="73"/>
      <c r="Q113" s="73"/>
    </row>
    <row r="114" spans="1:17" s="61" customFormat="1" ht="12.75" customHeight="1">
      <c r="A114" s="73" t="s">
        <v>1905</v>
      </c>
      <c r="B114" s="75">
        <f>IF($M114&gt;0,('Amounts Pivot Table'!E$280/$M114),0)</f>
        <v>6884.9785072077893</v>
      </c>
      <c r="C114" s="75">
        <f>IF($M114&gt;0,('Amounts Pivot Table'!E$283/$M114),0)</f>
        <v>0</v>
      </c>
      <c r="D114" s="75">
        <f>IF($M114&gt;0,('Amounts Pivot Table'!E$289/$M114),0)</f>
        <v>7765.7353077317402</v>
      </c>
      <c r="E114" s="75">
        <f>SUM(B114:D114)</f>
        <v>14650.713814939529</v>
      </c>
      <c r="F114" s="117">
        <f t="shared" si="21"/>
        <v>4</v>
      </c>
      <c r="G114" s="107">
        <f t="shared" si="22"/>
        <v>0</v>
      </c>
      <c r="H114" s="107">
        <f t="shared" si="23"/>
        <v>4</v>
      </c>
      <c r="I114" s="107">
        <f t="shared" si="24"/>
        <v>2</v>
      </c>
      <c r="J114" s="75"/>
      <c r="L114" s="170"/>
      <c r="M114" s="395">
        <f>+[1]Tables!D80</f>
        <v>24124.366666666665</v>
      </c>
      <c r="N114" s="73"/>
      <c r="O114" s="73"/>
      <c r="P114" s="73"/>
      <c r="Q114" s="73"/>
    </row>
    <row r="115" spans="1:17" s="113" customFormat="1">
      <c r="A115" s="111"/>
      <c r="B115" s="112"/>
      <c r="C115" s="112"/>
      <c r="D115" s="112"/>
      <c r="E115" s="112"/>
      <c r="F115" s="117">
        <f t="shared" si="21"/>
        <v>0</v>
      </c>
      <c r="G115" s="107">
        <f t="shared" si="22"/>
        <v>0</v>
      </c>
      <c r="H115" s="107">
        <f t="shared" si="23"/>
        <v>0</v>
      </c>
      <c r="I115" s="107">
        <f t="shared" si="24"/>
        <v>0</v>
      </c>
      <c r="J115" s="112"/>
      <c r="L115" s="177"/>
      <c r="M115" s="395"/>
      <c r="N115" s="111"/>
      <c r="O115" s="111"/>
      <c r="P115" s="111"/>
      <c r="Q115" s="111"/>
    </row>
    <row r="116" spans="1:17" s="61" customFormat="1" ht="12.75" customHeight="1">
      <c r="A116" s="73" t="s">
        <v>1895</v>
      </c>
      <c r="B116" s="75">
        <f>IF($M116&gt;0,('Amounts Pivot Table'!E$319/$M116),0)</f>
        <v>0</v>
      </c>
      <c r="C116" s="75">
        <f>IF($M116&gt;0,('Amounts Pivot Table'!E$322/$M116),0)</f>
        <v>0</v>
      </c>
      <c r="D116" s="75">
        <f>IF($M116&gt;0,('Amounts Pivot Table'!E$328/$M116),0)</f>
        <v>0</v>
      </c>
      <c r="E116" s="75">
        <f>SUM(B116:D116)</f>
        <v>0</v>
      </c>
      <c r="F116" s="117">
        <f t="shared" si="21"/>
        <v>0</v>
      </c>
      <c r="G116" s="107">
        <f t="shared" si="22"/>
        <v>0</v>
      </c>
      <c r="H116" s="107">
        <f t="shared" si="23"/>
        <v>0</v>
      </c>
      <c r="I116" s="107">
        <f t="shared" si="24"/>
        <v>0</v>
      </c>
      <c r="J116" s="75"/>
      <c r="L116" s="170"/>
      <c r="M116" s="395">
        <f>+[1]Tables!D82</f>
        <v>0</v>
      </c>
      <c r="N116" s="73"/>
      <c r="O116" s="73"/>
      <c r="P116" s="73"/>
      <c r="Q116" s="73"/>
    </row>
    <row r="117" spans="1:17" s="61" customFormat="1" ht="12.75" customHeight="1">
      <c r="A117" s="73" t="s">
        <v>1896</v>
      </c>
      <c r="B117" s="75">
        <f>IF($M117&gt;0,('Amounts Pivot Table'!E$358/$M117),0)</f>
        <v>9923.3909640241091</v>
      </c>
      <c r="C117" s="75">
        <f>IF($M117&gt;0,('Amounts Pivot Table'!E$361/$M117),0)</f>
        <v>0</v>
      </c>
      <c r="D117" s="75">
        <f>IF($M117&gt;0,('Amounts Pivot Table'!E$367/$M117),0)</f>
        <v>4257.1005608229943</v>
      </c>
      <c r="E117" s="75">
        <f>SUM(B117:D117)</f>
        <v>14180.491524847104</v>
      </c>
      <c r="F117" s="117">
        <f t="shared" si="21"/>
        <v>1</v>
      </c>
      <c r="G117" s="107">
        <f t="shared" si="22"/>
        <v>0</v>
      </c>
      <c r="H117" s="107">
        <f t="shared" si="23"/>
        <v>11</v>
      </c>
      <c r="I117" s="107">
        <f t="shared" si="24"/>
        <v>3</v>
      </c>
      <c r="J117" s="75"/>
      <c r="L117" s="170"/>
      <c r="M117" s="395">
        <f>+[1]Tables!D83</f>
        <v>76423.399999999994</v>
      </c>
      <c r="N117" s="73"/>
      <c r="O117" s="73"/>
      <c r="P117" s="73"/>
      <c r="Q117" s="73"/>
    </row>
    <row r="118" spans="1:17" s="61" customFormat="1" ht="12.75" customHeight="1">
      <c r="A118" s="73" t="s">
        <v>1903</v>
      </c>
      <c r="B118" s="75">
        <f>IF($M118&gt;0,('Amounts Pivot Table'!E$397/$M118),0)</f>
        <v>5179.1945857719556</v>
      </c>
      <c r="C118" s="75">
        <f>IF($M118&gt;0,('Amounts Pivot Table'!E$400/$M118),0)</f>
        <v>0</v>
      </c>
      <c r="D118" s="75">
        <f>IF($M118&gt;0,('Amounts Pivot Table'!E$406/$M118),0)</f>
        <v>4744.1931854005979</v>
      </c>
      <c r="E118" s="75">
        <f>SUM(B118:D118)</f>
        <v>9923.3877711725545</v>
      </c>
      <c r="F118" s="117">
        <f t="shared" si="21"/>
        <v>8</v>
      </c>
      <c r="G118" s="107">
        <f t="shared" si="22"/>
        <v>0</v>
      </c>
      <c r="H118" s="107">
        <f t="shared" si="23"/>
        <v>10</v>
      </c>
      <c r="I118" s="107">
        <f t="shared" si="24"/>
        <v>13</v>
      </c>
      <c r="J118" s="75"/>
      <c r="L118" s="170"/>
      <c r="M118" s="395">
        <f>+[1]Tables!D84</f>
        <v>18477.241666666669</v>
      </c>
      <c r="N118" s="73"/>
      <c r="O118" s="73"/>
      <c r="P118" s="73"/>
      <c r="Q118" s="73"/>
    </row>
    <row r="119" spans="1:17" s="61" customFormat="1" ht="12.75" customHeight="1">
      <c r="A119" s="73" t="s">
        <v>1897</v>
      </c>
      <c r="B119" s="75">
        <f>IF($M119&gt;0,('Amounts Pivot Table'!E$436/$M119),0)</f>
        <v>2785.6436097550136</v>
      </c>
      <c r="C119" s="75">
        <f>IF($M119&gt;0,('Amounts Pivot Table'!E$439/$M119),0)</f>
        <v>120.78301582944749</v>
      </c>
      <c r="D119" s="75">
        <f>IF($M119&gt;0,('Amounts Pivot Table'!E$445/$M119),0)</f>
        <v>9919.9058197851427</v>
      </c>
      <c r="E119" s="75">
        <f>SUM(B119:D119)</f>
        <v>12826.332445369604</v>
      </c>
      <c r="F119" s="117">
        <f t="shared" si="21"/>
        <v>14</v>
      </c>
      <c r="G119" s="107">
        <f t="shared" si="22"/>
        <v>6</v>
      </c>
      <c r="H119" s="107">
        <f t="shared" si="23"/>
        <v>1</v>
      </c>
      <c r="I119" s="107">
        <f t="shared" si="24"/>
        <v>5</v>
      </c>
      <c r="J119" s="75"/>
      <c r="L119" s="170"/>
      <c r="M119" s="395">
        <f>+[1]Tables!D85</f>
        <v>15757.025000000001</v>
      </c>
      <c r="N119" s="73"/>
      <c r="O119" s="73"/>
      <c r="P119" s="73"/>
      <c r="Q119" s="73"/>
    </row>
    <row r="120" spans="1:17" s="113" customFormat="1">
      <c r="A120" s="111"/>
      <c r="B120" s="112"/>
      <c r="C120" s="112"/>
      <c r="D120" s="112"/>
      <c r="E120" s="112"/>
      <c r="F120" s="117">
        <f t="shared" si="21"/>
        <v>0</v>
      </c>
      <c r="G120" s="107">
        <f t="shared" si="22"/>
        <v>0</v>
      </c>
      <c r="H120" s="107">
        <f t="shared" si="23"/>
        <v>0</v>
      </c>
      <c r="I120" s="107">
        <f t="shared" si="24"/>
        <v>0</v>
      </c>
      <c r="J120" s="112"/>
      <c r="L120" s="177"/>
      <c r="M120" s="395"/>
      <c r="N120" s="111"/>
      <c r="O120" s="111"/>
      <c r="P120" s="111"/>
      <c r="Q120" s="111"/>
    </row>
    <row r="121" spans="1:17" s="61" customFormat="1" ht="12.75" customHeight="1">
      <c r="A121" s="73" t="s">
        <v>647</v>
      </c>
      <c r="B121" s="75">
        <f>IF($M121&gt;0,('Amounts Pivot Table'!E$475/$M121),0)</f>
        <v>4778.4329137289569</v>
      </c>
      <c r="C121" s="75">
        <f>IF($M121&gt;0,('Amounts Pivot Table'!E$478/$M121),0)</f>
        <v>10.438297132182813</v>
      </c>
      <c r="D121" s="75">
        <f>IF($M121&gt;0,('Amounts Pivot Table'!E$484/$M121),0)</f>
        <v>5872.8203562355038</v>
      </c>
      <c r="E121" s="75">
        <f>SUM(B121:D121)</f>
        <v>10661.691567096645</v>
      </c>
      <c r="F121" s="117">
        <f t="shared" si="21"/>
        <v>11</v>
      </c>
      <c r="G121" s="107">
        <f t="shared" si="22"/>
        <v>8</v>
      </c>
      <c r="H121" s="107">
        <f t="shared" si="23"/>
        <v>8</v>
      </c>
      <c r="I121" s="107">
        <f t="shared" si="24"/>
        <v>12</v>
      </c>
      <c r="J121" s="75"/>
      <c r="L121" s="170"/>
      <c r="M121" s="395">
        <f>+[1]Tables!D87</f>
        <v>48197.51666666667</v>
      </c>
      <c r="N121" s="73"/>
      <c r="O121" s="73"/>
      <c r="P121" s="73"/>
      <c r="Q121" s="73"/>
    </row>
    <row r="122" spans="1:17" s="61" customFormat="1" ht="12.75" customHeight="1">
      <c r="A122" s="73" t="s">
        <v>1898</v>
      </c>
      <c r="B122" s="75">
        <f>IF($M122&gt;0,('Amounts Pivot Table'!E$514/$M122),0)</f>
        <v>5492.358330017868</v>
      </c>
      <c r="C122" s="75">
        <f>IF($M122&gt;0,('Amounts Pivot Table'!E$517/$M122),0)</f>
        <v>0</v>
      </c>
      <c r="D122" s="75">
        <f>IF($M122&gt;0,('Amounts Pivot Table'!E$523/$M122),0)</f>
        <v>6103.6634575319958</v>
      </c>
      <c r="E122" s="75">
        <f>SUM(B122:D122)</f>
        <v>11596.021787549864</v>
      </c>
      <c r="F122" s="117">
        <f t="shared" si="21"/>
        <v>7</v>
      </c>
      <c r="G122" s="107">
        <f t="shared" si="22"/>
        <v>0</v>
      </c>
      <c r="H122" s="107">
        <f t="shared" si="23"/>
        <v>6</v>
      </c>
      <c r="I122" s="107">
        <f t="shared" si="24"/>
        <v>8</v>
      </c>
      <c r="J122" s="75"/>
      <c r="K122" s="75"/>
      <c r="L122" s="170"/>
      <c r="M122" s="395">
        <f>+[1]Tables!D88</f>
        <v>169177.65833333333</v>
      </c>
      <c r="N122" s="73"/>
      <c r="O122" s="73"/>
      <c r="P122" s="73"/>
      <c r="Q122" s="73"/>
    </row>
    <row r="123" spans="1:17" s="76" customFormat="1" ht="12.75" customHeight="1">
      <c r="A123" s="73" t="s">
        <v>1899</v>
      </c>
      <c r="B123" s="75">
        <f>IF($M123&gt;0,('Amounts Pivot Table'!E$553/$M123),0)</f>
        <v>4715.9398164140848</v>
      </c>
      <c r="C123" s="75">
        <f>IF($M123&gt;0,('Amounts Pivot Table'!E$556/$M123),0)</f>
        <v>0</v>
      </c>
      <c r="D123" s="75">
        <f>IF($M123&gt;0,('Amounts Pivot Table'!E$562/$M123),0)</f>
        <v>6698.1824876019236</v>
      </c>
      <c r="E123" s="75">
        <f>SUM(B123:D123)</f>
        <v>11414.122304016008</v>
      </c>
      <c r="F123" s="117">
        <f t="shared" si="21"/>
        <v>12</v>
      </c>
      <c r="G123" s="107">
        <f t="shared" si="22"/>
        <v>0</v>
      </c>
      <c r="H123" s="107">
        <f t="shared" si="23"/>
        <v>5</v>
      </c>
      <c r="I123" s="107">
        <f t="shared" si="24"/>
        <v>9</v>
      </c>
      <c r="J123" s="75"/>
      <c r="K123" s="75"/>
      <c r="L123" s="171"/>
      <c r="M123" s="395">
        <f>+[1]Tables!D89</f>
        <v>26753.141666666666</v>
      </c>
      <c r="N123" s="90"/>
      <c r="O123" s="90"/>
      <c r="P123" s="90"/>
      <c r="Q123" s="90"/>
    </row>
    <row r="124" spans="1:17" s="61" customFormat="1" ht="12.75" customHeight="1">
      <c r="A124" s="74" t="s">
        <v>1904</v>
      </c>
      <c r="B124" s="104">
        <f>IF($M124&gt;0,('Amounts Pivot Table'!E$592/$M124),0)</f>
        <v>4349.3470437650958</v>
      </c>
      <c r="C124" s="104">
        <f>IF($M124&gt;0,('Amounts Pivot Table'!E$595/$M124),0)</f>
        <v>275.33890460688048</v>
      </c>
      <c r="D124" s="104">
        <f>IF($M124&gt;0,('Amounts Pivot Table'!E$601/$M124),0)</f>
        <v>6046.4624516117119</v>
      </c>
      <c r="E124" s="105">
        <f>SUM(B124:D124)</f>
        <v>10671.148399983689</v>
      </c>
      <c r="F124" s="118">
        <f t="shared" si="21"/>
        <v>13</v>
      </c>
      <c r="G124" s="119">
        <f t="shared" si="22"/>
        <v>2</v>
      </c>
      <c r="H124" s="119">
        <f t="shared" si="23"/>
        <v>7</v>
      </c>
      <c r="I124" s="119">
        <f t="shared" si="24"/>
        <v>11</v>
      </c>
      <c r="J124" s="75"/>
      <c r="K124" s="75"/>
      <c r="L124" s="172"/>
      <c r="M124" s="395">
        <f>+[1]Tables!D90</f>
        <v>10830.358333333334</v>
      </c>
      <c r="N124" s="73"/>
      <c r="O124" s="73"/>
      <c r="P124" s="73"/>
      <c r="Q124" s="73"/>
    </row>
    <row r="125" spans="1:17" s="61" customFormat="1" ht="41.25" customHeight="1">
      <c r="A125" s="1188" t="s">
        <v>275</v>
      </c>
      <c r="B125" s="1195"/>
      <c r="C125" s="1195"/>
      <c r="D125" s="1195"/>
      <c r="E125" s="1195"/>
      <c r="F125" s="1195"/>
      <c r="G125" s="1196"/>
      <c r="H125" s="1196"/>
      <c r="I125" s="1196"/>
      <c r="J125" s="75"/>
      <c r="K125" s="75"/>
      <c r="L125" s="173"/>
      <c r="M125" s="399"/>
      <c r="N125" s="73"/>
      <c r="O125" s="73"/>
      <c r="P125" s="73"/>
      <c r="Q125" s="73"/>
    </row>
    <row r="126" spans="1:17" s="76" customFormat="1" ht="22.5" customHeight="1">
      <c r="A126" s="1188" t="s">
        <v>453</v>
      </c>
      <c r="B126" s="1201"/>
      <c r="C126" s="1201"/>
      <c r="D126" s="1201"/>
      <c r="E126" s="1201"/>
      <c r="F126" s="1201"/>
      <c r="G126" s="1201"/>
      <c r="H126" s="1201"/>
      <c r="I126" s="1201"/>
      <c r="J126" s="106"/>
      <c r="L126" s="171"/>
      <c r="M126" s="395"/>
      <c r="N126" s="90"/>
      <c r="O126" s="90"/>
      <c r="P126" s="90"/>
      <c r="Q126" s="90"/>
    </row>
    <row r="127" spans="1:17" s="61" customFormat="1">
      <c r="A127" s="191" t="s">
        <v>1600</v>
      </c>
      <c r="B127" s="73"/>
      <c r="C127" s="73"/>
      <c r="D127" s="73"/>
      <c r="E127" s="73"/>
      <c r="F127" s="73"/>
      <c r="L127" s="173"/>
      <c r="M127" s="395"/>
      <c r="N127" s="73"/>
      <c r="O127" s="73"/>
      <c r="P127" s="73"/>
      <c r="Q127" s="73"/>
    </row>
    <row r="128" spans="1:17" s="61" customFormat="1">
      <c r="A128" s="191"/>
      <c r="B128" s="73"/>
      <c r="C128" s="73"/>
      <c r="D128" s="73"/>
      <c r="E128" s="73"/>
      <c r="F128" s="73"/>
      <c r="L128" s="173"/>
      <c r="M128" s="395"/>
      <c r="N128" s="73"/>
      <c r="O128" s="73"/>
      <c r="P128" s="73"/>
      <c r="Q128" s="73"/>
    </row>
    <row r="129" spans="1:17" s="61" customFormat="1" ht="17.25" customHeight="1">
      <c r="A129" s="189"/>
      <c r="B129" s="106"/>
      <c r="C129" s="106"/>
      <c r="D129" s="106"/>
      <c r="E129" s="106"/>
      <c r="F129" s="106"/>
      <c r="G129" s="190"/>
      <c r="H129" s="190"/>
      <c r="I129" s="805" t="s">
        <v>2058</v>
      </c>
      <c r="J129" s="190"/>
      <c r="K129" s="190"/>
      <c r="L129" s="173"/>
      <c r="M129" s="395"/>
      <c r="N129" s="73"/>
      <c r="O129" s="73"/>
      <c r="P129" s="73"/>
      <c r="Q129" s="73"/>
    </row>
    <row r="130" spans="1:17" s="61" customFormat="1" ht="15.75">
      <c r="A130" s="1173" t="s">
        <v>1495</v>
      </c>
      <c r="B130" s="1173"/>
      <c r="C130" s="1173"/>
      <c r="D130" s="1173"/>
      <c r="E130" s="1173"/>
      <c r="F130" s="1173"/>
      <c r="G130" s="1173"/>
      <c r="H130" s="1173"/>
      <c r="I130" s="1173"/>
      <c r="J130" s="101"/>
      <c r="K130" s="101"/>
      <c r="L130" s="172"/>
      <c r="M130" s="395"/>
      <c r="N130" s="73"/>
      <c r="O130" s="73"/>
      <c r="P130" s="73"/>
      <c r="Q130" s="73"/>
    </row>
    <row r="131" spans="1:17" s="61" customFormat="1" ht="18.75">
      <c r="A131" s="1173" t="s">
        <v>276</v>
      </c>
      <c r="B131" s="1173"/>
      <c r="C131" s="1173"/>
      <c r="D131" s="1173"/>
      <c r="E131" s="1173"/>
      <c r="F131" s="1173"/>
      <c r="G131" s="1173"/>
      <c r="H131" s="1173"/>
      <c r="I131" s="1173"/>
      <c r="J131" s="101"/>
      <c r="K131" s="101"/>
      <c r="L131" s="167"/>
      <c r="M131" s="395"/>
      <c r="N131" s="73"/>
      <c r="O131" s="73"/>
      <c r="P131" s="73"/>
      <c r="Q131" s="73"/>
    </row>
    <row r="132" spans="1:17" s="61" customFormat="1" ht="15.75">
      <c r="A132" s="1173" t="s">
        <v>109</v>
      </c>
      <c r="B132" s="1173"/>
      <c r="C132" s="1173"/>
      <c r="D132" s="1173"/>
      <c r="E132" s="1173"/>
      <c r="F132" s="1173"/>
      <c r="G132" s="1173"/>
      <c r="H132" s="1173"/>
      <c r="I132" s="1173"/>
      <c r="J132" s="91"/>
      <c r="K132" s="91"/>
      <c r="L132" s="167"/>
      <c r="M132" s="395"/>
      <c r="N132" s="73"/>
      <c r="O132" s="73"/>
      <c r="P132" s="73"/>
      <c r="Q132" s="73"/>
    </row>
    <row r="133" spans="1:17" s="61" customFormat="1" ht="15" customHeight="1">
      <c r="A133" s="91"/>
      <c r="B133" s="91"/>
      <c r="C133" s="91"/>
      <c r="D133" s="91"/>
      <c r="E133" s="91"/>
      <c r="F133" s="91"/>
      <c r="G133" s="108"/>
      <c r="H133" s="91"/>
      <c r="I133" s="91"/>
      <c r="J133" s="91"/>
      <c r="K133" s="91"/>
      <c r="L133" s="167"/>
      <c r="M133" s="398"/>
      <c r="N133" s="73"/>
      <c r="O133" s="73"/>
      <c r="P133" s="73"/>
      <c r="Q133" s="73"/>
    </row>
    <row r="134" spans="1:17" s="61" customFormat="1" ht="15.75">
      <c r="A134" s="60"/>
      <c r="B134" s="109" t="s">
        <v>454</v>
      </c>
      <c r="C134" s="110"/>
      <c r="D134" s="110"/>
      <c r="E134" s="110"/>
      <c r="F134" s="57" t="s">
        <v>909</v>
      </c>
      <c r="G134" s="58"/>
      <c r="H134" s="58"/>
      <c r="I134" s="58"/>
      <c r="L134" s="175"/>
      <c r="M134" s="395"/>
      <c r="N134" s="73"/>
      <c r="O134" s="73"/>
      <c r="P134" s="73"/>
      <c r="Q134" s="73"/>
    </row>
    <row r="135" spans="1:17" s="6" customFormat="1" ht="45">
      <c r="A135" s="50"/>
      <c r="B135" s="51" t="s">
        <v>643</v>
      </c>
      <c r="C135" s="52" t="s">
        <v>645</v>
      </c>
      <c r="D135" s="52" t="s">
        <v>1835</v>
      </c>
      <c r="E135" s="52" t="s">
        <v>670</v>
      </c>
      <c r="F135" s="53" t="s">
        <v>643</v>
      </c>
      <c r="G135" s="52" t="s">
        <v>645</v>
      </c>
      <c r="H135" s="52" t="s">
        <v>1835</v>
      </c>
      <c r="I135" s="52" t="s">
        <v>670</v>
      </c>
      <c r="L135" s="169"/>
      <c r="M135" s="397" t="s">
        <v>1772</v>
      </c>
      <c r="N135" s="7"/>
      <c r="O135" s="7"/>
      <c r="P135" s="7"/>
      <c r="Q135" s="7"/>
    </row>
    <row r="136" spans="1:17" s="61" customFormat="1" ht="14.25">
      <c r="A136" s="73" t="s">
        <v>455</v>
      </c>
      <c r="B136" s="102">
        <f>IF($M136&gt;0,('Amounts Pivot Table'!F$631/$M136),0)</f>
        <v>5673.9647817696532</v>
      </c>
      <c r="C136" s="102">
        <f>IF($M136&gt;0,('Amounts Pivot Table'!F$634/$M136),0)</f>
        <v>86.796190623413082</v>
      </c>
      <c r="D136" s="102">
        <f>IF($M136&gt;0,('Amounts Pivot Table'!F$640/$M136),0)</f>
        <v>4866.7005128535566</v>
      </c>
      <c r="E136" s="102">
        <f>SUM(B136:D136)</f>
        <v>10627.461485246622</v>
      </c>
      <c r="F136" s="115"/>
      <c r="G136" s="116"/>
      <c r="H136" s="116"/>
      <c r="I136" s="116"/>
      <c r="J136" s="102"/>
      <c r="L136" s="170"/>
      <c r="M136" s="395">
        <f>+[1]Tables!E70</f>
        <v>226759.50083333335</v>
      </c>
      <c r="N136" s="73"/>
      <c r="O136" s="73"/>
      <c r="P136" s="73"/>
      <c r="Q136" s="73"/>
    </row>
    <row r="137" spans="1:17" s="61" customFormat="1" ht="9.75" customHeight="1">
      <c r="A137" s="73"/>
      <c r="B137" s="102"/>
      <c r="C137" s="102"/>
      <c r="D137" s="102"/>
      <c r="E137" s="102"/>
      <c r="F137" s="115"/>
      <c r="G137" s="116"/>
      <c r="H137" s="116"/>
      <c r="I137" s="116"/>
      <c r="J137" s="102"/>
      <c r="L137" s="170"/>
      <c r="M137" s="395">
        <f>+[1]Tables!E71</f>
        <v>0</v>
      </c>
      <c r="N137" s="73"/>
      <c r="O137" s="73"/>
      <c r="P137" s="73"/>
      <c r="Q137" s="73"/>
    </row>
    <row r="138" spans="1:17" s="61" customFormat="1" ht="12.75" customHeight="1">
      <c r="A138" s="73" t="s">
        <v>1892</v>
      </c>
      <c r="B138" s="75">
        <f>IF($M138&gt;0,('Amounts Pivot Table'!F$7/$M138),0)</f>
        <v>2361.2247250176042</v>
      </c>
      <c r="C138" s="75">
        <f>IF($M138&gt;0,('Amounts Pivot Table'!F$10/$M138),0)</f>
        <v>99.219278203954502</v>
      </c>
      <c r="D138" s="75">
        <f>IF($M138&gt;0,('Amounts Pivot Table'!F$16/$M138),0)</f>
        <v>1815.2927773332992</v>
      </c>
      <c r="E138" s="75">
        <f>SUM(B138:D138)</f>
        <v>4275.7367805548583</v>
      </c>
      <c r="F138" s="117">
        <f>IF(B138&gt;0,RANK(B138,$B$138:$B$156),)</f>
        <v>14</v>
      </c>
      <c r="G138" s="107">
        <f>IF(C138&gt;0,RANK(C138,$C$138:$C$156),)</f>
        <v>6</v>
      </c>
      <c r="H138" s="107">
        <f>IF(D138&gt;0,RANK(D138,$D$138:$D$156),)</f>
        <v>14</v>
      </c>
      <c r="I138" s="107">
        <f>IF(E138&gt;0,RANK(E138,$E$138:$E$156),)</f>
        <v>14</v>
      </c>
      <c r="J138" s="75"/>
      <c r="L138" s="170"/>
      <c r="M138" s="395">
        <f>+[1]Tables!E72</f>
        <v>28154.074999999997</v>
      </c>
      <c r="N138" s="73"/>
      <c r="O138" s="73"/>
      <c r="P138" s="73"/>
      <c r="Q138" s="73"/>
    </row>
    <row r="139" spans="1:17" s="61" customFormat="1" ht="12.75" customHeight="1">
      <c r="A139" s="73" t="s">
        <v>1906</v>
      </c>
      <c r="B139" s="75">
        <f>IF($M139&gt;0,('Amounts Pivot Table'!F$46/$M139),0)</f>
        <v>4989.1920251322435</v>
      </c>
      <c r="C139" s="75">
        <f>IF($M139&gt;0,('Amounts Pivot Table'!F$49/$M139),0)</f>
        <v>319.65481525858246</v>
      </c>
      <c r="D139" s="75">
        <f>IF($M139&gt;0,('Amounts Pivot Table'!F$55/$M139),0)</f>
        <v>4958.6074751938258</v>
      </c>
      <c r="E139" s="75">
        <f>SUM(B139:D139)</f>
        <v>10267.454315584651</v>
      </c>
      <c r="F139" s="117">
        <f t="shared" ref="F139:F156" si="25">IF(B139&gt;0,RANK(B139,$B$138:$B$156),)</f>
        <v>10</v>
      </c>
      <c r="G139" s="107">
        <f t="shared" ref="G139:G156" si="26">IF(C139&gt;0,RANK(C139,$C$138:$C$156),)</f>
        <v>3</v>
      </c>
      <c r="H139" s="107">
        <f t="shared" ref="H139:H156" si="27">IF(D139&gt;0,RANK(D139,$D$138:$D$156),)</f>
        <v>9</v>
      </c>
      <c r="I139" s="107">
        <f t="shared" ref="I139:I156" si="28">IF(E139&gt;0,RANK(E139,$E$138:$E$156),)</f>
        <v>9</v>
      </c>
      <c r="J139" s="75"/>
      <c r="L139" s="170"/>
      <c r="M139" s="395">
        <f>+[1]Tables!E73</f>
        <v>10209.991666666667</v>
      </c>
      <c r="N139" s="73"/>
      <c r="O139" s="73"/>
      <c r="P139" s="73"/>
      <c r="Q139" s="73"/>
    </row>
    <row r="140" spans="1:17" s="61" customFormat="1" ht="12.75" customHeight="1">
      <c r="A140" s="73" t="s">
        <v>1893</v>
      </c>
      <c r="B140" s="75">
        <f>IF($M140&gt;0,('Amounts Pivot Table'!F$85/$M140),0)</f>
        <v>11037.284180722634</v>
      </c>
      <c r="C140" s="75">
        <f>IF($M140&gt;0,('Amounts Pivot Table'!F$88/$M140),0)</f>
        <v>0</v>
      </c>
      <c r="D140" s="75">
        <f>IF($M140&gt;0,('Amounts Pivot Table'!F$94/$M140),0)</f>
        <v>8046.0368929138003</v>
      </c>
      <c r="E140" s="75">
        <f>SUM(B140:D140)</f>
        <v>19083.321073636434</v>
      </c>
      <c r="F140" s="117">
        <f>IF(B140&gt;0,RANK(B140,$B$138:$B$156),)</f>
        <v>1</v>
      </c>
      <c r="G140" s="107">
        <f>IF(C140&gt;0,RANK(C140,$C$138:$C$156),)</f>
        <v>0</v>
      </c>
      <c r="H140" s="107">
        <f>IF(D140&gt;0,RANK(D140,$D$138:$D$156),)</f>
        <v>2</v>
      </c>
      <c r="I140" s="107">
        <f>IF(E140&gt;0,RANK(E140,$E$138:$E$156),)</f>
        <v>1</v>
      </c>
      <c r="J140" s="75"/>
      <c r="L140" s="170"/>
      <c r="M140" s="395">
        <f>+[1]Tables!E74</f>
        <v>3514.2249999999999</v>
      </c>
      <c r="N140" s="253"/>
      <c r="O140" s="253"/>
      <c r="P140" s="253"/>
      <c r="Q140" s="73"/>
    </row>
    <row r="141" spans="1:17" s="61" customFormat="1" ht="12.75" customHeight="1">
      <c r="A141" s="73" t="s">
        <v>1900</v>
      </c>
      <c r="B141" s="75">
        <f>IF($M141&gt;0,('Amounts Pivot Table'!F$124/$M141),0)</f>
        <v>6488.1461388074295</v>
      </c>
      <c r="C141" s="75">
        <f>IF($M141&gt;0,('Amounts Pivot Table'!F$127/$M141),0)</f>
        <v>89.413367546432056</v>
      </c>
      <c r="D141" s="75">
        <f>IF($M141&gt;0,('Amounts Pivot Table'!F$133/$M141),0)</f>
        <v>3587.0146627565982</v>
      </c>
      <c r="E141" s="75">
        <f>SUM(B141:D141)</f>
        <v>10164.574169110459</v>
      </c>
      <c r="F141" s="117">
        <f t="shared" si="25"/>
        <v>7</v>
      </c>
      <c r="G141" s="107">
        <f t="shared" si="26"/>
        <v>7</v>
      </c>
      <c r="H141" s="107">
        <f t="shared" si="27"/>
        <v>12</v>
      </c>
      <c r="I141" s="107">
        <f t="shared" si="28"/>
        <v>11</v>
      </c>
      <c r="J141" s="75"/>
      <c r="L141" s="170"/>
      <c r="M141" s="395">
        <f>+[1]Tables!E75</f>
        <v>8184</v>
      </c>
      <c r="N141" s="73"/>
      <c r="O141" s="73"/>
      <c r="P141" s="73"/>
      <c r="Q141" s="73"/>
    </row>
    <row r="142" spans="1:17" s="61" customFormat="1" ht="9.75" customHeight="1">
      <c r="A142" s="73"/>
      <c r="B142" s="75"/>
      <c r="C142" s="75"/>
      <c r="D142" s="75"/>
      <c r="E142" s="75"/>
      <c r="F142" s="117"/>
      <c r="G142" s="107"/>
      <c r="H142" s="107"/>
      <c r="I142" s="107"/>
      <c r="J142" s="75"/>
      <c r="L142" s="170"/>
      <c r="M142" s="395"/>
      <c r="N142" s="73"/>
      <c r="O142" s="73"/>
      <c r="P142" s="73"/>
      <c r="Q142" s="73"/>
    </row>
    <row r="143" spans="1:17" s="61" customFormat="1" ht="12.75" customHeight="1">
      <c r="A143" s="73" t="s">
        <v>1901</v>
      </c>
      <c r="B143" s="75">
        <f>IF($M143&gt;0,('Amounts Pivot Table'!F$163/$M143),0)</f>
        <v>5024.3435750666904</v>
      </c>
      <c r="C143" s="75">
        <f>IF($M143&gt;0,('Amounts Pivot Table'!F$166/$M143),0)</f>
        <v>2.0473550596020496</v>
      </c>
      <c r="D143" s="75">
        <f>IF($M143&gt;0,('Amounts Pivot Table'!F$172/$M143),0)</f>
        <v>3954.1873151144905</v>
      </c>
      <c r="E143" s="75">
        <f>SUM(B143:D143)</f>
        <v>8980.5782452407821</v>
      </c>
      <c r="F143" s="117">
        <f t="shared" si="25"/>
        <v>9</v>
      </c>
      <c r="G143" s="107">
        <f t="shared" si="26"/>
        <v>8</v>
      </c>
      <c r="H143" s="107">
        <f t="shared" si="27"/>
        <v>11</v>
      </c>
      <c r="I143" s="107">
        <f t="shared" si="28"/>
        <v>13</v>
      </c>
      <c r="J143" s="75"/>
      <c r="L143" s="170"/>
      <c r="M143" s="395">
        <f>+[1]Tables!E77</f>
        <v>40898.621666666666</v>
      </c>
      <c r="N143" s="73"/>
      <c r="O143" s="73"/>
      <c r="P143" s="73"/>
      <c r="Q143" s="73"/>
    </row>
    <row r="144" spans="1:17" s="61" customFormat="1" ht="12.75" customHeight="1">
      <c r="A144" s="73" t="s">
        <v>1894</v>
      </c>
      <c r="B144" s="75">
        <f>IF($M144&gt;0,('Amounts Pivot Table'!F$202/$M144),0)</f>
        <v>4769.7667253464851</v>
      </c>
      <c r="C144" s="75">
        <f>IF($M144&gt;0,('Amounts Pivot Table'!F$205/$M144),0)</f>
        <v>134.1735158416335</v>
      </c>
      <c r="D144" s="75">
        <f>IF($M144&gt;0,('Amounts Pivot Table'!F$211/$M144),0)</f>
        <v>7638.5272004612561</v>
      </c>
      <c r="E144" s="75">
        <f>SUM(B144:D144)</f>
        <v>12542.467441649374</v>
      </c>
      <c r="F144" s="117">
        <f t="shared" si="25"/>
        <v>11</v>
      </c>
      <c r="G144" s="107">
        <f t="shared" si="26"/>
        <v>5</v>
      </c>
      <c r="H144" s="107">
        <f t="shared" si="27"/>
        <v>3</v>
      </c>
      <c r="I144" s="107">
        <f t="shared" si="28"/>
        <v>8</v>
      </c>
      <c r="J144" s="75"/>
      <c r="L144" s="170"/>
      <c r="M144" s="395">
        <f>+[1]Tables!E78</f>
        <v>19555.275000000001</v>
      </c>
      <c r="N144" s="73"/>
      <c r="O144" s="73"/>
      <c r="P144" s="73"/>
      <c r="Q144" s="73"/>
    </row>
    <row r="145" spans="1:17" s="61" customFormat="1" ht="12.75" customHeight="1">
      <c r="A145" s="73" t="s">
        <v>1902</v>
      </c>
      <c r="B145" s="75">
        <f>IF($M145&gt;0,('Amounts Pivot Table'!F$241/$M145),0)</f>
        <v>5834.1108036949436</v>
      </c>
      <c r="C145" s="75">
        <f>IF($M145&gt;0,('Amounts Pivot Table'!F$244/$M145),0)</f>
        <v>0</v>
      </c>
      <c r="D145" s="75">
        <f>IF($M145&gt;0,('Amounts Pivot Table'!F$250/$M145),0)</f>
        <v>4136.3402650720691</v>
      </c>
      <c r="E145" s="75">
        <f>SUM(B145:D145)</f>
        <v>9970.4510687670117</v>
      </c>
      <c r="F145" s="117">
        <f t="shared" si="25"/>
        <v>8</v>
      </c>
      <c r="G145" s="107">
        <f t="shared" si="26"/>
        <v>0</v>
      </c>
      <c r="H145" s="107">
        <f t="shared" si="27"/>
        <v>10</v>
      </c>
      <c r="I145" s="107">
        <f t="shared" si="28"/>
        <v>12</v>
      </c>
      <c r="J145" s="75"/>
      <c r="L145" s="170"/>
      <c r="M145" s="395">
        <f>+[1]Tables!E79</f>
        <v>29878.666666666668</v>
      </c>
      <c r="N145" s="73"/>
      <c r="O145" s="73"/>
      <c r="P145" s="73"/>
      <c r="Q145" s="73"/>
    </row>
    <row r="146" spans="1:17" s="61" customFormat="1" ht="12.75" customHeight="1">
      <c r="A146" s="73" t="s">
        <v>1905</v>
      </c>
      <c r="B146" s="75">
        <f>IF($M146&gt;0,('Amounts Pivot Table'!F$280/$M146),0)</f>
        <v>7429.9587915758793</v>
      </c>
      <c r="C146" s="75">
        <f>IF($M146&gt;0,('Amounts Pivot Table'!F$283/$M146),0)</f>
        <v>0</v>
      </c>
      <c r="D146" s="75">
        <f>IF($M146&gt;0,('Amounts Pivot Table'!F$289/$M146),0)</f>
        <v>6986.4925092598696</v>
      </c>
      <c r="E146" s="75">
        <f>SUM(B146:D146)</f>
        <v>14416.45130083575</v>
      </c>
      <c r="F146" s="117">
        <f t="shared" si="25"/>
        <v>5</v>
      </c>
      <c r="G146" s="107">
        <f t="shared" si="26"/>
        <v>0</v>
      </c>
      <c r="H146" s="107">
        <f t="shared" si="27"/>
        <v>4</v>
      </c>
      <c r="I146" s="107">
        <f t="shared" si="28"/>
        <v>2</v>
      </c>
      <c r="J146" s="75"/>
      <c r="L146" s="170"/>
      <c r="M146" s="395">
        <f>+[1]Tables!E80</f>
        <v>28064.65</v>
      </c>
      <c r="N146" s="73"/>
      <c r="O146" s="73"/>
      <c r="P146" s="73"/>
      <c r="Q146" s="73"/>
    </row>
    <row r="147" spans="1:17" s="61" customFormat="1" ht="9.75" customHeight="1">
      <c r="A147" s="73"/>
      <c r="B147" s="75"/>
      <c r="C147" s="75"/>
      <c r="D147" s="75"/>
      <c r="E147" s="75"/>
      <c r="F147" s="117"/>
      <c r="G147" s="107"/>
      <c r="H147" s="107"/>
      <c r="I147" s="107"/>
      <c r="J147" s="75"/>
      <c r="L147" s="170"/>
      <c r="M147" s="395"/>
      <c r="N147" s="73"/>
      <c r="O147" s="73"/>
      <c r="P147" s="73"/>
      <c r="Q147" s="73"/>
    </row>
    <row r="148" spans="1:17" s="61" customFormat="1" ht="12.75" customHeight="1">
      <c r="A148" s="73" t="s">
        <v>1895</v>
      </c>
      <c r="B148" s="75">
        <f>IF($M148&gt;0,('Amounts Pivot Table'!F$319/$M148),0)</f>
        <v>7535.7365089897921</v>
      </c>
      <c r="C148" s="75">
        <f>IF($M148&gt;0,('Amounts Pivot Table'!F$322/$M148),0)</f>
        <v>740.04089803140891</v>
      </c>
      <c r="D148" s="75">
        <f>IF($M148&gt;0,('Amounts Pivot Table'!F$328/$M148),0)</f>
        <v>5814.1687995702587</v>
      </c>
      <c r="E148" s="75">
        <f>SUM(B148:D148)</f>
        <v>14089.946206591459</v>
      </c>
      <c r="F148" s="117">
        <f t="shared" si="25"/>
        <v>4</v>
      </c>
      <c r="G148" s="107">
        <f t="shared" si="26"/>
        <v>1</v>
      </c>
      <c r="H148" s="107">
        <f t="shared" si="27"/>
        <v>5</v>
      </c>
      <c r="I148" s="107">
        <f t="shared" si="28"/>
        <v>3</v>
      </c>
      <c r="J148" s="75"/>
      <c r="L148" s="170"/>
      <c r="M148" s="395">
        <f>+[1]Tables!E82</f>
        <v>6329.4000000000005</v>
      </c>
      <c r="N148" s="73"/>
      <c r="O148" s="73"/>
      <c r="P148" s="73"/>
      <c r="Q148" s="73"/>
    </row>
    <row r="149" spans="1:17" s="61" customFormat="1" ht="12.75" customHeight="1">
      <c r="A149" s="73" t="s">
        <v>1896</v>
      </c>
      <c r="B149" s="75">
        <f>IF($M149&gt;0,('Amounts Pivot Table'!F$358/$M149),0)</f>
        <v>9902.0965836328342</v>
      </c>
      <c r="C149" s="75">
        <f>IF($M149&gt;0,('Amounts Pivot Table'!F$361/$M149),0)</f>
        <v>0</v>
      </c>
      <c r="D149" s="75">
        <f>IF($M149&gt;0,('Amounts Pivot Table'!F$367/$M149),0)</f>
        <v>2862.5435617796506</v>
      </c>
      <c r="E149" s="75">
        <f>SUM(B149:D149)</f>
        <v>12764.640145412484</v>
      </c>
      <c r="F149" s="117">
        <f t="shared" si="25"/>
        <v>2</v>
      </c>
      <c r="G149" s="107">
        <f t="shared" si="26"/>
        <v>0</v>
      </c>
      <c r="H149" s="107">
        <f t="shared" si="27"/>
        <v>13</v>
      </c>
      <c r="I149" s="107">
        <f t="shared" si="28"/>
        <v>7</v>
      </c>
      <c r="J149" s="75"/>
      <c r="L149" s="170"/>
      <c r="M149" s="395">
        <f>+[1]Tables!E83</f>
        <v>6051.75</v>
      </c>
      <c r="N149" s="73"/>
      <c r="O149" s="73"/>
      <c r="P149" s="73"/>
      <c r="Q149" s="103"/>
    </row>
    <row r="150" spans="1:17" s="61" customFormat="1" ht="12.75" customHeight="1">
      <c r="A150" s="73" t="s">
        <v>1903</v>
      </c>
      <c r="B150" s="75">
        <f>IF($M150&gt;0,('Amounts Pivot Table'!F$397/$M150),0)</f>
        <v>0</v>
      </c>
      <c r="C150" s="75">
        <f>IF($M150&gt;0,('Amounts Pivot Table'!F$400/$M150),0)</f>
        <v>0</v>
      </c>
      <c r="D150" s="75">
        <f>IF($M150&gt;0,('Amounts Pivot Table'!F$406/$M150),0)</f>
        <v>0</v>
      </c>
      <c r="E150" s="75">
        <f>SUM(B150:D150)</f>
        <v>0</v>
      </c>
      <c r="F150" s="117">
        <f t="shared" si="25"/>
        <v>0</v>
      </c>
      <c r="G150" s="107">
        <f t="shared" si="26"/>
        <v>0</v>
      </c>
      <c r="H150" s="107">
        <f t="shared" si="27"/>
        <v>0</v>
      </c>
      <c r="I150" s="107">
        <f t="shared" si="28"/>
        <v>0</v>
      </c>
      <c r="J150" s="75"/>
      <c r="L150" s="170"/>
      <c r="M150" s="395">
        <f>+[1]Tables!E84</f>
        <v>0</v>
      </c>
      <c r="N150" s="73"/>
      <c r="O150" s="73"/>
      <c r="P150" s="73"/>
      <c r="Q150" s="103"/>
    </row>
    <row r="151" spans="1:17" s="61" customFormat="1" ht="12.75" customHeight="1">
      <c r="A151" s="73" t="s">
        <v>1897</v>
      </c>
      <c r="B151" s="75">
        <f>IF($M151&gt;0,('Amounts Pivot Table'!F$436/$M151),0)</f>
        <v>3655.4763023791988</v>
      </c>
      <c r="C151" s="75">
        <f>IF($M151&gt;0,('Amounts Pivot Table'!F$439/$M151),0)</f>
        <v>159.00494787522621</v>
      </c>
      <c r="D151" s="75">
        <f>IF($M151&gt;0,('Amounts Pivot Table'!F$445/$M151),0)</f>
        <v>9219.1603044960157</v>
      </c>
      <c r="E151" s="75">
        <f>SUM(B151:D151)</f>
        <v>13033.64155475044</v>
      </c>
      <c r="F151" s="117">
        <f>IF(B151&gt;0,RANK(B151,$B$138:$B$156),)</f>
        <v>13</v>
      </c>
      <c r="G151" s="107">
        <f t="shared" si="26"/>
        <v>4</v>
      </c>
      <c r="H151" s="107">
        <f t="shared" si="27"/>
        <v>1</v>
      </c>
      <c r="I151" s="107">
        <f t="shared" si="28"/>
        <v>5</v>
      </c>
      <c r="J151" s="75"/>
      <c r="L151" s="170"/>
      <c r="M151" s="395">
        <f>+[1]Tables!E85</f>
        <v>3377.7125000000001</v>
      </c>
      <c r="N151" s="73"/>
      <c r="O151" s="73"/>
      <c r="P151" s="73"/>
      <c r="Q151" s="103"/>
    </row>
    <row r="152" spans="1:17" s="61" customFormat="1" ht="9.75" customHeight="1">
      <c r="A152" s="73"/>
      <c r="B152" s="75"/>
      <c r="C152" s="75"/>
      <c r="D152" s="75"/>
      <c r="E152" s="75"/>
      <c r="F152" s="117"/>
      <c r="G152" s="107"/>
      <c r="H152" s="107"/>
      <c r="I152" s="107"/>
      <c r="J152" s="75"/>
      <c r="L152" s="170"/>
      <c r="M152" s="395"/>
      <c r="N152" s="73"/>
      <c r="O152" s="73"/>
      <c r="P152" s="73"/>
      <c r="Q152" s="73"/>
    </row>
    <row r="153" spans="1:17" s="61" customFormat="1" ht="12.75" customHeight="1">
      <c r="A153" s="73" t="s">
        <v>647</v>
      </c>
      <c r="B153" s="75">
        <f>IF($M153&gt;0,('Amounts Pivot Table'!F$475/$M153),0)</f>
        <v>4717.9608460379586</v>
      </c>
      <c r="C153" s="75">
        <f>IF($M153&gt;0,('Amounts Pivot Table'!F$478/$M153),0)</f>
        <v>0</v>
      </c>
      <c r="D153" s="75">
        <f>IF($M153&gt;0,('Amounts Pivot Table'!F$484/$M153),0)</f>
        <v>5504.0249902633386</v>
      </c>
      <c r="E153" s="75">
        <f>SUM(B153:D153)</f>
        <v>10221.985836301297</v>
      </c>
      <c r="F153" s="117">
        <f t="shared" si="25"/>
        <v>12</v>
      </c>
      <c r="G153" s="107">
        <f t="shared" si="26"/>
        <v>0</v>
      </c>
      <c r="H153" s="107">
        <f t="shared" si="27"/>
        <v>6</v>
      </c>
      <c r="I153" s="107">
        <f t="shared" si="28"/>
        <v>10</v>
      </c>
      <c r="J153" s="75"/>
      <c r="L153" s="176"/>
      <c r="M153" s="395">
        <f>+[1]Tables!E87</f>
        <v>16561.116666666665</v>
      </c>
      <c r="N153" s="73"/>
      <c r="O153" s="73"/>
      <c r="P153" s="73"/>
      <c r="Q153" s="73"/>
    </row>
    <row r="154" spans="1:17" s="76" customFormat="1" ht="12.75" customHeight="1">
      <c r="A154" s="73" t="s">
        <v>1898</v>
      </c>
      <c r="B154" s="75">
        <f>IF($M154&gt;0,('Amounts Pivot Table'!F$514/$M154),0)</f>
        <v>7955.9091723767115</v>
      </c>
      <c r="C154" s="75">
        <f>IF($M154&gt;0,('Amounts Pivot Table'!F$517/$M154),0)</f>
        <v>0</v>
      </c>
      <c r="D154" s="75">
        <f>IF($M154&gt;0,('Amounts Pivot Table'!F$523/$M154),0)</f>
        <v>5019.1026806673117</v>
      </c>
      <c r="E154" s="75">
        <f>SUM(B154:D154)</f>
        <v>12975.011853044023</v>
      </c>
      <c r="F154" s="117">
        <f t="shared" si="25"/>
        <v>3</v>
      </c>
      <c r="G154" s="107">
        <f t="shared" si="26"/>
        <v>0</v>
      </c>
      <c r="H154" s="107">
        <f t="shared" si="27"/>
        <v>8</v>
      </c>
      <c r="I154" s="107">
        <f t="shared" si="28"/>
        <v>6</v>
      </c>
      <c r="J154" s="75"/>
      <c r="K154" s="75"/>
      <c r="L154" s="176"/>
      <c r="M154" s="395">
        <f>+[1]Tables!E88</f>
        <v>11484.391666666666</v>
      </c>
      <c r="N154" s="90"/>
      <c r="O154" s="90"/>
      <c r="P154" s="90"/>
      <c r="Q154" s="90"/>
    </row>
    <row r="155" spans="1:17" s="61" customFormat="1" ht="12.75" customHeight="1">
      <c r="A155" s="73" t="s">
        <v>1899</v>
      </c>
      <c r="B155" s="75">
        <f>IF($M155&gt;0,('Amounts Pivot Table'!F$553/$M155),0)</f>
        <v>7329.8961583236323</v>
      </c>
      <c r="C155" s="75">
        <f>IF($M155&gt;0,('Amounts Pivot Table'!F$556/$M155),0)</f>
        <v>342.47436726598545</v>
      </c>
      <c r="D155" s="75">
        <f>IF($M155&gt;0,('Amounts Pivot Table'!F$562/$M155),0)</f>
        <v>5476.8328374940711</v>
      </c>
      <c r="E155" s="75">
        <f>SUM(B155:D155)</f>
        <v>13149.203363083689</v>
      </c>
      <c r="F155" s="117">
        <f t="shared" si="25"/>
        <v>6</v>
      </c>
      <c r="G155" s="107">
        <f t="shared" si="26"/>
        <v>2</v>
      </c>
      <c r="H155" s="107">
        <f t="shared" si="27"/>
        <v>7</v>
      </c>
      <c r="I155" s="107">
        <f t="shared" si="28"/>
        <v>4</v>
      </c>
      <c r="J155" s="75"/>
      <c r="K155" s="75"/>
      <c r="L155" s="176"/>
      <c r="M155" s="395">
        <f>+[1]Tables!E89</f>
        <v>14495.625</v>
      </c>
      <c r="N155" s="73"/>
      <c r="O155" s="73"/>
      <c r="P155" s="73"/>
      <c r="Q155" s="73"/>
    </row>
    <row r="156" spans="1:17" s="61" customFormat="1" ht="13.5" customHeight="1">
      <c r="A156" s="74" t="s">
        <v>1904</v>
      </c>
      <c r="B156" s="104">
        <f>IF($M156&gt;0,('Amounts Pivot Table'!F$592/$M156),0)</f>
        <v>0</v>
      </c>
      <c r="C156" s="104">
        <f>IF($M156&gt;0,('Amounts Pivot Table'!F$595/$M156),0)</f>
        <v>0</v>
      </c>
      <c r="D156" s="104">
        <f>IF($M156&gt;0,('Amounts Pivot Table'!F$601/$M156),0)</f>
        <v>0</v>
      </c>
      <c r="E156" s="105">
        <f>SUM(B156:D156)</f>
        <v>0</v>
      </c>
      <c r="F156" s="118">
        <f t="shared" si="25"/>
        <v>0</v>
      </c>
      <c r="G156" s="119">
        <f t="shared" si="26"/>
        <v>0</v>
      </c>
      <c r="H156" s="119">
        <f t="shared" si="27"/>
        <v>0</v>
      </c>
      <c r="I156" s="119">
        <f t="shared" si="28"/>
        <v>0</v>
      </c>
      <c r="J156" s="75"/>
      <c r="K156" s="75"/>
      <c r="L156" s="176"/>
      <c r="M156" s="395">
        <f>+[1]Tables!E90</f>
        <v>0</v>
      </c>
      <c r="N156" s="73"/>
      <c r="O156" s="73"/>
      <c r="P156" s="73"/>
      <c r="Q156" s="73"/>
    </row>
    <row r="157" spans="1:17" s="61" customFormat="1" ht="13.5" customHeight="1">
      <c r="A157" s="99" t="s">
        <v>1919</v>
      </c>
      <c r="B157" s="75"/>
      <c r="C157" s="75"/>
      <c r="D157" s="75"/>
      <c r="E157" s="75"/>
      <c r="F157" s="107"/>
      <c r="G157" s="107"/>
      <c r="H157" s="107"/>
      <c r="I157" s="107"/>
      <c r="J157" s="75"/>
      <c r="K157" s="75"/>
      <c r="L157" s="176"/>
      <c r="M157" s="395"/>
      <c r="N157" s="73"/>
      <c r="O157" s="73"/>
      <c r="P157" s="73"/>
      <c r="Q157" s="73"/>
    </row>
    <row r="158" spans="1:17" s="76" customFormat="1" ht="40.5" customHeight="1">
      <c r="A158" s="1188" t="s">
        <v>275</v>
      </c>
      <c r="B158" s="1195"/>
      <c r="C158" s="1195"/>
      <c r="D158" s="1195"/>
      <c r="E158" s="1195"/>
      <c r="F158" s="1195"/>
      <c r="G158" s="1196"/>
      <c r="H158" s="1196"/>
      <c r="I158" s="1196"/>
      <c r="J158" s="75"/>
      <c r="K158" s="75"/>
      <c r="L158" s="171"/>
      <c r="M158" s="399"/>
      <c r="N158" s="90"/>
      <c r="O158" s="90"/>
      <c r="P158" s="90"/>
      <c r="Q158" s="90"/>
    </row>
    <row r="159" spans="1:17" s="76" customFormat="1" ht="22.5" customHeight="1">
      <c r="A159" s="1188" t="s">
        <v>453</v>
      </c>
      <c r="B159" s="1201"/>
      <c r="C159" s="1201"/>
      <c r="D159" s="1201"/>
      <c r="E159" s="1201"/>
      <c r="F159" s="1201"/>
      <c r="G159" s="1201"/>
      <c r="H159" s="1201"/>
      <c r="I159" s="1201"/>
      <c r="J159" s="106"/>
      <c r="L159" s="171"/>
      <c r="M159" s="395"/>
      <c r="N159" s="90"/>
      <c r="O159" s="90"/>
      <c r="P159" s="90"/>
      <c r="Q159" s="90"/>
    </row>
    <row r="160" spans="1:17" s="61" customFormat="1" ht="21" customHeight="1">
      <c r="A160" s="1188" t="s">
        <v>1600</v>
      </c>
      <c r="B160" s="1195"/>
      <c r="C160" s="1195"/>
      <c r="D160" s="1195"/>
      <c r="E160" s="1195"/>
      <c r="F160" s="1195"/>
      <c r="G160" s="1196"/>
      <c r="H160" s="1196"/>
      <c r="I160" s="1196"/>
      <c r="L160" s="173"/>
      <c r="M160" s="395"/>
      <c r="N160" s="73"/>
      <c r="O160" s="73"/>
      <c r="P160" s="73"/>
      <c r="Q160" s="73"/>
    </row>
    <row r="161" spans="1:17" s="61" customFormat="1" ht="17.25" customHeight="1">
      <c r="A161" s="189"/>
      <c r="B161" s="106"/>
      <c r="C161" s="106"/>
      <c r="D161" s="106"/>
      <c r="E161" s="106"/>
      <c r="F161" s="106"/>
      <c r="G161" s="190"/>
      <c r="H161" s="190"/>
      <c r="I161" s="805" t="s">
        <v>1931</v>
      </c>
      <c r="J161" s="190"/>
      <c r="K161" s="190"/>
      <c r="L161" s="173"/>
      <c r="M161" s="395"/>
      <c r="N161" s="73"/>
      <c r="O161" s="73"/>
      <c r="P161" s="73"/>
      <c r="Q161" s="73"/>
    </row>
    <row r="162" spans="1:17" s="61" customFormat="1" ht="15.75">
      <c r="A162" s="1173" t="s">
        <v>1496</v>
      </c>
      <c r="B162" s="1173"/>
      <c r="C162" s="1173"/>
      <c r="D162" s="1173"/>
      <c r="E162" s="1173"/>
      <c r="F162" s="1173"/>
      <c r="G162" s="1173"/>
      <c r="H162" s="1173"/>
      <c r="I162" s="1173"/>
      <c r="J162" s="101"/>
      <c r="K162" s="101"/>
      <c r="L162" s="172"/>
      <c r="M162" s="395"/>
      <c r="N162" s="73"/>
      <c r="O162" s="73"/>
      <c r="P162" s="73"/>
      <c r="Q162" s="73"/>
    </row>
    <row r="163" spans="1:17" s="61" customFormat="1" ht="18.75">
      <c r="A163" s="1173" t="s">
        <v>276</v>
      </c>
      <c r="B163" s="1173"/>
      <c r="C163" s="1173"/>
      <c r="D163" s="1173"/>
      <c r="E163" s="1173"/>
      <c r="F163" s="1173"/>
      <c r="G163" s="1173"/>
      <c r="H163" s="1173"/>
      <c r="I163" s="1173"/>
      <c r="J163" s="101"/>
      <c r="K163" s="101"/>
      <c r="L163" s="167"/>
      <c r="M163" s="395"/>
      <c r="N163" s="73"/>
      <c r="O163" s="73"/>
      <c r="P163" s="73"/>
      <c r="Q163" s="73"/>
    </row>
    <row r="164" spans="1:17" s="61" customFormat="1" ht="16.5" customHeight="1">
      <c r="A164" s="1173" t="s">
        <v>110</v>
      </c>
      <c r="B164" s="1173"/>
      <c r="C164" s="1173"/>
      <c r="D164" s="1173"/>
      <c r="E164" s="1173"/>
      <c r="F164" s="1173"/>
      <c r="G164" s="1173"/>
      <c r="H164" s="1173"/>
      <c r="I164" s="1173"/>
      <c r="J164" s="91"/>
      <c r="K164" s="91"/>
      <c r="L164" s="167"/>
      <c r="M164" s="395"/>
      <c r="N164" s="73"/>
      <c r="O164" s="73"/>
      <c r="P164" s="73"/>
      <c r="Q164" s="73"/>
    </row>
    <row r="165" spans="1:17" s="113" customFormat="1" ht="8.25">
      <c r="A165" s="196"/>
      <c r="B165" s="196"/>
      <c r="C165" s="196"/>
      <c r="D165" s="196"/>
      <c r="E165" s="196"/>
      <c r="F165" s="196"/>
      <c r="G165" s="197"/>
      <c r="H165" s="196"/>
      <c r="I165" s="196"/>
      <c r="J165" s="196"/>
      <c r="K165" s="196"/>
      <c r="L165" s="198"/>
      <c r="M165" s="400"/>
      <c r="N165" s="111"/>
      <c r="O165" s="111"/>
      <c r="P165" s="111"/>
      <c r="Q165" s="111"/>
    </row>
    <row r="166" spans="1:17" s="61" customFormat="1" ht="15.75">
      <c r="A166" s="60"/>
      <c r="B166" s="109" t="s">
        <v>454</v>
      </c>
      <c r="C166" s="110"/>
      <c r="D166" s="110"/>
      <c r="E166" s="110"/>
      <c r="F166" s="57" t="s">
        <v>909</v>
      </c>
      <c r="G166" s="58"/>
      <c r="H166" s="58"/>
      <c r="I166" s="58"/>
      <c r="L166" s="175"/>
      <c r="M166" s="398"/>
      <c r="N166" s="73"/>
      <c r="O166" s="73"/>
      <c r="P166" s="73"/>
      <c r="Q166" s="73"/>
    </row>
    <row r="167" spans="1:17" s="6" customFormat="1" ht="45">
      <c r="A167" s="50"/>
      <c r="B167" s="51" t="s">
        <v>643</v>
      </c>
      <c r="C167" s="52" t="s">
        <v>645</v>
      </c>
      <c r="D167" s="52" t="s">
        <v>1835</v>
      </c>
      <c r="E167" s="52" t="s">
        <v>670</v>
      </c>
      <c r="F167" s="53" t="s">
        <v>643</v>
      </c>
      <c r="G167" s="52" t="s">
        <v>645</v>
      </c>
      <c r="H167" s="52" t="s">
        <v>1835</v>
      </c>
      <c r="I167" s="52" t="s">
        <v>670</v>
      </c>
      <c r="L167" s="169"/>
      <c r="M167" s="397" t="s">
        <v>1772</v>
      </c>
      <c r="N167" s="7"/>
      <c r="O167" s="7"/>
      <c r="P167" s="7"/>
      <c r="Q167" s="7"/>
    </row>
    <row r="168" spans="1:17" s="61" customFormat="1" ht="14.25">
      <c r="A168" s="73" t="s">
        <v>455</v>
      </c>
      <c r="B168" s="102">
        <f>IF($M168&gt;0,('Amounts Pivot Table'!G$631/$M168),0)</f>
        <v>5982.5050185303735</v>
      </c>
      <c r="C168" s="102">
        <f>IF($M168&gt;0,('Amounts Pivot Table'!G$634/$M168),0)</f>
        <v>237.66199942929745</v>
      </c>
      <c r="D168" s="102">
        <f>IF($M168&gt;0,('Amounts Pivot Table'!G$640/$M168),0)</f>
        <v>5230.3918567347346</v>
      </c>
      <c r="E168" s="102">
        <f>SUM(B168:D168)</f>
        <v>11450.558874694405</v>
      </c>
      <c r="F168" s="115"/>
      <c r="G168" s="116"/>
      <c r="H168" s="116"/>
      <c r="I168" s="116"/>
      <c r="L168" s="170"/>
      <c r="M168" s="395">
        <f>+[1]Tables!F70</f>
        <v>114537.18333333332</v>
      </c>
      <c r="N168" s="73"/>
      <c r="O168" s="73"/>
      <c r="P168" s="73"/>
      <c r="Q168" s="73"/>
    </row>
    <row r="169" spans="1:17" s="61" customFormat="1" ht="12.75" customHeight="1">
      <c r="A169" s="73"/>
      <c r="B169" s="102"/>
      <c r="C169" s="102"/>
      <c r="D169" s="102"/>
      <c r="E169" s="102"/>
      <c r="F169" s="115"/>
      <c r="G169" s="116"/>
      <c r="H169" s="116"/>
      <c r="I169" s="116"/>
      <c r="L169" s="170"/>
      <c r="M169" s="395">
        <f>+[1]Tables!F71</f>
        <v>0</v>
      </c>
      <c r="N169" s="73"/>
      <c r="O169" s="73"/>
      <c r="P169" s="73"/>
      <c r="Q169" s="73"/>
    </row>
    <row r="170" spans="1:17" s="61" customFormat="1" ht="12.75" customHeight="1">
      <c r="A170" s="73" t="s">
        <v>1892</v>
      </c>
      <c r="B170" s="75">
        <f>IF($M170&gt;0,('Amounts Pivot Table'!G$7/$M170),0)</f>
        <v>5314.2852702652963</v>
      </c>
      <c r="C170" s="75">
        <f>IF($M170&gt;0,('Amounts Pivot Table'!G$10/$M170),0)</f>
        <v>242.68118223941696</v>
      </c>
      <c r="D170" s="75">
        <f>IF($M170&gt;0,('Amounts Pivot Table'!G$16/$M170),0)</f>
        <v>4534.4322527083787</v>
      </c>
      <c r="E170" s="75">
        <f>SUM(B170:D170)</f>
        <v>10091.398705213091</v>
      </c>
      <c r="F170" s="117">
        <f>IF(B170&gt;0,RANK(B170,$B$170:$B$188),)</f>
        <v>9</v>
      </c>
      <c r="G170" s="107">
        <f>IF(C170&gt;0,RANK(C170,$C$170:$C$188),)</f>
        <v>4</v>
      </c>
      <c r="H170" s="107">
        <f>IF(D170&gt;0,RANK(D170,$D$170:$D$188),)</f>
        <v>9</v>
      </c>
      <c r="I170" s="107">
        <f>IF(E170&gt;0,RANK(E170,$E$170:$E$188),)</f>
        <v>8</v>
      </c>
      <c r="L170" s="170"/>
      <c r="M170" s="395">
        <f>+[1]Tables!F72</f>
        <v>6112.9750000000004</v>
      </c>
      <c r="N170" s="73"/>
      <c r="O170" s="73"/>
      <c r="P170" s="73"/>
      <c r="Q170" s="73"/>
    </row>
    <row r="171" spans="1:17" s="61" customFormat="1" ht="12.75" customHeight="1">
      <c r="A171" s="73" t="s">
        <v>1906</v>
      </c>
      <c r="B171" s="75">
        <f>IF($M171&gt;0,('Amounts Pivot Table'!G$46/$M171),0)</f>
        <v>5472.1742326612721</v>
      </c>
      <c r="C171" s="75">
        <f>IF($M171&gt;0,('Amounts Pivot Table'!G$49/$M171),0)</f>
        <v>709.90699970145079</v>
      </c>
      <c r="D171" s="75">
        <f>IF($M171&gt;0,('Amounts Pivot Table'!G$55/$M171),0)</f>
        <v>4990.1982276084409</v>
      </c>
      <c r="E171" s="75">
        <f>SUM(B171:D171)</f>
        <v>11172.279459971163</v>
      </c>
      <c r="F171" s="117">
        <f t="shared" ref="F171:F188" si="29">IF(B171&gt;0,RANK(B171,$B$170:$B$188),)</f>
        <v>8</v>
      </c>
      <c r="G171" s="107">
        <f t="shared" ref="G171:G188" si="30">IF(C171&gt;0,RANK(C171,$C$170:$C$188),)</f>
        <v>3</v>
      </c>
      <c r="H171" s="107">
        <f t="shared" ref="H171:H188" si="31">IF(D171&gt;0,RANK(D171,$D$170:$D$188),)</f>
        <v>7</v>
      </c>
      <c r="I171" s="107">
        <f t="shared" ref="I171:I188" si="32">IF(E171&gt;0,RANK(E171,$E$170:$E$188),)</f>
        <v>6</v>
      </c>
      <c r="L171" s="170"/>
      <c r="M171" s="395">
        <f>+[1]Tables!F73</f>
        <v>5554.6416666666673</v>
      </c>
      <c r="N171" s="73"/>
      <c r="O171" s="73"/>
      <c r="P171" s="73"/>
      <c r="Q171" s="73"/>
    </row>
    <row r="172" spans="1:17" s="61" customFormat="1" ht="12.75" customHeight="1">
      <c r="A172" s="73" t="s">
        <v>1893</v>
      </c>
      <c r="B172" s="75">
        <f>IF($M172&gt;0,('Amounts Pivot Table'!G$85/$M172),0)</f>
        <v>0</v>
      </c>
      <c r="C172" s="75">
        <f>IF($M172&gt;0,('Amounts Pivot Table'!G$88/$M172),0)</f>
        <v>0</v>
      </c>
      <c r="D172" s="75">
        <f>IF($M172&gt;0,('Amounts Pivot Table'!G$94/$M172),0)</f>
        <v>0</v>
      </c>
      <c r="E172" s="75">
        <f>SUM(B172:D172)</f>
        <v>0</v>
      </c>
      <c r="F172" s="117">
        <f t="shared" si="29"/>
        <v>0</v>
      </c>
      <c r="G172" s="107">
        <f t="shared" si="30"/>
        <v>0</v>
      </c>
      <c r="H172" s="107">
        <f t="shared" si="31"/>
        <v>0</v>
      </c>
      <c r="I172" s="107">
        <f t="shared" si="32"/>
        <v>0</v>
      </c>
      <c r="L172" s="170"/>
      <c r="M172" s="395">
        <f>+[1]Tables!F74</f>
        <v>0</v>
      </c>
      <c r="N172" s="73"/>
      <c r="O172" s="73"/>
      <c r="P172" s="73"/>
      <c r="Q172" s="73"/>
    </row>
    <row r="173" spans="1:17" s="61" customFormat="1" ht="12.75" customHeight="1">
      <c r="A173" s="73" t="s">
        <v>1900</v>
      </c>
      <c r="B173" s="75">
        <f>IF($M173&gt;0,('Amounts Pivot Table'!G$124/$M173),0)</f>
        <v>0</v>
      </c>
      <c r="C173" s="75">
        <f>IF($M173&gt;0,('Amounts Pivot Table'!G$127/$M173),0)</f>
        <v>0</v>
      </c>
      <c r="D173" s="75">
        <f>IF($M173&gt;0,('Amounts Pivot Table'!G$133/$M173),0)</f>
        <v>0</v>
      </c>
      <c r="E173" s="75">
        <f>SUM(B173:D173)</f>
        <v>0</v>
      </c>
      <c r="F173" s="117">
        <f t="shared" si="29"/>
        <v>0</v>
      </c>
      <c r="G173" s="107">
        <f t="shared" si="30"/>
        <v>0</v>
      </c>
      <c r="H173" s="107">
        <f t="shared" si="31"/>
        <v>0</v>
      </c>
      <c r="I173" s="107">
        <f t="shared" si="32"/>
        <v>0</v>
      </c>
      <c r="L173" s="170"/>
      <c r="M173" s="395">
        <f>+[1]Tables!F75</f>
        <v>0</v>
      </c>
      <c r="N173" s="73"/>
      <c r="O173" s="73"/>
      <c r="P173" s="73"/>
      <c r="Q173" s="73"/>
    </row>
    <row r="174" spans="1:17" s="61" customFormat="1" ht="12.75" customHeight="1">
      <c r="A174" s="73"/>
      <c r="B174" s="75"/>
      <c r="C174" s="75"/>
      <c r="D174" s="75"/>
      <c r="E174" s="75"/>
      <c r="F174" s="117"/>
      <c r="G174" s="107"/>
      <c r="H174" s="107"/>
      <c r="I174" s="107"/>
      <c r="L174" s="170"/>
      <c r="M174" s="395">
        <f>+[1]Tables!F76</f>
        <v>0</v>
      </c>
      <c r="N174" s="73"/>
      <c r="O174" s="73"/>
      <c r="P174" s="73"/>
      <c r="Q174" s="73"/>
    </row>
    <row r="175" spans="1:17" s="61" customFormat="1" ht="12.75" customHeight="1">
      <c r="A175" s="73" t="s">
        <v>1901</v>
      </c>
      <c r="B175" s="75">
        <f>IF($M175&gt;0,('Amounts Pivot Table'!G$163/$M175),0)</f>
        <v>5782.8966763298049</v>
      </c>
      <c r="C175" s="75">
        <f>IF($M175&gt;0,('Amounts Pivot Table'!G$166/$M175),0)</f>
        <v>7.5268388053664124</v>
      </c>
      <c r="D175" s="75">
        <f>IF($M175&gt;0,('Amounts Pivot Table'!G$172/$M175),0)</f>
        <v>3523.9505427088247</v>
      </c>
      <c r="E175" s="75">
        <f>SUM(B175:D175)</f>
        <v>9314.3740578439956</v>
      </c>
      <c r="F175" s="117">
        <f t="shared" si="29"/>
        <v>7</v>
      </c>
      <c r="G175" s="107">
        <f t="shared" si="30"/>
        <v>5</v>
      </c>
      <c r="H175" s="107">
        <f t="shared" si="31"/>
        <v>10</v>
      </c>
      <c r="I175" s="107">
        <f t="shared" si="32"/>
        <v>11</v>
      </c>
      <c r="L175" s="170"/>
      <c r="M175" s="395">
        <f>+[1]Tables!F77</f>
        <v>18541.25</v>
      </c>
      <c r="N175" s="73"/>
      <c r="O175" s="73"/>
      <c r="P175" s="73"/>
      <c r="Q175" s="73"/>
    </row>
    <row r="176" spans="1:17" s="61" customFormat="1" ht="12.75" customHeight="1">
      <c r="A176" s="73" t="s">
        <v>1894</v>
      </c>
      <c r="B176" s="75">
        <f>IF($M176&gt;0,('Amounts Pivot Table'!G$202/$M176),0)</f>
        <v>9033.970195170612</v>
      </c>
      <c r="C176" s="75">
        <f>IF($M176&gt;0,('Amounts Pivot Table'!G$205/$M176),0)</f>
        <v>2615.4537355030802</v>
      </c>
      <c r="D176" s="75">
        <f>IF($M176&gt;0,('Amounts Pivot Table'!G$211/$M176),0)</f>
        <v>8263.8268060706214</v>
      </c>
      <c r="E176" s="75">
        <f>SUM(B176:D176)</f>
        <v>19913.250736744314</v>
      </c>
      <c r="F176" s="117">
        <f t="shared" si="29"/>
        <v>2</v>
      </c>
      <c r="G176" s="107">
        <f t="shared" si="30"/>
        <v>1</v>
      </c>
      <c r="H176" s="107">
        <f t="shared" si="31"/>
        <v>2</v>
      </c>
      <c r="I176" s="107">
        <f t="shared" si="32"/>
        <v>1</v>
      </c>
      <c r="L176" s="170"/>
      <c r="M176" s="395">
        <f>+[1]Tables!F78</f>
        <v>2188.6833333333334</v>
      </c>
      <c r="N176" s="73"/>
      <c r="O176" s="73"/>
      <c r="P176" s="73"/>
      <c r="Q176" s="73"/>
    </row>
    <row r="177" spans="1:17" s="61" customFormat="1" ht="12.75" customHeight="1">
      <c r="A177" s="73" t="s">
        <v>1902</v>
      </c>
      <c r="B177" s="75">
        <f>IF($M177&gt;0,('Amounts Pivot Table'!G$241/$M177),0)</f>
        <v>6462.3302750389921</v>
      </c>
      <c r="C177" s="75">
        <f>IF($M177&gt;0,('Amounts Pivot Table'!G$244/$M177),0)</f>
        <v>0</v>
      </c>
      <c r="D177" s="75">
        <f>IF($M177&gt;0,('Amounts Pivot Table'!G$250/$M177),0)</f>
        <v>2192.6971666107574</v>
      </c>
      <c r="E177" s="75">
        <f>SUM(B177:D177)</f>
        <v>8655.0274416497487</v>
      </c>
      <c r="F177" s="117">
        <f t="shared" si="29"/>
        <v>4</v>
      </c>
      <c r="G177" s="107">
        <f t="shared" si="30"/>
        <v>0</v>
      </c>
      <c r="H177" s="107">
        <f t="shared" si="31"/>
        <v>12</v>
      </c>
      <c r="I177" s="107">
        <f t="shared" si="32"/>
        <v>12</v>
      </c>
      <c r="L177" s="170"/>
      <c r="M177" s="395">
        <f>+[1]Tables!F79</f>
        <v>2409.6583333333333</v>
      </c>
      <c r="N177" s="73"/>
      <c r="O177" s="73"/>
      <c r="P177" s="73"/>
      <c r="Q177" s="73"/>
    </row>
    <row r="178" spans="1:17" s="61" customFormat="1" ht="12.75" customHeight="1">
      <c r="A178" s="73" t="s">
        <v>1905</v>
      </c>
      <c r="B178" s="75">
        <f>IF($M178&gt;0,('Amounts Pivot Table'!G$280/$M178),0)</f>
        <v>0</v>
      </c>
      <c r="C178" s="75">
        <f>IF($M178&gt;0,('Amounts Pivot Table'!G$283/$M178),0)</f>
        <v>0</v>
      </c>
      <c r="D178" s="75">
        <f>IF($M178&gt;0,('Amounts Pivot Table'!G$289/$M178),0)</f>
        <v>0</v>
      </c>
      <c r="E178" s="75">
        <f>SUM(B178:D178)</f>
        <v>0</v>
      </c>
      <c r="F178" s="117">
        <f t="shared" si="29"/>
        <v>0</v>
      </c>
      <c r="G178" s="107">
        <f t="shared" si="30"/>
        <v>0</v>
      </c>
      <c r="H178" s="107">
        <f t="shared" si="31"/>
        <v>0</v>
      </c>
      <c r="I178" s="107">
        <f t="shared" si="32"/>
        <v>0</v>
      </c>
      <c r="L178" s="170"/>
      <c r="M178" s="395">
        <f>+[1]Tables!F80</f>
        <v>0</v>
      </c>
      <c r="N178" s="73"/>
      <c r="O178" s="73"/>
      <c r="P178" s="73"/>
      <c r="Q178" s="73"/>
    </row>
    <row r="179" spans="1:17" s="61" customFormat="1" ht="12.75" customHeight="1">
      <c r="A179" s="73"/>
      <c r="B179" s="75"/>
      <c r="C179" s="75"/>
      <c r="D179" s="75"/>
      <c r="E179" s="75"/>
      <c r="F179" s="117"/>
      <c r="G179" s="107"/>
      <c r="H179" s="107"/>
      <c r="I179" s="107"/>
      <c r="L179" s="170"/>
      <c r="M179" s="395">
        <f>+[1]Tables!F81</f>
        <v>0</v>
      </c>
      <c r="N179" s="73"/>
      <c r="O179" s="73"/>
      <c r="P179" s="73"/>
      <c r="Q179" s="73"/>
    </row>
    <row r="180" spans="1:17" s="61" customFormat="1" ht="12.75" customHeight="1">
      <c r="A180" s="73" t="s">
        <v>1895</v>
      </c>
      <c r="B180" s="75">
        <f>IF($M180&gt;0,('Amounts Pivot Table'!G$319/$M180),0)</f>
        <v>7683.6176879114537</v>
      </c>
      <c r="C180" s="75">
        <f>IF($M180&gt;0,('Amounts Pivot Table'!G$322/$M180),0)</f>
        <v>0</v>
      </c>
      <c r="D180" s="75">
        <f>IF($M180&gt;0,('Amounts Pivot Table'!G$328/$M180),0)</f>
        <v>5859.0889821312312</v>
      </c>
      <c r="E180" s="75">
        <f>SUM(B180:D180)</f>
        <v>13542.706670042684</v>
      </c>
      <c r="F180" s="117">
        <f t="shared" si="29"/>
        <v>3</v>
      </c>
      <c r="G180" s="107">
        <f t="shared" si="30"/>
        <v>0</v>
      </c>
      <c r="H180" s="107">
        <f t="shared" si="31"/>
        <v>4</v>
      </c>
      <c r="I180" s="107">
        <f t="shared" si="32"/>
        <v>3</v>
      </c>
      <c r="L180" s="170"/>
      <c r="M180" s="395">
        <f>+[1]Tables!F82</f>
        <v>4607.6666666666661</v>
      </c>
      <c r="N180" s="73"/>
      <c r="O180" s="73"/>
      <c r="P180" s="73"/>
      <c r="Q180" s="73"/>
    </row>
    <row r="181" spans="1:17" s="61" customFormat="1" ht="12.75" customHeight="1">
      <c r="A181" s="73" t="s">
        <v>1896</v>
      </c>
      <c r="B181" s="75">
        <f>IF($M181&gt;0,('Amounts Pivot Table'!G$358/$M181),0)</f>
        <v>11659.896222026977</v>
      </c>
      <c r="C181" s="75">
        <f>IF($M181&gt;0,('Amounts Pivot Table'!G$361/$M181),0)</f>
        <v>0</v>
      </c>
      <c r="D181" s="75">
        <f>IF($M181&gt;0,('Amounts Pivot Table'!G$367/$M181),0)</f>
        <v>2995.7947771387221</v>
      </c>
      <c r="E181" s="75">
        <f>SUM(B181:D181)</f>
        <v>14655.690999165699</v>
      </c>
      <c r="F181" s="117">
        <f t="shared" si="29"/>
        <v>1</v>
      </c>
      <c r="G181" s="107">
        <f t="shared" si="30"/>
        <v>0</v>
      </c>
      <c r="H181" s="107">
        <f t="shared" si="31"/>
        <v>11</v>
      </c>
      <c r="I181" s="107">
        <f t="shared" si="32"/>
        <v>2</v>
      </c>
      <c r="L181" s="170"/>
      <c r="M181" s="395">
        <f>+[1]Tables!F83</f>
        <v>11286.916666666668</v>
      </c>
      <c r="N181" s="73"/>
      <c r="O181" s="73"/>
      <c r="P181" s="73"/>
      <c r="Q181" s="73"/>
    </row>
    <row r="182" spans="1:17" s="61" customFormat="1" ht="12.75" customHeight="1">
      <c r="A182" s="73" t="s">
        <v>1903</v>
      </c>
      <c r="B182" s="75">
        <f>IF($M182&gt;0,('Amounts Pivot Table'!G$397/$M182),0)</f>
        <v>6161.5086302684322</v>
      </c>
      <c r="C182" s="75">
        <f>IF($M182&gt;0,('Amounts Pivot Table'!G$400/$M182),0)</f>
        <v>0</v>
      </c>
      <c r="D182" s="75">
        <f>IF($M182&gt;0,('Amounts Pivot Table'!G$406/$M182),0)</f>
        <v>4848.242359158412</v>
      </c>
      <c r="E182" s="75">
        <f>SUM(B182:D182)</f>
        <v>11009.750989426844</v>
      </c>
      <c r="F182" s="117">
        <f t="shared" si="29"/>
        <v>5</v>
      </c>
      <c r="G182" s="107">
        <f t="shared" si="30"/>
        <v>0</v>
      </c>
      <c r="H182" s="107">
        <f t="shared" si="31"/>
        <v>8</v>
      </c>
      <c r="I182" s="107">
        <f t="shared" si="32"/>
        <v>7</v>
      </c>
      <c r="L182" s="170"/>
      <c r="M182" s="395">
        <f>+[1]Tables!F84</f>
        <v>19462.025000000001</v>
      </c>
      <c r="N182" s="73"/>
      <c r="O182" s="73"/>
      <c r="P182" s="73"/>
      <c r="Q182" s="73"/>
    </row>
    <row r="183" spans="1:17" s="61" customFormat="1" ht="12.75" customHeight="1">
      <c r="A183" s="73" t="s">
        <v>1897</v>
      </c>
      <c r="B183" s="75">
        <f>IF($M183&gt;0,('Amounts Pivot Table'!G$436/$M183),0)</f>
        <v>3124.2607895100805</v>
      </c>
      <c r="C183" s="75">
        <f>IF($M183&gt;0,('Amounts Pivot Table'!G$439/$M183),0)</f>
        <v>890.20124027152428</v>
      </c>
      <c r="D183" s="75">
        <f>IF($M183&gt;0,('Amounts Pivot Table'!G$445/$M183),0)</f>
        <v>8582.3420986824749</v>
      </c>
      <c r="E183" s="75">
        <f>SUM(B183:D183)</f>
        <v>12596.804128464079</v>
      </c>
      <c r="F183" s="117">
        <f t="shared" si="29"/>
        <v>12</v>
      </c>
      <c r="G183" s="107">
        <f t="shared" si="30"/>
        <v>2</v>
      </c>
      <c r="H183" s="107">
        <f t="shared" si="31"/>
        <v>1</v>
      </c>
      <c r="I183" s="107">
        <f t="shared" si="32"/>
        <v>4</v>
      </c>
      <c r="L183" s="170"/>
      <c r="M183" s="395">
        <f>+[1]Tables!F85</f>
        <v>17895.274999999998</v>
      </c>
      <c r="N183" s="73"/>
      <c r="O183" s="73"/>
      <c r="P183" s="73"/>
      <c r="Q183" s="73"/>
    </row>
    <row r="184" spans="1:17" s="61" customFormat="1" ht="12.75" customHeight="1">
      <c r="A184" s="73"/>
      <c r="B184" s="75"/>
      <c r="C184" s="75"/>
      <c r="D184" s="75"/>
      <c r="E184" s="75"/>
      <c r="F184" s="117"/>
      <c r="G184" s="107"/>
      <c r="H184" s="107"/>
      <c r="I184" s="107"/>
      <c r="L184" s="170"/>
      <c r="M184" s="395">
        <f>+[1]Tables!F86</f>
        <v>0</v>
      </c>
      <c r="N184" s="73"/>
      <c r="O184" s="73"/>
      <c r="P184" s="73"/>
      <c r="Q184" s="73"/>
    </row>
    <row r="185" spans="1:17" s="61" customFormat="1" ht="12.75" customHeight="1">
      <c r="A185" s="73" t="s">
        <v>647</v>
      </c>
      <c r="B185" s="75">
        <f>IF($M185&gt;0,('Amounts Pivot Table'!G$475/$M185),0)</f>
        <v>4735.4297127629461</v>
      </c>
      <c r="C185" s="75">
        <f>IF($M185&gt;0,('Amounts Pivot Table'!G$478/$M185),0)</f>
        <v>0</v>
      </c>
      <c r="D185" s="75">
        <f>IF($M185&gt;0,('Amounts Pivot Table'!G$484/$M185),0)</f>
        <v>5354.4004488160144</v>
      </c>
      <c r="E185" s="75">
        <f>SUM(B185:D185)</f>
        <v>10089.830161578961</v>
      </c>
      <c r="F185" s="117">
        <f t="shared" si="29"/>
        <v>11</v>
      </c>
      <c r="G185" s="107">
        <f t="shared" si="30"/>
        <v>0</v>
      </c>
      <c r="H185" s="107">
        <f t="shared" si="31"/>
        <v>5</v>
      </c>
      <c r="I185" s="107">
        <f t="shared" si="32"/>
        <v>9</v>
      </c>
      <c r="L185" s="170"/>
      <c r="M185" s="395">
        <f>+[1]Tables!F87</f>
        <v>6416.8833333333332</v>
      </c>
      <c r="N185" s="73"/>
      <c r="O185" s="73"/>
      <c r="P185" s="73"/>
      <c r="Q185" s="73"/>
    </row>
    <row r="186" spans="1:17" s="76" customFormat="1" ht="12.75" customHeight="1">
      <c r="A186" s="73" t="s">
        <v>1898</v>
      </c>
      <c r="B186" s="75">
        <f>IF($M186&gt;0,('Amounts Pivot Table'!G$514/$M186),0)</f>
        <v>4910.2259674001943</v>
      </c>
      <c r="C186" s="75">
        <f>IF($M186&gt;0,('Amounts Pivot Table'!G$517/$M186),0)</f>
        <v>0</v>
      </c>
      <c r="D186" s="75">
        <f>IF($M186&gt;0,('Amounts Pivot Table'!G$523/$M186),0)</f>
        <v>5033.5617921293933</v>
      </c>
      <c r="E186" s="75">
        <f>SUM(B186:D186)</f>
        <v>9943.7877595295868</v>
      </c>
      <c r="F186" s="117">
        <f t="shared" si="29"/>
        <v>10</v>
      </c>
      <c r="G186" s="107">
        <f t="shared" si="30"/>
        <v>0</v>
      </c>
      <c r="H186" s="107">
        <f t="shared" si="31"/>
        <v>6</v>
      </c>
      <c r="I186" s="107">
        <f t="shared" si="32"/>
        <v>10</v>
      </c>
      <c r="J186" s="61"/>
      <c r="K186" s="61"/>
      <c r="L186" s="171"/>
      <c r="M186" s="395">
        <f>+[1]Tables!F88</f>
        <v>11339.025000000001</v>
      </c>
      <c r="N186" s="90"/>
      <c r="O186" s="90"/>
      <c r="P186" s="90"/>
      <c r="Q186" s="90"/>
    </row>
    <row r="187" spans="1:17" s="61" customFormat="1" ht="12.75" customHeight="1">
      <c r="A187" s="73" t="s">
        <v>1899</v>
      </c>
      <c r="B187" s="75">
        <f>IF($M187&gt;0,('Amounts Pivot Table'!G$553/$M187),0)</f>
        <v>5832.7059929566558</v>
      </c>
      <c r="C187" s="75">
        <f>IF($M187&gt;0,('Amounts Pivot Table'!G$556/$M187),0)</f>
        <v>0</v>
      </c>
      <c r="D187" s="75">
        <f>IF($M187&gt;0,('Amounts Pivot Table'!G$562/$M187),0)</f>
        <v>6276.3494996474501</v>
      </c>
      <c r="E187" s="75">
        <f>SUM(B187:D187)</f>
        <v>12109.055492604106</v>
      </c>
      <c r="F187" s="117">
        <f t="shared" si="29"/>
        <v>6</v>
      </c>
      <c r="G187" s="107">
        <f t="shared" si="30"/>
        <v>0</v>
      </c>
      <c r="H187" s="107">
        <f t="shared" si="31"/>
        <v>3</v>
      </c>
      <c r="I187" s="107">
        <f t="shared" si="32"/>
        <v>5</v>
      </c>
      <c r="J187" s="76"/>
      <c r="K187" s="76"/>
      <c r="L187" s="172"/>
      <c r="M187" s="395">
        <f>+[1]Tables!F89</f>
        <v>8722.1833333333343</v>
      </c>
      <c r="N187" s="73"/>
      <c r="O187" s="73"/>
      <c r="P187" s="73"/>
      <c r="Q187" s="73"/>
    </row>
    <row r="188" spans="1:17" s="61" customFormat="1" ht="15.75" customHeight="1">
      <c r="A188" s="74" t="s">
        <v>1904</v>
      </c>
      <c r="B188" s="104">
        <f>IF($M188&gt;0,('Amounts Pivot Table'!G$592/$M188),0)</f>
        <v>0</v>
      </c>
      <c r="C188" s="104">
        <f>IF($M188&gt;0,('Amounts Pivot Table'!G$595/$M188),0)</f>
        <v>0</v>
      </c>
      <c r="D188" s="104">
        <f>IF($M188&gt;0,('Amounts Pivot Table'!G$601/$M188),0)</f>
        <v>0</v>
      </c>
      <c r="E188" s="105">
        <f>SUM(B188:D188)</f>
        <v>0</v>
      </c>
      <c r="F188" s="118">
        <f t="shared" si="29"/>
        <v>0</v>
      </c>
      <c r="G188" s="119">
        <f t="shared" si="30"/>
        <v>0</v>
      </c>
      <c r="H188" s="119">
        <f t="shared" si="31"/>
        <v>0</v>
      </c>
      <c r="I188" s="119">
        <f t="shared" si="32"/>
        <v>0</v>
      </c>
      <c r="J188" s="76"/>
      <c r="K188" s="76"/>
      <c r="L188" s="173"/>
      <c r="M188" s="395">
        <f>+[1]Tables!F90</f>
        <v>0</v>
      </c>
      <c r="N188" s="73"/>
      <c r="O188" s="73"/>
      <c r="P188" s="73"/>
      <c r="Q188" s="73"/>
    </row>
    <row r="189" spans="1:17" s="76" customFormat="1" ht="36.75" customHeight="1">
      <c r="A189" s="1188" t="s">
        <v>275</v>
      </c>
      <c r="B189" s="1195"/>
      <c r="C189" s="1195"/>
      <c r="D189" s="1195"/>
      <c r="E189" s="1195"/>
      <c r="F189" s="1195"/>
      <c r="G189" s="1196"/>
      <c r="H189" s="1196"/>
      <c r="I189" s="1196"/>
      <c r="L189" s="171"/>
      <c r="M189" s="399"/>
      <c r="N189" s="90"/>
      <c r="O189" s="90"/>
      <c r="P189" s="90"/>
      <c r="Q189" s="90"/>
    </row>
    <row r="190" spans="1:17" s="76" customFormat="1" ht="22.5" customHeight="1">
      <c r="A190" s="1188" t="s">
        <v>453</v>
      </c>
      <c r="B190" s="1201"/>
      <c r="C190" s="1201"/>
      <c r="D190" s="1201"/>
      <c r="E190" s="1201"/>
      <c r="F190" s="1201"/>
      <c r="G190" s="1201"/>
      <c r="H190" s="1201"/>
      <c r="I190" s="1201"/>
      <c r="J190" s="106"/>
      <c r="L190" s="171"/>
      <c r="M190" s="395"/>
      <c r="N190" s="90"/>
      <c r="O190" s="90"/>
      <c r="P190" s="90"/>
      <c r="Q190" s="90"/>
    </row>
    <row r="191" spans="1:17" s="61" customFormat="1">
      <c r="A191" s="1188" t="s">
        <v>1600</v>
      </c>
      <c r="B191" s="1195"/>
      <c r="C191" s="1195"/>
      <c r="D191" s="1195"/>
      <c r="E191" s="1195"/>
      <c r="F191" s="1195"/>
      <c r="G191" s="1196"/>
      <c r="H191" s="1196"/>
      <c r="I191" s="1196"/>
      <c r="J191" s="1196"/>
      <c r="K191" s="1196"/>
      <c r="L191" s="173"/>
      <c r="M191" s="395"/>
      <c r="N191" s="73"/>
      <c r="O191" s="73"/>
      <c r="P191" s="73"/>
      <c r="Q191" s="73"/>
    </row>
    <row r="192" spans="1:17" s="61" customFormat="1">
      <c r="A192" s="189"/>
      <c r="B192" s="106"/>
      <c r="C192" s="106"/>
      <c r="D192" s="106"/>
      <c r="E192" s="106"/>
      <c r="F192" s="106"/>
      <c r="G192" s="190"/>
      <c r="H192" s="190"/>
      <c r="I192" s="190"/>
      <c r="J192" s="190"/>
      <c r="K192" s="190"/>
      <c r="L192" s="173"/>
      <c r="M192" s="395"/>
      <c r="N192" s="73"/>
      <c r="O192" s="73"/>
      <c r="P192" s="73"/>
      <c r="Q192" s="73"/>
    </row>
    <row r="193" spans="1:17" s="61" customFormat="1">
      <c r="A193" s="189"/>
      <c r="B193" s="106"/>
      <c r="C193" s="106"/>
      <c r="D193" s="106"/>
      <c r="E193" s="106"/>
      <c r="F193" s="106"/>
      <c r="G193" s="190"/>
      <c r="H193" s="190"/>
      <c r="I193" s="805" t="s">
        <v>1931</v>
      </c>
      <c r="J193" s="190"/>
      <c r="K193" s="190"/>
      <c r="L193" s="173"/>
      <c r="M193" s="395"/>
      <c r="N193" s="73"/>
      <c r="O193" s="73"/>
      <c r="P193" s="73"/>
      <c r="Q193" s="73"/>
    </row>
    <row r="194" spans="1:17" s="61" customFormat="1" ht="15.75">
      <c r="A194" s="1173" t="s">
        <v>1497</v>
      </c>
      <c r="B194" s="1173"/>
      <c r="C194" s="1173"/>
      <c r="D194" s="1173"/>
      <c r="E194" s="1173"/>
      <c r="F194" s="1173"/>
      <c r="G194" s="1173"/>
      <c r="H194" s="1173"/>
      <c r="I194" s="1173"/>
      <c r="J194" s="101"/>
      <c r="K194" s="101"/>
      <c r="L194" s="172"/>
      <c r="M194" s="395"/>
      <c r="N194" s="73"/>
      <c r="O194" s="73"/>
      <c r="P194" s="73"/>
      <c r="Q194" s="73"/>
    </row>
    <row r="195" spans="1:17" s="61" customFormat="1" ht="18.75">
      <c r="A195" s="1173" t="s">
        <v>276</v>
      </c>
      <c r="B195" s="1173"/>
      <c r="C195" s="1173"/>
      <c r="D195" s="1173"/>
      <c r="E195" s="1173"/>
      <c r="F195" s="1173"/>
      <c r="G195" s="1173"/>
      <c r="H195" s="1173"/>
      <c r="I195" s="1173"/>
      <c r="J195" s="101"/>
      <c r="K195" s="101"/>
      <c r="L195" s="167"/>
      <c r="M195" s="395"/>
      <c r="N195" s="73"/>
      <c r="O195" s="73"/>
      <c r="P195" s="73"/>
      <c r="Q195" s="73"/>
    </row>
    <row r="196" spans="1:17" s="61" customFormat="1" ht="15.75">
      <c r="A196" s="1173" t="s">
        <v>111</v>
      </c>
      <c r="B196" s="1173"/>
      <c r="C196" s="1173"/>
      <c r="D196" s="1173"/>
      <c r="E196" s="1173"/>
      <c r="F196" s="1173"/>
      <c r="G196" s="1173"/>
      <c r="H196" s="1173"/>
      <c r="I196" s="1173"/>
      <c r="J196" s="91"/>
      <c r="K196" s="91"/>
      <c r="L196" s="167"/>
      <c r="M196" s="395"/>
      <c r="N196" s="73"/>
      <c r="O196" s="73"/>
      <c r="P196" s="73"/>
      <c r="Q196" s="73"/>
    </row>
    <row r="197" spans="1:17" s="61" customFormat="1" ht="15.75" customHeight="1">
      <c r="A197" s="91"/>
      <c r="B197" s="91"/>
      <c r="C197" s="91"/>
      <c r="D197" s="91"/>
      <c r="E197" s="91"/>
      <c r="F197" s="91"/>
      <c r="G197" s="108"/>
      <c r="H197" s="91"/>
      <c r="I197" s="91"/>
      <c r="J197" s="91"/>
      <c r="K197" s="91"/>
      <c r="L197" s="167"/>
      <c r="M197" s="398"/>
      <c r="N197" s="73"/>
      <c r="O197" s="73"/>
      <c r="P197" s="73"/>
      <c r="Q197" s="73"/>
    </row>
    <row r="198" spans="1:17" s="61" customFormat="1" ht="15.75">
      <c r="A198" s="60"/>
      <c r="B198" s="109" t="s">
        <v>454</v>
      </c>
      <c r="C198" s="110"/>
      <c r="D198" s="110"/>
      <c r="E198" s="110"/>
      <c r="F198" s="57" t="s">
        <v>909</v>
      </c>
      <c r="G198" s="58"/>
      <c r="H198" s="58"/>
      <c r="I198" s="58"/>
      <c r="L198" s="175"/>
      <c r="M198" s="397"/>
      <c r="N198" s="73"/>
      <c r="O198" s="73"/>
      <c r="P198" s="73"/>
      <c r="Q198" s="73"/>
    </row>
    <row r="199" spans="1:17" s="6" customFormat="1" ht="45">
      <c r="A199" s="50"/>
      <c r="B199" s="51" t="s">
        <v>643</v>
      </c>
      <c r="C199" s="52" t="s">
        <v>645</v>
      </c>
      <c r="D199" s="52" t="s">
        <v>1835</v>
      </c>
      <c r="E199" s="52" t="s">
        <v>670</v>
      </c>
      <c r="F199" s="53" t="s">
        <v>643</v>
      </c>
      <c r="G199" s="52" t="s">
        <v>645</v>
      </c>
      <c r="H199" s="52" t="s">
        <v>1835</v>
      </c>
      <c r="I199" s="52" t="s">
        <v>670</v>
      </c>
      <c r="L199" s="169"/>
      <c r="M199" s="396" t="s">
        <v>1772</v>
      </c>
      <c r="N199" s="7"/>
      <c r="O199" s="7"/>
      <c r="P199" s="7"/>
      <c r="Q199" s="7"/>
    </row>
    <row r="200" spans="1:17" s="61" customFormat="1" ht="14.25">
      <c r="A200" s="73" t="s">
        <v>455</v>
      </c>
      <c r="B200" s="102">
        <f>IF($M200&gt;0,('Amounts Pivot Table'!H$631/$M200),0)</f>
        <v>5917.8625010604874</v>
      </c>
      <c r="C200" s="102">
        <f>IF($M200&gt;0,('Amounts Pivot Table'!H$634/$M200),0)</f>
        <v>32.240954654154059</v>
      </c>
      <c r="D200" s="102">
        <f>IF($M200&gt;0,('Amounts Pivot Table'!H$640/$M200),0)</f>
        <v>5053.8628054312794</v>
      </c>
      <c r="E200" s="102">
        <f>SUM(B200:D200)</f>
        <v>11003.966261145921</v>
      </c>
      <c r="F200" s="115"/>
      <c r="G200" s="116"/>
      <c r="H200" s="116"/>
      <c r="I200" s="116"/>
      <c r="L200" s="170"/>
      <c r="M200" s="395">
        <f>+[1]Tables!G70</f>
        <v>64789.396666666667</v>
      </c>
      <c r="N200" s="73"/>
      <c r="O200" s="73"/>
      <c r="P200" s="73"/>
      <c r="Q200" s="73"/>
    </row>
    <row r="201" spans="1:17" s="113" customFormat="1">
      <c r="A201" s="111"/>
      <c r="B201" s="112"/>
      <c r="C201" s="112"/>
      <c r="D201" s="112"/>
      <c r="E201" s="112"/>
      <c r="F201" s="120"/>
      <c r="G201" s="121"/>
      <c r="H201" s="121"/>
      <c r="I201" s="121"/>
      <c r="L201" s="177"/>
      <c r="M201" s="395">
        <f>+[1]Tables!G71</f>
        <v>0</v>
      </c>
      <c r="N201" s="111"/>
      <c r="O201" s="111"/>
      <c r="P201" s="111"/>
      <c r="Q201" s="111"/>
    </row>
    <row r="202" spans="1:17" s="61" customFormat="1" ht="12.75" customHeight="1">
      <c r="A202" s="73" t="s">
        <v>1892</v>
      </c>
      <c r="B202" s="75">
        <f>IF($M202&gt;0,('Amounts Pivot Table'!H$7/$M202),0)</f>
        <v>4729.9908396180244</v>
      </c>
      <c r="C202" s="75">
        <f>IF($M202&gt;0,('Amounts Pivot Table'!H$10/$M202),0)</f>
        <v>108.80199771617873</v>
      </c>
      <c r="D202" s="75">
        <f>IF($M202&gt;0,('Amounts Pivot Table'!H$16/$M202),0)</f>
        <v>4127.3665784091054</v>
      </c>
      <c r="E202" s="75">
        <f>SUM(B202:D202)</f>
        <v>8966.1594157433083</v>
      </c>
      <c r="F202" s="117">
        <f>IF(B202&gt;0,RANK(B202,$B$202:$B$220),)</f>
        <v>9</v>
      </c>
      <c r="G202" s="107">
        <f>IF(C202&gt;0,RANK(C202,$C$202:$C$220),)</f>
        <v>3</v>
      </c>
      <c r="H202" s="107">
        <f>IF(D202&gt;0,RANK(D202,$D$202:$D$220),)</f>
        <v>8</v>
      </c>
      <c r="I202" s="107">
        <f>IF(E202&gt;0,RANK(E202,$E$202:$E$220),)</f>
        <v>10</v>
      </c>
      <c r="L202" s="170"/>
      <c r="M202" s="395">
        <f>+[1]Tables!G72</f>
        <v>2656.3666666666668</v>
      </c>
      <c r="N202" s="73"/>
      <c r="O202" s="73"/>
      <c r="P202" s="73"/>
      <c r="Q202" s="73"/>
    </row>
    <row r="203" spans="1:17" s="61" customFormat="1" ht="12.75" customHeight="1">
      <c r="A203" s="73" t="s">
        <v>1906</v>
      </c>
      <c r="B203" s="75">
        <f>IF($M203&gt;0,('Amounts Pivot Table'!H$46/$M203),0)</f>
        <v>5886.8690116619282</v>
      </c>
      <c r="C203" s="75">
        <f>IF($M203&gt;0,('Amounts Pivot Table'!H$49/$M203),0)</f>
        <v>0</v>
      </c>
      <c r="D203" s="75">
        <f>IF($M203&gt;0,('Amounts Pivot Table'!H$55/$M203),0)</f>
        <v>4283.6198672443452</v>
      </c>
      <c r="E203" s="75">
        <f>SUM(B203:D203)</f>
        <v>10170.488878906273</v>
      </c>
      <c r="F203" s="117">
        <f>IF(B203&gt;0,RANK(B203,$B$202:$B$220),)</f>
        <v>7</v>
      </c>
      <c r="G203" s="107">
        <f t="shared" ref="G203:G220" si="33">IF(C203&gt;0,RANK(C203,$C$202:$C$220),)</f>
        <v>0</v>
      </c>
      <c r="H203" s="107">
        <f t="shared" ref="H203:H220" si="34">IF(D203&gt;0,RANK(D203,$D$202:$D$220),)</f>
        <v>7</v>
      </c>
      <c r="I203" s="107">
        <f t="shared" ref="I203:I220" si="35">IF(E203&gt;0,RANK(E203,$E$202:$E$220),)</f>
        <v>8</v>
      </c>
      <c r="L203" s="170"/>
      <c r="M203" s="395">
        <f>+[1]Tables!G73</f>
        <v>8459.15</v>
      </c>
      <c r="N203" s="73"/>
      <c r="O203" s="73"/>
      <c r="P203" s="73"/>
      <c r="Q203" s="73"/>
    </row>
    <row r="204" spans="1:17" s="61" customFormat="1" ht="12.75" customHeight="1">
      <c r="A204" s="73" t="s">
        <v>1893</v>
      </c>
      <c r="B204" s="75">
        <f>IF($M204&gt;0,('Amounts Pivot Table'!H$85/$M204),0)</f>
        <v>0</v>
      </c>
      <c r="C204" s="75">
        <f>IF($M204&gt;0,('Amounts Pivot Table'!H$88/$M204),0)</f>
        <v>0</v>
      </c>
      <c r="D204" s="75">
        <f>IF($M204&gt;0,('Amounts Pivot Table'!H$94/$M204),0)</f>
        <v>0</v>
      </c>
      <c r="E204" s="75">
        <f>SUM(B204:D204)</f>
        <v>0</v>
      </c>
      <c r="F204" s="117">
        <f>IF(B204&gt;0,RANK(B204,$B$202:$B$220),)</f>
        <v>0</v>
      </c>
      <c r="G204" s="107">
        <f t="shared" si="33"/>
        <v>0</v>
      </c>
      <c r="H204" s="107">
        <f t="shared" si="34"/>
        <v>0</v>
      </c>
      <c r="I204" s="107">
        <f t="shared" si="35"/>
        <v>0</v>
      </c>
      <c r="L204" s="170"/>
      <c r="M204" s="395">
        <f>+[1]Tables!G74</f>
        <v>0</v>
      </c>
      <c r="N204" s="73"/>
      <c r="O204" s="73"/>
      <c r="P204" s="73"/>
      <c r="Q204" s="73"/>
    </row>
    <row r="205" spans="1:17" s="61" customFormat="1" ht="12.75" customHeight="1">
      <c r="A205" s="73" t="s">
        <v>1900</v>
      </c>
      <c r="B205" s="75">
        <f>IF($M205&gt;0,('Amounts Pivot Table'!H$124/$M205),0)</f>
        <v>19247.737455197133</v>
      </c>
      <c r="C205" s="75">
        <f>IF($M205&gt;0,('Amounts Pivot Table'!H$127/$M205),0)</f>
        <v>734.34027777777783</v>
      </c>
      <c r="D205" s="75">
        <f>IF($M205&gt;0,('Amounts Pivot Table'!H$133/$M205),0)</f>
        <v>4996.7540322580644</v>
      </c>
      <c r="E205" s="75">
        <f>SUM(B205:D205)</f>
        <v>24978.831765232975</v>
      </c>
      <c r="F205" s="117">
        <f>IF(B205&gt;0,RANK(B205,$B$202:$B$220),)</f>
        <v>1</v>
      </c>
      <c r="G205" s="107">
        <f t="shared" si="33"/>
        <v>1</v>
      </c>
      <c r="H205" s="107">
        <f t="shared" si="34"/>
        <v>5</v>
      </c>
      <c r="I205" s="107">
        <f t="shared" si="35"/>
        <v>1</v>
      </c>
      <c r="L205" s="170"/>
      <c r="M205" s="395">
        <f>+[1]Tables!G75</f>
        <v>892.8</v>
      </c>
      <c r="N205" s="73"/>
      <c r="O205" s="73"/>
      <c r="P205" s="73"/>
      <c r="Q205" s="73"/>
    </row>
    <row r="206" spans="1:17" s="113" customFormat="1">
      <c r="A206" s="111"/>
      <c r="B206" s="112"/>
      <c r="C206" s="112"/>
      <c r="D206" s="112"/>
      <c r="E206" s="112"/>
      <c r="F206" s="120"/>
      <c r="G206" s="121"/>
      <c r="H206" s="121"/>
      <c r="I206" s="121"/>
      <c r="L206" s="177"/>
      <c r="M206" s="395">
        <f>+[1]Tables!G76</f>
        <v>0</v>
      </c>
      <c r="N206" s="111"/>
      <c r="O206" s="111"/>
      <c r="P206" s="111"/>
      <c r="Q206" s="111"/>
    </row>
    <row r="207" spans="1:17" s="61" customFormat="1" ht="12.75" customHeight="1">
      <c r="A207" s="73" t="s">
        <v>1901</v>
      </c>
      <c r="B207" s="75">
        <f>IF($M207&gt;0,('Amounts Pivot Table'!H$163/$M207),0)</f>
        <v>5380.9890529659524</v>
      </c>
      <c r="C207" s="75">
        <f>IF($M207&gt;0,('Amounts Pivot Table'!H$166/$M207),0)</f>
        <v>0</v>
      </c>
      <c r="D207" s="75">
        <f>IF($M207&gt;0,('Amounts Pivot Table'!H$172/$M207),0)</f>
        <v>3068.2170106253584</v>
      </c>
      <c r="E207" s="75">
        <f>SUM(B207:D207)</f>
        <v>8449.2060635913112</v>
      </c>
      <c r="F207" s="117">
        <f t="shared" ref="F207:F220" si="36">IF(B207&gt;0,RANK(B207,$B$202:$B$220),)</f>
        <v>8</v>
      </c>
      <c r="G207" s="107">
        <f t="shared" si="33"/>
        <v>0</v>
      </c>
      <c r="H207" s="107">
        <f t="shared" si="34"/>
        <v>11</v>
      </c>
      <c r="I207" s="107">
        <f t="shared" si="35"/>
        <v>11</v>
      </c>
      <c r="L207" s="170"/>
      <c r="M207" s="395">
        <f>+[1]Tables!G77</f>
        <v>9947.9</v>
      </c>
      <c r="N207" s="73"/>
      <c r="O207" s="73"/>
      <c r="P207" s="73"/>
      <c r="Q207" s="73"/>
    </row>
    <row r="208" spans="1:17" s="61" customFormat="1" ht="12.75" customHeight="1">
      <c r="A208" s="73" t="s">
        <v>1894</v>
      </c>
      <c r="B208" s="75">
        <f>IF($M208&gt;0,('Amounts Pivot Table'!H$202/$M208),0)</f>
        <v>0</v>
      </c>
      <c r="C208" s="75">
        <f>IF($M208&gt;0,('Amounts Pivot Table'!H$205/$M208),0)</f>
        <v>0</v>
      </c>
      <c r="D208" s="75">
        <f>IF($M208&gt;0,('Amounts Pivot Table'!H$211/$M208),0)</f>
        <v>0</v>
      </c>
      <c r="E208" s="75">
        <f>SUM(B208:D208)</f>
        <v>0</v>
      </c>
      <c r="F208" s="117">
        <f t="shared" si="36"/>
        <v>0</v>
      </c>
      <c r="G208" s="107">
        <f t="shared" si="33"/>
        <v>0</v>
      </c>
      <c r="H208" s="107">
        <f t="shared" si="34"/>
        <v>0</v>
      </c>
      <c r="I208" s="107">
        <f t="shared" si="35"/>
        <v>0</v>
      </c>
      <c r="L208" s="170"/>
      <c r="M208" s="395">
        <f>+[1]Tables!G78</f>
        <v>0</v>
      </c>
      <c r="N208" s="73"/>
      <c r="O208" s="73"/>
      <c r="P208" s="73"/>
      <c r="Q208" s="73"/>
    </row>
    <row r="209" spans="1:17" s="61" customFormat="1" ht="12.75" customHeight="1">
      <c r="A209" s="73" t="s">
        <v>1902</v>
      </c>
      <c r="B209" s="75">
        <f>IF($M209&gt;0,('Amounts Pivot Table'!H$241/$M209),0)</f>
        <v>0</v>
      </c>
      <c r="C209" s="75">
        <f>IF($M209&gt;0,('Amounts Pivot Table'!H$244/$M209),0)</f>
        <v>0</v>
      </c>
      <c r="D209" s="75">
        <f>IF($M209&gt;0,('Amounts Pivot Table'!H$250/$M209),0)</f>
        <v>0</v>
      </c>
      <c r="E209" s="75">
        <f>SUM(B209:D209)</f>
        <v>0</v>
      </c>
      <c r="F209" s="117">
        <f t="shared" si="36"/>
        <v>0</v>
      </c>
      <c r="G209" s="107">
        <f t="shared" si="33"/>
        <v>0</v>
      </c>
      <c r="H209" s="107">
        <f t="shared" si="34"/>
        <v>0</v>
      </c>
      <c r="I209" s="107">
        <f t="shared" si="35"/>
        <v>0</v>
      </c>
      <c r="L209" s="170"/>
      <c r="M209" s="395">
        <f>+[1]Tables!G79</f>
        <v>0</v>
      </c>
      <c r="N209" s="73"/>
      <c r="O209" s="73"/>
      <c r="P209" s="73"/>
      <c r="Q209" s="73"/>
    </row>
    <row r="210" spans="1:17" s="61" customFormat="1" ht="12.75" customHeight="1">
      <c r="A210" s="73" t="s">
        <v>1905</v>
      </c>
      <c r="B210" s="75">
        <f>IF($M210&gt;0,('Amounts Pivot Table'!H$280/$M210),0)</f>
        <v>8050.5552359644644</v>
      </c>
      <c r="C210" s="75">
        <f>IF($M210&gt;0,('Amounts Pivot Table'!H$283/$M210),0)</f>
        <v>0</v>
      </c>
      <c r="D210" s="75">
        <f>IF($M210&gt;0,('Amounts Pivot Table'!H$289/$M210),0)</f>
        <v>12401.405501286277</v>
      </c>
      <c r="E210" s="75">
        <f>SUM(B210:D210)</f>
        <v>20451.960737250742</v>
      </c>
      <c r="F210" s="117">
        <f t="shared" si="36"/>
        <v>5</v>
      </c>
      <c r="G210" s="107">
        <f t="shared" si="33"/>
        <v>0</v>
      </c>
      <c r="H210" s="107">
        <f t="shared" si="34"/>
        <v>1</v>
      </c>
      <c r="I210" s="107">
        <f t="shared" si="35"/>
        <v>2</v>
      </c>
      <c r="L210" s="170"/>
      <c r="M210" s="395">
        <f>+[1]Tables!G80</f>
        <v>2117.8683333333333</v>
      </c>
      <c r="N210" s="73"/>
      <c r="O210" s="73"/>
      <c r="P210" s="73"/>
      <c r="Q210" s="73"/>
    </row>
    <row r="211" spans="1:17" s="113" customFormat="1">
      <c r="A211" s="111"/>
      <c r="B211" s="112"/>
      <c r="C211" s="112"/>
      <c r="D211" s="112"/>
      <c r="E211" s="112"/>
      <c r="F211" s="120"/>
      <c r="G211" s="121"/>
      <c r="H211" s="121"/>
      <c r="I211" s="121"/>
      <c r="L211" s="177"/>
      <c r="M211" s="395">
        <f>+[1]Tables!G81</f>
        <v>0</v>
      </c>
      <c r="N211" s="111"/>
      <c r="O211" s="111"/>
      <c r="P211" s="111"/>
      <c r="Q211" s="111"/>
    </row>
    <row r="212" spans="1:17" s="61" customFormat="1" ht="12.75" customHeight="1">
      <c r="A212" s="73" t="s">
        <v>1895</v>
      </c>
      <c r="B212" s="75">
        <f>IF($M212&gt;0,('Amounts Pivot Table'!H$319/$M212),0)</f>
        <v>0</v>
      </c>
      <c r="C212" s="75">
        <f>IF($M212&gt;0,('Amounts Pivot Table'!H$322/$M212),0)</f>
        <v>0</v>
      </c>
      <c r="D212" s="75">
        <f>IF($M212&gt;0,('Amounts Pivot Table'!H$328/$M212),0)</f>
        <v>0</v>
      </c>
      <c r="E212" s="75">
        <f>SUM(B212:D212)</f>
        <v>0</v>
      </c>
      <c r="F212" s="117">
        <f t="shared" si="36"/>
        <v>0</v>
      </c>
      <c r="G212" s="107">
        <f t="shared" si="33"/>
        <v>0</v>
      </c>
      <c r="H212" s="107">
        <f t="shared" si="34"/>
        <v>0</v>
      </c>
      <c r="I212" s="107">
        <f t="shared" si="35"/>
        <v>0</v>
      </c>
      <c r="L212" s="170"/>
      <c r="M212" s="395">
        <f>+[1]Tables!G82</f>
        <v>0</v>
      </c>
      <c r="N212" s="73"/>
      <c r="O212" s="73"/>
      <c r="P212" s="73"/>
      <c r="Q212" s="73"/>
    </row>
    <row r="213" spans="1:17" s="61" customFormat="1" ht="12.75" customHeight="1">
      <c r="A213" s="73" t="s">
        <v>1896</v>
      </c>
      <c r="B213" s="75">
        <f>IF($M213&gt;0,('Amounts Pivot Table'!H$358/$M213),0)</f>
        <v>12209.120738321104</v>
      </c>
      <c r="C213" s="75">
        <f>IF($M213&gt;0,('Amounts Pivot Table'!H$361/$M213),0)</f>
        <v>0</v>
      </c>
      <c r="D213" s="75">
        <f>IF($M213&gt;0,('Amounts Pivot Table'!H$367/$M213),0)</f>
        <v>3813.7485345638684</v>
      </c>
      <c r="E213" s="75">
        <f>SUM(B213:D213)</f>
        <v>16022.869272884973</v>
      </c>
      <c r="F213" s="117">
        <f t="shared" si="36"/>
        <v>2</v>
      </c>
      <c r="G213" s="107">
        <f t="shared" si="33"/>
        <v>0</v>
      </c>
      <c r="H213" s="107">
        <f t="shared" si="34"/>
        <v>9</v>
      </c>
      <c r="I213" s="107">
        <f t="shared" si="35"/>
        <v>4</v>
      </c>
      <c r="L213" s="170"/>
      <c r="M213" s="395">
        <f>+[1]Tables!G83</f>
        <v>6120.1916666666666</v>
      </c>
      <c r="N213" s="73"/>
      <c r="O213" s="73"/>
      <c r="P213" s="73"/>
      <c r="Q213" s="73"/>
    </row>
    <row r="214" spans="1:17" s="61" customFormat="1" ht="12.75" customHeight="1">
      <c r="A214" s="73" t="s">
        <v>1903</v>
      </c>
      <c r="B214" s="75">
        <f>IF($M214&gt;0,('Amounts Pivot Table'!H$397/$M214),0)</f>
        <v>6030.0571390248815</v>
      </c>
      <c r="C214" s="75">
        <f>IF($M214&gt;0,('Amounts Pivot Table'!H$400/$M214),0)</f>
        <v>0</v>
      </c>
      <c r="D214" s="75">
        <f>IF($M214&gt;0,('Amounts Pivot Table'!H$406/$M214),0)</f>
        <v>4551.5591174300853</v>
      </c>
      <c r="E214" s="75">
        <f>SUM(B214:D214)</f>
        <v>10581.616256454967</v>
      </c>
      <c r="F214" s="117">
        <f t="shared" si="36"/>
        <v>6</v>
      </c>
      <c r="G214" s="107">
        <f t="shared" si="33"/>
        <v>0</v>
      </c>
      <c r="H214" s="107">
        <f t="shared" si="34"/>
        <v>6</v>
      </c>
      <c r="I214" s="107">
        <f t="shared" si="35"/>
        <v>6</v>
      </c>
      <c r="L214" s="170"/>
      <c r="M214" s="395">
        <f>+[1]Tables!G84</f>
        <v>4970.333333333333</v>
      </c>
      <c r="N214" s="73"/>
      <c r="O214" s="73"/>
      <c r="P214" s="73"/>
      <c r="Q214" s="73"/>
    </row>
    <row r="215" spans="1:17" s="61" customFormat="1" ht="12.75" customHeight="1">
      <c r="A215" s="73" t="s">
        <v>1897</v>
      </c>
      <c r="B215" s="75">
        <f>IF($M215&gt;0,('Amounts Pivot Table'!H$436/$M215),0)</f>
        <v>2650.4029657340529</v>
      </c>
      <c r="C215" s="75">
        <f>IF($M215&gt;0,('Amounts Pivot Table'!H$439/$M215),0)</f>
        <v>154.71869471644109</v>
      </c>
      <c r="D215" s="75">
        <f>IF($M215&gt;0,('Amounts Pivot Table'!H$445/$M215),0)</f>
        <v>7704.0516524502227</v>
      </c>
      <c r="E215" s="75">
        <f>SUM(B215:D215)</f>
        <v>10509.173312900717</v>
      </c>
      <c r="F215" s="117">
        <f t="shared" si="36"/>
        <v>11</v>
      </c>
      <c r="G215" s="107">
        <f t="shared" si="33"/>
        <v>2</v>
      </c>
      <c r="H215" s="107">
        <f t="shared" si="34"/>
        <v>3</v>
      </c>
      <c r="I215" s="107">
        <f t="shared" si="35"/>
        <v>7</v>
      </c>
      <c r="L215" s="170"/>
      <c r="M215" s="395">
        <f>+[1]Tables!G85</f>
        <v>7395.5833333333339</v>
      </c>
      <c r="N215" s="73"/>
      <c r="O215" s="73"/>
      <c r="P215" s="73"/>
      <c r="Q215" s="73"/>
    </row>
    <row r="216" spans="1:17" s="113" customFormat="1">
      <c r="A216" s="111"/>
      <c r="B216" s="112"/>
      <c r="C216" s="112"/>
      <c r="D216" s="112"/>
      <c r="E216" s="112"/>
      <c r="F216" s="120"/>
      <c r="G216" s="121"/>
      <c r="H216" s="121"/>
      <c r="I216" s="121"/>
      <c r="L216" s="177"/>
      <c r="M216" s="395">
        <f>+[1]Tables!G86</f>
        <v>0</v>
      </c>
      <c r="N216" s="111"/>
      <c r="O216" s="111"/>
      <c r="P216" s="111"/>
      <c r="Q216" s="111"/>
    </row>
    <row r="217" spans="1:17" s="61" customFormat="1" ht="12.75" customHeight="1">
      <c r="A217" s="73" t="s">
        <v>647</v>
      </c>
      <c r="B217" s="75">
        <f>IF($M217&gt;0,('Amounts Pivot Table'!H$475/$M217),0)</f>
        <v>0</v>
      </c>
      <c r="C217" s="75">
        <f>IF($M217&gt;0,('Amounts Pivot Table'!H$478/$M217),0)</f>
        <v>0</v>
      </c>
      <c r="D217" s="75">
        <f>IF($M217&gt;0,('Amounts Pivot Table'!H$484/$M217),0)</f>
        <v>0</v>
      </c>
      <c r="E217" s="75">
        <f>SUM(B217:D217)</f>
        <v>0</v>
      </c>
      <c r="F217" s="117">
        <f t="shared" si="36"/>
        <v>0</v>
      </c>
      <c r="G217" s="107">
        <f t="shared" si="33"/>
        <v>0</v>
      </c>
      <c r="H217" s="107">
        <f t="shared" si="34"/>
        <v>0</v>
      </c>
      <c r="I217" s="107">
        <f t="shared" si="35"/>
        <v>0</v>
      </c>
      <c r="L217" s="170"/>
      <c r="M217" s="395">
        <f>+[1]Tables!G87</f>
        <v>0</v>
      </c>
      <c r="N217" s="73"/>
      <c r="O217" s="73"/>
      <c r="P217" s="73"/>
      <c r="Q217" s="73"/>
    </row>
    <row r="218" spans="1:17" s="76" customFormat="1" ht="12.75" customHeight="1">
      <c r="A218" s="73" t="s">
        <v>1898</v>
      </c>
      <c r="B218" s="75">
        <f>IF($M218&gt;0,('Amounts Pivot Table'!H$514/$M218),0)</f>
        <v>9733.5982509722926</v>
      </c>
      <c r="C218" s="75">
        <f>IF($M218&gt;0,('Amounts Pivot Table'!H$517/$M218),0)</f>
        <v>0</v>
      </c>
      <c r="D218" s="75">
        <f>IF($M218&gt;0,('Amounts Pivot Table'!H$523/$M218),0)</f>
        <v>7797.3085627650462</v>
      </c>
      <c r="E218" s="75">
        <f>SUM(B218:D218)</f>
        <v>17530.90681373734</v>
      </c>
      <c r="F218" s="117">
        <f t="shared" si="36"/>
        <v>3</v>
      </c>
      <c r="G218" s="107">
        <f t="shared" si="33"/>
        <v>0</v>
      </c>
      <c r="H218" s="107">
        <f t="shared" si="34"/>
        <v>2</v>
      </c>
      <c r="I218" s="107">
        <f t="shared" si="35"/>
        <v>3</v>
      </c>
      <c r="J218" s="61"/>
      <c r="K218" s="61"/>
      <c r="L218" s="171"/>
      <c r="M218" s="395">
        <f>+[1]Tables!G88</f>
        <v>1517.0333333333333</v>
      </c>
      <c r="N218" s="90"/>
      <c r="O218" s="90"/>
      <c r="P218" s="90"/>
      <c r="Q218" s="90"/>
    </row>
    <row r="219" spans="1:17" s="61" customFormat="1" ht="12.75" customHeight="1">
      <c r="A219" s="73" t="s">
        <v>1899</v>
      </c>
      <c r="B219" s="75">
        <f>IF($M219&gt;0,('Amounts Pivot Table'!H$553/$M219),0)</f>
        <v>8935.6319645385702</v>
      </c>
      <c r="C219" s="75">
        <f>IF($M219&gt;0,('Amounts Pivot Table'!H$556/$M219),0)</f>
        <v>0</v>
      </c>
      <c r="D219" s="75">
        <f>IF($M219&gt;0,('Amounts Pivot Table'!H$562/$M219),0)</f>
        <v>3641.0761558825343</v>
      </c>
      <c r="E219" s="75">
        <f>SUM(B219:D219)</f>
        <v>12576.708120421104</v>
      </c>
      <c r="F219" s="117">
        <f t="shared" si="36"/>
        <v>4</v>
      </c>
      <c r="G219" s="107">
        <f t="shared" si="33"/>
        <v>0</v>
      </c>
      <c r="H219" s="107">
        <f t="shared" si="34"/>
        <v>10</v>
      </c>
      <c r="I219" s="107">
        <f t="shared" si="35"/>
        <v>5</v>
      </c>
      <c r="L219" s="172"/>
      <c r="M219" s="395">
        <f>+[1]Tables!G89</f>
        <v>1624.3</v>
      </c>
      <c r="N219" s="73"/>
      <c r="O219" s="73"/>
      <c r="P219" s="73"/>
      <c r="Q219" s="73"/>
    </row>
    <row r="220" spans="1:17" s="61" customFormat="1" ht="15" customHeight="1">
      <c r="A220" s="74" t="s">
        <v>1904</v>
      </c>
      <c r="B220" s="104">
        <f>IF($M220&gt;0,('Amounts Pivot Table'!H$592/$M220),0)</f>
        <v>4176.114831041913</v>
      </c>
      <c r="C220" s="104">
        <f>IF($M220&gt;0,('Amounts Pivot Table'!H$595/$M220),0)</f>
        <v>0</v>
      </c>
      <c r="D220" s="104">
        <f>IF($M220&gt;0,('Amounts Pivot Table'!H$601/$M220),0)</f>
        <v>5150.2135649498869</v>
      </c>
      <c r="E220" s="105">
        <f>SUM(B220:D220)</f>
        <v>9326.3283959918008</v>
      </c>
      <c r="F220" s="118">
        <f t="shared" si="36"/>
        <v>10</v>
      </c>
      <c r="G220" s="119">
        <f t="shared" si="33"/>
        <v>0</v>
      </c>
      <c r="H220" s="119">
        <f t="shared" si="34"/>
        <v>4</v>
      </c>
      <c r="I220" s="119">
        <f t="shared" si="35"/>
        <v>9</v>
      </c>
      <c r="L220" s="172"/>
      <c r="M220" s="395">
        <f>+[1]Tables!G90</f>
        <v>19087.87</v>
      </c>
      <c r="N220" s="73"/>
      <c r="O220" s="73"/>
      <c r="P220" s="73"/>
      <c r="Q220" s="73"/>
    </row>
    <row r="221" spans="1:17" s="76" customFormat="1" ht="36" customHeight="1">
      <c r="A221" s="1188" t="s">
        <v>275</v>
      </c>
      <c r="B221" s="1195"/>
      <c r="C221" s="1195"/>
      <c r="D221" s="1195"/>
      <c r="E221" s="1195"/>
      <c r="F221" s="1195"/>
      <c r="G221" s="1196"/>
      <c r="H221" s="1196"/>
      <c r="I221" s="1196"/>
      <c r="J221" s="61"/>
      <c r="K221" s="61"/>
      <c r="L221" s="171"/>
      <c r="M221" s="399"/>
      <c r="N221" s="90"/>
      <c r="O221" s="90"/>
      <c r="P221" s="90"/>
      <c r="Q221" s="90"/>
    </row>
    <row r="222" spans="1:17" s="76" customFormat="1" ht="22.5" customHeight="1">
      <c r="A222" s="1188" t="s">
        <v>453</v>
      </c>
      <c r="B222" s="1201"/>
      <c r="C222" s="1201"/>
      <c r="D222" s="1201"/>
      <c r="E222" s="1201"/>
      <c r="F222" s="1201"/>
      <c r="G222" s="1201"/>
      <c r="H222" s="1201"/>
      <c r="I222" s="1201"/>
      <c r="J222" s="106"/>
      <c r="L222" s="171"/>
      <c r="M222" s="395"/>
      <c r="N222" s="90"/>
      <c r="O222" s="90"/>
      <c r="P222" s="90"/>
      <c r="Q222" s="90"/>
    </row>
    <row r="223" spans="1:17" s="61" customFormat="1">
      <c r="A223" s="191" t="s">
        <v>1600</v>
      </c>
      <c r="B223" s="73"/>
      <c r="C223" s="73"/>
      <c r="D223" s="73"/>
      <c r="E223" s="73"/>
      <c r="F223" s="73"/>
      <c r="L223" s="173"/>
      <c r="M223" s="395"/>
      <c r="N223" s="73"/>
      <c r="O223" s="73"/>
      <c r="P223" s="73"/>
      <c r="Q223" s="73"/>
    </row>
    <row r="224" spans="1:17" s="61" customFormat="1">
      <c r="A224" s="191"/>
      <c r="B224" s="73"/>
      <c r="C224" s="73"/>
      <c r="D224" s="73"/>
      <c r="E224" s="73"/>
      <c r="F224" s="73"/>
      <c r="L224" s="173"/>
      <c r="M224" s="395"/>
      <c r="N224" s="73"/>
      <c r="O224" s="73"/>
      <c r="P224" s="73"/>
      <c r="Q224" s="73"/>
    </row>
    <row r="225" spans="1:22" s="61" customFormat="1" ht="17.25" customHeight="1">
      <c r="A225" s="189"/>
      <c r="B225" s="106"/>
      <c r="C225" s="106"/>
      <c r="D225" s="106"/>
      <c r="E225" s="106"/>
      <c r="F225" s="106"/>
      <c r="G225" s="190"/>
      <c r="H225" s="190"/>
      <c r="I225" s="805" t="s">
        <v>2058</v>
      </c>
      <c r="J225" s="190"/>
      <c r="K225" s="190"/>
      <c r="L225" s="173"/>
      <c r="M225" s="395"/>
      <c r="N225" s="73"/>
      <c r="O225" s="73"/>
      <c r="P225" s="73"/>
      <c r="Q225" s="73"/>
    </row>
    <row r="226" spans="1:22" s="61" customFormat="1" ht="15.75">
      <c r="A226" s="1173" t="s">
        <v>1498</v>
      </c>
      <c r="B226" s="1173"/>
      <c r="C226" s="1173"/>
      <c r="D226" s="1173"/>
      <c r="E226" s="1173"/>
      <c r="F226" s="1173"/>
      <c r="G226" s="1173"/>
      <c r="H226" s="1173"/>
      <c r="I226" s="1173"/>
      <c r="J226" s="1173"/>
      <c r="K226" s="1173"/>
      <c r="L226" s="172"/>
      <c r="M226" s="395"/>
      <c r="N226" s="73"/>
      <c r="O226" s="73"/>
      <c r="P226" s="73"/>
      <c r="Q226" s="73"/>
    </row>
    <row r="227" spans="1:22" s="61" customFormat="1" ht="18.75">
      <c r="A227" s="1173" t="s">
        <v>276</v>
      </c>
      <c r="B227" s="1173"/>
      <c r="C227" s="1173"/>
      <c r="D227" s="1173"/>
      <c r="E227" s="1173"/>
      <c r="F227" s="1173"/>
      <c r="G227" s="1173"/>
      <c r="H227" s="1173"/>
      <c r="I227" s="1173"/>
      <c r="J227" s="1173"/>
      <c r="K227" s="1173"/>
      <c r="L227" s="167"/>
      <c r="M227" s="395"/>
      <c r="N227" s="73"/>
      <c r="O227" s="73"/>
      <c r="P227" s="73"/>
      <c r="Q227" s="73"/>
    </row>
    <row r="228" spans="1:22" s="61" customFormat="1" ht="15.75">
      <c r="A228" s="1173" t="s">
        <v>112</v>
      </c>
      <c r="B228" s="1173"/>
      <c r="C228" s="1173"/>
      <c r="D228" s="1173"/>
      <c r="E228" s="1173"/>
      <c r="F228" s="1173"/>
      <c r="G228" s="1173"/>
      <c r="H228" s="1173"/>
      <c r="I228" s="1173"/>
      <c r="J228" s="1173"/>
      <c r="K228" s="1173"/>
      <c r="L228" s="167"/>
      <c r="M228" s="395"/>
      <c r="N228" s="73"/>
      <c r="O228" s="73"/>
      <c r="P228" s="73"/>
      <c r="Q228" s="73"/>
    </row>
    <row r="229" spans="1:22" s="61" customFormat="1" ht="6.75" customHeight="1">
      <c r="A229" s="91"/>
      <c r="B229" s="91"/>
      <c r="C229" s="91"/>
      <c r="D229" s="91"/>
      <c r="E229" s="91"/>
      <c r="F229" s="91"/>
      <c r="G229" s="108"/>
      <c r="H229" s="91"/>
      <c r="I229" s="91"/>
      <c r="J229" s="91"/>
      <c r="K229" s="91"/>
      <c r="L229" s="167"/>
      <c r="M229" s="395"/>
      <c r="N229" s="73"/>
      <c r="O229" s="73"/>
      <c r="P229" s="73"/>
      <c r="Q229" s="73"/>
    </row>
    <row r="230" spans="1:22" s="61" customFormat="1" ht="15" customHeight="1">
      <c r="A230" s="60"/>
      <c r="B230" s="1197" t="s">
        <v>454</v>
      </c>
      <c r="C230" s="1198"/>
      <c r="D230" s="1198"/>
      <c r="E230" s="1198"/>
      <c r="F230" s="1198"/>
      <c r="G230" s="57" t="s">
        <v>909</v>
      </c>
      <c r="H230" s="58"/>
      <c r="I230" s="58"/>
      <c r="J230" s="58"/>
      <c r="K230" s="58"/>
      <c r="L230" s="175"/>
      <c r="M230" s="395"/>
      <c r="N230" s="73"/>
      <c r="O230" s="73"/>
      <c r="P230" s="73"/>
      <c r="Q230" s="74"/>
    </row>
    <row r="231" spans="1:22" s="6" customFormat="1" ht="45">
      <c r="A231" s="50"/>
      <c r="B231" s="51" t="s">
        <v>643</v>
      </c>
      <c r="C231" s="52" t="s">
        <v>645</v>
      </c>
      <c r="D231" s="52" t="s">
        <v>644</v>
      </c>
      <c r="E231" s="52" t="s">
        <v>1835</v>
      </c>
      <c r="F231" s="52" t="s">
        <v>670</v>
      </c>
      <c r="G231" s="53" t="s">
        <v>643</v>
      </c>
      <c r="H231" s="52" t="s">
        <v>645</v>
      </c>
      <c r="I231" s="52" t="s">
        <v>644</v>
      </c>
      <c r="J231" s="52" t="s">
        <v>1835</v>
      </c>
      <c r="K231" s="52" t="s">
        <v>670</v>
      </c>
      <c r="L231" s="169"/>
      <c r="M231" s="397" t="s">
        <v>1772</v>
      </c>
      <c r="N231" s="7" t="s">
        <v>850</v>
      </c>
      <c r="O231" s="7"/>
      <c r="P231" s="7"/>
      <c r="Q231" s="413"/>
      <c r="R231" s="51" t="s">
        <v>643</v>
      </c>
      <c r="S231" s="52" t="s">
        <v>645</v>
      </c>
      <c r="T231" s="52" t="s">
        <v>644</v>
      </c>
      <c r="U231" s="52" t="s">
        <v>1835</v>
      </c>
      <c r="V231" s="52" t="s">
        <v>670</v>
      </c>
    </row>
    <row r="232" spans="1:22" s="61" customFormat="1" ht="14.25">
      <c r="A232" s="73" t="s">
        <v>455</v>
      </c>
      <c r="B232" s="102">
        <f>IF($M232&gt;0,('Amounts Pivot Table'!O$631/$M232),0)</f>
        <v>3263.1453095039406</v>
      </c>
      <c r="C232" s="102">
        <f>IF($M232&gt;0,('Amounts Pivot Table'!O$634/$M232),0)</f>
        <v>65.450800226305574</v>
      </c>
      <c r="D232" s="102">
        <f>IF($M232&gt;0,('Amounts Pivot Table'!O$637/$M232),0)</f>
        <v>1183.5887945259849</v>
      </c>
      <c r="E232" s="102">
        <f>IF($M232&gt;0,('Amounts Pivot Table'!O$640/$M232),0)</f>
        <v>2335.0369008640778</v>
      </c>
      <c r="F232" s="102">
        <f>SUM(B232:E232)</f>
        <v>6847.221805120309</v>
      </c>
      <c r="G232" s="115"/>
      <c r="H232" s="116"/>
      <c r="I232" s="116"/>
      <c r="J232" s="116"/>
      <c r="K232" s="116"/>
      <c r="L232" s="170"/>
      <c r="M232" s="395">
        <f>+[1]Tables!AP163</f>
        <v>1638926.2106666665</v>
      </c>
      <c r="N232" s="73">
        <f>SUM(B232:D232)</f>
        <v>4512.1849042562308</v>
      </c>
      <c r="O232" s="73"/>
      <c r="P232" s="73"/>
      <c r="Q232" s="73" t="s">
        <v>455</v>
      </c>
    </row>
    <row r="233" spans="1:22" s="61" customFormat="1" ht="12.75" customHeight="1">
      <c r="A233" s="73"/>
      <c r="B233" s="102"/>
      <c r="C233" s="102"/>
      <c r="D233" s="102"/>
      <c r="E233" s="102"/>
      <c r="F233" s="102"/>
      <c r="G233" s="115"/>
      <c r="H233" s="116"/>
      <c r="I233" s="116"/>
      <c r="J233" s="116"/>
      <c r="K233" s="116"/>
      <c r="L233" s="170"/>
      <c r="M233" s="395">
        <f>+[1]Tables!AP164</f>
        <v>0</v>
      </c>
      <c r="N233" s="73">
        <f t="shared" ref="N233:N252" si="37">SUM(B233:D233)</f>
        <v>0</v>
      </c>
      <c r="O233" s="73"/>
      <c r="P233" s="73"/>
      <c r="Q233" s="73"/>
    </row>
    <row r="234" spans="1:22" s="61" customFormat="1" ht="12.75" customHeight="1">
      <c r="A234" s="73" t="s">
        <v>1892</v>
      </c>
      <c r="B234" s="75">
        <f>IF($M234&gt;0,('Amounts Pivot Table'!O$7/$M234),0)</f>
        <v>4610.1417442687407</v>
      </c>
      <c r="C234" s="75">
        <f>IF($M234&gt;0,('Amounts Pivot Table'!O$10/$M234),0)</f>
        <v>147.72898041858576</v>
      </c>
      <c r="D234" s="75">
        <f>IF($M234&gt;0,('Amounts Pivot Table'!O$13/$M234),0)</f>
        <v>31.558295039832512</v>
      </c>
      <c r="E234" s="75">
        <f>IF($M234&gt;0,('Amounts Pivot Table'!O$16/$M234),0)</f>
        <v>2292.5847488054501</v>
      </c>
      <c r="F234" s="75">
        <f t="shared" ref="F234:F252" si="38">SUM(B234:E234)</f>
        <v>7082.0137685326099</v>
      </c>
      <c r="G234" s="117">
        <f>IF(B234&gt;0,RANK(B234,$B$234:$B$252),)</f>
        <v>2</v>
      </c>
      <c r="H234" s="107">
        <f>IF(C234&gt;0,RANK(C234,$C$234:$C$252),)</f>
        <v>3</v>
      </c>
      <c r="I234" s="107">
        <f>IF(D234&gt;0,RANK(D234,$D$234:$D$252),)</f>
        <v>9</v>
      </c>
      <c r="J234" s="107">
        <f>IF(E234&gt;0,RANK(E234,$E$234:$E$252),)</f>
        <v>14</v>
      </c>
      <c r="K234" s="107">
        <f>IF(F234&gt;0,RANK(F234,$F$234:$F$252),)</f>
        <v>11</v>
      </c>
      <c r="L234" s="170"/>
      <c r="M234" s="395">
        <f>+[1]Tables!AP165</f>
        <v>62666.566666666666</v>
      </c>
      <c r="N234" s="73">
        <f t="shared" si="37"/>
        <v>4789.4290197271594</v>
      </c>
      <c r="O234" s="73"/>
      <c r="P234" s="73"/>
      <c r="Q234" s="73" t="s">
        <v>1892</v>
      </c>
      <c r="R234" s="61">
        <f t="shared" ref="R234:V237" si="39">B234*$M234</f>
        <v>288901754.95999998</v>
      </c>
      <c r="S234" s="61">
        <f t="shared" si="39"/>
        <v>9257668</v>
      </c>
      <c r="T234" s="61">
        <f t="shared" si="39"/>
        <v>1977650</v>
      </c>
      <c r="U234" s="61">
        <f t="shared" si="39"/>
        <v>143668415</v>
      </c>
      <c r="V234" s="61">
        <f t="shared" si="39"/>
        <v>443805487.96000004</v>
      </c>
    </row>
    <row r="235" spans="1:22" s="61" customFormat="1" ht="12.75" customHeight="1">
      <c r="A235" s="73" t="s">
        <v>1906</v>
      </c>
      <c r="B235" s="75">
        <f>IF($M235&gt;0,('Amounts Pivot Table'!O$46/$M235),0)</f>
        <v>4415.36516038424</v>
      </c>
      <c r="C235" s="75">
        <f>IF($M235&gt;0,('Amounts Pivot Table'!O$49/$M235),0)</f>
        <v>55.359208802534503</v>
      </c>
      <c r="D235" s="75">
        <f>IF($M235&gt;0,('Amounts Pivot Table'!O$52/$M235),0)</f>
        <v>364.9335709127331</v>
      </c>
      <c r="E235" s="75">
        <f>IF($M235&gt;0,('Amounts Pivot Table'!O$55/$M235),0)</f>
        <v>2612.7236842105262</v>
      </c>
      <c r="F235" s="75">
        <f t="shared" si="38"/>
        <v>7448.3816243100337</v>
      </c>
      <c r="G235" s="117">
        <f t="shared" ref="G235:G252" si="40">IF(B235&gt;0,RANK(B235,$B$234:$B$252),)</f>
        <v>4</v>
      </c>
      <c r="H235" s="107">
        <f t="shared" ref="H235:H252" si="41">IF(C235&gt;0,RANK(C235,$C$234:$C$252),)</f>
        <v>4</v>
      </c>
      <c r="I235" s="107">
        <f t="shared" ref="I235:I252" si="42">IF(D235&gt;0,RANK(D235,$D$234:$D$252),)</f>
        <v>7</v>
      </c>
      <c r="J235" s="107">
        <f t="shared" ref="J235:J252" si="43">IF(E235&gt;0,RANK(E235,$E$234:$E$252),)</f>
        <v>10</v>
      </c>
      <c r="K235" s="107">
        <f t="shared" ref="K235:K252" si="44">IF(F235&gt;0,RANK(F235,$F$234:$F$252),)</f>
        <v>5</v>
      </c>
      <c r="L235" s="170"/>
      <c r="M235" s="395">
        <f>+[1]Tables!AP166</f>
        <v>36740.933333333334</v>
      </c>
      <c r="N235" s="73">
        <f t="shared" si="37"/>
        <v>4835.657940099507</v>
      </c>
      <c r="O235" s="73"/>
      <c r="P235" s="73"/>
      <c r="Q235" s="73" t="s">
        <v>1906</v>
      </c>
      <c r="R235" s="61">
        <f t="shared" si="39"/>
        <v>162224637</v>
      </c>
      <c r="S235" s="61">
        <f t="shared" si="39"/>
        <v>2033949</v>
      </c>
      <c r="T235" s="61">
        <f t="shared" si="39"/>
        <v>13408000</v>
      </c>
      <c r="U235" s="61">
        <f t="shared" si="39"/>
        <v>95993906.700000003</v>
      </c>
      <c r="V235" s="61">
        <f t="shared" si="39"/>
        <v>273660492.69999999</v>
      </c>
    </row>
    <row r="236" spans="1:22" s="61" customFormat="1" ht="12.75" customHeight="1">
      <c r="A236" s="73" t="s">
        <v>1893</v>
      </c>
      <c r="B236" s="75">
        <f>IF($M236&gt;0,('Amounts Pivot Table'!O$85/$M236),0)</f>
        <v>6307.459632117314</v>
      </c>
      <c r="C236" s="75">
        <f>IF($M236&gt;0,('Amounts Pivot Table'!O$88/$M236),0)</f>
        <v>0</v>
      </c>
      <c r="D236" s="75">
        <f>IF($M236&gt;0,('Amounts Pivot Table'!O$91/$M236),0)</f>
        <v>0</v>
      </c>
      <c r="E236" s="75">
        <f>IF($M236&gt;0,('Amounts Pivot Table'!O$94/$M236),0)</f>
        <v>3880.0872520110488</v>
      </c>
      <c r="F236" s="75">
        <f t="shared" si="38"/>
        <v>10187.546884128362</v>
      </c>
      <c r="G236" s="117">
        <f t="shared" si="40"/>
        <v>1</v>
      </c>
      <c r="H236" s="107">
        <f t="shared" si="41"/>
        <v>0</v>
      </c>
      <c r="I236" s="107">
        <f t="shared" si="42"/>
        <v>0</v>
      </c>
      <c r="J236" s="107">
        <f t="shared" si="43"/>
        <v>3</v>
      </c>
      <c r="K236" s="107">
        <f t="shared" si="44"/>
        <v>2</v>
      </c>
      <c r="L236" s="170"/>
      <c r="M236" s="395">
        <f>+[1]Tables!AP167</f>
        <v>9642.5666666666657</v>
      </c>
      <c r="N236" s="73">
        <f t="shared" si="37"/>
        <v>6307.459632117314</v>
      </c>
      <c r="O236" s="73"/>
      <c r="P236" s="73"/>
      <c r="Q236" s="73" t="s">
        <v>1893</v>
      </c>
      <c r="R236" s="61">
        <f t="shared" si="39"/>
        <v>60820100</v>
      </c>
      <c r="S236" s="61">
        <f t="shared" si="39"/>
        <v>0</v>
      </c>
      <c r="T236" s="61">
        <f t="shared" si="39"/>
        <v>0</v>
      </c>
      <c r="U236" s="61">
        <f t="shared" si="39"/>
        <v>37414000</v>
      </c>
      <c r="V236" s="61">
        <f t="shared" si="39"/>
        <v>98234100</v>
      </c>
    </row>
    <row r="237" spans="1:22" s="61" customFormat="1" ht="12.75" customHeight="1">
      <c r="A237" s="73" t="s">
        <v>1900</v>
      </c>
      <c r="B237" s="75">
        <f>IF($M237&gt;0,('Amounts Pivot Table'!O$124/$M237),0)</f>
        <v>3169.0139799110902</v>
      </c>
      <c r="C237" s="75">
        <f>IF($M237&gt;0,('Amounts Pivot Table'!O$127/$M237),0)</f>
        <v>0</v>
      </c>
      <c r="D237" s="75">
        <f>IF($M237&gt;0,('Amounts Pivot Table'!O$130/$M237),0)</f>
        <v>0</v>
      </c>
      <c r="E237" s="75">
        <f>IF($M237&gt;0,('Amounts Pivot Table'!O$133/$M237),0)</f>
        <v>1775.8151056209601</v>
      </c>
      <c r="F237" s="75">
        <f t="shared" si="38"/>
        <v>4944.8290855320502</v>
      </c>
      <c r="G237" s="117">
        <f t="shared" si="40"/>
        <v>13</v>
      </c>
      <c r="H237" s="107">
        <f t="shared" si="41"/>
        <v>0</v>
      </c>
      <c r="I237" s="107">
        <f t="shared" si="42"/>
        <v>0</v>
      </c>
      <c r="J237" s="107">
        <f t="shared" si="43"/>
        <v>15</v>
      </c>
      <c r="K237" s="107">
        <f t="shared" si="44"/>
        <v>16</v>
      </c>
      <c r="L237" s="170"/>
      <c r="M237" s="395">
        <f>+[1]Tables!AP168</f>
        <v>322367.25444444444</v>
      </c>
      <c r="N237" s="73">
        <f t="shared" si="37"/>
        <v>3169.0139799110902</v>
      </c>
      <c r="O237" s="73"/>
      <c r="P237" s="73"/>
      <c r="Q237" s="73" t="s">
        <v>1900</v>
      </c>
      <c r="R237" s="61">
        <f t="shared" si="39"/>
        <v>1021586336</v>
      </c>
      <c r="S237" s="61">
        <f t="shared" si="39"/>
        <v>0</v>
      </c>
      <c r="T237" s="61">
        <f t="shared" si="39"/>
        <v>0</v>
      </c>
      <c r="U237" s="61">
        <f t="shared" si="39"/>
        <v>572464640</v>
      </c>
      <c r="V237" s="61">
        <f t="shared" si="39"/>
        <v>1594050976</v>
      </c>
    </row>
    <row r="238" spans="1:22" s="61" customFormat="1" ht="12.75" customHeight="1">
      <c r="A238" s="73"/>
      <c r="B238" s="102"/>
      <c r="C238" s="102"/>
      <c r="D238" s="75"/>
      <c r="E238" s="102"/>
      <c r="F238" s="75">
        <f t="shared" si="38"/>
        <v>0</v>
      </c>
      <c r="G238" s="117"/>
      <c r="H238" s="107"/>
      <c r="I238" s="107"/>
      <c r="J238" s="107"/>
      <c r="K238" s="107"/>
      <c r="L238" s="170"/>
      <c r="M238" s="395">
        <f>+[1]Tables!AP169</f>
        <v>0</v>
      </c>
      <c r="N238" s="73">
        <f t="shared" si="37"/>
        <v>0</v>
      </c>
      <c r="O238" s="73"/>
      <c r="P238" s="73"/>
      <c r="Q238" s="73" t="s">
        <v>1901</v>
      </c>
      <c r="R238" s="61">
        <f t="shared" ref="R238:V241" si="45">B239*$M239</f>
        <v>214759246</v>
      </c>
      <c r="S238" s="61">
        <f t="shared" si="45"/>
        <v>146442</v>
      </c>
      <c r="T238" s="61">
        <f t="shared" si="45"/>
        <v>0</v>
      </c>
      <c r="U238" s="61">
        <f t="shared" si="45"/>
        <v>128579021</v>
      </c>
      <c r="V238" s="61">
        <f t="shared" si="45"/>
        <v>343484709</v>
      </c>
    </row>
    <row r="239" spans="1:22" s="61" customFormat="1" ht="12.75" customHeight="1">
      <c r="A239" s="73" t="s">
        <v>1901</v>
      </c>
      <c r="B239" s="75">
        <f>IF($M239&gt;0,('Amounts Pivot Table'!O$163/$M239),0)</f>
        <v>4093.8897267648795</v>
      </c>
      <c r="C239" s="75">
        <f>IF($M239&gt;0,('Amounts Pivot Table'!O$166/$M239),0)</f>
        <v>2.7915789915136062</v>
      </c>
      <c r="D239" s="75">
        <f>IF($M239&gt;0,('Amounts Pivot Table'!O$169/$M239),0)</f>
        <v>0</v>
      </c>
      <c r="E239" s="75">
        <f>IF($M239&gt;0,('Amounts Pivot Table'!O$172/$M239),0)</f>
        <v>2451.0624941819069</v>
      </c>
      <c r="F239" s="75">
        <f t="shared" si="38"/>
        <v>6547.7437999383001</v>
      </c>
      <c r="G239" s="117">
        <f t="shared" si="40"/>
        <v>5</v>
      </c>
      <c r="H239" s="107">
        <f t="shared" si="41"/>
        <v>5</v>
      </c>
      <c r="I239" s="107">
        <f t="shared" si="42"/>
        <v>0</v>
      </c>
      <c r="J239" s="107">
        <f t="shared" si="43"/>
        <v>11</v>
      </c>
      <c r="K239" s="107">
        <f t="shared" si="44"/>
        <v>14</v>
      </c>
      <c r="L239" s="170"/>
      <c r="M239" s="395">
        <f>+[1]Tables!AP170</f>
        <v>52458.483333333337</v>
      </c>
      <c r="N239" s="73">
        <f t="shared" si="37"/>
        <v>4096.6813057563932</v>
      </c>
      <c r="O239" s="73"/>
      <c r="P239" s="73"/>
      <c r="Q239" s="73" t="s">
        <v>1894</v>
      </c>
      <c r="R239" s="61">
        <f t="shared" si="45"/>
        <v>163727559</v>
      </c>
      <c r="S239" s="61">
        <f t="shared" si="45"/>
        <v>0</v>
      </c>
      <c r="T239" s="61">
        <f t="shared" si="45"/>
        <v>0</v>
      </c>
      <c r="U239" s="61">
        <f t="shared" si="45"/>
        <v>162888400</v>
      </c>
      <c r="V239" s="61">
        <f t="shared" si="45"/>
        <v>326615959</v>
      </c>
    </row>
    <row r="240" spans="1:22" s="61" customFormat="1" ht="12.75" customHeight="1">
      <c r="A240" s="73" t="s">
        <v>1894</v>
      </c>
      <c r="B240" s="75">
        <f>IF($M240&gt;0,('Amounts Pivot Table'!O$202/$M240),0)</f>
        <v>3651.0091694701837</v>
      </c>
      <c r="C240" s="75">
        <f>IF($M240&gt;0,('Amounts Pivot Table'!O$205/$M240),0)</f>
        <v>0</v>
      </c>
      <c r="D240" s="75">
        <f>IF($M240&gt;0,('Amounts Pivot Table'!O$208/$M240),0)</f>
        <v>0</v>
      </c>
      <c r="E240" s="75">
        <f>IF($M240&gt;0,('Amounts Pivot Table'!O$211/$M240),0)</f>
        <v>3632.296515214809</v>
      </c>
      <c r="F240" s="75">
        <f t="shared" si="38"/>
        <v>7283.3056846849922</v>
      </c>
      <c r="G240" s="117">
        <f t="shared" si="40"/>
        <v>10</v>
      </c>
      <c r="H240" s="107">
        <f t="shared" si="41"/>
        <v>0</v>
      </c>
      <c r="I240" s="107">
        <f t="shared" si="42"/>
        <v>0</v>
      </c>
      <c r="J240" s="107">
        <f t="shared" si="43"/>
        <v>4</v>
      </c>
      <c r="K240" s="107">
        <f t="shared" si="44"/>
        <v>7</v>
      </c>
      <c r="L240" s="170"/>
      <c r="M240" s="395">
        <f>+[1]Tables!AP171</f>
        <v>44844.466666666667</v>
      </c>
      <c r="N240" s="73">
        <f t="shared" si="37"/>
        <v>3651.0091694701837</v>
      </c>
      <c r="O240" s="73"/>
      <c r="P240" s="73"/>
      <c r="Q240" s="73" t="s">
        <v>1902</v>
      </c>
      <c r="R240" s="61">
        <f t="shared" si="45"/>
        <v>130682307</v>
      </c>
      <c r="S240" s="61">
        <f t="shared" si="45"/>
        <v>0</v>
      </c>
      <c r="T240" s="61">
        <f t="shared" si="45"/>
        <v>0</v>
      </c>
      <c r="U240" s="61">
        <f t="shared" si="45"/>
        <v>78056239</v>
      </c>
      <c r="V240" s="61">
        <f t="shared" si="45"/>
        <v>208738546</v>
      </c>
    </row>
    <row r="241" spans="1:22" s="61" customFormat="1" ht="12.75" customHeight="1">
      <c r="A241" s="73" t="s">
        <v>1902</v>
      </c>
      <c r="B241" s="75">
        <f>IF($M241&gt;0,('Amounts Pivot Table'!O$241/$M241),0)</f>
        <v>4518.377001908555</v>
      </c>
      <c r="C241" s="75">
        <f>IF($M241&gt;0,('Amounts Pivot Table'!O$244/$M241),0)</f>
        <v>0</v>
      </c>
      <c r="D241" s="75">
        <f>IF($M241&gt;0,('Amounts Pivot Table'!O$247/$M241),0)</f>
        <v>0</v>
      </c>
      <c r="E241" s="75">
        <f>IF($M241&gt;0,('Amounts Pivot Table'!O$250/$M241),0)</f>
        <v>2698.8161079301854</v>
      </c>
      <c r="F241" s="75">
        <f t="shared" si="38"/>
        <v>7217.1931098387404</v>
      </c>
      <c r="G241" s="117">
        <f t="shared" si="40"/>
        <v>3</v>
      </c>
      <c r="H241" s="107">
        <f t="shared" si="41"/>
        <v>0</v>
      </c>
      <c r="I241" s="107">
        <f t="shared" si="42"/>
        <v>0</v>
      </c>
      <c r="J241" s="107">
        <f t="shared" si="43"/>
        <v>8</v>
      </c>
      <c r="K241" s="107">
        <f t="shared" si="44"/>
        <v>8</v>
      </c>
      <c r="L241" s="170"/>
      <c r="M241" s="395">
        <f>+[1]Tables!AP172</f>
        <v>28922.400000000001</v>
      </c>
      <c r="N241" s="73">
        <f t="shared" si="37"/>
        <v>4518.377001908555</v>
      </c>
      <c r="O241" s="73"/>
      <c r="P241" s="73"/>
      <c r="Q241" s="73" t="s">
        <v>1905</v>
      </c>
      <c r="R241" s="61">
        <f t="shared" si="45"/>
        <v>258437056.99999997</v>
      </c>
      <c r="S241" s="61">
        <f t="shared" si="45"/>
        <v>0</v>
      </c>
      <c r="T241" s="61">
        <f t="shared" si="45"/>
        <v>329430416</v>
      </c>
      <c r="U241" s="61">
        <f t="shared" si="45"/>
        <v>345040052</v>
      </c>
      <c r="V241" s="61">
        <f t="shared" si="45"/>
        <v>932907525</v>
      </c>
    </row>
    <row r="242" spans="1:22" s="61" customFormat="1" ht="12.75" customHeight="1">
      <c r="A242" s="73" t="s">
        <v>1905</v>
      </c>
      <c r="B242" s="75">
        <f>IF($M242&gt;0,('Amounts Pivot Table'!O$280/$M242),0)</f>
        <v>3140.822820526012</v>
      </c>
      <c r="C242" s="75">
        <f>IF($M242&gt;0,('Amounts Pivot Table'!O$283/$M242),0)</f>
        <v>0</v>
      </c>
      <c r="D242" s="75">
        <f>IF($M242&gt;0,('Amounts Pivot Table'!O$286/$M242),0)</f>
        <v>4003.6153497452092</v>
      </c>
      <c r="E242" s="75">
        <f>IF($M242&gt;0,('Amounts Pivot Table'!O$289/$M242),0)</f>
        <v>4193.3215069736762</v>
      </c>
      <c r="F242" s="75">
        <f t="shared" si="38"/>
        <v>11337.759677244898</v>
      </c>
      <c r="G242" s="117">
        <f t="shared" si="40"/>
        <v>14</v>
      </c>
      <c r="H242" s="107">
        <f t="shared" si="41"/>
        <v>0</v>
      </c>
      <c r="I242" s="107">
        <f t="shared" si="42"/>
        <v>1</v>
      </c>
      <c r="J242" s="107">
        <f t="shared" si="43"/>
        <v>1</v>
      </c>
      <c r="K242" s="107">
        <f t="shared" si="44"/>
        <v>1</v>
      </c>
      <c r="L242" s="170"/>
      <c r="M242" s="395">
        <f>+[1]Tables!AP173</f>
        <v>82283.233333333337</v>
      </c>
      <c r="N242" s="73">
        <f t="shared" si="37"/>
        <v>7144.4381702712217</v>
      </c>
      <c r="O242" s="73"/>
      <c r="P242" s="73"/>
      <c r="Q242" s="73" t="s">
        <v>1895</v>
      </c>
      <c r="R242" s="61">
        <f t="shared" ref="R242:V245" si="46">B244*$M244</f>
        <v>238676103</v>
      </c>
      <c r="S242" s="61">
        <f t="shared" si="46"/>
        <v>0</v>
      </c>
      <c r="T242" s="61">
        <f t="shared" si="46"/>
        <v>47621527</v>
      </c>
      <c r="U242" s="61">
        <f t="shared" si="46"/>
        <v>134961291</v>
      </c>
      <c r="V242" s="61">
        <f t="shared" si="46"/>
        <v>421258921.00000006</v>
      </c>
    </row>
    <row r="243" spans="1:22" s="61" customFormat="1" ht="12.75" customHeight="1">
      <c r="A243" s="73"/>
      <c r="B243" s="102"/>
      <c r="C243" s="102"/>
      <c r="D243" s="75"/>
      <c r="E243" s="102"/>
      <c r="F243" s="75">
        <f t="shared" si="38"/>
        <v>0</v>
      </c>
      <c r="G243" s="117"/>
      <c r="H243" s="107"/>
      <c r="I243" s="107"/>
      <c r="J243" s="107"/>
      <c r="K243" s="107"/>
      <c r="L243" s="170"/>
      <c r="M243" s="395">
        <f>+[1]Tables!AP174</f>
        <v>0</v>
      </c>
      <c r="N243" s="73">
        <f t="shared" si="37"/>
        <v>0</v>
      </c>
      <c r="O243" s="73"/>
      <c r="P243" s="73"/>
      <c r="Q243" s="73" t="s">
        <v>1896</v>
      </c>
      <c r="R243" s="61">
        <f t="shared" si="46"/>
        <v>789483006</v>
      </c>
      <c r="S243" s="61">
        <f t="shared" si="46"/>
        <v>83096516</v>
      </c>
      <c r="T243" s="61">
        <f t="shared" si="46"/>
        <v>222176535</v>
      </c>
      <c r="U243" s="61">
        <f t="shared" si="46"/>
        <v>184878574</v>
      </c>
      <c r="V243" s="61">
        <f t="shared" si="46"/>
        <v>1279634631</v>
      </c>
    </row>
    <row r="244" spans="1:22" s="61" customFormat="1" ht="12.75" customHeight="1">
      <c r="A244" s="73" t="s">
        <v>1895</v>
      </c>
      <c r="B244" s="75">
        <f>IF($M244&gt;0,('Amounts Pivot Table'!O$319/$M244),0)</f>
        <v>4073.5503285450145</v>
      </c>
      <c r="C244" s="75">
        <f>IF($M244&gt;0,('Amounts Pivot Table'!O$322/$M244),0)</f>
        <v>0</v>
      </c>
      <c r="D244" s="75">
        <f>IF($M244&gt;0,('Amounts Pivot Table'!O$325/$M244),0)</f>
        <v>812.76962594225563</v>
      </c>
      <c r="E244" s="75">
        <f>IF($M244&gt;0,('Amounts Pivot Table'!O$328/$M244),0)</f>
        <v>2303.4212658227848</v>
      </c>
      <c r="F244" s="75">
        <f t="shared" si="38"/>
        <v>7189.7412203100557</v>
      </c>
      <c r="G244" s="117">
        <f t="shared" si="40"/>
        <v>6</v>
      </c>
      <c r="H244" s="107">
        <f t="shared" si="41"/>
        <v>0</v>
      </c>
      <c r="I244" s="107">
        <f t="shared" si="42"/>
        <v>6</v>
      </c>
      <c r="J244" s="107">
        <f t="shared" si="43"/>
        <v>13</v>
      </c>
      <c r="K244" s="107">
        <f t="shared" si="44"/>
        <v>9</v>
      </c>
      <c r="L244" s="170"/>
      <c r="M244" s="395">
        <f>+[1]Tables!AP175</f>
        <v>58591.666666666672</v>
      </c>
      <c r="N244" s="73">
        <f t="shared" si="37"/>
        <v>4886.3199544872705</v>
      </c>
      <c r="O244" s="73"/>
      <c r="P244" s="73"/>
      <c r="Q244" s="73" t="s">
        <v>1903</v>
      </c>
      <c r="R244" s="61">
        <f t="shared" si="46"/>
        <v>178877632</v>
      </c>
      <c r="S244" s="61">
        <f t="shared" si="46"/>
        <v>0</v>
      </c>
      <c r="T244" s="61">
        <f t="shared" si="46"/>
        <v>40666238</v>
      </c>
      <c r="U244" s="61">
        <f t="shared" si="46"/>
        <v>121387292</v>
      </c>
      <c r="V244" s="61">
        <f t="shared" si="46"/>
        <v>340931162</v>
      </c>
    </row>
    <row r="245" spans="1:22" s="61" customFormat="1" ht="12.75" customHeight="1">
      <c r="A245" s="73" t="s">
        <v>1896</v>
      </c>
      <c r="B245" s="75">
        <f>IF($M245&gt;0,('Amounts Pivot Table'!O$358/$M245),0)</f>
        <v>3406.8060171660113</v>
      </c>
      <c r="C245" s="75">
        <f>IF($M245&gt;0,('Amounts Pivot Table'!O$361/$M245),0)</f>
        <v>358.5811329222351</v>
      </c>
      <c r="D245" s="75">
        <f>IF($M245&gt;0,('Amounts Pivot Table'!O$364/$M245),0)</f>
        <v>958.74433085782584</v>
      </c>
      <c r="E245" s="75">
        <f>IF($M245&gt;0,('Amounts Pivot Table'!O$367/$M245),0)</f>
        <v>797.79480186590831</v>
      </c>
      <c r="F245" s="75">
        <f t="shared" si="38"/>
        <v>5521.9262828119809</v>
      </c>
      <c r="G245" s="117">
        <f t="shared" si="40"/>
        <v>12</v>
      </c>
      <c r="H245" s="107">
        <f t="shared" si="41"/>
        <v>1</v>
      </c>
      <c r="I245" s="107">
        <f t="shared" si="42"/>
        <v>3</v>
      </c>
      <c r="J245" s="107">
        <f t="shared" si="43"/>
        <v>16</v>
      </c>
      <c r="K245" s="107">
        <f t="shared" si="44"/>
        <v>15</v>
      </c>
      <c r="L245" s="170"/>
      <c r="M245" s="395">
        <f>+[1]Tables!AP176</f>
        <v>231737</v>
      </c>
      <c r="N245" s="73">
        <f t="shared" si="37"/>
        <v>4724.1314809460728</v>
      </c>
      <c r="O245" s="73"/>
      <c r="P245" s="73"/>
      <c r="Q245" s="73" t="s">
        <v>1897</v>
      </c>
      <c r="R245" s="61">
        <f t="shared" si="46"/>
        <v>134267878</v>
      </c>
      <c r="S245" s="61">
        <f t="shared" si="46"/>
        <v>12734457</v>
      </c>
      <c r="T245" s="61">
        <f t="shared" si="46"/>
        <v>55962513.999999993</v>
      </c>
      <c r="U245" s="61">
        <f t="shared" si="46"/>
        <v>285065296</v>
      </c>
      <c r="V245" s="61">
        <f t="shared" si="46"/>
        <v>488030145.00000006</v>
      </c>
    </row>
    <row r="246" spans="1:22" s="61" customFormat="1" ht="12.75" customHeight="1">
      <c r="A246" s="73" t="s">
        <v>1903</v>
      </c>
      <c r="B246" s="75">
        <f>IF($M246&gt;0,('Amounts Pivot Table'!O$397/$M246),0)</f>
        <v>3869.3981241131073</v>
      </c>
      <c r="C246" s="75">
        <f>IF($M246&gt;0,('Amounts Pivot Table'!O$400/$M246),0)</f>
        <v>0</v>
      </c>
      <c r="D246" s="75">
        <f>IF($M246&gt;0,('Amounts Pivot Table'!O$403/$M246),0)</f>
        <v>879.67323400131534</v>
      </c>
      <c r="E246" s="75">
        <f>IF($M246&gt;0,('Amounts Pivot Table'!O$406/$M246),0)</f>
        <v>2625.793704357457</v>
      </c>
      <c r="F246" s="75">
        <f t="shared" si="38"/>
        <v>7374.8650624718794</v>
      </c>
      <c r="G246" s="117">
        <f t="shared" si="40"/>
        <v>9</v>
      </c>
      <c r="H246" s="107">
        <f t="shared" si="41"/>
        <v>0</v>
      </c>
      <c r="I246" s="107">
        <f t="shared" si="42"/>
        <v>4</v>
      </c>
      <c r="J246" s="107">
        <f t="shared" si="43"/>
        <v>9</v>
      </c>
      <c r="K246" s="107">
        <f t="shared" si="44"/>
        <v>6</v>
      </c>
      <c r="L246" s="170"/>
      <c r="M246" s="395">
        <f>+[1]Tables!AP177</f>
        <v>46228.799999999996</v>
      </c>
      <c r="N246" s="73">
        <f t="shared" si="37"/>
        <v>4749.0713581144228</v>
      </c>
      <c r="O246" s="73"/>
      <c r="P246" s="73"/>
      <c r="Q246" s="73" t="s">
        <v>647</v>
      </c>
      <c r="R246" s="61">
        <f t="shared" ref="R246:V249" si="47">B249*$M249</f>
        <v>218003100</v>
      </c>
      <c r="S246" s="61">
        <f t="shared" si="47"/>
        <v>0</v>
      </c>
      <c r="T246" s="61">
        <f t="shared" si="47"/>
        <v>0</v>
      </c>
      <c r="U246" s="61">
        <f t="shared" si="47"/>
        <v>181867205</v>
      </c>
      <c r="V246" s="61">
        <f t="shared" si="47"/>
        <v>399870305</v>
      </c>
    </row>
    <row r="247" spans="1:22" s="61" customFormat="1" ht="12.75" customHeight="1">
      <c r="A247" s="73" t="s">
        <v>1897</v>
      </c>
      <c r="B247" s="75">
        <f>IF($M247&gt;0,('Amounts Pivot Table'!O$436/$M247),0)</f>
        <v>1952.8023847942798</v>
      </c>
      <c r="C247" s="75">
        <f>IF($M247&gt;0,('Amounts Pivot Table'!O$439/$M247),0)</f>
        <v>185.21092586761674</v>
      </c>
      <c r="D247" s="75">
        <f>IF($M247&gt;0,('Amounts Pivot Table'!O$442/$M247),0)</f>
        <v>813.923124623175</v>
      </c>
      <c r="E247" s="75">
        <f>IF($M247&gt;0,('Amounts Pivot Table'!O$445/$M247),0)</f>
        <v>4146.0116756361285</v>
      </c>
      <c r="F247" s="75">
        <f t="shared" si="38"/>
        <v>7097.9481109212002</v>
      </c>
      <c r="G247" s="117">
        <f t="shared" si="40"/>
        <v>16</v>
      </c>
      <c r="H247" s="107">
        <f t="shared" si="41"/>
        <v>2</v>
      </c>
      <c r="I247" s="107">
        <f t="shared" si="42"/>
        <v>5</v>
      </c>
      <c r="J247" s="107">
        <f t="shared" si="43"/>
        <v>2</v>
      </c>
      <c r="K247" s="107">
        <f t="shared" si="44"/>
        <v>10</v>
      </c>
      <c r="L247" s="170"/>
      <c r="M247" s="395">
        <f>+[1]Tables!AP178</f>
        <v>68756.510666666669</v>
      </c>
      <c r="N247" s="73">
        <f t="shared" si="37"/>
        <v>2951.9364352850716</v>
      </c>
      <c r="O247" s="73"/>
      <c r="P247" s="73"/>
      <c r="Q247" s="73" t="s">
        <v>1898</v>
      </c>
      <c r="R247" s="61">
        <f t="shared" si="47"/>
        <v>1053519459</v>
      </c>
      <c r="S247" s="61">
        <f t="shared" si="47"/>
        <v>0</v>
      </c>
      <c r="T247" s="61">
        <f t="shared" si="47"/>
        <v>1218857326</v>
      </c>
      <c r="U247" s="61">
        <f t="shared" si="47"/>
        <v>982744213</v>
      </c>
      <c r="V247" s="61">
        <f t="shared" si="47"/>
        <v>3255120998.0000005</v>
      </c>
    </row>
    <row r="248" spans="1:22" s="61" customFormat="1" ht="12.75" customHeight="1">
      <c r="A248" s="73"/>
      <c r="B248" s="102"/>
      <c r="C248" s="102"/>
      <c r="D248" s="75"/>
      <c r="E248" s="102"/>
      <c r="F248" s="75">
        <f t="shared" si="38"/>
        <v>0</v>
      </c>
      <c r="G248" s="117"/>
      <c r="H248" s="107"/>
      <c r="I248" s="107"/>
      <c r="J248" s="107"/>
      <c r="K248" s="107"/>
      <c r="L248" s="170"/>
      <c r="M248" s="395">
        <f>+[1]Tables!AP179</f>
        <v>0</v>
      </c>
      <c r="N248" s="73">
        <f t="shared" si="37"/>
        <v>0</v>
      </c>
      <c r="O248" s="73"/>
      <c r="P248" s="73"/>
      <c r="Q248" s="73" t="s">
        <v>1899</v>
      </c>
      <c r="R248" s="61">
        <f t="shared" si="47"/>
        <v>369738468</v>
      </c>
      <c r="S248" s="61">
        <f t="shared" si="47"/>
        <v>0</v>
      </c>
      <c r="T248" s="61">
        <f t="shared" si="47"/>
        <v>9714492</v>
      </c>
      <c r="U248" s="61">
        <f t="shared" si="47"/>
        <v>326288565</v>
      </c>
      <c r="V248" s="61">
        <f t="shared" si="47"/>
        <v>705741525</v>
      </c>
    </row>
    <row r="249" spans="1:22" s="61" customFormat="1" ht="12.75" customHeight="1">
      <c r="A249" s="73" t="s">
        <v>647</v>
      </c>
      <c r="B249" s="75">
        <f>IF($M249&gt;0,('Amounts Pivot Table'!O$475/$M249),0)</f>
        <v>4072.3986211328329</v>
      </c>
      <c r="C249" s="75">
        <f>IF($M249&gt;0,('Amounts Pivot Table'!O$478/$M249),0)</f>
        <v>0</v>
      </c>
      <c r="D249" s="75">
        <f>IF($M249&gt;0,('Amounts Pivot Table'!O$481/$M249),0)</f>
        <v>0</v>
      </c>
      <c r="E249" s="75">
        <f>IF($M249&gt;0,('Amounts Pivot Table'!O$484/$M249),0)</f>
        <v>3397.3634084620003</v>
      </c>
      <c r="F249" s="75">
        <f t="shared" si="38"/>
        <v>7469.7620295948327</v>
      </c>
      <c r="G249" s="117">
        <f t="shared" si="40"/>
        <v>7</v>
      </c>
      <c r="H249" s="107">
        <f t="shared" si="41"/>
        <v>0</v>
      </c>
      <c r="I249" s="107">
        <f t="shared" si="42"/>
        <v>0</v>
      </c>
      <c r="J249" s="107">
        <f t="shared" si="43"/>
        <v>5</v>
      </c>
      <c r="K249" s="107">
        <f t="shared" si="44"/>
        <v>4</v>
      </c>
      <c r="L249" s="170"/>
      <c r="M249" s="395">
        <f>+[1]Tables!AP180</f>
        <v>53531.866666666669</v>
      </c>
      <c r="N249" s="73">
        <f t="shared" si="37"/>
        <v>4072.3986211328329</v>
      </c>
      <c r="O249" s="73"/>
      <c r="P249" s="73"/>
      <c r="Q249" s="74" t="s">
        <v>1904</v>
      </c>
      <c r="R249" s="74">
        <f t="shared" si="47"/>
        <v>64349734</v>
      </c>
      <c r="S249" s="74">
        <f t="shared" si="47"/>
        <v>0</v>
      </c>
      <c r="T249" s="74">
        <f t="shared" si="47"/>
        <v>0</v>
      </c>
      <c r="U249" s="74">
        <f t="shared" si="47"/>
        <v>45656070</v>
      </c>
      <c r="V249" s="74">
        <f t="shared" si="47"/>
        <v>110005804</v>
      </c>
    </row>
    <row r="250" spans="1:22" s="76" customFormat="1" ht="12.75" customHeight="1">
      <c r="A250" s="73" t="s">
        <v>1898</v>
      </c>
      <c r="B250" s="75">
        <f>IF($M250&gt;0,('Amounts Pivot Table'!O$514/$M250),0)</f>
        <v>2514.5944312035035</v>
      </c>
      <c r="C250" s="75">
        <f>IF($M250&gt;0,('Amounts Pivot Table'!O$517/$M250),0)</f>
        <v>0</v>
      </c>
      <c r="D250" s="75">
        <f>IF($M250&gt;0,('Amounts Pivot Table'!O$520/$M250),0)</f>
        <v>2909.2313561065353</v>
      </c>
      <c r="E250" s="75">
        <f>IF($M250&gt;0,('Amounts Pivot Table'!O$523/$M250),0)</f>
        <v>2345.6644338140031</v>
      </c>
      <c r="F250" s="75">
        <f t="shared" si="38"/>
        <v>7769.4902211240424</v>
      </c>
      <c r="G250" s="117">
        <f t="shared" si="40"/>
        <v>15</v>
      </c>
      <c r="H250" s="107">
        <f t="shared" si="41"/>
        <v>0</v>
      </c>
      <c r="I250" s="107">
        <f t="shared" si="42"/>
        <v>2</v>
      </c>
      <c r="J250" s="107">
        <f t="shared" si="43"/>
        <v>12</v>
      </c>
      <c r="K250" s="107">
        <f t="shared" si="44"/>
        <v>3</v>
      </c>
      <c r="L250" s="171"/>
      <c r="M250" s="395">
        <f>+[1]Tables!AP181</f>
        <v>418961.97888888896</v>
      </c>
      <c r="N250" s="73">
        <f t="shared" si="37"/>
        <v>5423.8257873100392</v>
      </c>
      <c r="O250" s="90"/>
      <c r="P250" s="90"/>
    </row>
    <row r="251" spans="1:22" s="61" customFormat="1" ht="12.75" customHeight="1">
      <c r="A251" s="73" t="s">
        <v>1899</v>
      </c>
      <c r="B251" s="75">
        <f>IF($M251&gt;0,('Amounts Pivot Table'!O$553/$M251),0)</f>
        <v>3510.6063782515066</v>
      </c>
      <c r="C251" s="75">
        <f>IF($M251&gt;0,('Amounts Pivot Table'!O$556/$M251),0)</f>
        <v>0</v>
      </c>
      <c r="D251" s="75">
        <f>IF($M251&gt;0,('Amounts Pivot Table'!O$559/$M251),0)</f>
        <v>92.237515239212911</v>
      </c>
      <c r="E251" s="75">
        <f>IF($M251&gt;0,('Amounts Pivot Table'!O$562/$M251),0)</f>
        <v>3098.0566442968311</v>
      </c>
      <c r="F251" s="75">
        <f t="shared" si="38"/>
        <v>6700.900537787551</v>
      </c>
      <c r="G251" s="117">
        <f t="shared" si="40"/>
        <v>11</v>
      </c>
      <c r="H251" s="107">
        <f t="shared" si="41"/>
        <v>0</v>
      </c>
      <c r="I251" s="107">
        <f t="shared" si="42"/>
        <v>8</v>
      </c>
      <c r="J251" s="107">
        <f t="shared" si="43"/>
        <v>6</v>
      </c>
      <c r="K251" s="107">
        <f t="shared" si="44"/>
        <v>13</v>
      </c>
      <c r="L251" s="172"/>
      <c r="M251" s="395">
        <f>+[1]Tables!AP182</f>
        <v>105320.40000000001</v>
      </c>
      <c r="N251" s="73">
        <f t="shared" si="37"/>
        <v>3602.8438934907194</v>
      </c>
      <c r="O251" s="73"/>
      <c r="P251" s="73"/>
    </row>
    <row r="252" spans="1:22" s="61" customFormat="1" ht="13.5" customHeight="1">
      <c r="A252" s="74" t="s">
        <v>1904</v>
      </c>
      <c r="B252" s="104">
        <f>IF($M252&gt;0,('Amounts Pivot Table'!O$592/$M252),0)</f>
        <v>4054.2714304465385</v>
      </c>
      <c r="C252" s="104">
        <f>IF($M252&gt;0,('Amounts Pivot Table'!O$595/$M252),0)</f>
        <v>0</v>
      </c>
      <c r="D252" s="104">
        <f>IF($M252&gt;0,('Amounts Pivot Table'!O$598/$M252),0)</f>
        <v>0</v>
      </c>
      <c r="E252" s="104">
        <f>IF($M252&gt;0,('Amounts Pivot Table'!O$601/$M252),0)</f>
        <v>2876.5014044575119</v>
      </c>
      <c r="F252" s="105">
        <f t="shared" si="38"/>
        <v>6930.7728349040499</v>
      </c>
      <c r="G252" s="118">
        <f t="shared" si="40"/>
        <v>8</v>
      </c>
      <c r="H252" s="119">
        <f t="shared" si="41"/>
        <v>0</v>
      </c>
      <c r="I252" s="119">
        <f t="shared" si="42"/>
        <v>0</v>
      </c>
      <c r="J252" s="119">
        <f t="shared" si="43"/>
        <v>7</v>
      </c>
      <c r="K252" s="119">
        <f t="shared" si="44"/>
        <v>12</v>
      </c>
      <c r="L252" s="173"/>
      <c r="M252" s="395">
        <f>+[1]Tables!AP183</f>
        <v>15872.083333333334</v>
      </c>
      <c r="N252" s="73">
        <f t="shared" si="37"/>
        <v>4054.2714304465385</v>
      </c>
      <c r="O252" s="73"/>
      <c r="P252" s="73"/>
    </row>
    <row r="253" spans="1:22" s="76" customFormat="1" ht="34.5" customHeight="1">
      <c r="A253" s="1188" t="s">
        <v>275</v>
      </c>
      <c r="B253" s="1199"/>
      <c r="C253" s="1199"/>
      <c r="D253" s="1199"/>
      <c r="E253" s="1199"/>
      <c r="F253" s="1199"/>
      <c r="G253" s="1199"/>
      <c r="H253" s="1199"/>
      <c r="I253" s="1199"/>
      <c r="J253" s="1199"/>
      <c r="K253" s="1199"/>
      <c r="L253" s="171"/>
      <c r="M253" s="395"/>
      <c r="N253" s="90"/>
      <c r="O253" s="90"/>
      <c r="P253" s="90"/>
      <c r="Q253" s="90"/>
    </row>
    <row r="254" spans="1:22" s="219" customFormat="1" ht="13.5" customHeight="1">
      <c r="A254" s="1188" t="s">
        <v>453</v>
      </c>
      <c r="B254" s="1199"/>
      <c r="C254" s="1199"/>
      <c r="D254" s="1199"/>
      <c r="E254" s="1199"/>
      <c r="F254" s="1199"/>
      <c r="G254" s="1199"/>
      <c r="H254" s="1199"/>
      <c r="I254" s="1199"/>
      <c r="J254" s="1199"/>
      <c r="K254" s="1199"/>
      <c r="L254" s="218"/>
      <c r="M254" s="395"/>
      <c r="N254" s="220"/>
      <c r="O254" s="220"/>
      <c r="P254" s="220"/>
      <c r="Q254" s="220"/>
    </row>
    <row r="255" spans="1:22" s="61" customFormat="1" ht="13.5" customHeight="1">
      <c r="A255" s="1188" t="s">
        <v>1600</v>
      </c>
      <c r="B255" s="1195"/>
      <c r="C255" s="1195"/>
      <c r="D255" s="1195"/>
      <c r="E255" s="1195"/>
      <c r="F255" s="1195"/>
      <c r="G255" s="1196"/>
      <c r="H255" s="1196"/>
      <c r="I255" s="1196"/>
      <c r="J255" s="1196"/>
      <c r="K255" s="1196"/>
      <c r="L255" s="173"/>
      <c r="M255" s="399"/>
      <c r="N255" s="73"/>
      <c r="O255" s="73"/>
      <c r="P255" s="73"/>
      <c r="Q255" s="73"/>
    </row>
    <row r="256" spans="1:22" s="61" customFormat="1" ht="13.5" customHeight="1">
      <c r="A256" s="189"/>
      <c r="B256" s="106"/>
      <c r="C256" s="106"/>
      <c r="D256" s="106"/>
      <c r="E256" s="106"/>
      <c r="F256" s="106"/>
      <c r="G256" s="190"/>
      <c r="H256" s="190"/>
      <c r="I256" s="190"/>
      <c r="J256" s="190"/>
      <c r="K256" s="190"/>
      <c r="L256" s="173"/>
      <c r="M256" s="399"/>
      <c r="N256" s="73"/>
      <c r="O256" s="73"/>
      <c r="P256" s="73"/>
      <c r="Q256" s="73"/>
    </row>
    <row r="257" spans="1:17" s="61" customFormat="1">
      <c r="A257" s="189"/>
      <c r="B257" s="106"/>
      <c r="C257" s="106"/>
      <c r="D257" s="106"/>
      <c r="E257" s="106"/>
      <c r="F257" s="106"/>
      <c r="G257" s="190"/>
      <c r="H257" s="190"/>
      <c r="I257" s="190"/>
      <c r="J257" s="190"/>
      <c r="K257" s="805" t="s">
        <v>2058</v>
      </c>
      <c r="L257" s="173"/>
      <c r="M257" s="399"/>
      <c r="N257" s="73"/>
      <c r="O257" s="73"/>
      <c r="P257" s="73"/>
      <c r="Q257" s="73"/>
    </row>
    <row r="258" spans="1:17" s="61" customFormat="1" ht="15.75">
      <c r="A258" s="1173" t="s">
        <v>1499</v>
      </c>
      <c r="B258" s="1173"/>
      <c r="C258" s="1173"/>
      <c r="D258" s="1173"/>
      <c r="E258" s="1173"/>
      <c r="F258" s="1173"/>
      <c r="G258" s="1173"/>
      <c r="H258" s="1173"/>
      <c r="I258" s="1173"/>
      <c r="J258" s="1173"/>
      <c r="K258" s="1173"/>
      <c r="L258" s="172"/>
      <c r="M258" s="399"/>
      <c r="N258" s="73"/>
      <c r="O258" s="73"/>
      <c r="P258" s="73"/>
      <c r="Q258" s="73"/>
    </row>
    <row r="259" spans="1:17" s="61" customFormat="1" ht="18.75">
      <c r="A259" s="1173" t="s">
        <v>276</v>
      </c>
      <c r="B259" s="1173"/>
      <c r="C259" s="1173"/>
      <c r="D259" s="1173"/>
      <c r="E259" s="1173"/>
      <c r="F259" s="1173"/>
      <c r="G259" s="1173"/>
      <c r="H259" s="1173"/>
      <c r="I259" s="1173"/>
      <c r="J259" s="1173"/>
      <c r="K259" s="1173"/>
      <c r="L259" s="167"/>
      <c r="M259" s="399"/>
      <c r="N259" s="73"/>
      <c r="O259" s="73"/>
      <c r="P259" s="73"/>
      <c r="Q259" s="73"/>
    </row>
    <row r="260" spans="1:17" s="61" customFormat="1" ht="15.75">
      <c r="A260" s="1173" t="s">
        <v>113</v>
      </c>
      <c r="B260" s="1173"/>
      <c r="C260" s="1173"/>
      <c r="D260" s="1173"/>
      <c r="E260" s="1173"/>
      <c r="F260" s="1173"/>
      <c r="G260" s="1173"/>
      <c r="H260" s="1173"/>
      <c r="I260" s="1173"/>
      <c r="J260" s="1173"/>
      <c r="K260" s="1173"/>
      <c r="L260" s="167"/>
      <c r="M260" s="395"/>
      <c r="N260" s="73"/>
      <c r="O260" s="73"/>
      <c r="P260" s="73"/>
      <c r="Q260" s="73"/>
    </row>
    <row r="261" spans="1:17" s="61" customFormat="1" ht="9.75" customHeight="1">
      <c r="A261" s="91"/>
      <c r="B261" s="91"/>
      <c r="C261" s="91"/>
      <c r="D261" s="91"/>
      <c r="E261" s="91"/>
      <c r="F261" s="91"/>
      <c r="G261" s="108"/>
      <c r="H261" s="91"/>
      <c r="I261" s="91"/>
      <c r="J261" s="91"/>
      <c r="K261" s="91"/>
      <c r="L261" s="167"/>
      <c r="M261" s="395"/>
      <c r="N261" s="73"/>
      <c r="O261" s="73"/>
      <c r="P261" s="73"/>
      <c r="Q261" s="73"/>
    </row>
    <row r="262" spans="1:17" s="59" customFormat="1" ht="13.5" customHeight="1">
      <c r="A262" s="56"/>
      <c r="B262" s="1197" t="s">
        <v>454</v>
      </c>
      <c r="C262" s="1198"/>
      <c r="D262" s="1198"/>
      <c r="E262" s="1198"/>
      <c r="F262" s="1198"/>
      <c r="G262" s="57" t="s">
        <v>909</v>
      </c>
      <c r="H262" s="58"/>
      <c r="I262" s="58"/>
      <c r="J262" s="58"/>
      <c r="K262" s="58"/>
      <c r="L262" s="175"/>
      <c r="M262" s="395"/>
      <c r="N262" s="89"/>
      <c r="O262" s="89"/>
      <c r="P262" s="89"/>
      <c r="Q262" s="89"/>
    </row>
    <row r="263" spans="1:17" s="6" customFormat="1" ht="45">
      <c r="A263" s="50"/>
      <c r="B263" s="51" t="s">
        <v>643</v>
      </c>
      <c r="C263" s="52" t="s">
        <v>645</v>
      </c>
      <c r="D263" s="52" t="s">
        <v>644</v>
      </c>
      <c r="E263" s="52" t="s">
        <v>1835</v>
      </c>
      <c r="F263" s="52" t="s">
        <v>670</v>
      </c>
      <c r="G263" s="53" t="s">
        <v>643</v>
      </c>
      <c r="H263" s="52" t="s">
        <v>645</v>
      </c>
      <c r="I263" s="52" t="s">
        <v>644</v>
      </c>
      <c r="J263" s="52" t="s">
        <v>1835</v>
      </c>
      <c r="K263" s="52" t="s">
        <v>670</v>
      </c>
      <c r="L263" s="169"/>
      <c r="M263" s="397" t="s">
        <v>1772</v>
      </c>
      <c r="N263" s="7"/>
      <c r="O263" s="7"/>
      <c r="P263" s="7"/>
      <c r="Q263" s="7"/>
    </row>
    <row r="264" spans="1:17" s="61" customFormat="1" ht="14.25">
      <c r="A264" s="73" t="s">
        <v>455</v>
      </c>
      <c r="B264" s="102">
        <f>IF($M264&gt;0,('Amounts Pivot Table'!J$631/$M264),0)</f>
        <v>3349.7882018905375</v>
      </c>
      <c r="C264" s="102">
        <f>IF($M264&gt;0,('Amounts Pivot Table'!J$634/$M264),0)</f>
        <v>3.4484861557759796</v>
      </c>
      <c r="D264" s="102">
        <f>IF($M264&gt;0,('Amounts Pivot Table'!J$637/$M264),0)</f>
        <v>0</v>
      </c>
      <c r="E264" s="102">
        <f>IF($M264&gt;0,('Amounts Pivot Table'!J$640/$M264),0)</f>
        <v>1985.3470796074566</v>
      </c>
      <c r="F264" s="102">
        <f>SUM(B264:E264)</f>
        <v>5338.5837676537703</v>
      </c>
      <c r="G264" s="115"/>
      <c r="H264" s="116"/>
      <c r="I264" s="116"/>
      <c r="J264" s="116"/>
      <c r="K264" s="116"/>
      <c r="L264" s="170"/>
      <c r="M264" s="395">
        <f>+[1]Tables!AK163</f>
        <v>92390.395555555573</v>
      </c>
      <c r="N264" s="73"/>
      <c r="O264" s="73"/>
      <c r="P264" s="73"/>
      <c r="Q264" s="73"/>
    </row>
    <row r="265" spans="1:17" s="61" customFormat="1" ht="12.75" customHeight="1">
      <c r="A265" s="73"/>
      <c r="B265" s="102"/>
      <c r="C265" s="102"/>
      <c r="D265" s="102"/>
      <c r="E265" s="102"/>
      <c r="F265" s="102"/>
      <c r="G265" s="115"/>
      <c r="H265" s="116"/>
      <c r="I265" s="116"/>
      <c r="J265" s="116"/>
      <c r="K265" s="116"/>
      <c r="L265" s="170"/>
      <c r="M265" s="395">
        <f>+[1]Tables!AK164</f>
        <v>0</v>
      </c>
      <c r="N265" s="73"/>
      <c r="O265" s="73"/>
      <c r="P265" s="73"/>
      <c r="Q265" s="73"/>
    </row>
    <row r="266" spans="1:17" s="61" customFormat="1" ht="12.75" customHeight="1">
      <c r="A266" s="73" t="s">
        <v>1892</v>
      </c>
      <c r="B266" s="75">
        <f>IF($M266&gt;0,('Amounts Pivot Table'!J$7/$M266),0)</f>
        <v>0</v>
      </c>
      <c r="C266" s="75">
        <f>IF($M266&gt;0,('Amounts Pivot Table'!J$10/$M266),0)</f>
        <v>0</v>
      </c>
      <c r="D266" s="75">
        <f>IF($M266&gt;0,('Amounts Pivot Table'!J$13/$M266),0)</f>
        <v>0</v>
      </c>
      <c r="E266" s="75">
        <f>IF($M266&gt;0,('Amounts Pivot Table'!J$16/$M266),0)</f>
        <v>0</v>
      </c>
      <c r="F266" s="75">
        <f t="shared" ref="F266:F284" si="48">SUM(B266:E266)</f>
        <v>0</v>
      </c>
      <c r="G266" s="117">
        <f>IF(B266&gt;0,RANK(B266,$B$266:$B$284),)</f>
        <v>0</v>
      </c>
      <c r="H266" s="107">
        <f>IF(C266&gt;0,RANK(C266,$C$266:$C$284),)</f>
        <v>0</v>
      </c>
      <c r="I266" s="107">
        <f>IF(D266&gt;0,RANK(D266,$D$266:$D$284),)</f>
        <v>0</v>
      </c>
      <c r="J266" s="107">
        <f>IF(E266&gt;0,RANK(E266,$E$266:$E$284),)</f>
        <v>0</v>
      </c>
      <c r="K266" s="107">
        <f>IF(F266&gt;0,RANK(F266,$F$266:$F$284),)</f>
        <v>0</v>
      </c>
      <c r="L266" s="170"/>
      <c r="M266" s="395">
        <f>+[1]Tables!AK165</f>
        <v>0</v>
      </c>
      <c r="N266" s="73"/>
      <c r="O266" s="73"/>
      <c r="P266" s="73"/>
      <c r="Q266" s="73"/>
    </row>
    <row r="267" spans="1:17" s="61" customFormat="1" ht="12.75" customHeight="1">
      <c r="A267" s="73" t="s">
        <v>1906</v>
      </c>
      <c r="B267" s="75">
        <f>IF($M267&gt;0,('Amounts Pivot Table'!J$46/$M267),0)</f>
        <v>0</v>
      </c>
      <c r="C267" s="75">
        <f>IF($M267&gt;0,('Amounts Pivot Table'!J$49/$M267),0)</f>
        <v>0</v>
      </c>
      <c r="D267" s="75">
        <f>IF($M267&gt;0,('Amounts Pivot Table'!J$52/$M267),0)</f>
        <v>0</v>
      </c>
      <c r="E267" s="75">
        <f>IF($M267&gt;0,('Amounts Pivot Table'!J$55/$M267),0)</f>
        <v>0</v>
      </c>
      <c r="F267" s="75">
        <f t="shared" si="48"/>
        <v>0</v>
      </c>
      <c r="G267" s="117">
        <f>IF(B267&gt;0,RANK(B267,$B$266:$B$284),)</f>
        <v>0</v>
      </c>
      <c r="H267" s="107">
        <f>IF(C267&gt;0,RANK(C267,$C$266:$C$284),)</f>
        <v>0</v>
      </c>
      <c r="I267" s="107">
        <f>IF(D267&gt;0,RANK(D267,$D$266:$D$284),)</f>
        <v>0</v>
      </c>
      <c r="J267" s="107">
        <f>IF(E267&gt;0,RANK(E267,$E$266:$E$284),)</f>
        <v>0</v>
      </c>
      <c r="K267" s="107">
        <f>IF(F267&gt;0,RANK(F267,$F$266:$F$284),)</f>
        <v>0</v>
      </c>
      <c r="L267" s="170"/>
      <c r="M267" s="395">
        <f>+[1]Tables!AK166</f>
        <v>0</v>
      </c>
      <c r="N267" s="73"/>
      <c r="O267" s="73"/>
      <c r="P267" s="73"/>
      <c r="Q267" s="73"/>
    </row>
    <row r="268" spans="1:17" s="61" customFormat="1" ht="12.75" customHeight="1">
      <c r="A268" s="73" t="s">
        <v>1893</v>
      </c>
      <c r="B268" s="75">
        <f>IF($M268&gt;0,('Amounts Pivot Table'!J$85/$M268),0)</f>
        <v>0</v>
      </c>
      <c r="C268" s="75">
        <f>IF($M268&gt;0,('Amounts Pivot Table'!J$88/$M268),0)</f>
        <v>0</v>
      </c>
      <c r="D268" s="75">
        <f>IF($M268&gt;0,('Amounts Pivot Table'!J$91/$M268),0)</f>
        <v>0</v>
      </c>
      <c r="E268" s="75">
        <f>IF($M268&gt;0,('Amounts Pivot Table'!J$94/$M268),0)</f>
        <v>0</v>
      </c>
      <c r="F268" s="75">
        <f t="shared" si="48"/>
        <v>0</v>
      </c>
      <c r="G268" s="117">
        <f>IF(B268&gt;0,RANK(B268,$B$266:$B$284),)</f>
        <v>0</v>
      </c>
      <c r="H268" s="107">
        <f>IF(C268&gt;0,RANK(C268,$C$266:$C$284),)</f>
        <v>0</v>
      </c>
      <c r="I268" s="107">
        <f>IF(D268&gt;0,RANK(D268,$D$266:$D$284),)</f>
        <v>0</v>
      </c>
      <c r="J268" s="107">
        <f>IF(E268&gt;0,RANK(E268,$E$266:$E$284),)</f>
        <v>0</v>
      </c>
      <c r="K268" s="107">
        <f>IF(F268&gt;0,RANK(F268,$F$266:$F$284),)</f>
        <v>0</v>
      </c>
      <c r="L268" s="170"/>
      <c r="M268" s="395">
        <f>+[1]Tables!AK167</f>
        <v>0</v>
      </c>
      <c r="N268" s="73"/>
      <c r="O268" s="73"/>
      <c r="P268" s="73"/>
      <c r="Q268" s="73"/>
    </row>
    <row r="269" spans="1:17" s="61" customFormat="1" ht="12.75" customHeight="1">
      <c r="A269" s="73" t="s">
        <v>1900</v>
      </c>
      <c r="B269" s="75">
        <f>IF($M269&gt;0,('Amounts Pivot Table'!J$124/$M269),0)</f>
        <v>3191.0161250081505</v>
      </c>
      <c r="C269" s="75">
        <f>IF($M269&gt;0,('Amounts Pivot Table'!J$127/$M269),0)</f>
        <v>0</v>
      </c>
      <c r="D269" s="75">
        <f>IF($M269&gt;0,('Amounts Pivot Table'!J$130/$M269),0)</f>
        <v>0</v>
      </c>
      <c r="E269" s="75">
        <f>IF($M269&gt;0,('Amounts Pivot Table'!J$133/$M269),0)</f>
        <v>1780.6674817825026</v>
      </c>
      <c r="F269" s="75">
        <f t="shared" si="48"/>
        <v>4971.6836067906534</v>
      </c>
      <c r="G269" s="117">
        <f>IF(B269&gt;0,RANK(B269,$B$266:$B$284),)</f>
        <v>5</v>
      </c>
      <c r="H269" s="107">
        <f>IF(C269&gt;0,RANK(C269,$C$266:$C$284),)</f>
        <v>0</v>
      </c>
      <c r="I269" s="107">
        <f>IF(D269&gt;0,RANK(D269,$D$266:$D$284),)</f>
        <v>0</v>
      </c>
      <c r="J269" s="107">
        <f>IF(E269&gt;0,RANK(E269,$E$266:$E$284),)</f>
        <v>6</v>
      </c>
      <c r="K269" s="107">
        <f>IF(F269&gt;0,RANK(F269,$F$266:$F$284),)</f>
        <v>6</v>
      </c>
      <c r="L269" s="170"/>
      <c r="M269" s="395">
        <f>+[1]Tables!AK168</f>
        <v>80019.52888888889</v>
      </c>
      <c r="N269" s="73"/>
      <c r="O269" s="73"/>
      <c r="P269" s="73"/>
      <c r="Q269" s="73"/>
    </row>
    <row r="270" spans="1:17" s="61" customFormat="1" ht="12.75" customHeight="1">
      <c r="A270" s="73"/>
      <c r="B270" s="75"/>
      <c r="C270" s="75"/>
      <c r="D270" s="75"/>
      <c r="E270" s="75"/>
      <c r="F270" s="75">
        <f t="shared" si="48"/>
        <v>0</v>
      </c>
      <c r="G270" s="117"/>
      <c r="H270" s="107"/>
      <c r="I270" s="107"/>
      <c r="J270" s="107"/>
      <c r="K270" s="107"/>
      <c r="L270" s="170"/>
      <c r="M270" s="395">
        <f>+[1]Tables!AK169</f>
        <v>0</v>
      </c>
      <c r="N270" s="73"/>
      <c r="O270" s="73"/>
      <c r="P270" s="73"/>
      <c r="Q270" s="73"/>
    </row>
    <row r="271" spans="1:17" s="61" customFormat="1" ht="12.75" customHeight="1">
      <c r="A271" s="73" t="s">
        <v>1901</v>
      </c>
      <c r="B271" s="75">
        <f>IF($M271&gt;0,('Amounts Pivot Table'!J$163/$M271),0)</f>
        <v>4017.6827574396834</v>
      </c>
      <c r="C271" s="75">
        <f>IF($M271&gt;0,('Amounts Pivot Table'!J$166/$M271),0)</f>
        <v>0</v>
      </c>
      <c r="D271" s="75">
        <f>IF($M271&gt;0,('Amounts Pivot Table'!J$169/$M271),0)</f>
        <v>0</v>
      </c>
      <c r="E271" s="75">
        <f>IF($M271&gt;0,('Amounts Pivot Table'!J$172/$M271),0)</f>
        <v>2457.1304893827537</v>
      </c>
      <c r="F271" s="75">
        <f t="shared" si="48"/>
        <v>6474.8132468224376</v>
      </c>
      <c r="G271" s="117">
        <f>IF(B271&gt;0,RANK(B271,$B$266:$B$284),)</f>
        <v>3</v>
      </c>
      <c r="H271" s="107">
        <f>IF(C271&gt;0,RANK(C271,$C$266:$C$284),)</f>
        <v>0</v>
      </c>
      <c r="I271" s="107">
        <f>IF(D271&gt;0,RANK(D271,$D$266:$D$284),)</f>
        <v>0</v>
      </c>
      <c r="J271" s="107">
        <f>IF(E271&gt;0,RANK(E271,$E$266:$E$284),)</f>
        <v>4</v>
      </c>
      <c r="K271" s="107">
        <f>IF(F271&gt;0,RANK(F271,$F$266:$F$284),)</f>
        <v>4</v>
      </c>
      <c r="L271" s="170"/>
      <c r="M271" s="395">
        <f>+[1]Tables!AK170</f>
        <v>3503.7333333333331</v>
      </c>
      <c r="N271" s="73"/>
      <c r="O271" s="73"/>
      <c r="P271" s="73"/>
      <c r="Q271" s="73"/>
    </row>
    <row r="272" spans="1:17" s="61" customFormat="1" ht="12.75" customHeight="1">
      <c r="A272" s="73" t="s">
        <v>1894</v>
      </c>
      <c r="B272" s="75">
        <f>IF($M272&gt;0,('Amounts Pivot Table'!J$202/$M272),0)</f>
        <v>0</v>
      </c>
      <c r="C272" s="75">
        <f>IF($M272&gt;0,('Amounts Pivot Table'!J$205/$M272),0)</f>
        <v>0</v>
      </c>
      <c r="D272" s="75">
        <f>IF($M272&gt;0,('Amounts Pivot Table'!J$208/$M272),0)</f>
        <v>0</v>
      </c>
      <c r="E272" s="75">
        <f>IF($M272&gt;0,('Amounts Pivot Table'!J$211/$M272),0)</f>
        <v>0</v>
      </c>
      <c r="F272" s="75">
        <f t="shared" si="48"/>
        <v>0</v>
      </c>
      <c r="G272" s="117">
        <f>IF(B272&gt;0,RANK(B272,$B$266:$B$284),)</f>
        <v>0</v>
      </c>
      <c r="H272" s="107">
        <f>IF(C272&gt;0,RANK(C272,$C$266:$C$284),)</f>
        <v>0</v>
      </c>
      <c r="I272" s="107">
        <f>IF(D272&gt;0,RANK(D272,$D$266:$D$284),)</f>
        <v>0</v>
      </c>
      <c r="J272" s="107">
        <f>IF(E272&gt;0,RANK(E272,$E$266:$E$284),)</f>
        <v>0</v>
      </c>
      <c r="K272" s="107">
        <f>IF(F272&gt;0,RANK(F272,$F$266:$F$284),)</f>
        <v>0</v>
      </c>
      <c r="L272" s="170"/>
      <c r="M272" s="395">
        <f>+[1]Tables!AK171</f>
        <v>0</v>
      </c>
      <c r="N272" s="73"/>
      <c r="O272" s="73"/>
      <c r="P272" s="73"/>
      <c r="Q272" s="73"/>
    </row>
    <row r="273" spans="1:17" s="61" customFormat="1" ht="12.75" customHeight="1">
      <c r="A273" s="73" t="s">
        <v>1902</v>
      </c>
      <c r="B273" s="75">
        <f>IF($M273&gt;0,('Amounts Pivot Table'!J$241/$M273),0)</f>
        <v>6410.8858342222074</v>
      </c>
      <c r="C273" s="75">
        <f>IF($M273&gt;0,('Amounts Pivot Table'!J$244/$M273),0)</f>
        <v>0</v>
      </c>
      <c r="D273" s="75">
        <f>IF($M273&gt;0,('Amounts Pivot Table'!J$247/$M273),0)</f>
        <v>0</v>
      </c>
      <c r="E273" s="75">
        <f>IF($M273&gt;0,('Amounts Pivot Table'!J$250/$M273),0)</f>
        <v>4388.6336579155632</v>
      </c>
      <c r="F273" s="75">
        <f t="shared" si="48"/>
        <v>10799.51949213777</v>
      </c>
      <c r="G273" s="117">
        <f>IF(B273&gt;0,RANK(B273,$B$266:$B$284),)</f>
        <v>1</v>
      </c>
      <c r="H273" s="107">
        <f>IF(C273&gt;0,RANK(C273,$C$266:$C$284),)</f>
        <v>0</v>
      </c>
      <c r="I273" s="107">
        <f>IF(D273&gt;0,RANK(D273,$D$266:$D$284),)</f>
        <v>0</v>
      </c>
      <c r="J273" s="107">
        <f>IF(E273&gt;0,RANK(E273,$E$266:$E$284),)</f>
        <v>2</v>
      </c>
      <c r="K273" s="107">
        <f>IF(F273&gt;0,RANK(F273,$F$266:$F$284),)</f>
        <v>1</v>
      </c>
      <c r="L273" s="170"/>
      <c r="M273" s="395">
        <f>+[1]Tables!AK172</f>
        <v>1937.5333333333333</v>
      </c>
      <c r="N273" s="73"/>
      <c r="O273" s="73"/>
      <c r="P273" s="73"/>
      <c r="Q273" s="73"/>
    </row>
    <row r="274" spans="1:17" s="61" customFormat="1" ht="12.75" customHeight="1">
      <c r="A274" s="73" t="s">
        <v>1905</v>
      </c>
      <c r="B274" s="75">
        <f>IF($M274&gt;0,('Amounts Pivot Table'!J$280/$M274),0)</f>
        <v>0</v>
      </c>
      <c r="C274" s="75">
        <f>IF($M274&gt;0,('Amounts Pivot Table'!J$283/$M274),0)</f>
        <v>0</v>
      </c>
      <c r="D274" s="75">
        <f>IF($M274&gt;0,('Amounts Pivot Table'!J$286/$M274),0)</f>
        <v>0</v>
      </c>
      <c r="E274" s="75">
        <f>IF($M274&gt;0,('Amounts Pivot Table'!J$289/$M274),0)</f>
        <v>0</v>
      </c>
      <c r="F274" s="75">
        <f t="shared" si="48"/>
        <v>0</v>
      </c>
      <c r="G274" s="117">
        <f>IF(B274&gt;0,RANK(B274,$B$266:$B$284),)</f>
        <v>0</v>
      </c>
      <c r="H274" s="107">
        <f>IF(C274&gt;0,RANK(C274,$C$266:$C$284),)</f>
        <v>0</v>
      </c>
      <c r="I274" s="107">
        <f>IF(D274&gt;0,RANK(D274,$D$266:$D$284),)</f>
        <v>0</v>
      </c>
      <c r="J274" s="107">
        <f>IF(E274&gt;0,RANK(E274,$E$266:$E$284),)</f>
        <v>0</v>
      </c>
      <c r="K274" s="107">
        <f>IF(F274&gt;0,RANK(F274,$F$266:$F$284),)</f>
        <v>0</v>
      </c>
      <c r="L274" s="170"/>
      <c r="M274" s="395">
        <f>+[1]Tables!AK173</f>
        <v>0</v>
      </c>
      <c r="N274" s="73"/>
      <c r="O274" s="73"/>
      <c r="P274" s="73"/>
      <c r="Q274" s="73"/>
    </row>
    <row r="275" spans="1:17" s="61" customFormat="1" ht="12.75" customHeight="1">
      <c r="A275" s="73"/>
      <c r="B275" s="75"/>
      <c r="C275" s="75"/>
      <c r="D275" s="75"/>
      <c r="E275" s="75"/>
      <c r="F275" s="75">
        <f t="shared" si="48"/>
        <v>0</v>
      </c>
      <c r="G275" s="117"/>
      <c r="H275" s="107"/>
      <c r="I275" s="107"/>
      <c r="J275" s="107"/>
      <c r="K275" s="107"/>
      <c r="L275" s="170"/>
      <c r="M275" s="395">
        <f>+[1]Tables!AK174</f>
        <v>0</v>
      </c>
      <c r="N275" s="73"/>
      <c r="O275" s="73"/>
      <c r="P275" s="73"/>
      <c r="Q275" s="73"/>
    </row>
    <row r="276" spans="1:17" s="61" customFormat="1" ht="12.75" customHeight="1">
      <c r="A276" s="73" t="s">
        <v>1895</v>
      </c>
      <c r="B276" s="75">
        <f>IF($M276&gt;0,('Amounts Pivot Table'!J$319/$M276),0)</f>
        <v>0</v>
      </c>
      <c r="C276" s="75">
        <f>IF($M276&gt;0,('Amounts Pivot Table'!J$322/$M276),0)</f>
        <v>0</v>
      </c>
      <c r="D276" s="75">
        <f>IF($M276&gt;0,('Amounts Pivot Table'!J$325/$M276),0)</f>
        <v>0</v>
      </c>
      <c r="E276" s="75">
        <f>IF($M276&gt;0,('Amounts Pivot Table'!J$328/$M276),0)</f>
        <v>0</v>
      </c>
      <c r="F276" s="75">
        <f t="shared" si="48"/>
        <v>0</v>
      </c>
      <c r="G276" s="117">
        <f>IF(B276&gt;0,RANK(B276,$B$266:$B$284),)</f>
        <v>0</v>
      </c>
      <c r="H276" s="107">
        <f>IF(C276&gt;0,RANK(C276,$C$266:$C$284),)</f>
        <v>0</v>
      </c>
      <c r="I276" s="107">
        <f>IF(D276&gt;0,RANK(D276,$D$266:$D$284),)</f>
        <v>0</v>
      </c>
      <c r="J276" s="107">
        <f>IF(E276&gt;0,RANK(E276,$E$266:$E$284),)</f>
        <v>0</v>
      </c>
      <c r="K276" s="107">
        <f>IF(F276&gt;0,RANK(F276,$F$266:$F$284),)</f>
        <v>0</v>
      </c>
      <c r="L276" s="170"/>
      <c r="M276" s="395">
        <f>+[1]Tables!AK175</f>
        <v>0</v>
      </c>
      <c r="N276" s="73"/>
      <c r="O276" s="73"/>
      <c r="P276" s="73"/>
      <c r="Q276" s="73"/>
    </row>
    <row r="277" spans="1:17" s="61" customFormat="1" ht="12.75" customHeight="1">
      <c r="A277" s="73" t="s">
        <v>1896</v>
      </c>
      <c r="B277" s="75">
        <f>IF($M277&gt;0,('Amounts Pivot Table'!J$358/$M277),0)</f>
        <v>0</v>
      </c>
      <c r="C277" s="75">
        <f>IF($M277&gt;0,('Amounts Pivot Table'!J$361/$M277),0)</f>
        <v>0</v>
      </c>
      <c r="D277" s="75">
        <f>IF($M277&gt;0,('Amounts Pivot Table'!J$364/$M277),0)</f>
        <v>0</v>
      </c>
      <c r="E277" s="75">
        <f>IF($M277&gt;0,('Amounts Pivot Table'!J$367/$M277),0)</f>
        <v>0</v>
      </c>
      <c r="F277" s="75">
        <f t="shared" si="48"/>
        <v>0</v>
      </c>
      <c r="G277" s="117">
        <f>IF(B277&gt;0,RANK(B277,$B$266:$B$284),)</f>
        <v>0</v>
      </c>
      <c r="H277" s="107">
        <f>IF(C277&gt;0,RANK(C277,$C$266:$C$284),)</f>
        <v>0</v>
      </c>
      <c r="I277" s="107">
        <f>IF(D277&gt;0,RANK(D277,$D$266:$D$284),)</f>
        <v>0</v>
      </c>
      <c r="J277" s="107">
        <f>IF(E277&gt;0,RANK(E277,$E$266:$E$284),)</f>
        <v>0</v>
      </c>
      <c r="K277" s="107">
        <f>IF(F277&gt;0,RANK(F277,$F$266:$F$284),)</f>
        <v>0</v>
      </c>
      <c r="L277" s="170"/>
      <c r="M277" s="395">
        <f>+[1]Tables!AK176</f>
        <v>0</v>
      </c>
      <c r="N277" s="73"/>
      <c r="O277" s="73"/>
      <c r="P277" s="73"/>
      <c r="Q277" s="73"/>
    </row>
    <row r="278" spans="1:17" s="61" customFormat="1" ht="12.75" customHeight="1">
      <c r="A278" s="73" t="s">
        <v>1903</v>
      </c>
      <c r="B278" s="75">
        <f>IF($M278&gt;0,('Amounts Pivot Table'!J$397/$M278),0)</f>
        <v>5245.7528273606758</v>
      </c>
      <c r="C278" s="75">
        <f>IF($M278&gt;0,('Amounts Pivot Table'!J$400/$M278),0)</f>
        <v>0</v>
      </c>
      <c r="D278" s="75">
        <f>IF($M278&gt;0,('Amounts Pivot Table'!J$403/$M278),0)</f>
        <v>0</v>
      </c>
      <c r="E278" s="75">
        <f>IF($M278&gt;0,('Amounts Pivot Table'!J$406/$M278),0)</f>
        <v>3076.5237089521734</v>
      </c>
      <c r="F278" s="75">
        <f t="shared" si="48"/>
        <v>8322.2765363128492</v>
      </c>
      <c r="G278" s="117">
        <f>IF(B278&gt;0,RANK(B278,$B$266:$B$284),)</f>
        <v>2</v>
      </c>
      <c r="H278" s="107">
        <f>IF(C278&gt;0,RANK(C278,$C$266:$C$284),)</f>
        <v>0</v>
      </c>
      <c r="I278" s="107">
        <f>IF(D278&gt;0,RANK(D278,$D$266:$D$284),)</f>
        <v>0</v>
      </c>
      <c r="J278" s="107">
        <f>IF(E278&gt;0,RANK(E278,$E$266:$E$284),)</f>
        <v>3</v>
      </c>
      <c r="K278" s="107">
        <f>IF(F278&gt;0,RANK(F278,$F$266:$F$284),)</f>
        <v>3</v>
      </c>
      <c r="L278" s="170"/>
      <c r="M278" s="395">
        <f>+[1]Tables!AK177</f>
        <v>2935.6</v>
      </c>
      <c r="N278" s="73"/>
      <c r="O278" s="73"/>
      <c r="P278" s="73"/>
      <c r="Q278" s="73"/>
    </row>
    <row r="279" spans="1:17" s="61" customFormat="1" ht="12.75" customHeight="1">
      <c r="A279" s="73" t="s">
        <v>1897</v>
      </c>
      <c r="B279" s="75">
        <f>IF($M279&gt;0,('Amounts Pivot Table'!J$436/$M279),0)</f>
        <v>1693.0910773891337</v>
      </c>
      <c r="C279" s="75">
        <f>IF($M279&gt;0,('Amounts Pivot Table'!J$439/$M279),0)</f>
        <v>268.104961992651</v>
      </c>
      <c r="D279" s="75">
        <f>IF($M279&gt;0,('Amounts Pivot Table'!J$442/$M279),0)</f>
        <v>0</v>
      </c>
      <c r="E279" s="75">
        <f>IF($M279&gt;0,('Amounts Pivot Table'!J$445/$M279),0)</f>
        <v>7042.3567361364339</v>
      </c>
      <c r="F279" s="75">
        <f t="shared" si="48"/>
        <v>9003.5527755182193</v>
      </c>
      <c r="G279" s="117">
        <f>IF(B279&gt;0,RANK(B279,$B$266:$B$284),)</f>
        <v>6</v>
      </c>
      <c r="H279" s="107">
        <f>IF(C279&gt;0,RANK(C279,$C$266:$C$284),)</f>
        <v>1</v>
      </c>
      <c r="I279" s="107">
        <f>IF(D279&gt;0,RANK(D279,$D$266:$D$284),)</f>
        <v>0</v>
      </c>
      <c r="J279" s="107">
        <f>IF(E279&gt;0,RANK(E279,$E$266:$E$284),)</f>
        <v>1</v>
      </c>
      <c r="K279" s="107">
        <f>IF(F279&gt;0,RANK(F279,$F$266:$F$284),)</f>
        <v>2</v>
      </c>
      <c r="L279" s="170"/>
      <c r="M279" s="395">
        <f>+[1]Tables!AK178</f>
        <v>1188.3666666666666</v>
      </c>
      <c r="N279" s="73"/>
      <c r="O279" s="73"/>
      <c r="P279" s="73"/>
      <c r="Q279" s="73"/>
    </row>
    <row r="280" spans="1:17" s="61" customFormat="1" ht="12.75" customHeight="1">
      <c r="A280" s="73"/>
      <c r="B280" s="75"/>
      <c r="C280" s="75"/>
      <c r="D280" s="75"/>
      <c r="E280" s="75"/>
      <c r="F280" s="75">
        <f t="shared" si="48"/>
        <v>0</v>
      </c>
      <c r="G280" s="117"/>
      <c r="H280" s="107"/>
      <c r="I280" s="107"/>
      <c r="J280" s="107"/>
      <c r="K280" s="107"/>
      <c r="L280" s="170"/>
      <c r="M280" s="395">
        <f>+[1]Tables!AK179</f>
        <v>0</v>
      </c>
      <c r="N280" s="73"/>
      <c r="O280" s="73"/>
      <c r="P280" s="73"/>
      <c r="Q280" s="73"/>
    </row>
    <row r="281" spans="1:17" s="61" customFormat="1" ht="12.75" customHeight="1">
      <c r="A281" s="73" t="s">
        <v>647</v>
      </c>
      <c r="B281" s="75">
        <f>IF($M281&gt;0,('Amounts Pivot Table'!J$475/$M281),0)</f>
        <v>0</v>
      </c>
      <c r="C281" s="75">
        <f>IF($M281&gt;0,('Amounts Pivot Table'!J$478/$M281),0)</f>
        <v>0</v>
      </c>
      <c r="D281" s="75">
        <f>IF($M281&gt;0,('Amounts Pivot Table'!J$481/$M281),0)</f>
        <v>0</v>
      </c>
      <c r="E281" s="75">
        <f>IF($M281&gt;0,('Amounts Pivot Table'!J$484/$M281),0)</f>
        <v>0</v>
      </c>
      <c r="F281" s="75">
        <f t="shared" si="48"/>
        <v>0</v>
      </c>
      <c r="G281" s="117">
        <f>IF(B281&gt;0,RANK(B281,$B$266:$B$284),)</f>
        <v>0</v>
      </c>
      <c r="H281" s="107">
        <f>IF(C281&gt;0,RANK(C281,$C$266:$C$284),)</f>
        <v>0</v>
      </c>
      <c r="I281" s="107">
        <f>IF(D281&gt;0,RANK(D281,$D$266:$D$284),)</f>
        <v>0</v>
      </c>
      <c r="J281" s="107">
        <f>IF(E281&gt;0,RANK(E281,$E$266:$E$284),)</f>
        <v>0</v>
      </c>
      <c r="K281" s="107">
        <f>IF(F281&gt;0,RANK(F281,$F$266:$F$284),)</f>
        <v>0</v>
      </c>
      <c r="L281" s="170"/>
      <c r="M281" s="395">
        <f>+[1]Tables!AK180</f>
        <v>0</v>
      </c>
      <c r="N281" s="73"/>
      <c r="O281" s="73"/>
      <c r="P281" s="73"/>
      <c r="Q281" s="73"/>
    </row>
    <row r="282" spans="1:17" s="76" customFormat="1" ht="12.75" customHeight="1">
      <c r="A282" s="73" t="s">
        <v>1898</v>
      </c>
      <c r="B282" s="75">
        <f>IF($M282&gt;0,('Amounts Pivot Table'!J$514/$M282),0)</f>
        <v>0</v>
      </c>
      <c r="C282" s="75">
        <f>IF($M282&gt;0,('Amounts Pivot Table'!J$517/$M282),0)</f>
        <v>0</v>
      </c>
      <c r="D282" s="75">
        <f>IF($M282&gt;0,('Amounts Pivot Table'!J$520/$M282),0)</f>
        <v>0</v>
      </c>
      <c r="E282" s="75">
        <f>IF($M282&gt;0,('Amounts Pivot Table'!J$523/$M282),0)</f>
        <v>0</v>
      </c>
      <c r="F282" s="75">
        <f t="shared" si="48"/>
        <v>0</v>
      </c>
      <c r="G282" s="117">
        <f>IF(B282&gt;0,RANK(B282,$B$266:$B$284),)</f>
        <v>0</v>
      </c>
      <c r="H282" s="107">
        <f>IF(C282&gt;0,RANK(C282,$C$266:$C$284),)</f>
        <v>0</v>
      </c>
      <c r="I282" s="107">
        <f>IF(D282&gt;0,RANK(D282,$D$266:$D$284),)</f>
        <v>0</v>
      </c>
      <c r="J282" s="107">
        <f>IF(E282&gt;0,RANK(E282,$E$266:$E$284),)</f>
        <v>0</v>
      </c>
      <c r="K282" s="107">
        <f>IF(F282&gt;0,RANK(F282,$F$266:$F$284),)</f>
        <v>0</v>
      </c>
      <c r="L282" s="171"/>
      <c r="M282" s="395">
        <f>+[1]Tables!AK181</f>
        <v>0</v>
      </c>
      <c r="N282" s="90"/>
      <c r="O282" s="90"/>
      <c r="P282" s="90"/>
      <c r="Q282" s="90"/>
    </row>
    <row r="283" spans="1:17" s="61" customFormat="1" ht="12.75" customHeight="1">
      <c r="A283" s="73" t="s">
        <v>1899</v>
      </c>
      <c r="B283" s="75">
        <f>IF($M283&gt;0,('Amounts Pivot Table'!J$553/$M283),0)</f>
        <v>0</v>
      </c>
      <c r="C283" s="75">
        <f>IF($M283&gt;0,('Amounts Pivot Table'!J$556/$M283),0)</f>
        <v>0</v>
      </c>
      <c r="D283" s="75">
        <f>IF($M283&gt;0,('Amounts Pivot Table'!J$559/$M283),0)</f>
        <v>0</v>
      </c>
      <c r="E283" s="75">
        <f>IF($M283&gt;0,('Amounts Pivot Table'!J$562/$M283),0)</f>
        <v>0</v>
      </c>
      <c r="F283" s="75">
        <f t="shared" si="48"/>
        <v>0</v>
      </c>
      <c r="G283" s="117">
        <f>IF(B283&gt;0,RANK(B283,$B$266:$B$284),)</f>
        <v>0</v>
      </c>
      <c r="H283" s="107">
        <f>IF(C283&gt;0,RANK(C283,$C$266:$C$284),)</f>
        <v>0</v>
      </c>
      <c r="I283" s="107">
        <f>IF(D283&gt;0,RANK(D283,$D$266:$D$284),)</f>
        <v>0</v>
      </c>
      <c r="J283" s="107">
        <f>IF(E283&gt;0,RANK(E283,$E$266:$E$284),)</f>
        <v>0</v>
      </c>
      <c r="K283" s="107">
        <f>IF(F283&gt;0,RANK(F283,$F$266:$F$284),)</f>
        <v>0</v>
      </c>
      <c r="L283" s="172"/>
      <c r="M283" s="395">
        <f>+[1]Tables!AK182</f>
        <v>0</v>
      </c>
      <c r="N283" s="73"/>
      <c r="O283" s="73"/>
      <c r="P283" s="73"/>
      <c r="Q283" s="73"/>
    </row>
    <row r="284" spans="1:17" s="61" customFormat="1" ht="15.75" customHeight="1">
      <c r="A284" s="74" t="s">
        <v>1904</v>
      </c>
      <c r="B284" s="104">
        <f>IF($M284&gt;0,('Amounts Pivot Table'!J$592/$M284),0)</f>
        <v>3648.0215994012051</v>
      </c>
      <c r="C284" s="104">
        <f>IF($M284&gt;0,('Amounts Pivot Table'!J$595/$M284),0)</f>
        <v>0</v>
      </c>
      <c r="D284" s="104">
        <f>IF($M284&gt;0,('Amounts Pivot Table'!J$598/$M284),0)</f>
        <v>0</v>
      </c>
      <c r="E284" s="104">
        <f>IF($M284&gt;0,('Amounts Pivot Table'!J$601/$M284),0)</f>
        <v>2290.4739274554768</v>
      </c>
      <c r="F284" s="105">
        <f t="shared" si="48"/>
        <v>5938.4955268566819</v>
      </c>
      <c r="G284" s="118">
        <f>IF(B284&gt;0,RANK(B284,$B$266:$B$284),)</f>
        <v>4</v>
      </c>
      <c r="H284" s="119">
        <f>IF(C284&gt;0,RANK(C284,$C$266:$C$284),)</f>
        <v>0</v>
      </c>
      <c r="I284" s="119">
        <f>IF(D284&gt;0,RANK(D284,$D$266:$D$284),)</f>
        <v>0</v>
      </c>
      <c r="J284" s="119">
        <f>IF(E284&gt;0,RANK(E284,$E$266:$E$284),)</f>
        <v>5</v>
      </c>
      <c r="K284" s="119">
        <f>IF(F284&gt;0,RANK(F284,$F$266:$F$284),)</f>
        <v>5</v>
      </c>
      <c r="L284" s="172"/>
      <c r="M284" s="395">
        <f>+[1]Tables!AK183</f>
        <v>2805.6333333333332</v>
      </c>
      <c r="N284" s="73"/>
      <c r="O284" s="73"/>
      <c r="P284" s="73"/>
      <c r="Q284" s="73"/>
    </row>
    <row r="285" spans="1:17" s="76" customFormat="1" ht="34.5" customHeight="1">
      <c r="A285" s="1188" t="s">
        <v>275</v>
      </c>
      <c r="B285" s="1199"/>
      <c r="C285" s="1199"/>
      <c r="D285" s="1199"/>
      <c r="E285" s="1199"/>
      <c r="F285" s="1199"/>
      <c r="G285" s="1199"/>
      <c r="H285" s="1199"/>
      <c r="I285" s="1199"/>
      <c r="J285" s="1199"/>
      <c r="K285" s="1199"/>
      <c r="L285" s="171"/>
      <c r="M285" s="395"/>
      <c r="N285" s="90"/>
      <c r="O285" s="90"/>
      <c r="P285" s="90"/>
      <c r="Q285" s="90"/>
    </row>
    <row r="286" spans="1:17" s="219" customFormat="1" ht="13.5" customHeight="1">
      <c r="A286" s="1188" t="s">
        <v>453</v>
      </c>
      <c r="B286" s="1199"/>
      <c r="C286" s="1199"/>
      <c r="D286" s="1199"/>
      <c r="E286" s="1199"/>
      <c r="F286" s="1199"/>
      <c r="G286" s="1199"/>
      <c r="H286" s="1199"/>
      <c r="I286" s="1199"/>
      <c r="J286" s="1199"/>
      <c r="K286" s="1199"/>
      <c r="L286" s="218"/>
      <c r="M286" s="401"/>
      <c r="N286" s="220"/>
      <c r="O286" s="220"/>
      <c r="P286" s="220"/>
      <c r="Q286" s="220"/>
    </row>
    <row r="287" spans="1:17" s="61" customFormat="1" ht="13.5" customHeight="1">
      <c r="A287" s="1188" t="s">
        <v>1600</v>
      </c>
      <c r="B287" s="1195"/>
      <c r="C287" s="1195"/>
      <c r="D287" s="1195"/>
      <c r="E287" s="1195"/>
      <c r="F287" s="1195"/>
      <c r="G287" s="1196"/>
      <c r="H287" s="1196"/>
      <c r="I287" s="1196"/>
      <c r="J287" s="1196"/>
      <c r="K287" s="1196"/>
      <c r="L287" s="173"/>
      <c r="M287" s="399"/>
      <c r="N287" s="73"/>
      <c r="O287" s="73"/>
      <c r="P287" s="73"/>
      <c r="Q287" s="73"/>
    </row>
    <row r="288" spans="1:17" s="61" customFormat="1" ht="13.5" customHeight="1">
      <c r="A288" s="189"/>
      <c r="B288" s="106"/>
      <c r="C288" s="106"/>
      <c r="D288" s="106"/>
      <c r="E288" s="106"/>
      <c r="F288" s="106"/>
      <c r="G288" s="190"/>
      <c r="H288" s="190"/>
      <c r="I288" s="190"/>
      <c r="J288" s="190"/>
      <c r="K288" s="190"/>
      <c r="L288" s="173"/>
      <c r="M288" s="399"/>
      <c r="N288" s="73"/>
      <c r="O288" s="73"/>
      <c r="P288" s="73"/>
      <c r="Q288" s="73"/>
    </row>
    <row r="289" spans="1:17" s="61" customFormat="1">
      <c r="A289" s="189"/>
      <c r="B289" s="106"/>
      <c r="C289" s="106"/>
      <c r="D289" s="106"/>
      <c r="E289" s="106"/>
      <c r="F289" s="106"/>
      <c r="G289" s="190"/>
      <c r="H289" s="190"/>
      <c r="I289" s="190"/>
      <c r="J289" s="190"/>
      <c r="K289" s="805" t="s">
        <v>2058</v>
      </c>
      <c r="L289" s="173"/>
      <c r="M289" s="402"/>
      <c r="N289" s="73"/>
      <c r="O289" s="73"/>
      <c r="P289" s="73"/>
      <c r="Q289" s="73"/>
    </row>
    <row r="290" spans="1:17" s="61" customFormat="1" ht="15.75">
      <c r="A290" s="1173" t="s">
        <v>1500</v>
      </c>
      <c r="B290" s="1173"/>
      <c r="C290" s="1173"/>
      <c r="D290" s="1173"/>
      <c r="E290" s="1173"/>
      <c r="F290" s="1173"/>
      <c r="G290" s="1173"/>
      <c r="H290" s="1173"/>
      <c r="I290" s="1173"/>
      <c r="J290" s="1173"/>
      <c r="K290" s="1173"/>
      <c r="L290" s="172"/>
      <c r="M290" s="395"/>
      <c r="N290" s="73"/>
      <c r="O290" s="73"/>
      <c r="P290" s="73"/>
      <c r="Q290" s="73"/>
    </row>
    <row r="291" spans="1:17" s="61" customFormat="1" ht="18.75">
      <c r="A291" s="1173" t="s">
        <v>276</v>
      </c>
      <c r="B291" s="1173"/>
      <c r="C291" s="1173"/>
      <c r="D291" s="1173"/>
      <c r="E291" s="1173"/>
      <c r="F291" s="1173"/>
      <c r="G291" s="1173"/>
      <c r="H291" s="1173"/>
      <c r="I291" s="1173"/>
      <c r="J291" s="1173"/>
      <c r="K291" s="1173"/>
      <c r="L291" s="167"/>
      <c r="M291" s="395"/>
      <c r="N291" s="73"/>
      <c r="O291" s="73"/>
      <c r="P291" s="73"/>
      <c r="Q291" s="73"/>
    </row>
    <row r="292" spans="1:17" s="61" customFormat="1" ht="15.75">
      <c r="A292" s="1173" t="s">
        <v>114</v>
      </c>
      <c r="B292" s="1173"/>
      <c r="C292" s="1173"/>
      <c r="D292" s="1173"/>
      <c r="E292" s="1173"/>
      <c r="F292" s="1173"/>
      <c r="G292" s="1173"/>
      <c r="H292" s="1173"/>
      <c r="I292" s="1173"/>
      <c r="J292" s="1173"/>
      <c r="K292" s="1173"/>
      <c r="L292" s="167"/>
      <c r="M292" s="398"/>
      <c r="N292" s="73"/>
      <c r="O292" s="73"/>
      <c r="P292" s="73"/>
      <c r="Q292" s="73"/>
    </row>
    <row r="293" spans="1:17" s="61" customFormat="1" ht="9" customHeight="1">
      <c r="A293" s="91"/>
      <c r="B293" s="91"/>
      <c r="C293" s="91"/>
      <c r="D293" s="91"/>
      <c r="E293" s="91"/>
      <c r="F293" s="91"/>
      <c r="G293" s="108"/>
      <c r="H293" s="91"/>
      <c r="I293" s="91"/>
      <c r="J293" s="91"/>
      <c r="K293" s="91"/>
      <c r="L293" s="167"/>
      <c r="M293" s="395"/>
      <c r="N293" s="73"/>
      <c r="O293" s="73"/>
      <c r="P293" s="73"/>
      <c r="Q293" s="73"/>
    </row>
    <row r="294" spans="1:17" s="61" customFormat="1" ht="16.5" customHeight="1">
      <c r="A294" s="60"/>
      <c r="B294" s="1197" t="s">
        <v>454</v>
      </c>
      <c r="C294" s="1198"/>
      <c r="D294" s="1198"/>
      <c r="E294" s="1198"/>
      <c r="F294" s="1198"/>
      <c r="G294" s="57" t="s">
        <v>909</v>
      </c>
      <c r="H294" s="58"/>
      <c r="I294" s="58"/>
      <c r="J294" s="58"/>
      <c r="K294" s="58"/>
      <c r="L294" s="175"/>
      <c r="M294" s="395"/>
      <c r="N294" s="73"/>
      <c r="O294" s="73"/>
      <c r="P294" s="73"/>
      <c r="Q294" s="73"/>
    </row>
    <row r="295" spans="1:17" s="6" customFormat="1" ht="45">
      <c r="A295" s="50"/>
      <c r="B295" s="51" t="s">
        <v>643</v>
      </c>
      <c r="C295" s="52" t="s">
        <v>645</v>
      </c>
      <c r="D295" s="52" t="s">
        <v>644</v>
      </c>
      <c r="E295" s="52" t="s">
        <v>1835</v>
      </c>
      <c r="F295" s="52" t="s">
        <v>670</v>
      </c>
      <c r="G295" s="53" t="s">
        <v>643</v>
      </c>
      <c r="H295" s="52" t="s">
        <v>645</v>
      </c>
      <c r="I295" s="52" t="s">
        <v>644</v>
      </c>
      <c r="J295" s="52" t="s">
        <v>1835</v>
      </c>
      <c r="K295" s="52" t="s">
        <v>670</v>
      </c>
      <c r="L295" s="169"/>
      <c r="M295" s="395" t="s">
        <v>1772</v>
      </c>
      <c r="N295" s="7"/>
      <c r="O295" s="7"/>
      <c r="P295" s="7"/>
      <c r="Q295" s="7"/>
    </row>
    <row r="296" spans="1:17" s="61" customFormat="1" ht="14.25">
      <c r="A296" s="73" t="s">
        <v>455</v>
      </c>
      <c r="B296" s="102">
        <f>IF($M296&gt;0,('Amounts Pivot Table'!K$631/$M296),0)</f>
        <v>2616.7112867716687</v>
      </c>
      <c r="C296" s="102">
        <f>IF($M296&gt;0,('Amounts Pivot Table'!K$634/$M296),0)</f>
        <v>40.20972881701308</v>
      </c>
      <c r="D296" s="102">
        <f>IF($M296&gt;0,('Amounts Pivot Table'!K$637/$M296),0)</f>
        <v>1471.1145855830093</v>
      </c>
      <c r="E296" s="102">
        <f>IF($M296&gt;0,('Amounts Pivot Table'!K$640/$M296),0)</f>
        <v>2117.1149191070904</v>
      </c>
      <c r="F296" s="102">
        <f>SUM(B296:E296)</f>
        <v>6245.1505202787812</v>
      </c>
      <c r="G296" s="115"/>
      <c r="H296" s="116"/>
      <c r="I296" s="116"/>
      <c r="J296" s="116"/>
      <c r="K296" s="116"/>
      <c r="L296" s="170"/>
      <c r="M296" s="395">
        <f>+[1]Tables!AL163</f>
        <v>814845.70933333342</v>
      </c>
      <c r="N296" s="73"/>
      <c r="O296" s="73"/>
      <c r="P296" s="73"/>
      <c r="Q296" s="73"/>
    </row>
    <row r="297" spans="1:17" s="113" customFormat="1" ht="12.75" customHeight="1">
      <c r="A297" s="111"/>
      <c r="B297" s="112"/>
      <c r="C297" s="112"/>
      <c r="D297" s="112"/>
      <c r="E297" s="112"/>
      <c r="F297" s="112">
        <f>SUM(B297:E297)</f>
        <v>0</v>
      </c>
      <c r="G297" s="120"/>
      <c r="H297" s="121"/>
      <c r="I297" s="121"/>
      <c r="J297" s="121"/>
      <c r="K297" s="121"/>
      <c r="L297" s="177"/>
      <c r="M297" s="395">
        <f>+[1]Tables!AL164</f>
        <v>0</v>
      </c>
      <c r="N297" s="111"/>
      <c r="O297" s="111"/>
      <c r="P297" s="111"/>
      <c r="Q297" s="111"/>
    </row>
    <row r="298" spans="1:17" s="61" customFormat="1" ht="12.75" customHeight="1">
      <c r="A298" s="73" t="s">
        <v>1892</v>
      </c>
      <c r="B298" s="75">
        <f>IF($M298&gt;0,('Amounts Pivot Table'!K$7/$M298),0)</f>
        <v>3626.4182176914619</v>
      </c>
      <c r="C298" s="75">
        <f>IF($M298&gt;0,('Amounts Pivot Table'!K$10/$M298),0)</f>
        <v>21.342300119101228</v>
      </c>
      <c r="D298" s="75">
        <f>IF($M298&gt;0,('Amounts Pivot Table'!K$13/$M298),0)</f>
        <v>4.1285760342755751</v>
      </c>
      <c r="E298" s="75">
        <f>IF($M298&gt;0,('Amounts Pivot Table'!K$16/$M298),0)</f>
        <v>2289.7142636373569</v>
      </c>
      <c r="F298" s="75">
        <f t="shared" ref="F298:F316" si="49">SUM(B298:E298)</f>
        <v>5941.6033574821959</v>
      </c>
      <c r="G298" s="117">
        <f>IF(B298&gt;0,RANK(B298,$B$298:$B$316),)</f>
        <v>5</v>
      </c>
      <c r="H298" s="107">
        <f>IF(C298&gt;0,RANK(C298,$C$298:$C$316),)</f>
        <v>3</v>
      </c>
      <c r="I298" s="107">
        <f>IF(D298&gt;0,RANK(D298,$D$298:$D$316),)</f>
        <v>7</v>
      </c>
      <c r="J298" s="107">
        <f>IF(E298&gt;0,RANK(E298,$E$298:$E$316),)</f>
        <v>11</v>
      </c>
      <c r="K298" s="107">
        <f>IF(F298&gt;0,RANK(F298,$F$298:$F$316),)</f>
        <v>10</v>
      </c>
      <c r="L298" s="170"/>
      <c r="M298" s="395">
        <f>+[1]Tables!AL165</f>
        <v>12510.366666666665</v>
      </c>
      <c r="N298" s="73"/>
      <c r="O298" s="73"/>
      <c r="P298" s="73"/>
      <c r="Q298" s="73"/>
    </row>
    <row r="299" spans="1:17" s="61" customFormat="1" ht="12.75" customHeight="1">
      <c r="A299" s="73" t="s">
        <v>1906</v>
      </c>
      <c r="B299" s="75">
        <f>IF($M299&gt;0,('Amounts Pivot Table'!K$46/$M299),0)</f>
        <v>2387.6065392803634</v>
      </c>
      <c r="C299" s="75">
        <f>IF($M299&gt;0,('Amounts Pivot Table'!K$49/$M299),0)</f>
        <v>0</v>
      </c>
      <c r="D299" s="75">
        <f>IF($M299&gt;0,('Amounts Pivot Table'!K$52/$M299),0)</f>
        <v>0</v>
      </c>
      <c r="E299" s="75">
        <f>IF($M299&gt;0,('Amounts Pivot Table'!K$55/$M299),0)</f>
        <v>3115.8116540068859</v>
      </c>
      <c r="F299" s="75">
        <f t="shared" si="49"/>
        <v>5503.4181932872489</v>
      </c>
      <c r="G299" s="117">
        <f>IF(B299&gt;0,RANK(B299,$B$298:$B$316),)</f>
        <v>11</v>
      </c>
      <c r="H299" s="107">
        <f>IF(C299&gt;0,RANK(C299,$C$298:$C$316),)</f>
        <v>0</v>
      </c>
      <c r="I299" s="107">
        <f>IF(D299&gt;0,RANK(D299,$D$298:$D$316),)</f>
        <v>0</v>
      </c>
      <c r="J299" s="107">
        <f>IF(E299&gt;0,RANK(E299,$E$298:$E$316),)</f>
        <v>5</v>
      </c>
      <c r="K299" s="107">
        <f>IF(F299&gt;0,RANK(F299,$F$298:$F$316),)</f>
        <v>11</v>
      </c>
      <c r="L299" s="170"/>
      <c r="M299" s="395">
        <f>+[1]Tables!AL166</f>
        <v>6341.166666666667</v>
      </c>
      <c r="N299" s="73"/>
      <c r="O299" s="73"/>
      <c r="P299" s="73"/>
      <c r="Q299" s="73"/>
    </row>
    <row r="300" spans="1:17" s="61" customFormat="1" ht="12.75" customHeight="1">
      <c r="A300" s="73" t="s">
        <v>1893</v>
      </c>
      <c r="B300" s="75">
        <f>IF($M300&gt;0,('Amounts Pivot Table'!K$85/$M300),0)</f>
        <v>0</v>
      </c>
      <c r="C300" s="75">
        <f>IF($M300&gt;0,('Amounts Pivot Table'!K$88/$M300),0)</f>
        <v>0</v>
      </c>
      <c r="D300" s="75">
        <f>IF($M300&gt;0,('Amounts Pivot Table'!K$91/$M300),0)</f>
        <v>0</v>
      </c>
      <c r="E300" s="75">
        <f>IF($M300&gt;0,('Amounts Pivot Table'!K$94/$M300),0)</f>
        <v>0</v>
      </c>
      <c r="F300" s="75">
        <f t="shared" si="49"/>
        <v>0</v>
      </c>
      <c r="G300" s="117">
        <f>IF(B300&gt;0,RANK(B300,$B$298:$B$316),)</f>
        <v>0</v>
      </c>
      <c r="H300" s="107">
        <f>IF(C300&gt;0,RANK(C300,$C$298:$C$316),)</f>
        <v>0</v>
      </c>
      <c r="I300" s="107">
        <f>IF(D300&gt;0,RANK(D300,$D$298:$D$316),)</f>
        <v>0</v>
      </c>
      <c r="J300" s="107">
        <f>IF(E300&gt;0,RANK(E300,$E$298:$E$316),)</f>
        <v>0</v>
      </c>
      <c r="K300" s="107">
        <f>IF(F300&gt;0,RANK(F300,$F$298:$F$316),)</f>
        <v>0</v>
      </c>
      <c r="L300" s="170"/>
      <c r="M300" s="395">
        <f>+[1]Tables!AL167</f>
        <v>0</v>
      </c>
      <c r="N300" s="73"/>
      <c r="O300" s="73"/>
      <c r="P300" s="73"/>
      <c r="Q300" s="73"/>
    </row>
    <row r="301" spans="1:17" s="61" customFormat="1" ht="12.75" customHeight="1">
      <c r="A301" s="73" t="s">
        <v>1900</v>
      </c>
      <c r="B301" s="75">
        <f>IF($M301&gt;0,('Amounts Pivot Table'!K$124/$M301),0)</f>
        <v>3025.1616728197564</v>
      </c>
      <c r="C301" s="75">
        <f>IF($M301&gt;0,('Amounts Pivot Table'!K$127/$M301),0)</f>
        <v>0</v>
      </c>
      <c r="D301" s="75">
        <f>IF($M301&gt;0,('Amounts Pivot Table'!K$130/$M301),0)</f>
        <v>0</v>
      </c>
      <c r="E301" s="75">
        <f>IF($M301&gt;0,('Amounts Pivot Table'!K$133/$M301),0)</f>
        <v>1788.3650009408857</v>
      </c>
      <c r="F301" s="75">
        <f t="shared" si="49"/>
        <v>4813.5266737606416</v>
      </c>
      <c r="G301" s="117">
        <f>IF(B301&gt;0,RANK(B301,$B$298:$B$316),)</f>
        <v>8</v>
      </c>
      <c r="H301" s="107">
        <f>IF(C301&gt;0,RANK(C301,$C$298:$C$316),)</f>
        <v>0</v>
      </c>
      <c r="I301" s="107">
        <f>IF(D301&gt;0,RANK(D301,$D$298:$D$316),)</f>
        <v>0</v>
      </c>
      <c r="J301" s="107">
        <f>IF(E301&gt;0,RANK(E301,$E$298:$E$316),)</f>
        <v>12</v>
      </c>
      <c r="K301" s="107">
        <f>IF(F301&gt;0,RANK(F301,$F$298:$F$316),)</f>
        <v>13</v>
      </c>
      <c r="L301" s="170"/>
      <c r="M301" s="395">
        <f>+[1]Tables!AL168</f>
        <v>212896.36444444442</v>
      </c>
      <c r="N301" s="73"/>
      <c r="O301" s="73"/>
      <c r="P301" s="73"/>
      <c r="Q301" s="73"/>
    </row>
    <row r="302" spans="1:17" s="61" customFormat="1" ht="12.75" customHeight="1">
      <c r="A302" s="73"/>
      <c r="B302" s="75"/>
      <c r="C302" s="75"/>
      <c r="D302" s="75"/>
      <c r="E302" s="75"/>
      <c r="F302" s="75"/>
      <c r="G302" s="117"/>
      <c r="H302" s="107"/>
      <c r="I302" s="107"/>
      <c r="J302" s="107"/>
      <c r="K302" s="107"/>
      <c r="L302" s="170"/>
      <c r="M302" s="395">
        <f>+[1]Tables!AL169</f>
        <v>0</v>
      </c>
      <c r="N302" s="73"/>
      <c r="O302" s="73"/>
      <c r="P302" s="73"/>
      <c r="Q302" s="73"/>
    </row>
    <row r="303" spans="1:17" s="61" customFormat="1" ht="12.75" customHeight="1">
      <c r="A303" s="73" t="s">
        <v>1901</v>
      </c>
      <c r="B303" s="75">
        <f>IF($M303&gt;0,('Amounts Pivot Table'!K$163/$M303),0)</f>
        <v>3632.1470139487765</v>
      </c>
      <c r="C303" s="75">
        <f>IF($M303&gt;0,('Amounts Pivot Table'!K$166/$M303),0)</f>
        <v>0</v>
      </c>
      <c r="D303" s="75">
        <f>IF($M303&gt;0,('Amounts Pivot Table'!K$169/$M303),0)</f>
        <v>0</v>
      </c>
      <c r="E303" s="75">
        <f>IF($M303&gt;0,('Amounts Pivot Table'!K$172/$M303),0)</f>
        <v>2647.2727217903644</v>
      </c>
      <c r="F303" s="75">
        <f t="shared" si="49"/>
        <v>6279.4197357391404</v>
      </c>
      <c r="G303" s="117">
        <f>IF(B303&gt;0,RANK(B303,$B$298:$B$316),)</f>
        <v>4</v>
      </c>
      <c r="H303" s="107">
        <f>IF(C303&gt;0,RANK(C303,$C$298:$C$316),)</f>
        <v>0</v>
      </c>
      <c r="I303" s="107">
        <f>IF(D303&gt;0,RANK(D303,$D$298:$D$316),)</f>
        <v>0</v>
      </c>
      <c r="J303" s="107">
        <f>IF(E303&gt;0,RANK(E303,$E$298:$E$316),)</f>
        <v>7</v>
      </c>
      <c r="K303" s="107">
        <f>IF(F303&gt;0,RANK(F303,$F$298:$F$316),)</f>
        <v>8</v>
      </c>
      <c r="L303" s="170"/>
      <c r="M303" s="395">
        <f>+[1]Tables!AL170</f>
        <v>16582.099999999999</v>
      </c>
      <c r="N303" s="73"/>
      <c r="O303" s="73"/>
      <c r="P303" s="73"/>
      <c r="Q303" s="73"/>
    </row>
    <row r="304" spans="1:17" s="61" customFormat="1" ht="12.75" customHeight="1">
      <c r="A304" s="73" t="s">
        <v>1894</v>
      </c>
      <c r="B304" s="75">
        <f>IF($M304&gt;0,('Amounts Pivot Table'!K$202/$M304),0)</f>
        <v>2642.3287838552142</v>
      </c>
      <c r="C304" s="75">
        <f>IF($M304&gt;0,('Amounts Pivot Table'!K$205/$M304),0)</f>
        <v>0</v>
      </c>
      <c r="D304" s="75">
        <f>IF($M304&gt;0,('Amounts Pivot Table'!K$208/$M304),0)</f>
        <v>0</v>
      </c>
      <c r="E304" s="75">
        <f>IF($M304&gt;0,('Amounts Pivot Table'!K$211/$M304),0)</f>
        <v>3518.3204065258087</v>
      </c>
      <c r="F304" s="75">
        <f t="shared" si="49"/>
        <v>6160.6491903810229</v>
      </c>
      <c r="G304" s="117">
        <f>IF(B304&gt;0,RANK(B304,$B$298:$B$316),)</f>
        <v>10</v>
      </c>
      <c r="H304" s="107">
        <f>IF(C304&gt;0,RANK(C304,$C$298:$C$316),)</f>
        <v>0</v>
      </c>
      <c r="I304" s="107">
        <f>IF(D304&gt;0,RANK(D304,$D$298:$D$316),)</f>
        <v>0</v>
      </c>
      <c r="J304" s="107">
        <f>IF(E304&gt;0,RANK(E304,$E$298:$E$316),)</f>
        <v>4</v>
      </c>
      <c r="K304" s="107">
        <f>IF(F304&gt;0,RANK(F304,$F$298:$F$316),)</f>
        <v>9</v>
      </c>
      <c r="L304" s="170"/>
      <c r="M304" s="395">
        <f>+[1]Tables!AL171</f>
        <v>15828.433333333334</v>
      </c>
      <c r="N304" s="73"/>
      <c r="O304" s="73"/>
      <c r="P304" s="73"/>
      <c r="Q304" s="73"/>
    </row>
    <row r="305" spans="1:17" s="61" customFormat="1" ht="12.75" customHeight="1">
      <c r="A305" s="73" t="s">
        <v>1902</v>
      </c>
      <c r="B305" s="75">
        <f>IF($M305&gt;0,('Amounts Pivot Table'!K$241/$M305),0)</f>
        <v>4480.2165134964089</v>
      </c>
      <c r="C305" s="75">
        <f>IF($M305&gt;0,('Amounts Pivot Table'!K$244/$M305),0)</f>
        <v>0</v>
      </c>
      <c r="D305" s="75">
        <f>IF($M305&gt;0,('Amounts Pivot Table'!K$247/$M305),0)</f>
        <v>0</v>
      </c>
      <c r="E305" s="75">
        <f>IF($M305&gt;0,('Amounts Pivot Table'!K$250/$M305),0)</f>
        <v>2675.6814929972757</v>
      </c>
      <c r="F305" s="75">
        <f t="shared" si="49"/>
        <v>7155.8980064936841</v>
      </c>
      <c r="G305" s="117">
        <f>IF(B305&gt;0,RANK(B305,$B$298:$B$316),)</f>
        <v>1</v>
      </c>
      <c r="H305" s="107">
        <f>IF(C305&gt;0,RANK(C305,$C$298:$C$316),)</f>
        <v>0</v>
      </c>
      <c r="I305" s="107">
        <f>IF(D305&gt;0,RANK(D305,$D$298:$D$316),)</f>
        <v>0</v>
      </c>
      <c r="J305" s="107">
        <f>IF(E305&gt;0,RANK(E305,$E$298:$E$316),)</f>
        <v>6</v>
      </c>
      <c r="K305" s="107">
        <f>IF(F305&gt;0,RANK(F305,$F$298:$F$316),)</f>
        <v>7</v>
      </c>
      <c r="L305" s="170"/>
      <c r="M305" s="395">
        <f>+[1]Tables!AL172</f>
        <v>9691.4666666666672</v>
      </c>
      <c r="N305" s="73"/>
      <c r="O305" s="73"/>
      <c r="P305" s="73"/>
      <c r="Q305" s="73"/>
    </row>
    <row r="306" spans="1:17" s="61" customFormat="1" ht="12.75" customHeight="1">
      <c r="A306" s="73" t="s">
        <v>1905</v>
      </c>
      <c r="B306" s="75">
        <f>IF($M306&gt;0,('Amounts Pivot Table'!K$280/$M306),0)</f>
        <v>2712.5625461242344</v>
      </c>
      <c r="C306" s="75">
        <f>IF($M306&gt;0,('Amounts Pivot Table'!K$283/$M306),0)</f>
        <v>0</v>
      </c>
      <c r="D306" s="75">
        <f>IF($M306&gt;0,('Amounts Pivot Table'!K$286/$M306),0)</f>
        <v>4392.5599636919824</v>
      </c>
      <c r="E306" s="75">
        <f>IF($M306&gt;0,('Amounts Pivot Table'!K$289/$M306),0)</f>
        <v>4038.3148194869354</v>
      </c>
      <c r="F306" s="75">
        <f t="shared" si="49"/>
        <v>11143.437329303153</v>
      </c>
      <c r="G306" s="117">
        <f>IF(B306&gt;0,RANK(B306,$B$298:$B$316),)</f>
        <v>9</v>
      </c>
      <c r="H306" s="107">
        <f>IF(C306&gt;0,RANK(C306,$C$298:$C$316),)</f>
        <v>0</v>
      </c>
      <c r="I306" s="107">
        <f>IF(D306&gt;0,RANK(D306,$D$298:$D$316),)</f>
        <v>1</v>
      </c>
      <c r="J306" s="107">
        <f>IF(E306&gt;0,RANK(E306,$E$298:$E$316),)</f>
        <v>2</v>
      </c>
      <c r="K306" s="107">
        <f>IF(F306&gt;0,RANK(F306,$F$298:$F$316),)</f>
        <v>1</v>
      </c>
      <c r="L306" s="170"/>
      <c r="M306" s="395">
        <f>+[1]Tables!AL173</f>
        <v>47629.51666666667</v>
      </c>
      <c r="N306" s="73"/>
      <c r="O306" s="73"/>
      <c r="P306" s="73"/>
      <c r="Q306" s="73"/>
    </row>
    <row r="307" spans="1:17" s="61" customFormat="1" ht="12.75" customHeight="1">
      <c r="A307" s="73"/>
      <c r="B307" s="75"/>
      <c r="C307" s="75"/>
      <c r="D307" s="75"/>
      <c r="E307" s="75"/>
      <c r="F307" s="75"/>
      <c r="G307" s="117"/>
      <c r="H307" s="107"/>
      <c r="I307" s="107"/>
      <c r="J307" s="107"/>
      <c r="K307" s="107"/>
      <c r="L307" s="170"/>
      <c r="M307" s="395">
        <f>+[1]Tables!AL174</f>
        <v>0</v>
      </c>
      <c r="N307" s="73"/>
      <c r="O307" s="73"/>
      <c r="P307" s="73"/>
      <c r="Q307" s="73"/>
    </row>
    <row r="308" spans="1:17" s="61" customFormat="1" ht="12.75" customHeight="1">
      <c r="A308" s="73" t="s">
        <v>1895</v>
      </c>
      <c r="B308" s="75">
        <f>IF($M308&gt;0,('Amounts Pivot Table'!K$319/$M308),0)</f>
        <v>3786.0941394756078</v>
      </c>
      <c r="C308" s="75">
        <f>IF($M308&gt;0,('Amounts Pivot Table'!K$322/$M308),0)</f>
        <v>0</v>
      </c>
      <c r="D308" s="75">
        <f>IF($M308&gt;0,('Amounts Pivot Table'!K$325/$M308),0)</f>
        <v>1102.8339299435875</v>
      </c>
      <c r="E308" s="75">
        <f>IF($M308&gt;0,('Amounts Pivot Table'!K$328/$M308),0)</f>
        <v>2329.4560226399535</v>
      </c>
      <c r="F308" s="75">
        <f t="shared" si="49"/>
        <v>7218.3840920591483</v>
      </c>
      <c r="G308" s="117">
        <f>IF(B308&gt;0,RANK(B308,$B$298:$B$316),)</f>
        <v>3</v>
      </c>
      <c r="H308" s="107">
        <f>IF(C308&gt;0,RANK(C308,$C$298:$C$316),)</f>
        <v>0</v>
      </c>
      <c r="I308" s="107">
        <f>IF(D308&gt;0,RANK(D308,$D$298:$D$316),)</f>
        <v>4</v>
      </c>
      <c r="J308" s="107">
        <f>IF(E308&gt;0,RANK(E308,$E$298:$E$316),)</f>
        <v>10</v>
      </c>
      <c r="K308" s="107">
        <f>IF(F308&gt;0,RANK(F308,$F$298:$F$316),)</f>
        <v>5</v>
      </c>
      <c r="L308" s="170"/>
      <c r="M308" s="395">
        <f>+[1]Tables!AL175</f>
        <v>21342.799999999999</v>
      </c>
      <c r="N308" s="73"/>
      <c r="O308" s="73"/>
      <c r="P308" s="73"/>
      <c r="Q308" s="73"/>
    </row>
    <row r="309" spans="1:17" s="61" customFormat="1" ht="12.75" customHeight="1">
      <c r="A309" s="73" t="s">
        <v>1896</v>
      </c>
      <c r="B309" s="75">
        <f>IF($M309&gt;0,('Amounts Pivot Table'!K$358/$M309),0)</f>
        <v>3112.9024397184648</v>
      </c>
      <c r="C309" s="75">
        <f>IF($M309&gt;0,('Amounts Pivot Table'!K$361/$M309),0)</f>
        <v>273.22956308929827</v>
      </c>
      <c r="D309" s="75">
        <f>IF($M309&gt;0,('Amounts Pivot Table'!K$364/$M309),0)</f>
        <v>1076.5870216842784</v>
      </c>
      <c r="E309" s="75">
        <f>IF($M309&gt;0,('Amounts Pivot Table'!K$367/$M309),0)</f>
        <v>899.46579461592455</v>
      </c>
      <c r="F309" s="75">
        <f t="shared" si="49"/>
        <v>5362.1848191079662</v>
      </c>
      <c r="G309" s="117">
        <f>IF(B309&gt;0,RANK(B309,$B$298:$B$316),)</f>
        <v>7</v>
      </c>
      <c r="H309" s="107">
        <f>IF(C309&gt;0,RANK(C309,$C$298:$C$316),)</f>
        <v>1</v>
      </c>
      <c r="I309" s="107">
        <f>IF(D309&gt;0,RANK(D309,$D$298:$D$316),)</f>
        <v>5</v>
      </c>
      <c r="J309" s="107">
        <f>IF(E309&gt;0,RANK(E309,$E$298:$E$316),)</f>
        <v>13</v>
      </c>
      <c r="K309" s="107">
        <f>IF(F309&gt;0,RANK(F309,$F$298:$F$316),)</f>
        <v>12</v>
      </c>
      <c r="L309" s="170"/>
      <c r="M309" s="395">
        <f>+[1]Tables!AL176</f>
        <v>105422</v>
      </c>
      <c r="N309" s="73"/>
      <c r="O309" s="73"/>
      <c r="P309" s="73"/>
      <c r="Q309" s="73"/>
    </row>
    <row r="310" spans="1:17" s="61" customFormat="1" ht="12.75" customHeight="1">
      <c r="A310" s="73" t="s">
        <v>1903</v>
      </c>
      <c r="B310" s="75">
        <f>IF($M310&gt;0,('Amounts Pivot Table'!K$397/$M310),0)</f>
        <v>3311.114078595956</v>
      </c>
      <c r="C310" s="75">
        <f>IF($M310&gt;0,('Amounts Pivot Table'!K$400/$M310),0)</f>
        <v>0</v>
      </c>
      <c r="D310" s="75">
        <f>IF($M310&gt;0,('Amounts Pivot Table'!K$403/$M310),0)</f>
        <v>2018.1360435466413</v>
      </c>
      <c r="E310" s="75">
        <f>IF($M310&gt;0,('Amounts Pivot Table'!K$406/$M310),0)</f>
        <v>2443.2424672977222</v>
      </c>
      <c r="F310" s="75">
        <f t="shared" si="49"/>
        <v>7772.4925894403195</v>
      </c>
      <c r="G310" s="117">
        <f>IF(B310&gt;0,RANK(B310,$B$298:$B$316),)</f>
        <v>6</v>
      </c>
      <c r="H310" s="107">
        <f>IF(C310&gt;0,RANK(C310,$C$298:$C$316),)</f>
        <v>0</v>
      </c>
      <c r="I310" s="107">
        <f>IF(D310&gt;0,RANK(D310,$D$298:$D$316),)</f>
        <v>3</v>
      </c>
      <c r="J310" s="107">
        <f>IF(E310&gt;0,RANK(E310,$E$298:$E$316),)</f>
        <v>8</v>
      </c>
      <c r="K310" s="107">
        <f>IF(F310&gt;0,RANK(F310,$F$298:$F$316),)</f>
        <v>4</v>
      </c>
      <c r="L310" s="170"/>
      <c r="M310" s="395">
        <f>+[1]Tables!AL177</f>
        <v>19308.033333333333</v>
      </c>
      <c r="N310" s="73"/>
      <c r="O310" s="73"/>
      <c r="P310" s="73"/>
      <c r="Q310" s="73"/>
    </row>
    <row r="311" spans="1:17" s="61" customFormat="1" ht="12.75" customHeight="1">
      <c r="A311" s="73" t="s">
        <v>1897</v>
      </c>
      <c r="B311" s="75">
        <f>IF($M311&gt;0,('Amounts Pivot Table'!K$436/$M311),0)</f>
        <v>1738.8865737167318</v>
      </c>
      <c r="C311" s="75">
        <f>IF($M311&gt;0,('Amounts Pivot Table'!K$439/$M311),0)</f>
        <v>126.2125568619546</v>
      </c>
      <c r="D311" s="75">
        <f>IF($M311&gt;0,('Amounts Pivot Table'!K$442/$M311),0)</f>
        <v>871.06883843686785</v>
      </c>
      <c r="E311" s="75">
        <f>IF($M311&gt;0,('Amounts Pivot Table'!K$445/$M311),0)</f>
        <v>4478.5168021961254</v>
      </c>
      <c r="F311" s="75">
        <f t="shared" si="49"/>
        <v>7214.6847712116796</v>
      </c>
      <c r="G311" s="117">
        <f>IF(B311&gt;0,RANK(B311,$B$298:$B$316),)</f>
        <v>13</v>
      </c>
      <c r="H311" s="107">
        <f>IF(C311&gt;0,RANK(C311,$C$298:$C$316),)</f>
        <v>2</v>
      </c>
      <c r="I311" s="107">
        <f>IF(D311&gt;0,RANK(D311,$D$298:$D$316),)</f>
        <v>6</v>
      </c>
      <c r="J311" s="107">
        <f>IF(E311&gt;0,RANK(E311,$E$298:$E$316),)</f>
        <v>1</v>
      </c>
      <c r="K311" s="107">
        <f>IF(F311&gt;0,RANK(F311,$F$298:$F$316),)</f>
        <v>6</v>
      </c>
      <c r="L311" s="170"/>
      <c r="M311" s="395">
        <f>+[1]Tables!AL178</f>
        <v>29262.682666666668</v>
      </c>
      <c r="N311" s="73"/>
      <c r="O311" s="73"/>
      <c r="P311" s="73"/>
      <c r="Q311" s="73"/>
    </row>
    <row r="312" spans="1:17" s="61" customFormat="1" ht="12.75" customHeight="1">
      <c r="A312" s="73"/>
      <c r="B312" s="75"/>
      <c r="C312" s="75"/>
      <c r="D312" s="75"/>
      <c r="E312" s="75"/>
      <c r="F312" s="75"/>
      <c r="G312" s="117"/>
      <c r="H312" s="107"/>
      <c r="I312" s="107"/>
      <c r="J312" s="107"/>
      <c r="K312" s="107"/>
      <c r="L312" s="170"/>
      <c r="M312" s="395">
        <f>+[1]Tables!AL179</f>
        <v>0</v>
      </c>
      <c r="N312" s="73"/>
      <c r="O312" s="73"/>
      <c r="P312" s="73"/>
      <c r="Q312" s="73"/>
    </row>
    <row r="313" spans="1:17" s="61" customFormat="1" ht="12.75" customHeight="1">
      <c r="A313" s="73" t="s">
        <v>647</v>
      </c>
      <c r="B313" s="75">
        <f>IF($M313&gt;0,('Amounts Pivot Table'!K$475/$M313),0)</f>
        <v>4272.0391815366183</v>
      </c>
      <c r="C313" s="75">
        <f>IF($M313&gt;0,('Amounts Pivot Table'!K$478/$M313),0)</f>
        <v>0</v>
      </c>
      <c r="D313" s="75">
        <f>IF($M313&gt;0,('Amounts Pivot Table'!K$481/$M313),0)</f>
        <v>0</v>
      </c>
      <c r="E313" s="75">
        <f>IF($M313&gt;0,('Amounts Pivot Table'!K$484/$M313),0)</f>
        <v>3569.8430972665374</v>
      </c>
      <c r="F313" s="75">
        <f t="shared" si="49"/>
        <v>7841.8822788031557</v>
      </c>
      <c r="G313" s="117">
        <f>IF(B313&gt;0,RANK(B313,$B$298:$B$316),)</f>
        <v>2</v>
      </c>
      <c r="H313" s="107">
        <f>IF(C313&gt;0,RANK(C313,$C$298:$C$316),)</f>
        <v>0</v>
      </c>
      <c r="I313" s="107">
        <f>IF(D313&gt;0,RANK(D313,$D$298:$D$316),)</f>
        <v>0</v>
      </c>
      <c r="J313" s="107">
        <f>IF(E313&gt;0,RANK(E313,$E$298:$E$316),)</f>
        <v>3</v>
      </c>
      <c r="K313" s="107">
        <f>IF(F313&gt;0,RANK(F313,$F$298:$F$316),)</f>
        <v>3</v>
      </c>
      <c r="L313" s="170"/>
      <c r="M313" s="395">
        <f>+[1]Tables!AL180</f>
        <v>19253.966666666667</v>
      </c>
      <c r="N313" s="73"/>
      <c r="O313" s="73"/>
      <c r="P313" s="73"/>
      <c r="Q313" s="73"/>
    </row>
    <row r="314" spans="1:17" s="76" customFormat="1" ht="12.75" customHeight="1">
      <c r="A314" s="73" t="s">
        <v>1332</v>
      </c>
      <c r="B314" s="75">
        <f>IF($M314&gt;0,('Amounts Pivot Table'!K$514/$M314),0)</f>
        <v>2275.7016776992132</v>
      </c>
      <c r="C314" s="75">
        <f>IF($M314&gt;0,('Amounts Pivot Table'!K$517/$M314),0)</f>
        <v>0</v>
      </c>
      <c r="D314" s="75">
        <f>IF($M314&gt;0,('Amounts Pivot Table'!K$520/$M314),0)</f>
        <v>3278.5479944620342</v>
      </c>
      <c r="E314" s="75">
        <f>IF($M314&gt;0,('Amounts Pivot Table'!K$523/$M314),0)</f>
        <v>2440.7643277856146</v>
      </c>
      <c r="F314" s="75">
        <f t="shared" si="49"/>
        <v>7995.0139999468629</v>
      </c>
      <c r="G314" s="117">
        <f>IF(B314&gt;0,RANK(B314,$B$298:$B$316),)</f>
        <v>12</v>
      </c>
      <c r="H314" s="107">
        <f>IF(C314&gt;0,RANK(C314,$C$298:$C$316),)</f>
        <v>0</v>
      </c>
      <c r="I314" s="107">
        <f>IF(D314&gt;0,RANK(D314,$D$298:$D$316),)</f>
        <v>2</v>
      </c>
      <c r="J314" s="107">
        <f>IF(E314&gt;0,RANK(E314,$E$298:$E$316),)</f>
        <v>9</v>
      </c>
      <c r="K314" s="107">
        <f>IF(F314&gt;0,RANK(F314,$F$298:$F$316),)</f>
        <v>2</v>
      </c>
      <c r="L314" s="171"/>
      <c r="M314" s="395">
        <f>+[1]Tables!AL181</f>
        <v>240342.57888888891</v>
      </c>
      <c r="N314" s="90"/>
      <c r="O314" s="90"/>
      <c r="P314" s="90"/>
      <c r="Q314" s="90"/>
    </row>
    <row r="315" spans="1:17" s="61" customFormat="1" ht="12.75" customHeight="1">
      <c r="A315" s="73" t="s">
        <v>1899</v>
      </c>
      <c r="B315" s="75">
        <f>IF($M315&gt;0,('Amounts Pivot Table'!K$553/$M315),0)</f>
        <v>0</v>
      </c>
      <c r="C315" s="75">
        <f>IF($M315&gt;0,('Amounts Pivot Table'!K$556/$M315),0)</f>
        <v>0</v>
      </c>
      <c r="D315" s="75">
        <f>IF($M315&gt;0,('Amounts Pivot Table'!K$559/$M315),0)</f>
        <v>0</v>
      </c>
      <c r="E315" s="75">
        <f>IF($M315&gt;0,('Amounts Pivot Table'!K$562/$M315),0)</f>
        <v>0</v>
      </c>
      <c r="F315" s="75">
        <f t="shared" si="49"/>
        <v>0</v>
      </c>
      <c r="G315" s="117">
        <f>IF(B315&gt;0,RANK(B315,$B$298:$B$316),)</f>
        <v>0</v>
      </c>
      <c r="H315" s="107">
        <f>IF(C315&gt;0,RANK(C315,$C$298:$C$316),)</f>
        <v>0</v>
      </c>
      <c r="I315" s="107">
        <f>IF(D315&gt;0,RANK(D315,$D$298:$D$316),)</f>
        <v>0</v>
      </c>
      <c r="J315" s="107">
        <f>IF(E315&gt;0,RANK(E315,$E$298:$E$316),)</f>
        <v>0</v>
      </c>
      <c r="K315" s="107">
        <f>IF(F315&gt;0,RANK(F315,$F$298:$F$316),)</f>
        <v>0</v>
      </c>
      <c r="L315" s="172"/>
      <c r="M315" s="395">
        <f>+[1]Tables!AL182</f>
        <v>58434.233333333337</v>
      </c>
      <c r="N315" s="73"/>
      <c r="O315" s="73"/>
      <c r="P315" s="73"/>
      <c r="Q315" s="73"/>
    </row>
    <row r="316" spans="1:17" s="61" customFormat="1" ht="15.75" customHeight="1">
      <c r="A316" s="74" t="s">
        <v>1904</v>
      </c>
      <c r="B316" s="104">
        <f>IF($M316&gt;0,('Amounts Pivot Table'!K$592/$M316),0)</f>
        <v>0</v>
      </c>
      <c r="C316" s="104">
        <f>IF($M316&gt;0,('Amounts Pivot Table'!K$595/$M316),0)</f>
        <v>0</v>
      </c>
      <c r="D316" s="104">
        <f>IF($M316&gt;0,('Amounts Pivot Table'!K$598/$M316),0)</f>
        <v>0</v>
      </c>
      <c r="E316" s="104">
        <f>IF($M316&gt;0,('Amounts Pivot Table'!K$601/$M316),0)</f>
        <v>0</v>
      </c>
      <c r="F316" s="105">
        <f t="shared" si="49"/>
        <v>0</v>
      </c>
      <c r="G316" s="118">
        <f>IF(B316&gt;0,RANK(B316,$B$298:$B$316),)</f>
        <v>0</v>
      </c>
      <c r="H316" s="119">
        <f>IF(C316&gt;0,RANK(C316,$C$298:$C$316),)</f>
        <v>0</v>
      </c>
      <c r="I316" s="119">
        <f>IF(D316&gt;0,RANK(D316,$D$298:$D$316),)</f>
        <v>0</v>
      </c>
      <c r="J316" s="119">
        <f>IF(E316&gt;0,RANK(E316,$E$298:$E$316),)</f>
        <v>0</v>
      </c>
      <c r="K316" s="119">
        <f>IF(F316&gt;0,RANK(F316,$F$298:$F$316),)</f>
        <v>0</v>
      </c>
      <c r="L316" s="173"/>
      <c r="M316" s="395">
        <f>+[1]Tables!AL183</f>
        <v>0</v>
      </c>
      <c r="N316" s="73"/>
      <c r="O316" s="73"/>
      <c r="P316" s="73"/>
      <c r="Q316" s="73"/>
    </row>
    <row r="317" spans="1:17" s="76" customFormat="1" ht="24.75" customHeight="1">
      <c r="A317" s="1200" t="s">
        <v>1409</v>
      </c>
      <c r="B317" s="1200"/>
      <c r="C317" s="1200"/>
      <c r="D317" s="1200"/>
      <c r="E317" s="1200"/>
      <c r="F317" s="1200"/>
      <c r="G317" s="1200"/>
      <c r="H317" s="1200"/>
      <c r="I317" s="1200"/>
      <c r="J317" s="1200"/>
      <c r="K317" s="1200"/>
      <c r="L317" s="171"/>
      <c r="M317" s="399"/>
      <c r="N317" s="90"/>
      <c r="O317" s="90"/>
      <c r="P317" s="90"/>
      <c r="Q317" s="90"/>
    </row>
    <row r="318" spans="1:17" s="76" customFormat="1" ht="34.5" customHeight="1">
      <c r="A318" s="1188" t="s">
        <v>275</v>
      </c>
      <c r="B318" s="1199"/>
      <c r="C318" s="1199"/>
      <c r="D318" s="1199"/>
      <c r="E318" s="1199"/>
      <c r="F318" s="1199"/>
      <c r="G318" s="1199"/>
      <c r="H318" s="1199"/>
      <c r="I318" s="1199"/>
      <c r="J318" s="1199"/>
      <c r="K318" s="1199"/>
      <c r="L318" s="171"/>
      <c r="M318" s="395"/>
      <c r="N318" s="90"/>
      <c r="O318" s="90"/>
      <c r="P318" s="90"/>
      <c r="Q318" s="90"/>
    </row>
    <row r="319" spans="1:17" s="219" customFormat="1" ht="13.5" customHeight="1">
      <c r="A319" s="1188" t="s">
        <v>453</v>
      </c>
      <c r="B319" s="1199"/>
      <c r="C319" s="1199"/>
      <c r="D319" s="1199"/>
      <c r="E319" s="1199"/>
      <c r="F319" s="1199"/>
      <c r="G319" s="1199"/>
      <c r="H319" s="1199"/>
      <c r="I319" s="1199"/>
      <c r="J319" s="1199"/>
      <c r="K319" s="1199"/>
      <c r="L319" s="218"/>
      <c r="M319" s="401"/>
      <c r="N319" s="220"/>
      <c r="O319" s="220"/>
      <c r="P319" s="220"/>
      <c r="Q319" s="220"/>
    </row>
    <row r="320" spans="1:17" s="61" customFormat="1" ht="13.5" customHeight="1">
      <c r="A320" s="1188" t="s">
        <v>1600</v>
      </c>
      <c r="B320" s="1195"/>
      <c r="C320" s="1195"/>
      <c r="D320" s="1195"/>
      <c r="E320" s="1195"/>
      <c r="F320" s="1195"/>
      <c r="G320" s="1196"/>
      <c r="H320" s="1196"/>
      <c r="I320" s="1196"/>
      <c r="J320" s="1196"/>
      <c r="K320" s="1196"/>
      <c r="L320" s="173"/>
      <c r="M320" s="399"/>
      <c r="N320" s="73"/>
      <c r="O320" s="73"/>
      <c r="P320" s="73"/>
      <c r="Q320" s="73"/>
    </row>
    <row r="321" spans="1:17" s="61" customFormat="1" ht="13.5" customHeight="1">
      <c r="A321" s="189"/>
      <c r="B321" s="106"/>
      <c r="C321" s="106"/>
      <c r="D321" s="106"/>
      <c r="E321" s="106"/>
      <c r="F321" s="106"/>
      <c r="G321" s="190"/>
      <c r="H321" s="190"/>
      <c r="I321" s="190"/>
      <c r="J321" s="190"/>
      <c r="K321" s="190"/>
      <c r="L321" s="173"/>
      <c r="M321" s="399"/>
      <c r="N321" s="73"/>
      <c r="O321" s="73"/>
      <c r="P321" s="73"/>
      <c r="Q321" s="73"/>
    </row>
    <row r="322" spans="1:17" s="61" customFormat="1">
      <c r="A322" s="189"/>
      <c r="B322" s="106"/>
      <c r="C322" s="106"/>
      <c r="D322" s="106"/>
      <c r="E322" s="106"/>
      <c r="F322" s="106"/>
      <c r="G322" s="190"/>
      <c r="H322" s="190"/>
      <c r="I322" s="190"/>
      <c r="J322" s="190"/>
      <c r="K322" s="805" t="s">
        <v>1931</v>
      </c>
      <c r="L322" s="195"/>
      <c r="M322" s="395"/>
      <c r="N322" s="73"/>
      <c r="O322" s="73"/>
      <c r="P322" s="73"/>
      <c r="Q322" s="73"/>
    </row>
    <row r="323" spans="1:17" s="61" customFormat="1" ht="15.75">
      <c r="A323" s="1173" t="s">
        <v>1501</v>
      </c>
      <c r="B323" s="1173"/>
      <c r="C323" s="1173"/>
      <c r="D323" s="1173"/>
      <c r="E323" s="1173"/>
      <c r="F323" s="1173"/>
      <c r="G323" s="1173"/>
      <c r="H323" s="1173"/>
      <c r="I323" s="1173"/>
      <c r="J323" s="1173"/>
      <c r="K323" s="1173"/>
      <c r="L323" s="172"/>
      <c r="M323" s="395"/>
      <c r="N323" s="73"/>
      <c r="O323" s="73"/>
      <c r="P323" s="73"/>
      <c r="Q323" s="73"/>
    </row>
    <row r="324" spans="1:17" s="61" customFormat="1" ht="18.75">
      <c r="A324" s="1173" t="s">
        <v>276</v>
      </c>
      <c r="B324" s="1173"/>
      <c r="C324" s="1173"/>
      <c r="D324" s="1173"/>
      <c r="E324" s="1173"/>
      <c r="F324" s="1173"/>
      <c r="G324" s="1173"/>
      <c r="H324" s="1173"/>
      <c r="I324" s="1173"/>
      <c r="J324" s="1173"/>
      <c r="K324" s="1173"/>
      <c r="L324" s="167"/>
      <c r="M324" s="395"/>
      <c r="N324" s="73"/>
      <c r="O324" s="73"/>
      <c r="P324" s="73"/>
      <c r="Q324" s="73"/>
    </row>
    <row r="325" spans="1:17" s="61" customFormat="1" ht="15.75">
      <c r="A325" s="1173" t="s">
        <v>115</v>
      </c>
      <c r="B325" s="1173"/>
      <c r="C325" s="1173"/>
      <c r="D325" s="1173"/>
      <c r="E325" s="1173"/>
      <c r="F325" s="1173"/>
      <c r="G325" s="1173"/>
      <c r="H325" s="1173"/>
      <c r="I325" s="1173"/>
      <c r="J325" s="1173"/>
      <c r="K325" s="1173"/>
      <c r="L325" s="167"/>
      <c r="M325" s="398"/>
      <c r="N325" s="73"/>
      <c r="O325" s="73"/>
      <c r="P325" s="73"/>
      <c r="Q325" s="73"/>
    </row>
    <row r="326" spans="1:17" s="61" customFormat="1" ht="9" customHeight="1">
      <c r="A326" s="91"/>
      <c r="B326" s="91"/>
      <c r="C326" s="91"/>
      <c r="D326" s="91"/>
      <c r="E326" s="91"/>
      <c r="F326" s="91"/>
      <c r="G326" s="108"/>
      <c r="H326" s="91"/>
      <c r="I326" s="91"/>
      <c r="J326" s="91"/>
      <c r="K326" s="91"/>
      <c r="L326" s="167"/>
      <c r="M326" s="398"/>
      <c r="N326" s="73"/>
      <c r="O326" s="73"/>
      <c r="P326" s="73"/>
      <c r="Q326" s="73"/>
    </row>
    <row r="327" spans="1:17" s="61" customFormat="1" ht="14.25" customHeight="1">
      <c r="A327" s="60"/>
      <c r="B327" s="1197" t="s">
        <v>454</v>
      </c>
      <c r="C327" s="1198"/>
      <c r="D327" s="1198"/>
      <c r="E327" s="1198"/>
      <c r="F327" s="1198"/>
      <c r="G327" s="57" t="s">
        <v>909</v>
      </c>
      <c r="H327" s="58"/>
      <c r="I327" s="58"/>
      <c r="J327" s="58"/>
      <c r="K327" s="58"/>
      <c r="L327" s="175"/>
      <c r="M327" s="395"/>
      <c r="N327" s="73"/>
      <c r="O327" s="73"/>
      <c r="P327" s="73"/>
      <c r="Q327" s="73"/>
    </row>
    <row r="328" spans="1:17" s="180" customFormat="1" ht="48" customHeight="1">
      <c r="A328" s="50"/>
      <c r="B328" s="51" t="s">
        <v>643</v>
      </c>
      <c r="C328" s="52" t="s">
        <v>645</v>
      </c>
      <c r="D328" s="52" t="s">
        <v>644</v>
      </c>
      <c r="E328" s="52" t="s">
        <v>1835</v>
      </c>
      <c r="F328" s="52" t="s">
        <v>670</v>
      </c>
      <c r="G328" s="53" t="s">
        <v>643</v>
      </c>
      <c r="H328" s="52" t="s">
        <v>645</v>
      </c>
      <c r="I328" s="52" t="s">
        <v>644</v>
      </c>
      <c r="J328" s="52" t="s">
        <v>1835</v>
      </c>
      <c r="K328" s="52" t="s">
        <v>670</v>
      </c>
      <c r="L328" s="178"/>
      <c r="M328" s="397" t="s">
        <v>1772</v>
      </c>
      <c r="N328" s="179"/>
      <c r="O328" s="179"/>
      <c r="P328" s="179"/>
      <c r="Q328" s="179"/>
    </row>
    <row r="329" spans="1:17" s="61" customFormat="1" ht="14.25">
      <c r="A329" s="73" t="s">
        <v>455</v>
      </c>
      <c r="B329" s="102">
        <f>IF($M329&gt;0,('Amounts Pivot Table'!L$631/$M329),0)</f>
        <v>3454.8785864949668</v>
      </c>
      <c r="C329" s="102">
        <f>IF($M329&gt;0,('Amounts Pivot Table'!L$634/$M329),0)</f>
        <v>113.70475837055376</v>
      </c>
      <c r="D329" s="102">
        <f>IF($M329&gt;0,('Amounts Pivot Table'!L$637/$M329),0)</f>
        <v>777.03501090259283</v>
      </c>
      <c r="E329" s="102">
        <f>IF($M329&gt;0,('Amounts Pivot Table'!L$640/$M329),0)</f>
        <v>2175.5944498029939</v>
      </c>
      <c r="F329" s="102">
        <f>SUM(B329:E329)</f>
        <v>6521.2128055711073</v>
      </c>
      <c r="G329" s="115"/>
      <c r="H329" s="116"/>
      <c r="I329" s="116"/>
      <c r="J329" s="116"/>
      <c r="K329" s="116"/>
      <c r="L329" s="170"/>
      <c r="M329" s="395">
        <f>+[1]Tables!AM163</f>
        <v>504485.75611111108</v>
      </c>
      <c r="N329" s="73"/>
      <c r="O329" s="73"/>
      <c r="P329" s="73"/>
      <c r="Q329" s="73"/>
    </row>
    <row r="330" spans="1:17" s="61" customFormat="1" ht="10.5" customHeight="1">
      <c r="A330" s="73"/>
      <c r="B330" s="102"/>
      <c r="C330" s="102"/>
      <c r="D330" s="102"/>
      <c r="E330" s="102"/>
      <c r="F330" s="102"/>
      <c r="G330" s="115"/>
      <c r="H330" s="116"/>
      <c r="I330" s="116"/>
      <c r="J330" s="116"/>
      <c r="K330" s="116"/>
      <c r="L330" s="170"/>
      <c r="M330" s="395">
        <f>+[1]Tables!AM164</f>
        <v>0</v>
      </c>
      <c r="N330" s="73"/>
      <c r="O330" s="73"/>
      <c r="P330" s="73"/>
      <c r="Q330" s="73"/>
    </row>
    <row r="331" spans="1:17" s="61" customFormat="1" ht="12.75" customHeight="1">
      <c r="A331" s="73" t="s">
        <v>1892</v>
      </c>
      <c r="B331" s="75">
        <f>IF($M331&gt;0,('Amounts Pivot Table'!L$7/$M331),0)</f>
        <v>4861.0839261886267</v>
      </c>
      <c r="C331" s="75">
        <f>IF($M331&gt;0,('Amounts Pivot Table'!L$10/$M331),0)</f>
        <v>166.74710621613781</v>
      </c>
      <c r="D331" s="75">
        <f>IF($M331&gt;0,('Amounts Pivot Table'!L$13/$M331),0)</f>
        <v>49.294917982164741</v>
      </c>
      <c r="E331" s="75">
        <f>IF($M331&gt;0,('Amounts Pivot Table'!L$16/$M331),0)</f>
        <v>2260.0923203608222</v>
      </c>
      <c r="F331" s="75">
        <f t="shared" ref="F331:F349" si="50">SUM(B331:E331)</f>
        <v>7337.2182707477514</v>
      </c>
      <c r="G331" s="117">
        <f>IF(B331&gt;0,RANK(B331,$B$331:$B$349),)</f>
        <v>2</v>
      </c>
      <c r="H331" s="107">
        <f>IF(C331&gt;0,RANK(C331,$C$331:$C$349),)</f>
        <v>3</v>
      </c>
      <c r="I331" s="107">
        <f>IF(D331&gt;0,RANK(D331,$D$331:$D$349),)</f>
        <v>8</v>
      </c>
      <c r="J331" s="107">
        <f>IF(E331&gt;0,RANK(E331,$E$331:$E$349),)</f>
        <v>13</v>
      </c>
      <c r="K331" s="107">
        <f>IF(F331&gt;0,RANK(F331,$F$331:$F$349),)</f>
        <v>5</v>
      </c>
      <c r="L331" s="170"/>
      <c r="M331" s="395">
        <f>+[1]Tables!AM165</f>
        <v>35622.333333333336</v>
      </c>
      <c r="N331" s="73"/>
      <c r="O331" s="73"/>
      <c r="P331" s="73"/>
      <c r="Q331" s="73"/>
    </row>
    <row r="332" spans="1:17" s="61" customFormat="1" ht="12.75" customHeight="1">
      <c r="A332" s="73" t="s">
        <v>1906</v>
      </c>
      <c r="B332" s="75">
        <f>IF($M332&gt;0,('Amounts Pivot Table'!L$46/$M332),0)</f>
        <v>3162.3503422660824</v>
      </c>
      <c r="C332" s="75">
        <f>IF($M332&gt;0,('Amounts Pivot Table'!L$49/$M332),0)</f>
        <v>0</v>
      </c>
      <c r="D332" s="75">
        <f>IF($M332&gt;0,('Amounts Pivot Table'!L$52/$M332),0)</f>
        <v>816.25601934829092</v>
      </c>
      <c r="E332" s="75">
        <f>IF($M332&gt;0,('Amounts Pivot Table'!L$55/$M332),0)</f>
        <v>3106.394696495282</v>
      </c>
      <c r="F332" s="75">
        <f t="shared" si="50"/>
        <v>7085.0010581096558</v>
      </c>
      <c r="G332" s="117">
        <f>IF(B332&gt;0,RANK(B332,$B$331:$B$349),)</f>
        <v>13</v>
      </c>
      <c r="H332" s="107">
        <f>IF(C332&gt;0,RANK(C332,$C$331:$C$349),)</f>
        <v>0</v>
      </c>
      <c r="I332" s="107">
        <f>IF(D332&gt;0,RANK(D332,$D$331:$D$349),)</f>
        <v>5</v>
      </c>
      <c r="J332" s="107">
        <f>IF(E332&gt;0,RANK(E332,$E$331:$E$349),)</f>
        <v>7</v>
      </c>
      <c r="K332" s="107">
        <f>IF(F332&gt;0,RANK(F332,$F$331:$F$349),)</f>
        <v>8</v>
      </c>
      <c r="L332" s="170"/>
      <c r="M332" s="395">
        <f>+[1]Tables!AM166</f>
        <v>7718.1666666666661</v>
      </c>
      <c r="N332" s="73"/>
      <c r="O332" s="73"/>
      <c r="P332" s="73"/>
      <c r="Q332" s="73"/>
    </row>
    <row r="333" spans="1:17" s="61" customFormat="1" ht="12.75" customHeight="1">
      <c r="A333" s="73" t="s">
        <v>1893</v>
      </c>
      <c r="B333" s="75">
        <f>IF($M333&gt;0,('Amounts Pivot Table'!L$85/$M333),0)</f>
        <v>6576.6623433927452</v>
      </c>
      <c r="C333" s="75">
        <f>IF($M333&gt;0,('Amounts Pivot Table'!L$88/$M333),0)</f>
        <v>0</v>
      </c>
      <c r="D333" s="75">
        <f>IF($M333&gt;0,('Amounts Pivot Table'!L$91/$M333),0)</f>
        <v>0</v>
      </c>
      <c r="E333" s="75">
        <f>IF($M333&gt;0,('Amounts Pivot Table'!L$94/$M333),0)</f>
        <v>3942.1171562662962</v>
      </c>
      <c r="F333" s="75">
        <f t="shared" si="50"/>
        <v>10518.779499659042</v>
      </c>
      <c r="G333" s="117">
        <f>IF(B333&gt;0,RANK(B333,$B$331:$B$349),)</f>
        <v>1</v>
      </c>
      <c r="H333" s="107">
        <f>IF(C333&gt;0,RANK(C333,$C$331:$C$349),)</f>
        <v>0</v>
      </c>
      <c r="I333" s="107">
        <f>IF(D333&gt;0,RANK(D333,$D$331:$D$349),)</f>
        <v>0</v>
      </c>
      <c r="J333" s="107">
        <f>IF(E333&gt;0,RANK(E333,$E$331:$E$349),)</f>
        <v>2</v>
      </c>
      <c r="K333" s="107">
        <f>IF(F333&gt;0,RANK(F333,$F$331:$F$349),)</f>
        <v>2</v>
      </c>
      <c r="L333" s="170"/>
      <c r="M333" s="395">
        <f>+[1]Tables!AM167</f>
        <v>7478.9</v>
      </c>
      <c r="N333" s="73"/>
      <c r="O333" s="73"/>
      <c r="P333" s="73"/>
      <c r="Q333" s="73"/>
    </row>
    <row r="334" spans="1:17" s="61" customFormat="1" ht="12.75" customHeight="1">
      <c r="A334" s="73" t="s">
        <v>1900</v>
      </c>
      <c r="B334" s="75">
        <f>IF($M334&gt;0,('Amounts Pivot Table'!L$124/$M334),0)</f>
        <v>3973.7902825092319</v>
      </c>
      <c r="C334" s="75">
        <f>IF($M334&gt;0,('Amounts Pivot Table'!L$127/$M334),0)</f>
        <v>0</v>
      </c>
      <c r="D334" s="75">
        <f>IF($M334&gt;0,('Amounts Pivot Table'!L$130/$M334),0)</f>
        <v>0</v>
      </c>
      <c r="E334" s="75">
        <f>IF($M334&gt;0,('Amounts Pivot Table'!L$133/$M334),0)</f>
        <v>1657.7290633220066</v>
      </c>
      <c r="F334" s="75">
        <f t="shared" si="50"/>
        <v>5631.5193458312388</v>
      </c>
      <c r="G334" s="117">
        <f>IF(B334&gt;0,RANK(B334,$B$331:$B$349),)</f>
        <v>8</v>
      </c>
      <c r="H334" s="107">
        <f>IF(C334&gt;0,RANK(C334,$C$331:$C$349),)</f>
        <v>0</v>
      </c>
      <c r="I334" s="107">
        <f>IF(D334&gt;0,RANK(D334,$D$331:$D$349),)</f>
        <v>0</v>
      </c>
      <c r="J334" s="107">
        <f>IF(E334&gt;0,RANK(E334,$E$331:$E$349),)</f>
        <v>14</v>
      </c>
      <c r="K334" s="107">
        <f>IF(F334&gt;0,RANK(F334,$F$331:$F$349),)</f>
        <v>14</v>
      </c>
      <c r="L334" s="170"/>
      <c r="M334" s="395">
        <f>+[1]Tables!AM168</f>
        <v>27672.370000000003</v>
      </c>
      <c r="N334" s="73"/>
      <c r="O334" s="73"/>
      <c r="P334" s="73"/>
      <c r="Q334" s="73"/>
    </row>
    <row r="335" spans="1:17" s="61" customFormat="1" ht="10.5" customHeight="1">
      <c r="A335" s="73"/>
      <c r="B335" s="75"/>
      <c r="C335" s="75"/>
      <c r="D335" s="75"/>
      <c r="E335" s="75"/>
      <c r="F335" s="75">
        <f t="shared" si="50"/>
        <v>0</v>
      </c>
      <c r="G335" s="117"/>
      <c r="H335" s="107"/>
      <c r="I335" s="107"/>
      <c r="J335" s="107"/>
      <c r="K335" s="107"/>
      <c r="L335" s="170"/>
      <c r="M335" s="395">
        <f>+[1]Tables!AM169</f>
        <v>0</v>
      </c>
      <c r="N335" s="73"/>
      <c r="O335" s="73"/>
      <c r="P335" s="73"/>
      <c r="Q335" s="73"/>
    </row>
    <row r="336" spans="1:17" s="61" customFormat="1" ht="12.75" customHeight="1">
      <c r="A336" s="73" t="s">
        <v>1901</v>
      </c>
      <c r="B336" s="75">
        <f>IF($M336&gt;0,('Amounts Pivot Table'!L$163/$M336),0)</f>
        <v>4307.7933219276192</v>
      </c>
      <c r="C336" s="75">
        <f>IF($M336&gt;0,('Amounts Pivot Table'!L$166/$M336),0)</f>
        <v>0</v>
      </c>
      <c r="D336" s="75">
        <f>IF($M336&gt;0,('Amounts Pivot Table'!L$169/$M336),0)</f>
        <v>0</v>
      </c>
      <c r="E336" s="75">
        <f>IF($M336&gt;0,('Amounts Pivot Table'!L$172/$M336),0)</f>
        <v>2332.8455323460271</v>
      </c>
      <c r="F336" s="75">
        <f t="shared" si="50"/>
        <v>6640.6388542736458</v>
      </c>
      <c r="G336" s="117">
        <f>IF(B336&gt;0,RANK(B336,$B$331:$B$349),)</f>
        <v>4</v>
      </c>
      <c r="H336" s="107">
        <f>IF(C336&gt;0,RANK(C336,$C$331:$C$349),)</f>
        <v>0</v>
      </c>
      <c r="I336" s="107">
        <f>IF(D336&gt;0,RANK(D336,$D$331:$D$349),)</f>
        <v>0</v>
      </c>
      <c r="J336" s="107">
        <f>IF(E336&gt;0,RANK(E336,$E$331:$E$349),)</f>
        <v>11</v>
      </c>
      <c r="K336" s="107">
        <f>IF(F336&gt;0,RANK(F336,$F$331:$F$349),)</f>
        <v>13</v>
      </c>
      <c r="L336" s="170"/>
      <c r="M336" s="395">
        <f>+[1]Tables!AM170</f>
        <v>26468.216666666671</v>
      </c>
      <c r="N336" s="73"/>
      <c r="O336" s="73"/>
      <c r="P336" s="73"/>
      <c r="Q336" s="73"/>
    </row>
    <row r="337" spans="1:17" s="61" customFormat="1" ht="12.75" customHeight="1">
      <c r="A337" s="73" t="s">
        <v>1894</v>
      </c>
      <c r="B337" s="75">
        <f>IF($M337&gt;0,('Amounts Pivot Table'!L$202/$M337),0)</f>
        <v>4031.1930340413564</v>
      </c>
      <c r="C337" s="75">
        <f>IF($M337&gt;0,('Amounts Pivot Table'!L$205/$M337),0)</f>
        <v>0</v>
      </c>
      <c r="D337" s="75">
        <f>IF($M337&gt;0,('Amounts Pivot Table'!L$208/$M337),0)</f>
        <v>0</v>
      </c>
      <c r="E337" s="75">
        <f>IF($M337&gt;0,('Amounts Pivot Table'!L$211/$M337),0)</f>
        <v>3652.9962684343914</v>
      </c>
      <c r="F337" s="75">
        <f t="shared" si="50"/>
        <v>7684.1893024757483</v>
      </c>
      <c r="G337" s="117">
        <f>IF(B337&gt;0,RANK(B337,$B$331:$B$349),)</f>
        <v>7</v>
      </c>
      <c r="H337" s="107">
        <f>IF(C337&gt;0,RANK(C337,$C$331:$C$349),)</f>
        <v>0</v>
      </c>
      <c r="I337" s="107">
        <f>IF(D337&gt;0,RANK(D337,$D$331:$D$349),)</f>
        <v>0</v>
      </c>
      <c r="J337" s="107">
        <f>IF(E337&gt;0,RANK(E337,$E$331:$E$349),)</f>
        <v>5</v>
      </c>
      <c r="K337" s="107">
        <f>IF(F337&gt;0,RANK(F337,$F$331:$F$349),)</f>
        <v>4</v>
      </c>
      <c r="L337" s="170"/>
      <c r="M337" s="395">
        <f>+[1]Tables!AM171</f>
        <v>24056.033333333333</v>
      </c>
      <c r="N337" s="73"/>
      <c r="O337" s="73"/>
      <c r="P337" s="73"/>
      <c r="Q337" s="73"/>
    </row>
    <row r="338" spans="1:17" s="61" customFormat="1" ht="12.75" customHeight="1">
      <c r="A338" s="73" t="s">
        <v>1902</v>
      </c>
      <c r="B338" s="75">
        <f>IF($M338&gt;0,('Amounts Pivot Table'!L$241/$M338),0)</f>
        <v>4290.501460473005</v>
      </c>
      <c r="C338" s="75">
        <f>IF($M338&gt;0,('Amounts Pivot Table'!L$244/$M338),0)</f>
        <v>0</v>
      </c>
      <c r="D338" s="75">
        <f>IF($M338&gt;0,('Amounts Pivot Table'!L$247/$M338),0)</f>
        <v>0</v>
      </c>
      <c r="E338" s="75">
        <f>IF($M338&gt;0,('Amounts Pivot Table'!L$250/$M338),0)</f>
        <v>2624.5949307453125</v>
      </c>
      <c r="F338" s="75">
        <f t="shared" si="50"/>
        <v>6915.0963912183179</v>
      </c>
      <c r="G338" s="117">
        <f>IF(B338&gt;0,RANK(B338,$B$331:$B$349),)</f>
        <v>5</v>
      </c>
      <c r="H338" s="107">
        <f>IF(C338&gt;0,RANK(C338,$C$331:$C$349),)</f>
        <v>0</v>
      </c>
      <c r="I338" s="107">
        <f>IF(D338&gt;0,RANK(D338,$D$331:$D$349),)</f>
        <v>0</v>
      </c>
      <c r="J338" s="107">
        <f>IF(E338&gt;0,RANK(E338,$E$331:$E$349),)</f>
        <v>9</v>
      </c>
      <c r="K338" s="107">
        <f>IF(F338&gt;0,RANK(F338,$F$331:$F$349),)</f>
        <v>10</v>
      </c>
      <c r="L338" s="170"/>
      <c r="M338" s="395">
        <f>+[1]Tables!AM172</f>
        <v>10613</v>
      </c>
      <c r="N338" s="73"/>
      <c r="O338" s="73"/>
      <c r="P338" s="73"/>
      <c r="Q338" s="73"/>
    </row>
    <row r="339" spans="1:17" s="61" customFormat="1" ht="12.75" customHeight="1">
      <c r="A339" s="73" t="s">
        <v>1905</v>
      </c>
      <c r="B339" s="75">
        <f>IF($M339&gt;0,('Amounts Pivot Table'!L$280/$M339),0)</f>
        <v>3767.2820982978233</v>
      </c>
      <c r="C339" s="75">
        <f>IF($M339&gt;0,('Amounts Pivot Table'!L$283/$M339),0)</f>
        <v>0</v>
      </c>
      <c r="D339" s="75">
        <f>IF($M339&gt;0,('Amounts Pivot Table'!L$286/$M339),0)</f>
        <v>3298.105858036552</v>
      </c>
      <c r="E339" s="75">
        <f>IF($M339&gt;0,('Amounts Pivot Table'!L$289/$M339),0)</f>
        <v>4523.3053357948756</v>
      </c>
      <c r="F339" s="75">
        <f t="shared" si="50"/>
        <v>11588.69329212925</v>
      </c>
      <c r="G339" s="117">
        <f>IF(B339&gt;0,RANK(B339,$B$331:$B$349),)</f>
        <v>10</v>
      </c>
      <c r="H339" s="107">
        <f>IF(C339&gt;0,RANK(C339,$C$331:$C$349),)</f>
        <v>0</v>
      </c>
      <c r="I339" s="107">
        <f>IF(D339&gt;0,RANK(D339,$D$331:$D$349),)</f>
        <v>1</v>
      </c>
      <c r="J339" s="107">
        <f>IF(E339&gt;0,RANK(E339,$E$331:$E$349),)</f>
        <v>1</v>
      </c>
      <c r="K339" s="107">
        <f>IF(F339&gt;0,RANK(F339,$F$331:$F$349),)</f>
        <v>1</v>
      </c>
      <c r="L339" s="170"/>
      <c r="M339" s="395">
        <f>+[1]Tables!AM173</f>
        <v>26577.733333333334</v>
      </c>
      <c r="N339" s="73"/>
      <c r="O339" s="73"/>
      <c r="P339" s="73"/>
      <c r="Q339" s="73"/>
    </row>
    <row r="340" spans="1:17" s="61" customFormat="1" ht="10.5" customHeight="1">
      <c r="A340" s="73"/>
      <c r="B340" s="75"/>
      <c r="C340" s="75"/>
      <c r="D340" s="75"/>
      <c r="E340" s="75"/>
      <c r="F340" s="75">
        <f t="shared" si="50"/>
        <v>0</v>
      </c>
      <c r="G340" s="117"/>
      <c r="H340" s="107"/>
      <c r="I340" s="107"/>
      <c r="J340" s="107"/>
      <c r="K340" s="107"/>
      <c r="L340" s="170"/>
      <c r="M340" s="395">
        <f>+[1]Tables!AM174</f>
        <v>0</v>
      </c>
      <c r="N340" s="73"/>
      <c r="O340" s="73"/>
      <c r="P340" s="73"/>
      <c r="Q340" s="73"/>
    </row>
    <row r="341" spans="1:17" s="61" customFormat="1" ht="12.75" customHeight="1">
      <c r="A341" s="73" t="s">
        <v>1895</v>
      </c>
      <c r="B341" s="75">
        <f>IF($M341&gt;0,('Amounts Pivot Table'!L$319/$M341),0)</f>
        <v>4154.0394251724329</v>
      </c>
      <c r="C341" s="75">
        <f>IF($M341&gt;0,('Amounts Pivot Table'!L$322/$M341),0)</f>
        <v>0</v>
      </c>
      <c r="D341" s="75">
        <f>IF($M341&gt;0,('Amounts Pivot Table'!L$325/$M341),0)</f>
        <v>633.66830441880631</v>
      </c>
      <c r="E341" s="75">
        <f>IF($M341&gt;0,('Amounts Pivot Table'!L$328/$M341),0)</f>
        <v>2262.447811296584</v>
      </c>
      <c r="F341" s="75">
        <f t="shared" si="50"/>
        <v>7050.155540887823</v>
      </c>
      <c r="G341" s="117">
        <f>IF(B341&gt;0,RANK(B341,$B$331:$B$349),)</f>
        <v>6</v>
      </c>
      <c r="H341" s="107">
        <f>IF(C341&gt;0,RANK(C341,$C$331:$C$349),)</f>
        <v>0</v>
      </c>
      <c r="I341" s="107">
        <f>IF(D341&gt;0,RANK(D341,$D$331:$D$349),)</f>
        <v>6</v>
      </c>
      <c r="J341" s="107">
        <f>IF(E341&gt;0,RANK(E341,$E$331:$E$349),)</f>
        <v>12</v>
      </c>
      <c r="K341" s="107">
        <f>IF(F341&gt;0,RANK(F341,$F$331:$F$349),)</f>
        <v>9</v>
      </c>
      <c r="L341" s="170"/>
      <c r="M341" s="395">
        <f>+[1]Tables!AM175</f>
        <v>34138.933333333334</v>
      </c>
      <c r="N341" s="73"/>
      <c r="O341" s="73"/>
      <c r="P341" s="73"/>
      <c r="Q341" s="73"/>
    </row>
    <row r="342" spans="1:17" s="61" customFormat="1" ht="12.75" customHeight="1">
      <c r="A342" s="73" t="s">
        <v>1896</v>
      </c>
      <c r="B342" s="75">
        <f>IF($M342&gt;0,('Amounts Pivot Table'!L$358/$M342),0)</f>
        <v>3556.2095029592388</v>
      </c>
      <c r="C342" s="75">
        <f>IF($M342&gt;0,('Amounts Pivot Table'!L$361/$M342),0)</f>
        <v>414.55858179186998</v>
      </c>
      <c r="D342" s="75">
        <f>IF($M342&gt;0,('Amounts Pivot Table'!L$364/$M342),0)</f>
        <v>838.81892985027548</v>
      </c>
      <c r="E342" s="75">
        <f>IF($M342&gt;0,('Amounts Pivot Table'!L$367/$M342),0)</f>
        <v>724.68045789346741</v>
      </c>
      <c r="F342" s="75">
        <f t="shared" si="50"/>
        <v>5534.2674724948511</v>
      </c>
      <c r="G342" s="117">
        <f>IF(B342&gt;0,RANK(B342,$B$331:$B$349),)</f>
        <v>12</v>
      </c>
      <c r="H342" s="107">
        <f>IF(C342&gt;0,RANK(C342,$C$331:$C$349),)</f>
        <v>1</v>
      </c>
      <c r="I342" s="107">
        <f>IF(D342&gt;0,RANK(D342,$D$331:$D$349),)</f>
        <v>4</v>
      </c>
      <c r="J342" s="107">
        <f>IF(E342&gt;0,RANK(E342,$E$331:$E$349),)</f>
        <v>15</v>
      </c>
      <c r="K342" s="107">
        <f>IF(F342&gt;0,RANK(F342,$F$331:$F$349),)</f>
        <v>15</v>
      </c>
      <c r="L342" s="170"/>
      <c r="M342" s="395">
        <f>+[1]Tables!AM176</f>
        <v>107798</v>
      </c>
      <c r="N342" s="73"/>
      <c r="O342" s="73"/>
      <c r="P342" s="73"/>
      <c r="Q342" s="73"/>
    </row>
    <row r="343" spans="1:17" s="61" customFormat="1" ht="12.75" customHeight="1">
      <c r="A343" s="73" t="s">
        <v>1903</v>
      </c>
      <c r="B343" s="75">
        <f>IF($M343&gt;0,('Amounts Pivot Table'!L$397/$M343),0)</f>
        <v>3734.1321516125063</v>
      </c>
      <c r="C343" s="75">
        <f>IF($M343&gt;0,('Amounts Pivot Table'!L$400/$M343),0)</f>
        <v>0</v>
      </c>
      <c r="D343" s="75">
        <f>IF($M343&gt;0,('Amounts Pivot Table'!L$403/$M343),0)</f>
        <v>142.72441315079536</v>
      </c>
      <c r="E343" s="75">
        <f>IF($M343&gt;0,('Amounts Pivot Table'!L$406/$M343),0)</f>
        <v>2963.9454624830692</v>
      </c>
      <c r="F343" s="75">
        <f t="shared" si="50"/>
        <v>6840.8020272463709</v>
      </c>
      <c r="G343" s="117">
        <f>IF(B343&gt;0,RANK(B343,$B$331:$B$349),)</f>
        <v>11</v>
      </c>
      <c r="H343" s="107">
        <f>IF(C343&gt;0,RANK(C343,$C$331:$C$349),)</f>
        <v>0</v>
      </c>
      <c r="I343" s="107">
        <f>IF(D343&gt;0,RANK(D343,$D$331:$D$349),)</f>
        <v>7</v>
      </c>
      <c r="J343" s="107">
        <f>IF(E343&gt;0,RANK(E343,$E$331:$E$349),)</f>
        <v>8</v>
      </c>
      <c r="K343" s="107">
        <f>IF(F343&gt;0,RANK(F343,$F$331:$F$349),)</f>
        <v>11</v>
      </c>
      <c r="L343" s="170"/>
      <c r="M343" s="395">
        <f>+[1]Tables!AM177</f>
        <v>11911.066666666666</v>
      </c>
      <c r="N343" s="73"/>
      <c r="O343" s="73"/>
      <c r="P343" s="73"/>
      <c r="Q343" s="73"/>
    </row>
    <row r="344" spans="1:17" s="61" customFormat="1" ht="12.75" customHeight="1">
      <c r="A344" s="73" t="s">
        <v>1897</v>
      </c>
      <c r="B344" s="75">
        <f>IF($M344&gt;0,('Amounts Pivot Table'!L$436/$M344),0)</f>
        <v>1880.5916628505252</v>
      </c>
      <c r="C344" s="75">
        <f>IF($M344&gt;0,('Amounts Pivot Table'!L$439/$M344),0)</f>
        <v>214.46941761850798</v>
      </c>
      <c r="D344" s="75">
        <f>IF($M344&gt;0,('Amounts Pivot Table'!L$442/$M344),0)</f>
        <v>854.00230385771681</v>
      </c>
      <c r="E344" s="75">
        <f>IF($M344&gt;0,('Amounts Pivot Table'!L$445/$M344),0)</f>
        <v>3792.4225152539934</v>
      </c>
      <c r="F344" s="75">
        <f t="shared" si="50"/>
        <v>6741.4858995807435</v>
      </c>
      <c r="G344" s="117">
        <f>IF(B344&gt;0,RANK(B344,$B$331:$B$349),)</f>
        <v>15</v>
      </c>
      <c r="H344" s="107">
        <f>IF(C344&gt;0,RANK(C344,$C$331:$C$349),)</f>
        <v>2</v>
      </c>
      <c r="I344" s="107">
        <f>IF(D344&gt;0,RANK(D344,$D$331:$D$349),)</f>
        <v>3</v>
      </c>
      <c r="J344" s="107">
        <f>IF(E344&gt;0,RANK(E344,$E$331:$E$349),)</f>
        <v>3</v>
      </c>
      <c r="K344" s="107">
        <f>IF(F344&gt;0,RANK(F344,$F$331:$F$349),)</f>
        <v>12</v>
      </c>
      <c r="L344" s="170"/>
      <c r="M344" s="395">
        <f>+[1]Tables!AM178</f>
        <v>31398.061666666668</v>
      </c>
      <c r="N344" s="73"/>
      <c r="O344" s="73"/>
      <c r="P344" s="73"/>
      <c r="Q344" s="73"/>
    </row>
    <row r="345" spans="1:17" s="61" customFormat="1" ht="10.5" customHeight="1">
      <c r="A345" s="73"/>
      <c r="B345" s="75"/>
      <c r="C345" s="75"/>
      <c r="D345" s="75"/>
      <c r="E345" s="75"/>
      <c r="F345" s="75">
        <f t="shared" si="50"/>
        <v>0</v>
      </c>
      <c r="G345" s="117"/>
      <c r="H345" s="107"/>
      <c r="I345" s="107"/>
      <c r="J345" s="107"/>
      <c r="K345" s="107"/>
      <c r="L345" s="170"/>
      <c r="M345" s="395">
        <f>+[1]Tables!AM179</f>
        <v>0</v>
      </c>
      <c r="N345" s="73"/>
      <c r="O345" s="73"/>
      <c r="P345" s="73"/>
      <c r="Q345" s="73"/>
    </row>
    <row r="346" spans="1:17" s="61" customFormat="1" ht="12.75" customHeight="1">
      <c r="A346" s="73" t="s">
        <v>647</v>
      </c>
      <c r="B346" s="75">
        <f>IF($M346&gt;0,('Amounts Pivot Table'!L$475/$M346),0)</f>
        <v>3948.4047318014527</v>
      </c>
      <c r="C346" s="75">
        <f>IF($M346&gt;0,('Amounts Pivot Table'!L$478/$M346),0)</f>
        <v>0</v>
      </c>
      <c r="D346" s="75">
        <f>IF($M346&gt;0,('Amounts Pivot Table'!L$481/$M346),0)</f>
        <v>0</v>
      </c>
      <c r="E346" s="75">
        <f>IF($M346&gt;0,('Amounts Pivot Table'!L$484/$M346),0)</f>
        <v>3301.2719659703421</v>
      </c>
      <c r="F346" s="75">
        <f t="shared" si="50"/>
        <v>7249.6766977717944</v>
      </c>
      <c r="G346" s="117">
        <f>IF(B346&gt;0,RANK(B346,$B$331:$B$349),)</f>
        <v>9</v>
      </c>
      <c r="H346" s="107">
        <f>IF(C346&gt;0,RANK(C346,$C$331:$C$349),)</f>
        <v>0</v>
      </c>
      <c r="I346" s="107">
        <f>IF(D346&gt;0,RANK(D346,$D$331:$D$349),)</f>
        <v>0</v>
      </c>
      <c r="J346" s="107">
        <f>IF(E346&gt;0,RANK(E346,$E$331:$E$349),)</f>
        <v>6</v>
      </c>
      <c r="K346" s="107">
        <f>IF(F346&gt;0,RANK(F346,$F$331:$F$349),)</f>
        <v>7</v>
      </c>
      <c r="L346" s="170"/>
      <c r="M346" s="395">
        <f>+[1]Tables!AM180</f>
        <v>32559.833333333332</v>
      </c>
      <c r="N346" s="73"/>
      <c r="O346" s="73"/>
      <c r="P346" s="73"/>
      <c r="Q346" s="73"/>
    </row>
    <row r="347" spans="1:17" s="76" customFormat="1" ht="12.75" customHeight="1">
      <c r="A347" s="73" t="s">
        <v>1332</v>
      </c>
      <c r="B347" s="75">
        <f>IF($M347&gt;0,('Amounts Pivot Table'!L$514/$M347),0)</f>
        <v>3143.3866303021468</v>
      </c>
      <c r="C347" s="75">
        <f>IF($M347&gt;0,('Amounts Pivot Table'!L$517/$M347),0)</f>
        <v>0</v>
      </c>
      <c r="D347" s="75">
        <f>IF($M347&gt;0,('Amounts Pivot Table'!L$520/$M347),0)</f>
        <v>1854.2621713710853</v>
      </c>
      <c r="E347" s="75">
        <f>IF($M347&gt;0,('Amounts Pivot Table'!L$523/$M347),0)</f>
        <v>2333.0331573097264</v>
      </c>
      <c r="F347" s="75">
        <f t="shared" si="50"/>
        <v>7330.6819589829583</v>
      </c>
      <c r="G347" s="117">
        <f>IF(B347&gt;0,RANK(B347,$B$331:$B$349),)</f>
        <v>14</v>
      </c>
      <c r="H347" s="107">
        <f>IF(C347&gt;0,RANK(C347,$C$331:$C$349),)</f>
        <v>0</v>
      </c>
      <c r="I347" s="107">
        <f>IF(D347&gt;0,RANK(D347,$D$331:$D$349),)</f>
        <v>2</v>
      </c>
      <c r="J347" s="107">
        <f>IF(E347&gt;0,RANK(E347,$E$331:$E$349),)</f>
        <v>10</v>
      </c>
      <c r="K347" s="107">
        <f>IF(F347&gt;0,RANK(F347,$F$331:$F$349),)</f>
        <v>6</v>
      </c>
      <c r="L347" s="171"/>
      <c r="M347" s="395">
        <f>+[1]Tables!AM181</f>
        <v>83980.107777777783</v>
      </c>
      <c r="N347" s="90"/>
      <c r="O347" s="90"/>
      <c r="P347" s="90"/>
      <c r="Q347" s="90"/>
    </row>
    <row r="348" spans="1:17" s="61" customFormat="1" ht="12.75" customHeight="1">
      <c r="A348" s="73" t="s">
        <v>1899</v>
      </c>
      <c r="B348" s="75">
        <f>IF($M348&gt;0,('Amounts Pivot Table'!L$553/$M348),0)</f>
        <v>0</v>
      </c>
      <c r="C348" s="75">
        <f>IF($M348&gt;0,('Amounts Pivot Table'!L$556/$M348),0)</f>
        <v>0</v>
      </c>
      <c r="D348" s="75">
        <f>IF($M348&gt;0,('Amounts Pivot Table'!L$559/$M348),0)</f>
        <v>0</v>
      </c>
      <c r="E348" s="75">
        <f>IF($M348&gt;0,('Amounts Pivot Table'!L$562/$M348),0)</f>
        <v>0</v>
      </c>
      <c r="F348" s="75">
        <f t="shared" si="50"/>
        <v>0</v>
      </c>
      <c r="G348" s="117">
        <f>IF(B348&gt;0,RANK(B348,$B$331:$B$349),)</f>
        <v>0</v>
      </c>
      <c r="H348" s="107">
        <f>IF(C348&gt;0,RANK(C348,$C$331:$C$349),)</f>
        <v>0</v>
      </c>
      <c r="I348" s="107">
        <f>IF(D348&gt;0,RANK(D348,$D$331:$D$349),)</f>
        <v>0</v>
      </c>
      <c r="J348" s="107">
        <f>IF(E348&gt;0,RANK(E348,$E$331:$E$349),)</f>
        <v>0</v>
      </c>
      <c r="K348" s="107">
        <f>IF(F348&gt;0,RANK(F348,$F$331:$F$349),)</f>
        <v>0</v>
      </c>
      <c r="L348" s="172"/>
      <c r="M348" s="395">
        <f>+[1]Tables!AM182</f>
        <v>34618.466666666667</v>
      </c>
      <c r="N348" s="73"/>
      <c r="O348" s="73"/>
      <c r="P348" s="73"/>
      <c r="Q348" s="73"/>
    </row>
    <row r="349" spans="1:17" s="61" customFormat="1" ht="15" customHeight="1">
      <c r="A349" s="74" t="s">
        <v>1904</v>
      </c>
      <c r="B349" s="104">
        <f>IF($M349&gt;0,('Amounts Pivot Table'!L$592/$M349),0)</f>
        <v>4442.9111245465538</v>
      </c>
      <c r="C349" s="104">
        <f>IF($M349&gt;0,('Amounts Pivot Table'!L$595/$M349),0)</f>
        <v>0</v>
      </c>
      <c r="D349" s="104">
        <f>IF($M349&gt;0,('Amounts Pivot Table'!L$598/$M349),0)</f>
        <v>0</v>
      </c>
      <c r="E349" s="104">
        <f>IF($M349&gt;0,('Amounts Pivot Table'!L$601/$M349),0)</f>
        <v>3662.6326552386372</v>
      </c>
      <c r="F349" s="105">
        <f t="shared" si="50"/>
        <v>8105.543779785191</v>
      </c>
      <c r="G349" s="118">
        <f>IF(B349&gt;0,RANK(B349,$B$331:$B$349),)</f>
        <v>3</v>
      </c>
      <c r="H349" s="119">
        <f>IF(C349&gt;0,RANK(C349,$C$331:$C$349),)</f>
        <v>0</v>
      </c>
      <c r="I349" s="119">
        <f>IF(D349&gt;0,RANK(D349,$D$331:$D$349),)</f>
        <v>0</v>
      </c>
      <c r="J349" s="119">
        <f>IF(E349&gt;0,RANK(E349,$E$331:$E$349),)</f>
        <v>4</v>
      </c>
      <c r="K349" s="119">
        <f>IF(F349&gt;0,RANK(F349,$F$331:$F$349),)</f>
        <v>3</v>
      </c>
      <c r="L349" s="173"/>
      <c r="M349" s="395">
        <f>+[1]Tables!AM183</f>
        <v>1874.5333333333333</v>
      </c>
      <c r="N349" s="73"/>
      <c r="O349" s="73"/>
      <c r="P349" s="73"/>
      <c r="Q349" s="73"/>
    </row>
    <row r="350" spans="1:17" s="76" customFormat="1" ht="24.75" customHeight="1">
      <c r="A350" s="1200" t="s">
        <v>1409</v>
      </c>
      <c r="B350" s="1200"/>
      <c r="C350" s="1200"/>
      <c r="D350" s="1200"/>
      <c r="E350" s="1200"/>
      <c r="F350" s="1200"/>
      <c r="G350" s="1200"/>
      <c r="H350" s="1200"/>
      <c r="I350" s="1200"/>
      <c r="J350" s="1200"/>
      <c r="K350" s="1200"/>
      <c r="L350" s="171"/>
      <c r="M350" s="399"/>
      <c r="N350" s="90"/>
      <c r="O350" s="90"/>
      <c r="P350" s="90"/>
      <c r="Q350" s="90"/>
    </row>
    <row r="351" spans="1:17" s="76" customFormat="1" ht="34.5" customHeight="1">
      <c r="A351" s="1188" t="s">
        <v>275</v>
      </c>
      <c r="B351" s="1199"/>
      <c r="C351" s="1199"/>
      <c r="D351" s="1199"/>
      <c r="E351" s="1199"/>
      <c r="F351" s="1199"/>
      <c r="G351" s="1199"/>
      <c r="H351" s="1199"/>
      <c r="I351" s="1199"/>
      <c r="J351" s="1199"/>
      <c r="K351" s="1199"/>
      <c r="L351" s="171"/>
      <c r="M351" s="395"/>
      <c r="N351" s="90"/>
      <c r="O351" s="90"/>
      <c r="P351" s="90"/>
      <c r="Q351" s="90"/>
    </row>
    <row r="352" spans="1:17" s="219" customFormat="1" ht="13.5" customHeight="1">
      <c r="A352" s="1188" t="s">
        <v>453</v>
      </c>
      <c r="B352" s="1199"/>
      <c r="C352" s="1199"/>
      <c r="D352" s="1199"/>
      <c r="E352" s="1199"/>
      <c r="F352" s="1199"/>
      <c r="G352" s="1199"/>
      <c r="H352" s="1199"/>
      <c r="I352" s="1199"/>
      <c r="J352" s="1199"/>
      <c r="K352" s="1199"/>
      <c r="L352" s="218"/>
      <c r="M352" s="401"/>
      <c r="N352" s="220"/>
      <c r="O352" s="220"/>
      <c r="P352" s="220"/>
      <c r="Q352" s="220"/>
    </row>
    <row r="353" spans="1:17" s="61" customFormat="1" ht="13.5" customHeight="1">
      <c r="A353" s="1188" t="s">
        <v>1600</v>
      </c>
      <c r="B353" s="1195"/>
      <c r="C353" s="1195"/>
      <c r="D353" s="1195"/>
      <c r="E353" s="1195"/>
      <c r="F353" s="1195"/>
      <c r="G353" s="1196"/>
      <c r="H353" s="1196"/>
      <c r="I353" s="1196"/>
      <c r="J353" s="1196"/>
      <c r="K353" s="1196"/>
      <c r="L353" s="173"/>
      <c r="M353" s="399"/>
      <c r="N353" s="73"/>
      <c r="O353" s="73"/>
      <c r="P353" s="73"/>
      <c r="Q353" s="73"/>
    </row>
    <row r="354" spans="1:17" s="61" customFormat="1" ht="13.5" customHeight="1">
      <c r="A354" s="189"/>
      <c r="B354" s="106"/>
      <c r="C354" s="106"/>
      <c r="D354" s="106"/>
      <c r="E354" s="106"/>
      <c r="F354" s="106"/>
      <c r="G354" s="190"/>
      <c r="H354" s="190"/>
      <c r="I354" s="190"/>
      <c r="J354" s="190"/>
      <c r="K354" s="190"/>
      <c r="L354" s="173"/>
      <c r="M354" s="399"/>
      <c r="N354" s="73"/>
      <c r="O354" s="73"/>
      <c r="P354" s="73"/>
      <c r="Q354" s="73"/>
    </row>
    <row r="355" spans="1:17" s="61" customFormat="1">
      <c r="A355" s="189"/>
      <c r="B355" s="106"/>
      <c r="C355" s="106"/>
      <c r="D355" s="106"/>
      <c r="E355" s="106"/>
      <c r="F355" s="106"/>
      <c r="G355" s="190"/>
      <c r="H355" s="190"/>
      <c r="I355" s="190"/>
      <c r="J355" s="190"/>
      <c r="K355" s="805" t="s">
        <v>1931</v>
      </c>
      <c r="L355" s="195"/>
      <c r="M355" s="395"/>
      <c r="N355" s="73"/>
      <c r="O355" s="73"/>
      <c r="P355" s="73"/>
      <c r="Q355" s="73"/>
    </row>
    <row r="356" spans="1:17" s="61" customFormat="1" ht="15.75">
      <c r="A356" s="1173" t="s">
        <v>1502</v>
      </c>
      <c r="B356" s="1173"/>
      <c r="C356" s="1173"/>
      <c r="D356" s="1173"/>
      <c r="E356" s="1173"/>
      <c r="F356" s="1173"/>
      <c r="G356" s="1173"/>
      <c r="H356" s="1173"/>
      <c r="I356" s="1173"/>
      <c r="J356" s="1173"/>
      <c r="K356" s="1173"/>
      <c r="L356" s="172"/>
      <c r="M356" s="395"/>
      <c r="N356" s="73"/>
      <c r="O356" s="73"/>
      <c r="P356" s="73"/>
      <c r="Q356" s="73"/>
    </row>
    <row r="357" spans="1:17" s="61" customFormat="1" ht="18.75">
      <c r="A357" s="1173" t="s">
        <v>276</v>
      </c>
      <c r="B357" s="1173"/>
      <c r="C357" s="1173"/>
      <c r="D357" s="1173"/>
      <c r="E357" s="1173"/>
      <c r="F357" s="1173"/>
      <c r="G357" s="1173"/>
      <c r="H357" s="1173"/>
      <c r="I357" s="1173"/>
      <c r="J357" s="1173"/>
      <c r="K357" s="1173"/>
      <c r="L357" s="167"/>
      <c r="M357" s="395"/>
      <c r="N357" s="73"/>
      <c r="O357" s="73"/>
      <c r="P357" s="73"/>
      <c r="Q357" s="73"/>
    </row>
    <row r="358" spans="1:17" s="61" customFormat="1" ht="15.75">
      <c r="A358" s="1173" t="s">
        <v>116</v>
      </c>
      <c r="B358" s="1173"/>
      <c r="C358" s="1173"/>
      <c r="D358" s="1173"/>
      <c r="E358" s="1173"/>
      <c r="F358" s="1173"/>
      <c r="G358" s="1173"/>
      <c r="H358" s="1173"/>
      <c r="I358" s="1173"/>
      <c r="J358" s="1173"/>
      <c r="K358" s="1173"/>
      <c r="L358" s="167"/>
      <c r="M358" s="398"/>
      <c r="N358" s="73"/>
      <c r="O358" s="73"/>
      <c r="P358" s="73"/>
      <c r="Q358" s="73"/>
    </row>
    <row r="359" spans="1:17" s="61" customFormat="1" ht="8.25" customHeight="1">
      <c r="A359" s="91"/>
      <c r="B359" s="91"/>
      <c r="C359" s="91"/>
      <c r="D359" s="91"/>
      <c r="E359" s="91"/>
      <c r="F359" s="91"/>
      <c r="G359" s="108"/>
      <c r="H359" s="91"/>
      <c r="I359" s="91"/>
      <c r="J359" s="91"/>
      <c r="K359" s="91"/>
      <c r="L359" s="167"/>
      <c r="M359" s="395"/>
      <c r="N359" s="73"/>
      <c r="O359" s="73"/>
      <c r="P359" s="73"/>
      <c r="Q359" s="73"/>
    </row>
    <row r="360" spans="1:17" s="61" customFormat="1" ht="17.25" customHeight="1">
      <c r="A360" s="60"/>
      <c r="B360" s="1197" t="s">
        <v>454</v>
      </c>
      <c r="C360" s="1198"/>
      <c r="D360" s="1198"/>
      <c r="E360" s="1198"/>
      <c r="F360" s="1198"/>
      <c r="G360" s="57" t="s">
        <v>909</v>
      </c>
      <c r="H360" s="58"/>
      <c r="I360" s="58"/>
      <c r="J360" s="58"/>
      <c r="K360" s="58"/>
      <c r="L360" s="175"/>
      <c r="M360" s="395"/>
      <c r="N360" s="73"/>
      <c r="O360" s="73"/>
      <c r="P360" s="73"/>
      <c r="Q360" s="73"/>
    </row>
    <row r="361" spans="1:17" s="6" customFormat="1" ht="45">
      <c r="A361" s="50"/>
      <c r="B361" s="51" t="s">
        <v>643</v>
      </c>
      <c r="C361" s="52" t="s">
        <v>645</v>
      </c>
      <c r="D361" s="52" t="s">
        <v>644</v>
      </c>
      <c r="E361" s="52" t="s">
        <v>1835</v>
      </c>
      <c r="F361" s="52" t="s">
        <v>670</v>
      </c>
      <c r="G361" s="53" t="s">
        <v>643</v>
      </c>
      <c r="H361" s="52" t="s">
        <v>645</v>
      </c>
      <c r="I361" s="52" t="s">
        <v>644</v>
      </c>
      <c r="J361" s="52" t="s">
        <v>1835</v>
      </c>
      <c r="K361" s="52" t="s">
        <v>670</v>
      </c>
      <c r="L361" s="169"/>
      <c r="M361" s="397" t="s">
        <v>1772</v>
      </c>
      <c r="N361" s="7"/>
      <c r="O361" s="7"/>
      <c r="P361" s="7"/>
      <c r="Q361" s="7"/>
    </row>
    <row r="362" spans="1:17" s="61" customFormat="1" ht="14.25">
      <c r="A362" s="73" t="s">
        <v>455</v>
      </c>
      <c r="B362" s="102">
        <f>IF($M362&gt;0,('Amounts Pivot Table'!M$631/$M362),0)</f>
        <v>4586.5355137501992</v>
      </c>
      <c r="C362" s="102">
        <f>IF($M362&gt;0,('Amounts Pivot Table'!M$634/$M362),0)</f>
        <v>123.98919786516629</v>
      </c>
      <c r="D362" s="102">
        <f>IF($M362&gt;0,('Amounts Pivot Table'!M$637/$M362),0)</f>
        <v>634.65046917979328</v>
      </c>
      <c r="E362" s="102">
        <f>IF($M362&gt;0,('Amounts Pivot Table'!M$640/$M362),0)</f>
        <v>2474.5464220357835</v>
      </c>
      <c r="F362" s="102">
        <f>SUM(B362:E362)</f>
        <v>7819.7216028309431</v>
      </c>
      <c r="G362" s="115"/>
      <c r="H362" s="116"/>
      <c r="I362" s="116"/>
      <c r="J362" s="116"/>
      <c r="K362" s="116"/>
      <c r="L362" s="170"/>
      <c r="M362" s="395">
        <f>+[1]Tables!AN163</f>
        <v>135683.3441111111</v>
      </c>
      <c r="N362" s="73"/>
      <c r="O362" s="73"/>
      <c r="P362" s="73"/>
      <c r="Q362" s="73"/>
    </row>
    <row r="363" spans="1:17" s="113" customFormat="1" ht="9" customHeight="1">
      <c r="A363" s="111"/>
      <c r="B363" s="112"/>
      <c r="C363" s="112"/>
      <c r="D363" s="112"/>
      <c r="E363" s="112"/>
      <c r="F363" s="112">
        <f>SUM(B363:E363)</f>
        <v>0</v>
      </c>
      <c r="G363" s="120"/>
      <c r="H363" s="121"/>
      <c r="I363" s="121"/>
      <c r="J363" s="121"/>
      <c r="K363" s="121"/>
      <c r="L363" s="177"/>
      <c r="M363" s="395">
        <f>+[1]Tables!AN164</f>
        <v>0</v>
      </c>
      <c r="N363" s="111"/>
      <c r="O363" s="111"/>
      <c r="P363" s="111"/>
      <c r="Q363" s="111"/>
    </row>
    <row r="364" spans="1:17" s="61" customFormat="1" ht="12.75" customHeight="1">
      <c r="A364" s="73" t="s">
        <v>1892</v>
      </c>
      <c r="B364" s="75">
        <f>IF($M364&gt;0,('Amounts Pivot Table'!M$7/$M364),0)</f>
        <v>4841.8485599152318</v>
      </c>
      <c r="C364" s="75">
        <f>IF($M364&gt;0,('Amounts Pivot Table'!M$10/$M364),0)</f>
        <v>209.90608142820443</v>
      </c>
      <c r="D364" s="75">
        <f>IF($M364&gt;0,('Amounts Pivot Table'!M$13/$M364),0)</f>
        <v>11.696818465377415</v>
      </c>
      <c r="E364" s="75">
        <f>IF($M364&gt;0,('Amounts Pivot Table'!M$16/$M364),0)</f>
        <v>2374.6941396645993</v>
      </c>
      <c r="F364" s="75">
        <f t="shared" ref="F364:F382" si="51">SUM(B364:E364)</f>
        <v>7438.1455994734133</v>
      </c>
      <c r="G364" s="117">
        <f>IF(B364&gt;0,RANK(B364,$B$364:$B$382),)</f>
        <v>7</v>
      </c>
      <c r="H364" s="107">
        <f>IF(C364&gt;0,RANK(C364,$C$364:$C$382),)</f>
        <v>3</v>
      </c>
      <c r="I364" s="107">
        <f>IF(D364&gt;0,RANK(D364,$D$364:$D$382),)</f>
        <v>7</v>
      </c>
      <c r="J364" s="107">
        <f>IF(E364&gt;0,RANK(E364,$E$364:$E$382),)</f>
        <v>12</v>
      </c>
      <c r="K364" s="107">
        <f>IF(F364&gt;0,RANK(F364,$F$364:$F$382),)</f>
        <v>11</v>
      </c>
      <c r="L364" s="170"/>
      <c r="M364" s="395">
        <f>+[1]Tables!AN165</f>
        <v>14533.866666666669</v>
      </c>
      <c r="N364" s="73"/>
      <c r="O364" s="73"/>
      <c r="P364" s="73"/>
      <c r="Q364" s="73"/>
    </row>
    <row r="365" spans="1:17" s="61" customFormat="1" ht="12.75" customHeight="1">
      <c r="A365" s="73" t="s">
        <v>1906</v>
      </c>
      <c r="B365" s="75">
        <f>IF($M365&gt;0,('Amounts Pivot Table'!M$46/$M365),0)</f>
        <v>5408.6519028639959</v>
      </c>
      <c r="C365" s="75">
        <f>IF($M365&gt;0,('Amounts Pivot Table'!M$49/$M365),0)</f>
        <v>89.673964799661405</v>
      </c>
      <c r="D365" s="75">
        <f>IF($M365&gt;0,('Amounts Pivot Table'!M$52/$M365),0)</f>
        <v>313.38177200902936</v>
      </c>
      <c r="E365" s="75">
        <f>IF($M365&gt;0,('Amounts Pivot Table'!M$55/$M365),0)</f>
        <v>2304.0858537316594</v>
      </c>
      <c r="F365" s="75">
        <f t="shared" si="51"/>
        <v>8115.793493404346</v>
      </c>
      <c r="G365" s="117">
        <f>IF(B365&gt;0,RANK(B365,$B$364:$B$382),)</f>
        <v>3</v>
      </c>
      <c r="H365" s="107">
        <f>IF(C365&gt;0,RANK(C365,$C$364:$C$382),)</f>
        <v>4</v>
      </c>
      <c r="I365" s="107">
        <f>IF(D365&gt;0,RANK(D365,$D$364:$D$382),)</f>
        <v>6</v>
      </c>
      <c r="J365" s="107">
        <f>IF(E365&gt;0,RANK(E365,$E$364:$E$382),)</f>
        <v>14</v>
      </c>
      <c r="K365" s="107">
        <f>IF(F365&gt;0,RANK(F365,$F$364:$F$382),)</f>
        <v>8</v>
      </c>
      <c r="L365" s="170"/>
      <c r="M365" s="395">
        <f>+[1]Tables!AN166</f>
        <v>22681.599999999999</v>
      </c>
      <c r="N365" s="73"/>
      <c r="O365" s="73"/>
      <c r="P365" s="73"/>
      <c r="Q365" s="73"/>
    </row>
    <row r="366" spans="1:17" s="61" customFormat="1" ht="12.75" customHeight="1">
      <c r="A366" s="73" t="s">
        <v>1893</v>
      </c>
      <c r="B366" s="75">
        <f>IF($M366&gt;0,('Amounts Pivot Table'!M$85/$M366),0)</f>
        <v>5376.9372977969497</v>
      </c>
      <c r="C366" s="75">
        <f>IF($M366&gt;0,('Amounts Pivot Table'!M$88/$M366),0)</f>
        <v>0</v>
      </c>
      <c r="D366" s="75">
        <f>IF($M366&gt;0,('Amounts Pivot Table'!M$91/$M366),0)</f>
        <v>0</v>
      </c>
      <c r="E366" s="75">
        <f>IF($M366&gt;0,('Amounts Pivot Table'!M$94/$M366),0)</f>
        <v>3665.6755507625944</v>
      </c>
      <c r="F366" s="75">
        <f t="shared" si="51"/>
        <v>9042.6128485595436</v>
      </c>
      <c r="G366" s="117">
        <f>IF(B366&gt;0,RANK(B366,$B$364:$B$382),)</f>
        <v>4</v>
      </c>
      <c r="H366" s="107">
        <f>IF(C366&gt;0,RANK(C366,$C$364:$C$382),)</f>
        <v>0</v>
      </c>
      <c r="I366" s="107">
        <f>IF(D366&gt;0,RANK(D366,$D$364:$D$382),)</f>
        <v>0</v>
      </c>
      <c r="J366" s="107">
        <f>IF(E366&gt;0,RANK(E366,$E$364:$E$382),)</f>
        <v>4</v>
      </c>
      <c r="K366" s="107">
        <f>IF(F366&gt;0,RANK(F366,$F$364:$F$382),)</f>
        <v>2</v>
      </c>
      <c r="L366" s="170"/>
      <c r="M366" s="395">
        <f>+[1]Tables!AN167</f>
        <v>2163.6666666666665</v>
      </c>
      <c r="N366" s="73"/>
      <c r="O366" s="73"/>
      <c r="P366" s="73"/>
      <c r="Q366" s="73"/>
    </row>
    <row r="367" spans="1:17" s="61" customFormat="1" ht="12.75" customHeight="1">
      <c r="A367" s="73" t="s">
        <v>1900</v>
      </c>
      <c r="B367" s="75">
        <f>IF($M367&gt;0,('Amounts Pivot Table'!M$124/$M367),0)</f>
        <v>6876.1512767536151</v>
      </c>
      <c r="C367" s="75">
        <f>IF($M367&gt;0,('Amounts Pivot Table'!M$127/$M367),0)</f>
        <v>0</v>
      </c>
      <c r="D367" s="75">
        <f>IF($M367&gt;0,('Amounts Pivot Table'!M$130/$M367),0)</f>
        <v>0</v>
      </c>
      <c r="E367" s="75">
        <f>IF($M367&gt;0,('Amounts Pivot Table'!M$133/$M367),0)</f>
        <v>1892.515358267982</v>
      </c>
      <c r="F367" s="75">
        <f t="shared" si="51"/>
        <v>8768.6666350215964</v>
      </c>
      <c r="G367" s="117">
        <f>IF(B367&gt;0,RANK(B367,$B$364:$B$382),)</f>
        <v>1</v>
      </c>
      <c r="H367" s="107">
        <f>IF(C367&gt;0,RANK(C367,$C$364:$C$382),)</f>
        <v>0</v>
      </c>
      <c r="I367" s="107">
        <f>IF(D367&gt;0,RANK(D367,$D$364:$D$382),)</f>
        <v>0</v>
      </c>
      <c r="J367" s="107">
        <f>IF(E367&gt;0,RANK(E367,$E$364:$E$382),)</f>
        <v>15</v>
      </c>
      <c r="K367" s="107">
        <f>IF(F367&gt;0,RANK(F367,$F$364:$F$382),)</f>
        <v>5</v>
      </c>
      <c r="L367" s="170"/>
      <c r="M367" s="395">
        <f>+[1]Tables!AN168</f>
        <v>1778.9911111111112</v>
      </c>
      <c r="N367" s="73"/>
      <c r="O367" s="73"/>
      <c r="P367" s="73"/>
      <c r="Q367" s="73"/>
    </row>
    <row r="368" spans="1:17" s="113" customFormat="1" ht="9" customHeight="1">
      <c r="A368" s="111"/>
      <c r="B368" s="112"/>
      <c r="C368" s="112"/>
      <c r="D368" s="112"/>
      <c r="E368" s="112"/>
      <c r="F368" s="112">
        <f t="shared" si="51"/>
        <v>0</v>
      </c>
      <c r="G368" s="120"/>
      <c r="H368" s="121"/>
      <c r="I368" s="121"/>
      <c r="J368" s="121"/>
      <c r="K368" s="121"/>
      <c r="L368" s="177"/>
      <c r="M368" s="395">
        <f>+[1]Tables!AN169</f>
        <v>0</v>
      </c>
      <c r="N368" s="111"/>
      <c r="O368" s="111"/>
      <c r="P368" s="111"/>
      <c r="Q368" s="111"/>
    </row>
    <row r="369" spans="1:17" s="61" customFormat="1" ht="12.75" customHeight="1">
      <c r="A369" s="73" t="s">
        <v>1901</v>
      </c>
      <c r="B369" s="75">
        <f>IF($M369&gt;0,('Amounts Pivot Table'!M$163/$M369),0)</f>
        <v>4476.996098976475</v>
      </c>
      <c r="C369" s="75">
        <f>IF($M369&gt;0,('Amounts Pivot Table'!M$166/$M369),0)</f>
        <v>24.802041403916832</v>
      </c>
      <c r="D369" s="75">
        <f>IF($M369&gt;0,('Amounts Pivot Table'!M$169/$M369),0)</f>
        <v>0</v>
      </c>
      <c r="E369" s="75">
        <f>IF($M369&gt;0,('Amounts Pivot Table'!M$172/$M369),0)</f>
        <v>2426.361378173463</v>
      </c>
      <c r="F369" s="75">
        <f t="shared" si="51"/>
        <v>6928.1595185538545</v>
      </c>
      <c r="G369" s="117">
        <f>IF(B369&gt;0,RANK(B369,$B$364:$B$382),)</f>
        <v>10</v>
      </c>
      <c r="H369" s="107">
        <f>IF(C369&gt;0,RANK(C369,$C$364:$C$382),)</f>
        <v>5</v>
      </c>
      <c r="I369" s="107">
        <f>IF(D369&gt;0,RANK(D369,$D$364:$D$382),)</f>
        <v>0</v>
      </c>
      <c r="J369" s="107">
        <f>IF(E369&gt;0,RANK(E369,$E$364:$E$382),)</f>
        <v>11</v>
      </c>
      <c r="K369" s="107">
        <f>IF(F369&gt;0,RANK(F369,$F$364:$F$382),)</f>
        <v>14</v>
      </c>
      <c r="L369" s="170"/>
      <c r="M369" s="395">
        <f>+[1]Tables!AN170</f>
        <v>5904.4333333333334</v>
      </c>
      <c r="N369" s="73"/>
      <c r="O369" s="73"/>
      <c r="P369" s="73"/>
      <c r="Q369" s="73"/>
    </row>
    <row r="370" spans="1:17" s="61" customFormat="1" ht="12.75" customHeight="1">
      <c r="A370" s="73" t="s">
        <v>1894</v>
      </c>
      <c r="B370" s="75">
        <f>IF($M370&gt;0,('Amounts Pivot Table'!M$202/$M370),0)</f>
        <v>5026.0322580645161</v>
      </c>
      <c r="C370" s="75">
        <f>IF($M370&gt;0,('Amounts Pivot Table'!M$205/$M370),0)</f>
        <v>0</v>
      </c>
      <c r="D370" s="75">
        <f>IF($M370&gt;0,('Amounts Pivot Table'!M$208/$M370),0)</f>
        <v>0</v>
      </c>
      <c r="E370" s="75">
        <f>IF($M370&gt;0,('Amounts Pivot Table'!M$211/$M370),0)</f>
        <v>3895.625</v>
      </c>
      <c r="F370" s="75">
        <f t="shared" si="51"/>
        <v>8921.6572580645152</v>
      </c>
      <c r="G370" s="117">
        <f>IF(B370&gt;0,RANK(B370,$B$364:$B$382),)</f>
        <v>6</v>
      </c>
      <c r="H370" s="107">
        <f>IF(C370&gt;0,RANK(C370,$C$364:$C$382),)</f>
        <v>0</v>
      </c>
      <c r="I370" s="107">
        <f>IF(D370&gt;0,RANK(D370,$D$364:$D$382),)</f>
        <v>0</v>
      </c>
      <c r="J370" s="107">
        <f>IF(E370&gt;0,RANK(E370,$E$364:$E$382),)</f>
        <v>2</v>
      </c>
      <c r="K370" s="107">
        <f>IF(F370&gt;0,RANK(F370,$F$364:$F$382),)</f>
        <v>3</v>
      </c>
      <c r="L370" s="170"/>
      <c r="M370" s="395">
        <f>+[1]Tables!AN171</f>
        <v>4960</v>
      </c>
      <c r="N370" s="73"/>
      <c r="O370" s="73"/>
      <c r="P370" s="73"/>
      <c r="Q370" s="73"/>
    </row>
    <row r="371" spans="1:17" s="61" customFormat="1" ht="12.75" customHeight="1">
      <c r="A371" s="73" t="s">
        <v>1902</v>
      </c>
      <c r="B371" s="75">
        <f>IF($M371&gt;0,('Amounts Pivot Table'!M$241/$M371),0)</f>
        <v>4386.8691994491346</v>
      </c>
      <c r="C371" s="75">
        <f>IF($M371&gt;0,('Amounts Pivot Table'!M$244/$M371),0)</f>
        <v>0</v>
      </c>
      <c r="D371" s="75">
        <f>IF($M371&gt;0,('Amounts Pivot Table'!M$247/$M371),0)</f>
        <v>0</v>
      </c>
      <c r="E371" s="75">
        <f>IF($M371&gt;0,('Amounts Pivot Table'!M$250/$M371),0)</f>
        <v>2360.1896593018382</v>
      </c>
      <c r="F371" s="75">
        <f t="shared" si="51"/>
        <v>6747.0588587509728</v>
      </c>
      <c r="G371" s="117">
        <f>IF(B371&gt;0,RANK(B371,$B$364:$B$382),)</f>
        <v>11</v>
      </c>
      <c r="H371" s="107">
        <f>IF(C371&gt;0,RANK(C371,$C$364:$C$382),)</f>
        <v>0</v>
      </c>
      <c r="I371" s="107">
        <f>IF(D371&gt;0,RANK(D371,$D$364:$D$382),)</f>
        <v>0</v>
      </c>
      <c r="J371" s="107">
        <f>IF(E371&gt;0,RANK(E371,$E$364:$E$382),)</f>
        <v>13</v>
      </c>
      <c r="K371" s="107">
        <f>IF(F371&gt;0,RANK(F371,$F$364:$F$382),)</f>
        <v>15</v>
      </c>
      <c r="L371" s="170"/>
      <c r="M371" s="395">
        <f>+[1]Tables!AN172</f>
        <v>6680.4</v>
      </c>
      <c r="N371" s="73"/>
      <c r="O371" s="73"/>
      <c r="P371" s="73"/>
      <c r="Q371" s="73"/>
    </row>
    <row r="372" spans="1:17" s="61" customFormat="1" ht="12.75" customHeight="1">
      <c r="A372" s="73" t="s">
        <v>1905</v>
      </c>
      <c r="B372" s="75">
        <f>IF($M372&gt;0,('Amounts Pivot Table'!M$280/$M372),0)</f>
        <v>3604.9102379689571</v>
      </c>
      <c r="C372" s="75">
        <f>IF($M372&gt;0,('Amounts Pivot Table'!M$283/$M372),0)</f>
        <v>0</v>
      </c>
      <c r="D372" s="75">
        <f>IF($M372&gt;0,('Amounts Pivot Table'!M$286/$M372),0)</f>
        <v>4031.5499247769621</v>
      </c>
      <c r="E372" s="75">
        <f>IF($M372&gt;0,('Amounts Pivot Table'!M$289/$M372),0)</f>
        <v>4021.5370264508551</v>
      </c>
      <c r="F372" s="75">
        <f t="shared" si="51"/>
        <v>11657.997189196774</v>
      </c>
      <c r="G372" s="117">
        <f>IF(B372&gt;0,RANK(B372,$B$364:$B$382),)</f>
        <v>15</v>
      </c>
      <c r="H372" s="107">
        <f>IF(C372&gt;0,RANK(C372,$C$364:$C$382),)</f>
        <v>0</v>
      </c>
      <c r="I372" s="107">
        <f>IF(D372&gt;0,RANK(D372,$D$364:$D$382),)</f>
        <v>1</v>
      </c>
      <c r="J372" s="107">
        <f>IF(E372&gt;0,RANK(E372,$E$364:$E$382),)</f>
        <v>1</v>
      </c>
      <c r="K372" s="107">
        <f>IF(F372&gt;0,RANK(F372,$F$364:$F$382),)</f>
        <v>1</v>
      </c>
      <c r="L372" s="170"/>
      <c r="M372" s="395">
        <f>+[1]Tables!AN173</f>
        <v>8075.9833333333336</v>
      </c>
      <c r="N372" s="73"/>
      <c r="O372" s="73"/>
      <c r="P372" s="73"/>
      <c r="Q372" s="73"/>
    </row>
    <row r="373" spans="1:17" s="113" customFormat="1" ht="10.5" customHeight="1">
      <c r="A373" s="111"/>
      <c r="B373" s="112"/>
      <c r="C373" s="112"/>
      <c r="D373" s="112"/>
      <c r="E373" s="112"/>
      <c r="F373" s="112">
        <f t="shared" si="51"/>
        <v>0</v>
      </c>
      <c r="G373" s="120"/>
      <c r="H373" s="121"/>
      <c r="I373" s="121"/>
      <c r="J373" s="121"/>
      <c r="K373" s="121"/>
      <c r="L373" s="177"/>
      <c r="M373" s="395">
        <f>+[1]Tables!AN174</f>
        <v>0</v>
      </c>
      <c r="N373" s="111"/>
      <c r="O373" s="111"/>
      <c r="P373" s="111"/>
      <c r="Q373" s="111"/>
    </row>
    <row r="374" spans="1:17" s="61" customFormat="1" ht="12.75" customHeight="1">
      <c r="A374" s="73" t="s">
        <v>1895</v>
      </c>
      <c r="B374" s="75">
        <f>IF($M374&gt;0,('Amounts Pivot Table'!M$319/$M374),0)</f>
        <v>5162.7402516667025</v>
      </c>
      <c r="C374" s="75">
        <f>IF($M374&gt;0,('Amounts Pivot Table'!M$322/$M374),0)</f>
        <v>0</v>
      </c>
      <c r="D374" s="75">
        <f>IF($M374&gt;0,('Amounts Pivot Table'!M$325/$M374),0)</f>
        <v>788.18506291667563</v>
      </c>
      <c r="E374" s="75">
        <f>IF($M374&gt;0,('Amounts Pivot Table'!M$328/$M374),0)</f>
        <v>2574.5317155780403</v>
      </c>
      <c r="F374" s="75">
        <f t="shared" si="51"/>
        <v>8525.4570301614185</v>
      </c>
      <c r="G374" s="117">
        <f>IF(B374&gt;0,RANK(B374,$B$364:$B$382),)</f>
        <v>5</v>
      </c>
      <c r="H374" s="107">
        <f>IF(C374&gt;0,RANK(C374,$C$364:$C$382),)</f>
        <v>0</v>
      </c>
      <c r="I374" s="107">
        <f>IF(D374&gt;0,RANK(D374,$D$364:$D$382),)</f>
        <v>4</v>
      </c>
      <c r="J374" s="107">
        <f>IF(E374&gt;0,RANK(E374,$E$364:$E$382),)</f>
        <v>9</v>
      </c>
      <c r="K374" s="107">
        <f>IF(F374&gt;0,RANK(F374,$F$364:$F$382),)</f>
        <v>7</v>
      </c>
      <c r="L374" s="170"/>
      <c r="M374" s="395">
        <f>+[1]Tables!AN175</f>
        <v>3109.9333333333334</v>
      </c>
      <c r="N374" s="73"/>
      <c r="O374" s="73"/>
      <c r="P374" s="73"/>
      <c r="Q374" s="73"/>
    </row>
    <row r="375" spans="1:17" s="61" customFormat="1" ht="12.75" customHeight="1">
      <c r="A375" s="73" t="s">
        <v>1896</v>
      </c>
      <c r="B375" s="75">
        <f>IF($M375&gt;0,('Amounts Pivot Table'!M$358/$M375),0)</f>
        <v>4210.3112275206568</v>
      </c>
      <c r="C375" s="75">
        <f>IF($M375&gt;0,('Amounts Pivot Table'!M$361/$M375),0)</f>
        <v>518.63276988713073</v>
      </c>
      <c r="D375" s="75">
        <f>IF($M375&gt;0,('Amounts Pivot Table'!M$364/$M375),0)</f>
        <v>985.98990117189612</v>
      </c>
      <c r="E375" s="75">
        <f>IF($M375&gt;0,('Amounts Pivot Table'!M$367/$M375),0)</f>
        <v>644.59615488470058</v>
      </c>
      <c r="F375" s="75">
        <f t="shared" si="51"/>
        <v>6359.5300534643848</v>
      </c>
      <c r="G375" s="117">
        <f>IF(B375&gt;0,RANK(B375,$B$364:$B$382),)</f>
        <v>12</v>
      </c>
      <c r="H375" s="107">
        <f>IF(C375&gt;0,RANK(C375,$C$364:$C$382),)</f>
        <v>1</v>
      </c>
      <c r="I375" s="107">
        <f>IF(D375&gt;0,RANK(D375,$D$364:$D$382),)</f>
        <v>3</v>
      </c>
      <c r="J375" s="107">
        <f>IF(E375&gt;0,RANK(E375,$E$364:$E$382),)</f>
        <v>16</v>
      </c>
      <c r="K375" s="107">
        <f>IF(F375&gt;0,RANK(F375,$F$364:$F$382),)</f>
        <v>16</v>
      </c>
      <c r="L375" s="170"/>
      <c r="M375" s="395">
        <f>+[1]Tables!AN176</f>
        <v>18517</v>
      </c>
      <c r="N375" s="73"/>
      <c r="O375" s="73"/>
      <c r="P375" s="73"/>
      <c r="Q375" s="73"/>
    </row>
    <row r="376" spans="1:17" s="61" customFormat="1" ht="12.75" customHeight="1">
      <c r="A376" s="73" t="s">
        <v>1903</v>
      </c>
      <c r="B376" s="75">
        <f>IF($M376&gt;0,('Amounts Pivot Table'!M$397/$M376),0)</f>
        <v>4560.9695132556462</v>
      </c>
      <c r="C376" s="75">
        <f>IF($M376&gt;0,('Amounts Pivot Table'!M$400/$M376),0)</f>
        <v>0</v>
      </c>
      <c r="D376" s="75">
        <f>IF($M376&gt;0,('Amounts Pivot Table'!M$403/$M376),0)</f>
        <v>0</v>
      </c>
      <c r="E376" s="75">
        <f>IF($M376&gt;0,('Amounts Pivot Table'!M$406/$M376),0)</f>
        <v>2474.5438583414084</v>
      </c>
      <c r="F376" s="75">
        <f t="shared" si="51"/>
        <v>7035.5133715970551</v>
      </c>
      <c r="G376" s="117">
        <f>IF(B376&gt;0,RANK(B376,$B$364:$B$382),)</f>
        <v>8</v>
      </c>
      <c r="H376" s="107">
        <f>IF(C376&gt;0,RANK(C376,$C$364:$C$382),)</f>
        <v>0</v>
      </c>
      <c r="I376" s="107">
        <f>IF(D376&gt;0,RANK(D376,$D$364:$D$382),)</f>
        <v>0</v>
      </c>
      <c r="J376" s="107">
        <f>IF(E376&gt;0,RANK(E376,$E$364:$E$382),)</f>
        <v>10</v>
      </c>
      <c r="K376" s="107">
        <f>IF(F376&gt;0,RANK(F376,$F$364:$F$382),)</f>
        <v>12</v>
      </c>
      <c r="L376" s="170"/>
      <c r="M376" s="395">
        <f>+[1]Tables!AN177</f>
        <v>12074.1</v>
      </c>
      <c r="N376" s="73"/>
      <c r="O376" s="73"/>
      <c r="P376" s="73"/>
      <c r="Q376" s="73"/>
    </row>
    <row r="377" spans="1:17" s="61" customFormat="1" ht="12.75" customHeight="1">
      <c r="A377" s="73" t="s">
        <v>1897</v>
      </c>
      <c r="B377" s="75">
        <f>IF($M377&gt;0,('Amounts Pivot Table'!M$436/$M377),0)</f>
        <v>3231.9609516345249</v>
      </c>
      <c r="C377" s="75">
        <f>IF($M377&gt;0,('Amounts Pivot Table'!M$439/$M377),0)</f>
        <v>287.89531458509788</v>
      </c>
      <c r="D377" s="75">
        <f>IF($M377&gt;0,('Amounts Pivot Table'!M$442/$M377),0)</f>
        <v>529.67631475790768</v>
      </c>
      <c r="E377" s="75">
        <f>IF($M377&gt;0,('Amounts Pivot Table'!M$445/$M377),0)</f>
        <v>3846.3478707061931</v>
      </c>
      <c r="F377" s="75">
        <f t="shared" si="51"/>
        <v>7895.8804516837235</v>
      </c>
      <c r="G377" s="117">
        <f>IF(B377&gt;0,RANK(B377,$B$364:$B$382),)</f>
        <v>16</v>
      </c>
      <c r="H377" s="107">
        <f>IF(C377&gt;0,RANK(C377,$C$364:$C$382),)</f>
        <v>2</v>
      </c>
      <c r="I377" s="107">
        <f>IF(D377&gt;0,RANK(D377,$D$364:$D$382),)</f>
        <v>5</v>
      </c>
      <c r="J377" s="107">
        <f>IF(E377&gt;0,RANK(E377,$E$364:$E$382),)</f>
        <v>3</v>
      </c>
      <c r="K377" s="107">
        <f>IF(F377&gt;0,RANK(F377,$F$364:$F$382),)</f>
        <v>9</v>
      </c>
      <c r="L377" s="170"/>
      <c r="M377" s="395">
        <f>+[1]Tables!AN178</f>
        <v>6907.3996666666662</v>
      </c>
      <c r="N377" s="73"/>
      <c r="O377" s="73"/>
      <c r="P377" s="73"/>
      <c r="Q377" s="73"/>
    </row>
    <row r="378" spans="1:17" s="113" customFormat="1" ht="10.5" customHeight="1">
      <c r="A378" s="111"/>
      <c r="B378" s="112"/>
      <c r="C378" s="112"/>
      <c r="D378" s="112"/>
      <c r="E378" s="112"/>
      <c r="F378" s="112">
        <f t="shared" si="51"/>
        <v>0</v>
      </c>
      <c r="G378" s="120"/>
      <c r="H378" s="121"/>
      <c r="I378" s="121"/>
      <c r="J378" s="121"/>
      <c r="K378" s="121"/>
      <c r="L378" s="177"/>
      <c r="M378" s="395">
        <f>+[1]Tables!AN179</f>
        <v>0</v>
      </c>
      <c r="N378" s="111"/>
      <c r="O378" s="111"/>
      <c r="P378" s="111"/>
      <c r="Q378" s="111"/>
    </row>
    <row r="379" spans="1:17" s="61" customFormat="1" ht="12.75" customHeight="1">
      <c r="A379" s="73" t="s">
        <v>647</v>
      </c>
      <c r="B379" s="75">
        <f>IF($M379&gt;0,('Amounts Pivot Table'!M$475/$M379),0)</f>
        <v>4184.9365565946218</v>
      </c>
      <c r="C379" s="75">
        <f>IF($M379&gt;0,('Amounts Pivot Table'!M$478/$M379),0)</f>
        <v>0</v>
      </c>
      <c r="D379" s="75">
        <f>IF($M379&gt;0,('Amounts Pivot Table'!M$481/$M379),0)</f>
        <v>0</v>
      </c>
      <c r="E379" s="75">
        <f>IF($M379&gt;0,('Amounts Pivot Table'!M$484/$M379),0)</f>
        <v>3285.4953242016222</v>
      </c>
      <c r="F379" s="75">
        <f t="shared" si="51"/>
        <v>7470.4318807962445</v>
      </c>
      <c r="G379" s="117">
        <f>IF(B379&gt;0,RANK(B379,$B$364:$B$382),)</f>
        <v>13</v>
      </c>
      <c r="H379" s="107">
        <f>IF(C379&gt;0,RANK(C379,$C$364:$C$382),)</f>
        <v>0</v>
      </c>
      <c r="I379" s="107">
        <f>IF(D379&gt;0,RANK(D379,$D$364:$D$382),)</f>
        <v>0</v>
      </c>
      <c r="J379" s="107">
        <f>IF(E379&gt;0,RANK(E379,$E$364:$E$382),)</f>
        <v>5</v>
      </c>
      <c r="K379" s="107">
        <f>IF(F379&gt;0,RANK(F379,$F$364:$F$382),)</f>
        <v>10</v>
      </c>
      <c r="L379" s="170"/>
      <c r="M379" s="395">
        <f>+[1]Tables!AN180</f>
        <v>1718.0666666666666</v>
      </c>
      <c r="N379" s="73"/>
      <c r="O379" s="73"/>
      <c r="P379" s="73"/>
      <c r="Q379" s="73"/>
    </row>
    <row r="380" spans="1:17" s="76" customFormat="1" ht="12.75" customHeight="1">
      <c r="A380" s="73" t="s">
        <v>1332</v>
      </c>
      <c r="B380" s="75">
        <f>IF($M380&gt;0,('Amounts Pivot Table'!M$514/$M380),0)</f>
        <v>4552.0210730725639</v>
      </c>
      <c r="C380" s="75">
        <f>IF($M380&gt;0,('Amounts Pivot Table'!M$517/$M380),0)</f>
        <v>0</v>
      </c>
      <c r="D380" s="75">
        <f>IF($M380&gt;0,('Amounts Pivot Table'!M$520/$M380),0)</f>
        <v>1525.1548548731598</v>
      </c>
      <c r="E380" s="75">
        <f>IF($M380&gt;0,('Amounts Pivot Table'!M$523/$M380),0)</f>
        <v>2661.1890477945308</v>
      </c>
      <c r="F380" s="75">
        <f t="shared" si="51"/>
        <v>8738.3649757402545</v>
      </c>
      <c r="G380" s="117">
        <f>IF(B380&gt;0,RANK(B380,$B$364:$B$382),)</f>
        <v>9</v>
      </c>
      <c r="H380" s="107">
        <f>IF(C380&gt;0,RANK(C380,$C$364:$C$382),)</f>
        <v>0</v>
      </c>
      <c r="I380" s="107">
        <f>IF(D380&gt;0,RANK(D380,$D$364:$D$382),)</f>
        <v>2</v>
      </c>
      <c r="J380" s="107">
        <f>IF(E380&gt;0,RANK(E380,$E$364:$E$382),)</f>
        <v>8</v>
      </c>
      <c r="K380" s="107">
        <f>IF(F380&gt;0,RANK(F380,$F$364:$F$382),)</f>
        <v>6</v>
      </c>
      <c r="L380" s="171"/>
      <c r="M380" s="395">
        <f>+[1]Tables!AN181</f>
        <v>14363.986666666666</v>
      </c>
      <c r="N380" s="90"/>
      <c r="O380" s="90"/>
      <c r="P380" s="90"/>
      <c r="Q380" s="90"/>
    </row>
    <row r="381" spans="1:17" s="61" customFormat="1" ht="12.75" customHeight="1">
      <c r="A381" s="73" t="s">
        <v>387</v>
      </c>
      <c r="B381" s="75">
        <f>IF($M381&gt;0,('Amounts Pivot Table'!M$553/$M381),0)</f>
        <v>5720.3091976516635</v>
      </c>
      <c r="C381" s="75">
        <f>IF($M381&gt;0,('Amounts Pivot Table'!M$556/$M381),0)</f>
        <v>0</v>
      </c>
      <c r="D381" s="75">
        <f>IF($M381&gt;0,('Amounts Pivot Table'!M$559/$M381),0)</f>
        <v>0</v>
      </c>
      <c r="E381" s="75">
        <f>IF($M381&gt;0,('Amounts Pivot Table'!M$562/$M381),0)</f>
        <v>3098.3365949119375</v>
      </c>
      <c r="F381" s="75">
        <f>SUM(B381:E381)</f>
        <v>8818.6457925636005</v>
      </c>
      <c r="G381" s="117">
        <f>IF(B381&gt;0,RANK(B381,$B$364:$B$382),)</f>
        <v>2</v>
      </c>
      <c r="H381" s="107">
        <f>IF(C381&gt;0,RANK(C381,$C$364:$C$382),)</f>
        <v>0</v>
      </c>
      <c r="I381" s="107">
        <f>IF(D381&gt;0,RANK(D381,$D$364:$D$382),)</f>
        <v>0</v>
      </c>
      <c r="J381" s="107">
        <f>IF(E381&gt;0,RANK(E381,$E$364:$E$382),)</f>
        <v>6</v>
      </c>
      <c r="K381" s="107">
        <f>IF(F381&gt;0,RANK(F381,$F$364:$F$382),)</f>
        <v>4</v>
      </c>
      <c r="L381" s="172"/>
      <c r="M381" s="395">
        <f>+[1]Tables!AN182</f>
        <v>1022</v>
      </c>
      <c r="N381" s="73"/>
      <c r="O381" s="73"/>
      <c r="P381" s="73"/>
      <c r="Q381" s="73"/>
    </row>
    <row r="382" spans="1:17" s="61" customFormat="1" ht="13.5" customHeight="1">
      <c r="A382" s="74" t="s">
        <v>1904</v>
      </c>
      <c r="B382" s="104">
        <f>IF($M382&gt;0,('Amounts Pivot Table'!M$592/$M382),0)</f>
        <v>4091.0184880456873</v>
      </c>
      <c r="C382" s="104">
        <f>IF($M382&gt;0,('Amounts Pivot Table'!M$595/$M382),0)</f>
        <v>0</v>
      </c>
      <c r="D382" s="104">
        <f>IF($M382&gt;0,('Amounts Pivot Table'!M$598/$M382),0)</f>
        <v>0</v>
      </c>
      <c r="E382" s="104">
        <f>IF($M382&gt;0,('Amounts Pivot Table'!M$601/$M382),0)</f>
        <v>2891.7399909160627</v>
      </c>
      <c r="F382" s="105">
        <f t="shared" si="51"/>
        <v>6982.7584789617504</v>
      </c>
      <c r="G382" s="118">
        <f>IF(B382&gt;0,RANK(B382,$B$364:$B$382),)</f>
        <v>14</v>
      </c>
      <c r="H382" s="119">
        <f>IF(C382&gt;0,RANK(C382,$C$364:$C$382),)</f>
        <v>0</v>
      </c>
      <c r="I382" s="119">
        <f>IF(D382&gt;0,RANK(D382,$D$364:$D$382),)</f>
        <v>0</v>
      </c>
      <c r="J382" s="119">
        <f>IF(E382&gt;0,RANK(E382,$E$364:$E$382),)</f>
        <v>7</v>
      </c>
      <c r="K382" s="119">
        <f>IF(F382&gt;0,RANK(F382,$F$364:$F$382),)</f>
        <v>13</v>
      </c>
      <c r="L382" s="173"/>
      <c r="M382" s="395">
        <f>+[1]Tables!AN183</f>
        <v>11191.916666666668</v>
      </c>
      <c r="N382" s="73"/>
      <c r="O382" s="73"/>
      <c r="P382" s="73"/>
      <c r="Q382" s="73"/>
    </row>
    <row r="383" spans="1:17" s="76" customFormat="1" ht="24.75" customHeight="1">
      <c r="A383" s="1200" t="s">
        <v>1409</v>
      </c>
      <c r="B383" s="1200"/>
      <c r="C383" s="1200"/>
      <c r="D383" s="1200"/>
      <c r="E383" s="1200"/>
      <c r="F383" s="1200"/>
      <c r="G383" s="1200"/>
      <c r="H383" s="1200"/>
      <c r="I383" s="1200"/>
      <c r="J383" s="1200"/>
      <c r="K383" s="1200"/>
      <c r="L383" s="171"/>
      <c r="M383" s="399"/>
      <c r="N383" s="90"/>
      <c r="O383" s="90"/>
      <c r="P383" s="90"/>
      <c r="Q383" s="90"/>
    </row>
    <row r="384" spans="1:17" s="76" customFormat="1" ht="13.5" customHeight="1">
      <c r="A384" s="99" t="s">
        <v>1348</v>
      </c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71"/>
      <c r="M384" s="399"/>
      <c r="N384" s="90"/>
      <c r="O384" s="90"/>
      <c r="P384" s="90"/>
      <c r="Q384" s="90"/>
    </row>
    <row r="385" spans="1:17" s="76" customFormat="1" ht="34.5" customHeight="1">
      <c r="A385" s="1188" t="s">
        <v>275</v>
      </c>
      <c r="B385" s="1199"/>
      <c r="C385" s="1199"/>
      <c r="D385" s="1199"/>
      <c r="E385" s="1199"/>
      <c r="F385" s="1199"/>
      <c r="G385" s="1199"/>
      <c r="H385" s="1199"/>
      <c r="I385" s="1199"/>
      <c r="J385" s="1199"/>
      <c r="K385" s="1199"/>
      <c r="L385" s="171"/>
      <c r="M385" s="395"/>
      <c r="N385" s="90"/>
      <c r="O385" s="90"/>
      <c r="P385" s="90"/>
      <c r="Q385" s="90"/>
    </row>
    <row r="386" spans="1:17" s="219" customFormat="1" ht="13.5" customHeight="1">
      <c r="A386" s="1188" t="s">
        <v>453</v>
      </c>
      <c r="B386" s="1199"/>
      <c r="C386" s="1199"/>
      <c r="D386" s="1199"/>
      <c r="E386" s="1199"/>
      <c r="F386" s="1199"/>
      <c r="G386" s="1199"/>
      <c r="H386" s="1199"/>
      <c r="I386" s="1199"/>
      <c r="J386" s="1199"/>
      <c r="K386" s="1199"/>
      <c r="L386" s="218"/>
      <c r="M386" s="401"/>
      <c r="N386" s="220"/>
      <c r="O386" s="220"/>
      <c r="P386" s="220"/>
      <c r="Q386" s="220"/>
    </row>
    <row r="387" spans="1:17" s="61" customFormat="1" ht="13.5" customHeight="1">
      <c r="A387" s="1188" t="s">
        <v>1600</v>
      </c>
      <c r="B387" s="1195"/>
      <c r="C387" s="1195"/>
      <c r="D387" s="1195"/>
      <c r="E387" s="1195"/>
      <c r="F387" s="1195"/>
      <c r="G387" s="1196"/>
      <c r="H387" s="1196"/>
      <c r="I387" s="1196"/>
      <c r="J387" s="1196"/>
      <c r="K387" s="1196"/>
      <c r="L387" s="173"/>
      <c r="M387" s="399"/>
      <c r="N387" s="73"/>
      <c r="O387" s="73"/>
      <c r="P387" s="73"/>
      <c r="Q387" s="73"/>
    </row>
    <row r="388" spans="1:17" s="61" customFormat="1" ht="13.5" customHeight="1">
      <c r="A388" s="189"/>
      <c r="B388" s="106"/>
      <c r="C388" s="106"/>
      <c r="D388" s="106"/>
      <c r="E388" s="106"/>
      <c r="F388" s="106"/>
      <c r="G388" s="190"/>
      <c r="H388" s="190"/>
      <c r="I388" s="190"/>
      <c r="J388" s="190"/>
      <c r="K388" s="190"/>
      <c r="L388" s="173"/>
      <c r="M388" s="399"/>
      <c r="N388" s="73"/>
      <c r="O388" s="73"/>
      <c r="P388" s="73"/>
      <c r="Q388" s="73"/>
    </row>
    <row r="389" spans="1:17" s="61" customFormat="1">
      <c r="A389" s="189"/>
      <c r="B389" s="106"/>
      <c r="C389" s="106"/>
      <c r="D389" s="106"/>
      <c r="E389" s="106"/>
      <c r="F389" s="106"/>
      <c r="G389" s="190"/>
      <c r="H389" s="190"/>
      <c r="I389" s="190"/>
      <c r="J389" s="190"/>
      <c r="K389" s="805" t="s">
        <v>2058</v>
      </c>
      <c r="L389" s="173"/>
      <c r="M389" s="402"/>
      <c r="N389" s="73"/>
      <c r="O389" s="73"/>
      <c r="P389" s="73"/>
      <c r="Q389" s="73"/>
    </row>
    <row r="390" spans="1:17" s="61" customFormat="1" ht="15.75">
      <c r="A390" s="1173" t="s">
        <v>1503</v>
      </c>
      <c r="B390" s="1173"/>
      <c r="C390" s="1173"/>
      <c r="D390" s="1173"/>
      <c r="E390" s="1173"/>
      <c r="F390" s="1173"/>
      <c r="G390" s="1173"/>
      <c r="H390" s="1173"/>
      <c r="I390" s="1173"/>
      <c r="J390" s="1173"/>
      <c r="K390" s="1173"/>
      <c r="M390" s="403"/>
      <c r="N390" s="73"/>
      <c r="O390" s="73"/>
      <c r="P390" s="73"/>
      <c r="Q390" s="73"/>
    </row>
    <row r="391" spans="1:17" s="61" customFormat="1" ht="18.75">
      <c r="A391" s="1173" t="s">
        <v>276</v>
      </c>
      <c r="B391" s="1173"/>
      <c r="C391" s="1173"/>
      <c r="D391" s="1173"/>
      <c r="E391" s="1173"/>
      <c r="F391" s="1173"/>
      <c r="G391" s="1173"/>
      <c r="H391" s="1173"/>
      <c r="I391" s="1173"/>
      <c r="J391" s="1173"/>
      <c r="K391" s="1173"/>
      <c r="L391" s="167"/>
      <c r="M391" s="395"/>
      <c r="N391" s="73"/>
      <c r="O391" s="73"/>
      <c r="P391" s="73"/>
      <c r="Q391" s="73"/>
    </row>
    <row r="392" spans="1:17" s="61" customFormat="1" ht="15.75">
      <c r="A392" s="1173" t="s">
        <v>117</v>
      </c>
      <c r="B392" s="1173"/>
      <c r="C392" s="1173"/>
      <c r="D392" s="1173"/>
      <c r="E392" s="1173"/>
      <c r="F392" s="1173"/>
      <c r="G392" s="1173"/>
      <c r="H392" s="1173"/>
      <c r="I392" s="1173"/>
      <c r="J392" s="1173"/>
      <c r="K392" s="1173"/>
      <c r="L392" s="167"/>
      <c r="M392" s="398"/>
      <c r="N392" s="73"/>
      <c r="O392" s="73"/>
      <c r="P392" s="73"/>
      <c r="Q392" s="73"/>
    </row>
    <row r="393" spans="1:17" s="61" customFormat="1" ht="10.5" customHeight="1">
      <c r="A393" s="91"/>
      <c r="B393" s="91"/>
      <c r="C393" s="91"/>
      <c r="D393" s="91"/>
      <c r="E393" s="91"/>
      <c r="F393" s="91"/>
      <c r="G393" s="108"/>
      <c r="H393" s="91"/>
      <c r="I393" s="91"/>
      <c r="J393" s="91"/>
      <c r="K393" s="91"/>
      <c r="L393" s="167"/>
      <c r="M393" s="395"/>
      <c r="N393" s="73"/>
      <c r="O393" s="73"/>
      <c r="P393" s="73"/>
      <c r="Q393" s="73"/>
    </row>
    <row r="394" spans="1:17" s="61" customFormat="1" ht="17.25" customHeight="1">
      <c r="A394" s="60"/>
      <c r="B394" s="1197" t="s">
        <v>454</v>
      </c>
      <c r="C394" s="1198"/>
      <c r="D394" s="1198"/>
      <c r="E394" s="1198"/>
      <c r="F394" s="1198"/>
      <c r="G394" s="57" t="s">
        <v>909</v>
      </c>
      <c r="H394" s="58"/>
      <c r="I394" s="58"/>
      <c r="J394" s="58"/>
      <c r="K394" s="58"/>
      <c r="L394" s="175"/>
      <c r="M394" s="395"/>
      <c r="N394" s="73"/>
      <c r="O394" s="73"/>
      <c r="P394" s="73"/>
      <c r="Q394" s="73"/>
    </row>
    <row r="395" spans="1:17" s="6" customFormat="1" ht="45">
      <c r="A395" s="50"/>
      <c r="B395" s="51" t="s">
        <v>643</v>
      </c>
      <c r="C395" s="52" t="s">
        <v>645</v>
      </c>
      <c r="D395" s="52" t="s">
        <v>644</v>
      </c>
      <c r="E395" s="52" t="s">
        <v>1835</v>
      </c>
      <c r="F395" s="52" t="s">
        <v>670</v>
      </c>
      <c r="G395" s="53" t="s">
        <v>643</v>
      </c>
      <c r="H395" s="52" t="s">
        <v>645</v>
      </c>
      <c r="I395" s="52" t="s">
        <v>644</v>
      </c>
      <c r="J395" s="52" t="s">
        <v>1835</v>
      </c>
      <c r="K395" s="52" t="s">
        <v>670</v>
      </c>
      <c r="L395" s="169"/>
      <c r="M395" s="397" t="s">
        <v>1772</v>
      </c>
      <c r="N395" s="7"/>
      <c r="O395" s="7"/>
      <c r="P395" s="7"/>
      <c r="Q395" s="7"/>
    </row>
    <row r="396" spans="1:17" s="61" customFormat="1" ht="14.25">
      <c r="A396" s="73" t="s">
        <v>455</v>
      </c>
      <c r="B396" s="102">
        <f>IF($M396&gt;0,('Amounts Pivot Table'!N$631/$M396),0)</f>
        <v>2931.6019926637555</v>
      </c>
      <c r="C396" s="102">
        <f>IF($M396&gt;0,('Amounts Pivot Table'!N$634/$M396),0)</f>
        <v>0</v>
      </c>
      <c r="D396" s="102">
        <f>IF($M396&gt;0,('Amounts Pivot Table'!N$637/$M396),0)</f>
        <v>1424.7354259290632</v>
      </c>
      <c r="E396" s="102">
        <f>IF($M396&gt;0,('Amounts Pivot Table'!N$640/$M396),0)</f>
        <v>2628.180560930386</v>
      </c>
      <c r="F396" s="102">
        <f>SUM(B396:E396)</f>
        <v>6984.5179795232052</v>
      </c>
      <c r="G396" s="115"/>
      <c r="H396" s="116"/>
      <c r="I396" s="116"/>
      <c r="J396" s="116"/>
      <c r="K396" s="116"/>
      <c r="L396" s="170"/>
      <c r="M396" s="395">
        <f>+[1]Tables!AO163</f>
        <v>184573.70555555559</v>
      </c>
      <c r="N396" s="73"/>
      <c r="O396" s="73"/>
      <c r="P396" s="73"/>
      <c r="Q396" s="73"/>
    </row>
    <row r="397" spans="1:17" s="113" customFormat="1">
      <c r="A397" s="111"/>
      <c r="B397" s="112"/>
      <c r="C397" s="112"/>
      <c r="D397" s="112"/>
      <c r="E397" s="112"/>
      <c r="F397" s="112">
        <f>SUM(B397:E397)</f>
        <v>0</v>
      </c>
      <c r="G397" s="120">
        <f t="shared" ref="G397:G416" si="52">IF(B397&gt;0,RANK(B397,$B$398:$B$416),)</f>
        <v>0</v>
      </c>
      <c r="H397" s="121">
        <f t="shared" ref="H397:H416" si="53">IF(C397&gt;0,RANK(C397,$C$398:$C$416),)</f>
        <v>0</v>
      </c>
      <c r="I397" s="121">
        <f t="shared" ref="I397:I416" si="54">IF(D397&gt;0,RANK(D397,$D$398:$D$416),)</f>
        <v>0</v>
      </c>
      <c r="J397" s="121">
        <f t="shared" ref="J397:J416" si="55">IF(E397&gt;0,RANK(E397,$E$398:$E$416),)</f>
        <v>0</v>
      </c>
      <c r="K397" s="121">
        <f t="shared" ref="K397:K416" si="56">IF(F397&gt;0,RANK(F397,$F$398:$F$416),)</f>
        <v>0</v>
      </c>
      <c r="L397" s="177"/>
      <c r="M397" s="395">
        <f>+[1]Tables!AO164</f>
        <v>0</v>
      </c>
      <c r="N397" s="111"/>
      <c r="O397" s="111"/>
      <c r="P397" s="111"/>
      <c r="Q397" s="111"/>
    </row>
    <row r="398" spans="1:17" s="61" customFormat="1" ht="12.75" customHeight="1">
      <c r="A398" s="73" t="s">
        <v>1892</v>
      </c>
      <c r="B398" s="75">
        <f>IF($M398&gt;0,('Amounts Pivot Table'!N$7/$M398),0)</f>
        <v>0</v>
      </c>
      <c r="C398" s="75">
        <f>IF($M398&gt;0,('Amounts Pivot Table'!N$10/$M398),0)</f>
        <v>0</v>
      </c>
      <c r="D398" s="75">
        <f>IF($M398&gt;0,('Amounts Pivot Table'!N$13/$M398),0)</f>
        <v>0</v>
      </c>
      <c r="E398" s="75">
        <f>IF($M398&gt;0,('Amounts Pivot Table'!N$16/$M398),0)</f>
        <v>0</v>
      </c>
      <c r="F398" s="75">
        <f t="shared" ref="F398:F416" si="57">SUM(B398:E398)</f>
        <v>0</v>
      </c>
      <c r="G398" s="117">
        <f t="shared" si="52"/>
        <v>0</v>
      </c>
      <c r="H398" s="107">
        <f t="shared" si="53"/>
        <v>0</v>
      </c>
      <c r="I398" s="107">
        <f t="shared" si="54"/>
        <v>0</v>
      </c>
      <c r="J398" s="107">
        <f t="shared" si="55"/>
        <v>0</v>
      </c>
      <c r="K398" s="107">
        <f t="shared" si="56"/>
        <v>0</v>
      </c>
      <c r="L398" s="170"/>
      <c r="M398" s="395">
        <f>+[1]Tables!AO165</f>
        <v>0</v>
      </c>
      <c r="N398" s="73"/>
      <c r="O398" s="73"/>
      <c r="P398" s="73"/>
      <c r="Q398" s="73"/>
    </row>
    <row r="399" spans="1:17" s="61" customFormat="1" ht="12.75" customHeight="1">
      <c r="A399" s="73" t="s">
        <v>1906</v>
      </c>
      <c r="B399" s="75">
        <f>IF($M399&gt;0,('Amounts Pivot Table'!N$46/$M399),0)</f>
        <v>0</v>
      </c>
      <c r="C399" s="75">
        <f>IF($M399&gt;0,('Amounts Pivot Table'!N$49/$M399),0)</f>
        <v>0</v>
      </c>
      <c r="D399" s="75">
        <f>IF($M399&gt;0,('Amounts Pivot Table'!N$52/$M399),0)</f>
        <v>0</v>
      </c>
      <c r="E399" s="75">
        <f>IF($M399&gt;0,('Amounts Pivot Table'!N$55/$M399),0)</f>
        <v>0</v>
      </c>
      <c r="F399" s="75">
        <f t="shared" si="57"/>
        <v>0</v>
      </c>
      <c r="G399" s="117">
        <f t="shared" si="52"/>
        <v>0</v>
      </c>
      <c r="H399" s="107">
        <f t="shared" si="53"/>
        <v>0</v>
      </c>
      <c r="I399" s="107">
        <f t="shared" si="54"/>
        <v>0</v>
      </c>
      <c r="J399" s="107">
        <f t="shared" si="55"/>
        <v>0</v>
      </c>
      <c r="K399" s="107">
        <f t="shared" si="56"/>
        <v>0</v>
      </c>
      <c r="L399" s="170"/>
      <c r="M399" s="395">
        <f>+[1]Tables!AO166</f>
        <v>0</v>
      </c>
      <c r="N399" s="73"/>
      <c r="O399" s="73"/>
      <c r="P399" s="73"/>
      <c r="Q399" s="73"/>
    </row>
    <row r="400" spans="1:17" s="61" customFormat="1" ht="12.75" customHeight="1">
      <c r="A400" s="73" t="s">
        <v>1893</v>
      </c>
      <c r="B400" s="75">
        <f>IF($M400&gt;0,('Amounts Pivot Table'!N$85/$M400),0)</f>
        <v>0</v>
      </c>
      <c r="C400" s="75">
        <f>IF($M400&gt;0,('Amounts Pivot Table'!N$88/$M400),0)</f>
        <v>0</v>
      </c>
      <c r="D400" s="75">
        <f>IF($M400&gt;0,('Amounts Pivot Table'!N$91/$M400),0)</f>
        <v>0</v>
      </c>
      <c r="E400" s="75">
        <f>IF($M400&gt;0,('Amounts Pivot Table'!N$94/$M400),0)</f>
        <v>0</v>
      </c>
      <c r="F400" s="75">
        <f t="shared" si="57"/>
        <v>0</v>
      </c>
      <c r="G400" s="117">
        <f t="shared" si="52"/>
        <v>0</v>
      </c>
      <c r="H400" s="107">
        <f t="shared" si="53"/>
        <v>0</v>
      </c>
      <c r="I400" s="107">
        <f t="shared" si="54"/>
        <v>0</v>
      </c>
      <c r="J400" s="107">
        <f t="shared" si="55"/>
        <v>0</v>
      </c>
      <c r="K400" s="107">
        <f t="shared" si="56"/>
        <v>0</v>
      </c>
      <c r="L400" s="170"/>
      <c r="M400" s="395">
        <f>+[1]Tables!AO167</f>
        <v>0</v>
      </c>
      <c r="N400" s="73"/>
      <c r="O400" s="73"/>
      <c r="P400" s="73"/>
      <c r="Q400" s="73"/>
    </row>
    <row r="401" spans="1:17" s="61" customFormat="1" ht="12.75" customHeight="1">
      <c r="A401" s="73" t="s">
        <v>1900</v>
      </c>
      <c r="B401" s="75">
        <f>IF($M401&gt;0,('Amounts Pivot Table'!N$124/$M401),0)</f>
        <v>0</v>
      </c>
      <c r="C401" s="75">
        <f>IF($M401&gt;0,('Amounts Pivot Table'!N$127/$M401),0)</f>
        <v>0</v>
      </c>
      <c r="D401" s="75">
        <f>IF($M401&gt;0,('Amounts Pivot Table'!N$130/$M401),0)</f>
        <v>0</v>
      </c>
      <c r="E401" s="75">
        <f>IF($M401&gt;0,('Amounts Pivot Table'!N$133/$M401),0)</f>
        <v>0</v>
      </c>
      <c r="F401" s="75">
        <f t="shared" si="57"/>
        <v>0</v>
      </c>
      <c r="G401" s="117">
        <f t="shared" si="52"/>
        <v>0</v>
      </c>
      <c r="H401" s="107">
        <f t="shared" si="53"/>
        <v>0</v>
      </c>
      <c r="I401" s="107">
        <f t="shared" si="54"/>
        <v>0</v>
      </c>
      <c r="J401" s="107">
        <f t="shared" si="55"/>
        <v>0</v>
      </c>
      <c r="K401" s="107">
        <f t="shared" si="56"/>
        <v>0</v>
      </c>
      <c r="L401" s="170"/>
      <c r="M401" s="395">
        <f>+[1]Tables!AO168</f>
        <v>0</v>
      </c>
      <c r="N401" s="73"/>
      <c r="O401" s="73"/>
      <c r="P401" s="73"/>
      <c r="Q401" s="73"/>
    </row>
    <row r="402" spans="1:17" s="113" customFormat="1">
      <c r="A402" s="111"/>
      <c r="B402" s="112"/>
      <c r="C402" s="112"/>
      <c r="D402" s="112"/>
      <c r="E402" s="112"/>
      <c r="F402" s="112">
        <f>SUM(B402:E402)</f>
        <v>0</v>
      </c>
      <c r="G402" s="120">
        <f t="shared" si="52"/>
        <v>0</v>
      </c>
      <c r="H402" s="121">
        <f t="shared" si="53"/>
        <v>0</v>
      </c>
      <c r="I402" s="121">
        <f t="shared" si="54"/>
        <v>0</v>
      </c>
      <c r="J402" s="121">
        <f t="shared" si="55"/>
        <v>0</v>
      </c>
      <c r="K402" s="121">
        <f t="shared" si="56"/>
        <v>0</v>
      </c>
      <c r="L402" s="177"/>
      <c r="M402" s="395">
        <f>+[1]Tables!AO169</f>
        <v>0</v>
      </c>
      <c r="N402" s="111"/>
      <c r="O402" s="111"/>
      <c r="P402" s="111"/>
      <c r="Q402" s="111"/>
    </row>
    <row r="403" spans="1:17" s="61" customFormat="1" ht="12.75" customHeight="1">
      <c r="A403" s="73" t="s">
        <v>1901</v>
      </c>
      <c r="B403" s="75">
        <f>IF($M403&gt;0,('Amounts Pivot Table'!N$163/$M403),0)</f>
        <v>0</v>
      </c>
      <c r="C403" s="75">
        <f>IF($M403&gt;0,('Amounts Pivot Table'!N$166/$M403),0)</f>
        <v>0</v>
      </c>
      <c r="D403" s="75">
        <f>IF($M403&gt;0,('Amounts Pivot Table'!N$169/$M403),0)</f>
        <v>0</v>
      </c>
      <c r="E403" s="75">
        <f>IF($M403&gt;0,('Amounts Pivot Table'!N$172/$M403),0)</f>
        <v>0</v>
      </c>
      <c r="F403" s="75">
        <f t="shared" si="57"/>
        <v>0</v>
      </c>
      <c r="G403" s="117">
        <f t="shared" si="52"/>
        <v>0</v>
      </c>
      <c r="H403" s="107">
        <f t="shared" si="53"/>
        <v>0</v>
      </c>
      <c r="I403" s="107">
        <f t="shared" si="54"/>
        <v>0</v>
      </c>
      <c r="J403" s="107">
        <f t="shared" si="55"/>
        <v>0</v>
      </c>
      <c r="K403" s="107">
        <f t="shared" si="56"/>
        <v>0</v>
      </c>
      <c r="L403" s="170"/>
      <c r="M403" s="395">
        <f>+[1]Tables!AO170</f>
        <v>0</v>
      </c>
      <c r="N403" s="73"/>
      <c r="O403" s="73"/>
      <c r="P403" s="73"/>
      <c r="Q403" s="73"/>
    </row>
    <row r="404" spans="1:17" s="61" customFormat="1" ht="12.75" customHeight="1">
      <c r="A404" s="73" t="s">
        <v>1894</v>
      </c>
      <c r="B404" s="75">
        <f>IF($M404&gt;0,('Amounts Pivot Table'!N$202/$M404),0)</f>
        <v>0</v>
      </c>
      <c r="C404" s="75">
        <f>IF($M404&gt;0,('Amounts Pivot Table'!N$205/$M404),0)</f>
        <v>0</v>
      </c>
      <c r="D404" s="75">
        <f>IF($M404&gt;0,('Amounts Pivot Table'!N$208/$M404),0)</f>
        <v>0</v>
      </c>
      <c r="E404" s="75">
        <f>IF($M404&gt;0,('Amounts Pivot Table'!N$211/$M404),0)</f>
        <v>0</v>
      </c>
      <c r="F404" s="75">
        <f t="shared" si="57"/>
        <v>0</v>
      </c>
      <c r="G404" s="117">
        <f t="shared" si="52"/>
        <v>0</v>
      </c>
      <c r="H404" s="107">
        <f t="shared" si="53"/>
        <v>0</v>
      </c>
      <c r="I404" s="107">
        <f t="shared" si="54"/>
        <v>0</v>
      </c>
      <c r="J404" s="107">
        <f t="shared" si="55"/>
        <v>0</v>
      </c>
      <c r="K404" s="107">
        <f t="shared" si="56"/>
        <v>0</v>
      </c>
      <c r="L404" s="170"/>
      <c r="M404" s="395">
        <f>+[1]Tables!AO171</f>
        <v>0</v>
      </c>
      <c r="N404" s="73"/>
      <c r="O404" s="73"/>
      <c r="P404" s="73"/>
      <c r="Q404" s="73"/>
    </row>
    <row r="405" spans="1:17" s="61" customFormat="1" ht="12.75" customHeight="1">
      <c r="A405" s="73" t="s">
        <v>1902</v>
      </c>
      <c r="B405" s="75">
        <f>IF($M405&gt;0,('Amounts Pivot Table'!N$241/$M405),0)</f>
        <v>0</v>
      </c>
      <c r="C405" s="75">
        <f>IF($M405&gt;0,('Amounts Pivot Table'!N$244/$M405),0)</f>
        <v>0</v>
      </c>
      <c r="D405" s="75">
        <f>IF($M405&gt;0,('Amounts Pivot Table'!N$247/$M405),0)</f>
        <v>0</v>
      </c>
      <c r="E405" s="75">
        <f>IF($M405&gt;0,('Amounts Pivot Table'!N$250/$M405),0)</f>
        <v>0</v>
      </c>
      <c r="F405" s="75">
        <f t="shared" si="57"/>
        <v>0</v>
      </c>
      <c r="G405" s="117">
        <f t="shared" si="52"/>
        <v>0</v>
      </c>
      <c r="H405" s="107">
        <f t="shared" si="53"/>
        <v>0</v>
      </c>
      <c r="I405" s="107">
        <f t="shared" si="54"/>
        <v>0</v>
      </c>
      <c r="J405" s="107">
        <f t="shared" si="55"/>
        <v>0</v>
      </c>
      <c r="K405" s="107">
        <f t="shared" si="56"/>
        <v>0</v>
      </c>
      <c r="L405" s="170"/>
      <c r="M405" s="395">
        <f>+[1]Tables!AO172</f>
        <v>0</v>
      </c>
      <c r="N405" s="73"/>
      <c r="O405" s="73"/>
      <c r="P405" s="73"/>
      <c r="Q405" s="73"/>
    </row>
    <row r="406" spans="1:17" s="61" customFormat="1" ht="12.75" customHeight="1">
      <c r="A406" s="73" t="s">
        <v>1905</v>
      </c>
      <c r="B406" s="75">
        <f>IF($M406&gt;0,('Amounts Pivot Table'!N$280/$M406),0)</f>
        <v>0</v>
      </c>
      <c r="C406" s="75">
        <f>IF($M406&gt;0,('Amounts Pivot Table'!N$283/$M406),0)</f>
        <v>0</v>
      </c>
      <c r="D406" s="75">
        <f>IF($M406&gt;0,('Amounts Pivot Table'!N$286/$M406),0)</f>
        <v>0</v>
      </c>
      <c r="E406" s="75">
        <f>IF($M406&gt;0,('Amounts Pivot Table'!N$289/$M406),0)</f>
        <v>0</v>
      </c>
      <c r="F406" s="75">
        <f t="shared" si="57"/>
        <v>0</v>
      </c>
      <c r="G406" s="117">
        <f t="shared" si="52"/>
        <v>0</v>
      </c>
      <c r="H406" s="107">
        <f t="shared" si="53"/>
        <v>0</v>
      </c>
      <c r="I406" s="107">
        <f t="shared" si="54"/>
        <v>0</v>
      </c>
      <c r="J406" s="107">
        <f t="shared" si="55"/>
        <v>0</v>
      </c>
      <c r="K406" s="107">
        <f t="shared" si="56"/>
        <v>0</v>
      </c>
      <c r="L406" s="170"/>
      <c r="M406" s="395">
        <f>+[1]Tables!AO173</f>
        <v>0</v>
      </c>
      <c r="N406" s="73"/>
      <c r="O406" s="73"/>
      <c r="P406" s="73"/>
      <c r="Q406" s="73"/>
    </row>
    <row r="407" spans="1:17" s="113" customFormat="1">
      <c r="A407" s="111"/>
      <c r="B407" s="112"/>
      <c r="C407" s="112"/>
      <c r="D407" s="112"/>
      <c r="E407" s="112"/>
      <c r="F407" s="112">
        <f>SUM(B407:E407)</f>
        <v>0</v>
      </c>
      <c r="G407" s="120">
        <f t="shared" si="52"/>
        <v>0</v>
      </c>
      <c r="H407" s="121">
        <f t="shared" si="53"/>
        <v>0</v>
      </c>
      <c r="I407" s="121">
        <f t="shared" si="54"/>
        <v>0</v>
      </c>
      <c r="J407" s="121">
        <f t="shared" si="55"/>
        <v>0</v>
      </c>
      <c r="K407" s="121">
        <f t="shared" si="56"/>
        <v>0</v>
      </c>
      <c r="L407" s="177"/>
      <c r="M407" s="395">
        <f>+[1]Tables!AO174</f>
        <v>0</v>
      </c>
      <c r="N407" s="111"/>
      <c r="O407" s="111"/>
      <c r="P407" s="111"/>
      <c r="Q407" s="111"/>
    </row>
    <row r="408" spans="1:17" s="61" customFormat="1" ht="12.75" customHeight="1">
      <c r="A408" s="73" t="s">
        <v>1895</v>
      </c>
      <c r="B408" s="75">
        <f>IF($M408&gt;0,('Amounts Pivot Table'!N$319/$M408),0)</f>
        <v>0</v>
      </c>
      <c r="C408" s="75">
        <f>IF($M408&gt;0,('Amounts Pivot Table'!N$322/$M408),0)</f>
        <v>0</v>
      </c>
      <c r="D408" s="75">
        <f>IF($M408&gt;0,('Amounts Pivot Table'!N$325/$M408),0)</f>
        <v>0</v>
      </c>
      <c r="E408" s="75">
        <f>IF($M408&gt;0,('Amounts Pivot Table'!N$328/$M408),0)</f>
        <v>0</v>
      </c>
      <c r="F408" s="75">
        <f t="shared" si="57"/>
        <v>0</v>
      </c>
      <c r="G408" s="117">
        <f t="shared" si="52"/>
        <v>0</v>
      </c>
      <c r="H408" s="107">
        <f t="shared" si="53"/>
        <v>0</v>
      </c>
      <c r="I408" s="107">
        <f t="shared" si="54"/>
        <v>0</v>
      </c>
      <c r="J408" s="107">
        <f t="shared" si="55"/>
        <v>0</v>
      </c>
      <c r="K408" s="107">
        <f t="shared" si="56"/>
        <v>0</v>
      </c>
      <c r="L408" s="170"/>
      <c r="M408" s="395">
        <f>+[1]Tables!AO175</f>
        <v>0</v>
      </c>
      <c r="N408" s="73"/>
      <c r="O408" s="73"/>
      <c r="P408" s="73"/>
      <c r="Q408" s="73"/>
    </row>
    <row r="409" spans="1:17" s="61" customFormat="1" ht="12.75" customHeight="1">
      <c r="A409" s="73" t="s">
        <v>1896</v>
      </c>
      <c r="B409" s="75">
        <f>IF($M409&gt;0,('Amounts Pivot Table'!N$358/$M409),0)</f>
        <v>0</v>
      </c>
      <c r="C409" s="75">
        <f>IF($M409&gt;0,('Amounts Pivot Table'!N$361/$M409),0)</f>
        <v>0</v>
      </c>
      <c r="D409" s="75">
        <f>IF($M409&gt;0,('Amounts Pivot Table'!N$364/$M409),0)</f>
        <v>0</v>
      </c>
      <c r="E409" s="75">
        <f>IF($M409&gt;0,('Amounts Pivot Table'!N$367/$M409),0)</f>
        <v>0</v>
      </c>
      <c r="F409" s="75">
        <f t="shared" si="57"/>
        <v>0</v>
      </c>
      <c r="G409" s="117">
        <f t="shared" si="52"/>
        <v>0</v>
      </c>
      <c r="H409" s="107">
        <f t="shared" si="53"/>
        <v>0</v>
      </c>
      <c r="I409" s="107">
        <f t="shared" si="54"/>
        <v>0</v>
      </c>
      <c r="J409" s="107">
        <f t="shared" si="55"/>
        <v>0</v>
      </c>
      <c r="K409" s="107">
        <f t="shared" si="56"/>
        <v>0</v>
      </c>
      <c r="L409" s="170"/>
      <c r="M409" s="395">
        <f>+[1]Tables!AO176</f>
        <v>0</v>
      </c>
      <c r="N409" s="73"/>
      <c r="O409" s="73"/>
      <c r="P409" s="73"/>
      <c r="Q409" s="73"/>
    </row>
    <row r="410" spans="1:17" s="61" customFormat="1" ht="12.75" customHeight="1">
      <c r="A410" s="73" t="s">
        <v>1903</v>
      </c>
      <c r="B410" s="75">
        <f>IF($M410&gt;0,('Amounts Pivot Table'!N$397/$M410),0)</f>
        <v>0</v>
      </c>
      <c r="C410" s="75">
        <f>IF($M410&gt;0,('Amounts Pivot Table'!N$400/$M410),0)</f>
        <v>0</v>
      </c>
      <c r="D410" s="75">
        <f>IF($M410&gt;0,('Amounts Pivot Table'!N$403/$M410),0)</f>
        <v>0</v>
      </c>
      <c r="E410" s="75">
        <f>IF($M410&gt;0,('Amounts Pivot Table'!N$406/$M410),0)</f>
        <v>0</v>
      </c>
      <c r="F410" s="75">
        <f t="shared" si="57"/>
        <v>0</v>
      </c>
      <c r="G410" s="117">
        <f t="shared" si="52"/>
        <v>0</v>
      </c>
      <c r="H410" s="107">
        <f t="shared" si="53"/>
        <v>0</v>
      </c>
      <c r="I410" s="107">
        <f t="shared" si="54"/>
        <v>0</v>
      </c>
      <c r="J410" s="107">
        <f t="shared" si="55"/>
        <v>0</v>
      </c>
      <c r="K410" s="107">
        <f t="shared" si="56"/>
        <v>0</v>
      </c>
      <c r="L410" s="170"/>
      <c r="M410" s="395">
        <f>+[1]Tables!AO177</f>
        <v>0</v>
      </c>
      <c r="N410" s="73"/>
      <c r="O410" s="73"/>
      <c r="P410" s="73"/>
      <c r="Q410" s="73"/>
    </row>
    <row r="411" spans="1:17" s="61" customFormat="1" ht="12.75" customHeight="1">
      <c r="A411" s="73" t="s">
        <v>1897</v>
      </c>
      <c r="B411" s="75">
        <f>IF($M411&gt;0,('Amounts Pivot Table'!N$436/$M411),0)</f>
        <v>0</v>
      </c>
      <c r="C411" s="75">
        <f>IF($M411&gt;0,('Amounts Pivot Table'!N$439/$M411),0)</f>
        <v>0</v>
      </c>
      <c r="D411" s="75">
        <f>IF($M411&gt;0,('Amounts Pivot Table'!N$442/$M411),0)</f>
        <v>0</v>
      </c>
      <c r="E411" s="75">
        <f>IF($M411&gt;0,('Amounts Pivot Table'!N$445/$M411),0)</f>
        <v>0</v>
      </c>
      <c r="F411" s="75">
        <f t="shared" si="57"/>
        <v>0</v>
      </c>
      <c r="G411" s="117">
        <f t="shared" si="52"/>
        <v>0</v>
      </c>
      <c r="H411" s="107">
        <f t="shared" si="53"/>
        <v>0</v>
      </c>
      <c r="I411" s="107">
        <f t="shared" si="54"/>
        <v>0</v>
      </c>
      <c r="J411" s="107">
        <f t="shared" si="55"/>
        <v>0</v>
      </c>
      <c r="K411" s="107">
        <f t="shared" si="56"/>
        <v>0</v>
      </c>
      <c r="L411" s="170"/>
      <c r="M411" s="395">
        <f>+[1]Tables!AO178</f>
        <v>0</v>
      </c>
      <c r="N411" s="73"/>
      <c r="O411" s="73"/>
      <c r="P411" s="73"/>
      <c r="Q411" s="73"/>
    </row>
    <row r="412" spans="1:17" s="113" customFormat="1">
      <c r="A412" s="111"/>
      <c r="B412" s="112"/>
      <c r="C412" s="112"/>
      <c r="D412" s="112"/>
      <c r="E412" s="112"/>
      <c r="F412" s="112">
        <f t="shared" si="57"/>
        <v>0</v>
      </c>
      <c r="G412" s="120">
        <f t="shared" si="52"/>
        <v>0</v>
      </c>
      <c r="H412" s="121">
        <f t="shared" si="53"/>
        <v>0</v>
      </c>
      <c r="I412" s="121">
        <f t="shared" si="54"/>
        <v>0</v>
      </c>
      <c r="J412" s="121">
        <f t="shared" si="55"/>
        <v>0</v>
      </c>
      <c r="K412" s="121">
        <f t="shared" si="56"/>
        <v>0</v>
      </c>
      <c r="L412" s="177"/>
      <c r="M412" s="395">
        <f>+[1]Tables!AO179</f>
        <v>0</v>
      </c>
      <c r="N412" s="111"/>
      <c r="O412" s="111"/>
      <c r="P412" s="111"/>
      <c r="Q412" s="111"/>
    </row>
    <row r="413" spans="1:17" s="61" customFormat="1" ht="12.75" customHeight="1">
      <c r="A413" s="73" t="s">
        <v>647</v>
      </c>
      <c r="B413" s="75">
        <f>IF($M413&gt;0,('Amounts Pivot Table'!N$475/$M413),0)</f>
        <v>0</v>
      </c>
      <c r="C413" s="75">
        <f>IF($M413&gt;0,('Amounts Pivot Table'!N$478/$M413),0)</f>
        <v>0</v>
      </c>
      <c r="D413" s="75">
        <f>IF($M413&gt;0,('Amounts Pivot Table'!N$481/$M413),0)</f>
        <v>0</v>
      </c>
      <c r="E413" s="75">
        <f>IF($M413&gt;0,('Amounts Pivot Table'!N$484/$M413),0)</f>
        <v>0</v>
      </c>
      <c r="F413" s="75">
        <f t="shared" si="57"/>
        <v>0</v>
      </c>
      <c r="G413" s="117">
        <f t="shared" si="52"/>
        <v>0</v>
      </c>
      <c r="H413" s="107">
        <f t="shared" si="53"/>
        <v>0</v>
      </c>
      <c r="I413" s="107">
        <f t="shared" si="54"/>
        <v>0</v>
      </c>
      <c r="J413" s="107">
        <f t="shared" si="55"/>
        <v>0</v>
      </c>
      <c r="K413" s="107">
        <f t="shared" si="56"/>
        <v>0</v>
      </c>
      <c r="L413" s="170"/>
      <c r="M413" s="395">
        <f>+[1]Tables!AO180</f>
        <v>0</v>
      </c>
      <c r="N413" s="73"/>
      <c r="O413" s="73"/>
      <c r="P413" s="73"/>
      <c r="Q413" s="73"/>
    </row>
    <row r="414" spans="1:17" s="76" customFormat="1" ht="12.75" customHeight="1">
      <c r="A414" s="73" t="s">
        <v>1898</v>
      </c>
      <c r="B414" s="75">
        <f>IF($M414&gt;0,('Amounts Pivot Table'!N$514/$M414),0)</f>
        <v>2207.457570838686</v>
      </c>
      <c r="C414" s="75">
        <f>IF($M414&gt;0,('Amounts Pivot Table'!N$517/$M414),0)</f>
        <v>0</v>
      </c>
      <c r="D414" s="75">
        <f>IF($M414&gt;0,('Amounts Pivot Table'!N$520/$M414),0)</f>
        <v>3154.8208162811925</v>
      </c>
      <c r="E414" s="75">
        <f>IF($M414&gt;0,('Amounts Pivot Table'!N$523/$M414),0)</f>
        <v>2017.6934722211163</v>
      </c>
      <c r="F414" s="75">
        <f t="shared" si="57"/>
        <v>7379.9718593409953</v>
      </c>
      <c r="G414" s="117">
        <f t="shared" si="52"/>
        <v>2</v>
      </c>
      <c r="H414" s="107">
        <f t="shared" si="53"/>
        <v>0</v>
      </c>
      <c r="I414" s="107">
        <f t="shared" si="54"/>
        <v>1</v>
      </c>
      <c r="J414" s="107">
        <f t="shared" si="55"/>
        <v>2</v>
      </c>
      <c r="K414" s="107">
        <f t="shared" si="56"/>
        <v>1</v>
      </c>
      <c r="L414" s="171"/>
      <c r="M414" s="395">
        <f>+[1]Tables!AO181</f>
        <v>80275.305555555577</v>
      </c>
      <c r="N414" s="90"/>
      <c r="O414" s="90"/>
      <c r="P414" s="90"/>
      <c r="Q414" s="90"/>
    </row>
    <row r="415" spans="1:17" s="61" customFormat="1" ht="12.75" customHeight="1">
      <c r="A415" s="73" t="s">
        <v>1333</v>
      </c>
      <c r="B415" s="75">
        <f>IF($M415&gt;0,('Amounts Pivot Table'!N$553/$M415),0)</f>
        <v>3488.9539245089086</v>
      </c>
      <c r="C415" s="75">
        <f>IF($M415&gt;0,('Amounts Pivot Table'!N$556/$M415),0)</f>
        <v>0</v>
      </c>
      <c r="D415" s="75">
        <f>IF($M415&gt;0,('Amounts Pivot Table'!N$559/$M415),0)</f>
        <v>93.1413329447048</v>
      </c>
      <c r="E415" s="75">
        <f>IF($M415&gt;0,('Amounts Pivot Table'!N$562/$M415),0)</f>
        <v>3098.0539011144942</v>
      </c>
      <c r="F415" s="75">
        <f t="shared" si="57"/>
        <v>6680.1491585681069</v>
      </c>
      <c r="G415" s="117">
        <f t="shared" si="52"/>
        <v>1</v>
      </c>
      <c r="H415" s="107">
        <f t="shared" si="53"/>
        <v>0</v>
      </c>
      <c r="I415" s="107">
        <f t="shared" si="54"/>
        <v>2</v>
      </c>
      <c r="J415" s="107">
        <f t="shared" si="55"/>
        <v>1</v>
      </c>
      <c r="K415" s="107">
        <f t="shared" si="56"/>
        <v>2</v>
      </c>
      <c r="L415" s="172"/>
      <c r="M415" s="395">
        <f>+[1]Tables!AO182</f>
        <v>104298.40000000001</v>
      </c>
      <c r="N415" s="73"/>
      <c r="O415" s="73"/>
      <c r="P415" s="73"/>
      <c r="Q415" s="73"/>
    </row>
    <row r="416" spans="1:17" s="61" customFormat="1" ht="13.5" customHeight="1">
      <c r="A416" s="74" t="s">
        <v>1904</v>
      </c>
      <c r="B416" s="104">
        <f>IF($M416&gt;0,('Amounts Pivot Table'!N$592/$M416),0)</f>
        <v>0</v>
      </c>
      <c r="C416" s="104">
        <f>IF($M416&gt;0,('Amounts Pivot Table'!N$595/$M416),0)</f>
        <v>0</v>
      </c>
      <c r="D416" s="104">
        <f>IF($M416&gt;0,('Amounts Pivot Table'!N$598/$M416),0)</f>
        <v>0</v>
      </c>
      <c r="E416" s="104">
        <f>IF($M416&gt;0,('Amounts Pivot Table'!N$601/$M416),0)</f>
        <v>0</v>
      </c>
      <c r="F416" s="105">
        <f t="shared" si="57"/>
        <v>0</v>
      </c>
      <c r="G416" s="118">
        <f t="shared" si="52"/>
        <v>0</v>
      </c>
      <c r="H416" s="119">
        <f t="shared" si="53"/>
        <v>0</v>
      </c>
      <c r="I416" s="119">
        <f t="shared" si="54"/>
        <v>0</v>
      </c>
      <c r="J416" s="119">
        <f t="shared" si="55"/>
        <v>0</v>
      </c>
      <c r="K416" s="119">
        <f t="shared" si="56"/>
        <v>0</v>
      </c>
      <c r="L416" s="173"/>
      <c r="M416" s="395">
        <f>+[1]Tables!AO183</f>
        <v>0</v>
      </c>
      <c r="N416" s="73"/>
      <c r="O416" s="73"/>
      <c r="P416" s="73"/>
      <c r="Q416" s="73"/>
    </row>
    <row r="417" spans="1:22" s="76" customFormat="1" ht="17.25" customHeight="1">
      <c r="A417" s="1200" t="s">
        <v>1610</v>
      </c>
      <c r="B417" s="1200"/>
      <c r="C417" s="1200"/>
      <c r="D417" s="1200"/>
      <c r="E417" s="1200"/>
      <c r="F417" s="1200"/>
      <c r="G417" s="1200"/>
      <c r="H417" s="1200"/>
      <c r="I417" s="1200"/>
      <c r="J417" s="1200"/>
      <c r="K417" s="1200"/>
      <c r="L417" s="171"/>
      <c r="M417" s="399"/>
      <c r="N417" s="90"/>
      <c r="O417" s="90"/>
      <c r="P417" s="90"/>
      <c r="Q417" s="90"/>
    </row>
    <row r="418" spans="1:22" s="76" customFormat="1" ht="34.5" customHeight="1">
      <c r="A418" s="1188" t="s">
        <v>275</v>
      </c>
      <c r="B418" s="1199"/>
      <c r="C418" s="1199"/>
      <c r="D418" s="1199"/>
      <c r="E418" s="1199"/>
      <c r="F418" s="1199"/>
      <c r="G418" s="1199"/>
      <c r="H418" s="1199"/>
      <c r="I418" s="1199"/>
      <c r="J418" s="1199"/>
      <c r="K418" s="1199"/>
      <c r="L418" s="171"/>
      <c r="M418" s="395"/>
      <c r="N418" s="90"/>
      <c r="O418" s="90"/>
      <c r="P418" s="90"/>
      <c r="Q418" s="90"/>
    </row>
    <row r="419" spans="1:22" s="219" customFormat="1" ht="13.5" customHeight="1">
      <c r="A419" s="1188" t="s">
        <v>453</v>
      </c>
      <c r="B419" s="1199"/>
      <c r="C419" s="1199"/>
      <c r="D419" s="1199"/>
      <c r="E419" s="1199"/>
      <c r="F419" s="1199"/>
      <c r="G419" s="1199"/>
      <c r="H419" s="1199"/>
      <c r="I419" s="1199"/>
      <c r="J419" s="1199"/>
      <c r="K419" s="1199"/>
      <c r="L419" s="218"/>
      <c r="M419" s="401"/>
      <c r="N419" s="220"/>
      <c r="O419" s="220"/>
      <c r="P419" s="220"/>
      <c r="Q419" s="220"/>
    </row>
    <row r="420" spans="1:22" s="61" customFormat="1" ht="13.5" customHeight="1">
      <c r="A420" s="1188" t="s">
        <v>1600</v>
      </c>
      <c r="B420" s="1195"/>
      <c r="C420" s="1195"/>
      <c r="D420" s="1195"/>
      <c r="E420" s="1195"/>
      <c r="F420" s="1195"/>
      <c r="G420" s="1196"/>
      <c r="H420" s="1196"/>
      <c r="I420" s="1196"/>
      <c r="J420" s="1196"/>
      <c r="K420" s="1196"/>
      <c r="L420" s="173"/>
      <c r="M420" s="399"/>
      <c r="N420" s="73"/>
      <c r="O420" s="73"/>
      <c r="P420" s="73"/>
      <c r="Q420" s="73"/>
    </row>
    <row r="421" spans="1:22" s="61" customFormat="1" ht="13.5" customHeight="1">
      <c r="A421" s="189"/>
      <c r="B421" s="106"/>
      <c r="C421" s="106"/>
      <c r="D421" s="106"/>
      <c r="E421" s="106"/>
      <c r="F421" s="106"/>
      <c r="G421" s="190"/>
      <c r="H421" s="190"/>
      <c r="I421" s="190"/>
      <c r="J421" s="190"/>
      <c r="K421" s="190"/>
      <c r="L421" s="173"/>
      <c r="M421" s="399"/>
      <c r="N421" s="73"/>
      <c r="O421" s="73"/>
      <c r="P421" s="73"/>
      <c r="Q421" s="73"/>
    </row>
    <row r="422" spans="1:22" s="61" customFormat="1">
      <c r="A422" s="189"/>
      <c r="B422" s="106"/>
      <c r="C422" s="106"/>
      <c r="D422" s="106"/>
      <c r="E422" s="106"/>
      <c r="F422" s="106"/>
      <c r="G422" s="190"/>
      <c r="H422" s="190"/>
      <c r="I422" s="190"/>
      <c r="J422" s="190"/>
      <c r="K422" s="805" t="s">
        <v>1931</v>
      </c>
      <c r="L422" s="173"/>
      <c r="M422" s="402"/>
      <c r="N422" s="73"/>
      <c r="O422" s="73"/>
      <c r="P422" s="73"/>
      <c r="Q422" s="73"/>
    </row>
    <row r="423" spans="1:22" s="61" customFormat="1" ht="18.75" customHeight="1">
      <c r="A423" s="1173" t="s">
        <v>1504</v>
      </c>
      <c r="B423" s="1173"/>
      <c r="C423" s="1173"/>
      <c r="D423" s="1173"/>
      <c r="E423" s="1173"/>
      <c r="F423" s="1173"/>
      <c r="G423" s="1173"/>
      <c r="H423" s="1173"/>
      <c r="I423" s="1173"/>
      <c r="J423" s="1173"/>
      <c r="K423" s="1173"/>
      <c r="L423" s="172"/>
      <c r="M423" s="395"/>
      <c r="N423" s="73"/>
      <c r="O423" s="73"/>
      <c r="P423" s="73"/>
      <c r="Q423" s="73"/>
    </row>
    <row r="424" spans="1:22" s="61" customFormat="1" ht="18.75">
      <c r="A424" s="1173" t="s">
        <v>276</v>
      </c>
      <c r="B424" s="1173"/>
      <c r="C424" s="1173"/>
      <c r="D424" s="1173"/>
      <c r="E424" s="1173"/>
      <c r="F424" s="1173"/>
      <c r="G424" s="1173"/>
      <c r="H424" s="1173"/>
      <c r="I424" s="1173"/>
      <c r="J424" s="1173"/>
      <c r="K424" s="1173"/>
      <c r="L424" s="167"/>
      <c r="M424" s="395"/>
      <c r="N424" s="73"/>
      <c r="O424" s="73"/>
      <c r="P424" s="73"/>
      <c r="Q424" s="73"/>
    </row>
    <row r="425" spans="1:22" s="61" customFormat="1" ht="15.75" customHeight="1">
      <c r="A425" s="1173" t="s">
        <v>118</v>
      </c>
      <c r="B425" s="1173"/>
      <c r="C425" s="1173"/>
      <c r="D425" s="1173"/>
      <c r="E425" s="1173"/>
      <c r="F425" s="1173"/>
      <c r="G425" s="1173"/>
      <c r="H425" s="1173"/>
      <c r="I425" s="1173"/>
      <c r="J425" s="1173"/>
      <c r="K425" s="1173"/>
      <c r="L425" s="259"/>
      <c r="M425" s="404"/>
      <c r="N425" s="73"/>
      <c r="O425" s="73"/>
      <c r="P425" s="73"/>
      <c r="Q425" s="73"/>
    </row>
    <row r="426" spans="1:22" s="61" customFormat="1" ht="15.75" customHeight="1">
      <c r="A426" s="91"/>
      <c r="B426" s="91"/>
      <c r="C426" s="91"/>
      <c r="D426" s="91"/>
      <c r="E426" s="91"/>
      <c r="F426" s="91"/>
      <c r="G426" s="108"/>
      <c r="H426" s="91"/>
      <c r="I426" s="91"/>
      <c r="J426" s="91"/>
      <c r="K426" s="91"/>
      <c r="L426" s="167"/>
      <c r="M426" s="395"/>
      <c r="N426" s="73"/>
      <c r="O426" s="73"/>
      <c r="P426" s="73"/>
      <c r="Q426" s="73" t="s">
        <v>430</v>
      </c>
    </row>
    <row r="427" spans="1:22" s="61" customFormat="1" ht="12" customHeight="1">
      <c r="A427" s="60"/>
      <c r="B427" s="1197" t="s">
        <v>454</v>
      </c>
      <c r="C427" s="1198"/>
      <c r="D427" s="1198"/>
      <c r="E427" s="1198"/>
      <c r="F427" s="1198"/>
      <c r="G427" s="57" t="s">
        <v>909</v>
      </c>
      <c r="H427" s="58"/>
      <c r="I427" s="58"/>
      <c r="J427" s="58"/>
      <c r="K427" s="58"/>
      <c r="L427" s="175"/>
      <c r="M427" s="395"/>
      <c r="N427" s="73"/>
      <c r="O427" s="73"/>
      <c r="P427" s="73"/>
      <c r="Q427" s="73"/>
    </row>
    <row r="428" spans="1:22" s="6" customFormat="1" ht="45">
      <c r="A428" s="50"/>
      <c r="B428" s="51" t="s">
        <v>643</v>
      </c>
      <c r="C428" s="52" t="s">
        <v>645</v>
      </c>
      <c r="D428" s="52" t="s">
        <v>644</v>
      </c>
      <c r="E428" s="52" t="s">
        <v>1835</v>
      </c>
      <c r="F428" s="52" t="s">
        <v>670</v>
      </c>
      <c r="G428" s="53" t="s">
        <v>643</v>
      </c>
      <c r="H428" s="52" t="s">
        <v>645</v>
      </c>
      <c r="I428" s="52" t="s">
        <v>644</v>
      </c>
      <c r="J428" s="52" t="s">
        <v>1835</v>
      </c>
      <c r="K428" s="52" t="s">
        <v>670</v>
      </c>
      <c r="L428" s="169"/>
      <c r="M428" s="397" t="s">
        <v>407</v>
      </c>
      <c r="N428" s="7" t="s">
        <v>408</v>
      </c>
      <c r="O428" s="7"/>
      <c r="P428" s="7"/>
      <c r="Q428" s="7"/>
      <c r="R428" s="53" t="s">
        <v>643</v>
      </c>
      <c r="S428" s="52" t="s">
        <v>645</v>
      </c>
      <c r="T428" s="52" t="s">
        <v>644</v>
      </c>
      <c r="U428" s="52" t="s">
        <v>1835</v>
      </c>
      <c r="V428" s="52" t="s">
        <v>670</v>
      </c>
    </row>
    <row r="429" spans="1:22" s="61" customFormat="1" ht="14.25">
      <c r="A429" s="73" t="s">
        <v>455</v>
      </c>
      <c r="B429" s="102">
        <f>IF(M429&gt;0,('Amounts Pivot Table'!S$631/M429),0)</f>
        <v>4694.9540211013828</v>
      </c>
      <c r="C429" s="102">
        <f>IF(M429&gt;0,('Amounts Pivot Table'!S$10/M429),0)</f>
        <v>1.6496002256695006</v>
      </c>
      <c r="D429" s="181">
        <f>IF(M429&gt;0,('Amounts Pivot Table'!S$637/M429),0)</f>
        <v>0</v>
      </c>
      <c r="E429" s="102">
        <f>IF(M429&gt;0,('Amounts Pivot Table'!S$640/M429),0)</f>
        <v>1834.9243273651655</v>
      </c>
      <c r="F429" s="102">
        <f>SUM(B429:E429)</f>
        <v>6531.5279486922182</v>
      </c>
      <c r="G429" s="115"/>
      <c r="H429" s="116"/>
      <c r="I429" s="116"/>
      <c r="J429" s="116"/>
      <c r="K429" s="116"/>
      <c r="L429" s="170"/>
      <c r="M429" s="395">
        <f>+[1]Tables!AP193</f>
        <v>106086.30944444443</v>
      </c>
      <c r="N429" s="164">
        <f>+[1]Tables!BA193</f>
        <v>100568.17777777776</v>
      </c>
      <c r="O429" s="164"/>
      <c r="P429" s="164"/>
      <c r="Q429" s="73" t="s">
        <v>455</v>
      </c>
    </row>
    <row r="430" spans="1:22" s="61" customFormat="1" ht="12.75" customHeight="1">
      <c r="A430" s="73"/>
      <c r="B430" s="102"/>
      <c r="C430" s="102"/>
      <c r="D430" s="102"/>
      <c r="E430" s="102"/>
      <c r="F430" s="102"/>
      <c r="G430" s="115"/>
      <c r="H430" s="116"/>
      <c r="I430" s="116"/>
      <c r="J430" s="116"/>
      <c r="K430" s="116"/>
      <c r="L430" s="170"/>
      <c r="M430" s="395">
        <f>+[1]Tables!AP194</f>
        <v>0</v>
      </c>
      <c r="N430" s="164">
        <f>+[1]Tables!BA194</f>
        <v>0</v>
      </c>
      <c r="O430" s="164"/>
      <c r="P430" s="164"/>
      <c r="Q430" s="73"/>
    </row>
    <row r="431" spans="1:22" s="61" customFormat="1" ht="12.75" customHeight="1">
      <c r="A431" s="73" t="s">
        <v>1892</v>
      </c>
      <c r="B431" s="75">
        <f>IF($M431&gt;0,('Amounts Pivot Table'!S$7/$M431),0)</f>
        <v>8753.9208265915167</v>
      </c>
      <c r="C431" s="75">
        <f>IF($M431&gt;0,('Amounts Pivot Table'!S$10/$M431),0)</f>
        <v>56.256228368140761</v>
      </c>
      <c r="D431" s="75">
        <f>IF($M431&gt;0,('Amounts Pivot Table'!S$13/$M431),0)</f>
        <v>0</v>
      </c>
      <c r="E431" s="75">
        <f>IF($M431&gt;0,('Amounts Pivot Table'!S$16/$M431),0)</f>
        <v>2355.9439795120174</v>
      </c>
      <c r="F431" s="75">
        <f t="shared" ref="F431:F449" si="58">SUM(B431:E431)</f>
        <v>11166.121034471675</v>
      </c>
      <c r="G431" s="117">
        <f>IF(B431&gt;0,RANK(B431,$B$431:$B$449),)</f>
        <v>1</v>
      </c>
      <c r="H431" s="107">
        <f>IF(C431&gt;0,RANK(C431,$C$431:$C$449),)</f>
        <v>1</v>
      </c>
      <c r="I431" s="107">
        <f>IF(D431&gt;0,RANK(D431,$D$431:$D$449),)</f>
        <v>0</v>
      </c>
      <c r="J431" s="107">
        <f>IF(E431&gt;0,RANK(E431,$E$431:$E$449),)</f>
        <v>2</v>
      </c>
      <c r="K431" s="107">
        <f>IF(F431&gt;0,RANK(F431,$F$431:$F$449),)</f>
        <v>1</v>
      </c>
      <c r="L431" s="170"/>
      <c r="M431" s="395">
        <f>+[1]Tables!AP195</f>
        <v>3110.7666666666664</v>
      </c>
      <c r="N431" s="164">
        <f>+[1]Tables!BA195</f>
        <v>3070.2666666666664</v>
      </c>
      <c r="O431" s="164"/>
      <c r="P431" s="164"/>
      <c r="Q431" s="73" t="s">
        <v>1892</v>
      </c>
      <c r="R431" s="61">
        <f t="shared" ref="R431:V434" si="59">B431*$M431</f>
        <v>27231405.110000003</v>
      </c>
      <c r="S431" s="61">
        <f t="shared" si="59"/>
        <v>175000</v>
      </c>
      <c r="T431" s="61">
        <f t="shared" si="59"/>
        <v>0</v>
      </c>
      <c r="U431" s="61">
        <f t="shared" si="59"/>
        <v>7328792</v>
      </c>
      <c r="V431" s="61">
        <f t="shared" si="59"/>
        <v>34735197.109999999</v>
      </c>
    </row>
    <row r="432" spans="1:22" s="61" customFormat="1" ht="12.75" customHeight="1">
      <c r="A432" s="73" t="s">
        <v>1906</v>
      </c>
      <c r="B432" s="75">
        <f>IF($M432&gt;0,('Amounts Pivot Table'!S$46/$M432),0)</f>
        <v>0</v>
      </c>
      <c r="C432" s="75">
        <f>IF($M432&gt;0,('Amounts Pivot Table'!S$49/$M432),0)</f>
        <v>0</v>
      </c>
      <c r="D432" s="75">
        <f>IF($M432&gt;0,('Amounts Pivot Table'!S$52/$M432),0)</f>
        <v>0</v>
      </c>
      <c r="E432" s="75">
        <f>IF($M432&gt;0,('Amounts Pivot Table'!S$55/$M432),0)</f>
        <v>0</v>
      </c>
      <c r="F432" s="75">
        <f t="shared" si="58"/>
        <v>0</v>
      </c>
      <c r="G432" s="117">
        <f t="shared" ref="G432:G449" si="60">IF(B432&gt;0,RANK(B432,$B$431:$B$449),)</f>
        <v>0</v>
      </c>
      <c r="H432" s="107">
        <f t="shared" ref="H432:H449" si="61">IF(C432&gt;0,RANK(C432,$C$431:$C$449),)</f>
        <v>0</v>
      </c>
      <c r="I432" s="107">
        <f t="shared" ref="I432:I449" si="62">IF(D432&gt;0,RANK(D432,$D$431:$D$449),)</f>
        <v>0</v>
      </c>
      <c r="J432" s="107">
        <f t="shared" ref="J432:J449" si="63">IF(E432&gt;0,RANK(E432,$E$431:$E$449),)</f>
        <v>0</v>
      </c>
      <c r="K432" s="107">
        <f t="shared" ref="K432:K449" si="64">IF(F432&gt;0,RANK(F432,$F$431:$F$449),)</f>
        <v>0</v>
      </c>
      <c r="L432" s="170"/>
      <c r="M432" s="395">
        <f>+[1]Tables!AP196</f>
        <v>0</v>
      </c>
      <c r="N432" s="164">
        <f>+[1]Tables!BA196</f>
        <v>0</v>
      </c>
      <c r="O432" s="164"/>
      <c r="P432" s="164"/>
      <c r="Q432" s="73" t="s">
        <v>1906</v>
      </c>
      <c r="R432" s="61">
        <f t="shared" si="59"/>
        <v>0</v>
      </c>
      <c r="S432" s="61">
        <f t="shared" si="59"/>
        <v>0</v>
      </c>
      <c r="T432" s="61">
        <f t="shared" si="59"/>
        <v>0</v>
      </c>
      <c r="U432" s="61">
        <f t="shared" si="59"/>
        <v>0</v>
      </c>
      <c r="V432" s="61">
        <f t="shared" si="59"/>
        <v>0</v>
      </c>
    </row>
    <row r="433" spans="1:22" s="61" customFormat="1" ht="12.75" customHeight="1">
      <c r="A433" s="73" t="s">
        <v>1893</v>
      </c>
      <c r="B433" s="75">
        <f>IF($M433&gt;0,('Amounts Pivot Table'!S$85/$M433),0)</f>
        <v>0</v>
      </c>
      <c r="C433" s="75">
        <f>IF($M433&gt;0,('Amounts Pivot Table'!S$88/$M433),0)</f>
        <v>0</v>
      </c>
      <c r="D433" s="75">
        <f>IF($M433&gt;0,('Amounts Pivot Table'!S$91/$M433),0)</f>
        <v>0</v>
      </c>
      <c r="E433" s="75">
        <f>IF($M433&gt;0,('Amounts Pivot Table'!S$94/$M433),0)</f>
        <v>0</v>
      </c>
      <c r="F433" s="75">
        <f t="shared" si="58"/>
        <v>0</v>
      </c>
      <c r="G433" s="117">
        <f t="shared" si="60"/>
        <v>0</v>
      </c>
      <c r="H433" s="107">
        <f t="shared" si="61"/>
        <v>0</v>
      </c>
      <c r="I433" s="107">
        <f t="shared" si="62"/>
        <v>0</v>
      </c>
      <c r="J433" s="107">
        <f t="shared" si="63"/>
        <v>0</v>
      </c>
      <c r="K433" s="107">
        <f t="shared" si="64"/>
        <v>0</v>
      </c>
      <c r="L433" s="170"/>
      <c r="M433" s="395">
        <f>+[1]Tables!AP197</f>
        <v>0</v>
      </c>
      <c r="N433" s="164">
        <f>+[1]Tables!BA197</f>
        <v>0</v>
      </c>
      <c r="O433" s="164"/>
      <c r="P433" s="164"/>
      <c r="Q433" s="73" t="s">
        <v>1893</v>
      </c>
      <c r="R433" s="61">
        <f t="shared" si="59"/>
        <v>0</v>
      </c>
      <c r="S433" s="61">
        <f t="shared" si="59"/>
        <v>0</v>
      </c>
      <c r="T433" s="61">
        <f t="shared" si="59"/>
        <v>0</v>
      </c>
      <c r="U433" s="61">
        <f t="shared" si="59"/>
        <v>0</v>
      </c>
      <c r="V433" s="61">
        <f t="shared" si="59"/>
        <v>0</v>
      </c>
    </row>
    <row r="434" spans="1:22" s="61" customFormat="1" ht="12.75" customHeight="1">
      <c r="A434" s="73" t="s">
        <v>1900</v>
      </c>
      <c r="B434" s="75">
        <f>IF($M434&gt;0,('Amounts Pivot Table'!S$124/$M434),0)</f>
        <v>0</v>
      </c>
      <c r="C434" s="75">
        <f>IF($M434&gt;0,('Amounts Pivot Table'!S$127/$M434),0)</f>
        <v>0</v>
      </c>
      <c r="D434" s="75">
        <f>IF($M434&gt;0,('Amounts Pivot Table'!S$130/$M434),0)</f>
        <v>0</v>
      </c>
      <c r="E434" s="75">
        <f>IF($M434&gt;0,('Amounts Pivot Table'!S$133/$M434),0)</f>
        <v>0</v>
      </c>
      <c r="F434" s="75">
        <f t="shared" si="58"/>
        <v>0</v>
      </c>
      <c r="G434" s="117">
        <f t="shared" si="60"/>
        <v>0</v>
      </c>
      <c r="H434" s="107">
        <f t="shared" si="61"/>
        <v>0</v>
      </c>
      <c r="I434" s="107">
        <f t="shared" si="62"/>
        <v>0</v>
      </c>
      <c r="J434" s="107">
        <f t="shared" si="63"/>
        <v>0</v>
      </c>
      <c r="K434" s="107">
        <f t="shared" si="64"/>
        <v>0</v>
      </c>
      <c r="L434" s="170"/>
      <c r="M434" s="395">
        <f>+[1]Tables!AP198</f>
        <v>0</v>
      </c>
      <c r="N434" s="164">
        <f>+[1]Tables!BA198</f>
        <v>0</v>
      </c>
      <c r="O434" s="164"/>
      <c r="P434" s="164"/>
      <c r="Q434" s="73" t="s">
        <v>1900</v>
      </c>
      <c r="R434" s="61">
        <f t="shared" si="59"/>
        <v>0</v>
      </c>
      <c r="S434" s="61">
        <f t="shared" si="59"/>
        <v>0</v>
      </c>
      <c r="T434" s="61">
        <f t="shared" si="59"/>
        <v>0</v>
      </c>
      <c r="U434" s="61">
        <f t="shared" si="59"/>
        <v>0</v>
      </c>
      <c r="V434" s="61">
        <f t="shared" si="59"/>
        <v>0</v>
      </c>
    </row>
    <row r="435" spans="1:22" s="61" customFormat="1" ht="12.75" customHeight="1">
      <c r="A435" s="73"/>
      <c r="B435" s="75"/>
      <c r="C435" s="75"/>
      <c r="D435" s="75"/>
      <c r="E435" s="75"/>
      <c r="F435" s="75">
        <f t="shared" si="58"/>
        <v>0</v>
      </c>
      <c r="G435" s="117"/>
      <c r="H435" s="107"/>
      <c r="I435" s="107"/>
      <c r="J435" s="107"/>
      <c r="K435" s="107"/>
      <c r="L435" s="170"/>
      <c r="M435" s="395">
        <f>+[1]Tables!AP199</f>
        <v>0</v>
      </c>
      <c r="N435" s="164">
        <f>+[1]Tables!BA199</f>
        <v>0</v>
      </c>
      <c r="O435" s="164"/>
      <c r="P435" s="164"/>
      <c r="Q435" s="73" t="s">
        <v>1901</v>
      </c>
      <c r="R435" s="61">
        <f t="shared" ref="R435:V438" si="65">B436*$M436</f>
        <v>310876290</v>
      </c>
      <c r="S435" s="61">
        <f t="shared" si="65"/>
        <v>0</v>
      </c>
      <c r="T435" s="61">
        <f t="shared" si="65"/>
        <v>0</v>
      </c>
      <c r="U435" s="61">
        <f t="shared" si="65"/>
        <v>138560000</v>
      </c>
      <c r="V435" s="61">
        <f t="shared" si="65"/>
        <v>449436290</v>
      </c>
    </row>
    <row r="436" spans="1:22" s="61" customFormat="1" ht="12.75" customHeight="1">
      <c r="A436" s="73" t="s">
        <v>1901</v>
      </c>
      <c r="B436" s="75">
        <f>IF($M436&gt;0,('Amounts Pivot Table'!S$163/$M436),0)</f>
        <v>4292.570857368537</v>
      </c>
      <c r="C436" s="75">
        <f>IF($M436&gt;0,('Amounts Pivot Table'!S$166/$M436),0)</f>
        <v>0</v>
      </c>
      <c r="D436" s="75">
        <f>IF($M436&gt;0,('Amounts Pivot Table'!S$169/$M436),0)</f>
        <v>0</v>
      </c>
      <c r="E436" s="75">
        <f>IF($M436&gt;0,('Amounts Pivot Table'!S$172/$M436),0)</f>
        <v>1913.232488707918</v>
      </c>
      <c r="F436" s="75">
        <f t="shared" si="58"/>
        <v>6205.8033460764545</v>
      </c>
      <c r="G436" s="117">
        <f t="shared" si="60"/>
        <v>5</v>
      </c>
      <c r="H436" s="107">
        <f t="shared" si="61"/>
        <v>0</v>
      </c>
      <c r="I436" s="107">
        <f t="shared" si="62"/>
        <v>0</v>
      </c>
      <c r="J436" s="107">
        <f t="shared" si="63"/>
        <v>3</v>
      </c>
      <c r="K436" s="122">
        <f>IF(F436&gt;0,RANK(F436,$F$431:$F$449),)</f>
        <v>5</v>
      </c>
      <c r="L436" s="170"/>
      <c r="M436" s="395">
        <f>+[1]Tables!AP200</f>
        <v>72421.935555555552</v>
      </c>
      <c r="N436" s="164">
        <f>+[1]Tables!BA200</f>
        <v>69054.593333333323</v>
      </c>
      <c r="O436" s="164"/>
      <c r="P436" s="164"/>
      <c r="Q436" s="73" t="s">
        <v>1894</v>
      </c>
      <c r="R436" s="61">
        <f t="shared" si="65"/>
        <v>16152441</v>
      </c>
      <c r="S436" s="61">
        <f t="shared" si="65"/>
        <v>0</v>
      </c>
      <c r="T436" s="61">
        <f t="shared" si="65"/>
        <v>0</v>
      </c>
      <c r="U436" s="61">
        <f t="shared" si="65"/>
        <v>10530200</v>
      </c>
      <c r="V436" s="61">
        <f t="shared" si="65"/>
        <v>26682640.999999996</v>
      </c>
    </row>
    <row r="437" spans="1:22" s="61" customFormat="1" ht="12.75" customHeight="1">
      <c r="A437" s="73" t="s">
        <v>1894</v>
      </c>
      <c r="B437" s="75">
        <f>IF($M437&gt;0,('Amounts Pivot Table'!S$202/$M437),0)</f>
        <v>5514.9116837001793</v>
      </c>
      <c r="C437" s="75">
        <f>IF($M437&gt;0,('Amounts Pivot Table'!S$205/$M437),0)</f>
        <v>0</v>
      </c>
      <c r="D437" s="75">
        <f>IF($M437&gt;0,('Amounts Pivot Table'!S$208/$M437),0)</f>
        <v>0</v>
      </c>
      <c r="E437" s="75">
        <f>IF($M437&gt;0,('Amounts Pivot Table'!S$211/$M437),0)</f>
        <v>3595.3155942002595</v>
      </c>
      <c r="F437" s="75">
        <f t="shared" si="58"/>
        <v>9110.2272779004379</v>
      </c>
      <c r="G437" s="117">
        <f t="shared" si="60"/>
        <v>3</v>
      </c>
      <c r="H437" s="107">
        <f t="shared" si="61"/>
        <v>0</v>
      </c>
      <c r="I437" s="107">
        <f t="shared" si="62"/>
        <v>0</v>
      </c>
      <c r="J437" s="107">
        <f t="shared" si="63"/>
        <v>1</v>
      </c>
      <c r="K437" s="107">
        <f t="shared" si="64"/>
        <v>2</v>
      </c>
      <c r="L437" s="170"/>
      <c r="M437" s="395">
        <f>+[1]Tables!AP201</f>
        <v>2928.8666666666668</v>
      </c>
      <c r="N437" s="164">
        <f>+[1]Tables!BA201</f>
        <v>2800.333333333333</v>
      </c>
      <c r="O437" s="164"/>
      <c r="P437" s="164"/>
      <c r="Q437" s="73" t="s">
        <v>1902</v>
      </c>
      <c r="R437" s="61">
        <f t="shared" si="65"/>
        <v>92937309</v>
      </c>
      <c r="S437" s="61">
        <f t="shared" si="65"/>
        <v>0</v>
      </c>
      <c r="T437" s="61">
        <f t="shared" si="65"/>
        <v>0</v>
      </c>
      <c r="U437" s="61">
        <f t="shared" si="65"/>
        <v>18529788</v>
      </c>
      <c r="V437" s="61">
        <f t="shared" si="65"/>
        <v>111467097</v>
      </c>
    </row>
    <row r="438" spans="1:22" s="61" customFormat="1" ht="12.75" customHeight="1">
      <c r="A438" s="73" t="s">
        <v>1902</v>
      </c>
      <c r="B438" s="75">
        <f>IF($M438&gt;0,('Amounts Pivot Table'!S$241/$M438),0)</f>
        <v>5602.8571540531912</v>
      </c>
      <c r="C438" s="75">
        <f>IF($M438&gt;0,('Amounts Pivot Table'!S$244/$M438),0)</f>
        <v>0</v>
      </c>
      <c r="D438" s="75">
        <f>IF($M438&gt;0,('Amounts Pivot Table'!S$247/$M438),0)</f>
        <v>0</v>
      </c>
      <c r="E438" s="75">
        <f>IF($M438&gt;0,('Amounts Pivot Table'!S$250/$M438),0)</f>
        <v>1117.0944841849141</v>
      </c>
      <c r="F438" s="75">
        <f t="shared" si="58"/>
        <v>6719.9516382381053</v>
      </c>
      <c r="G438" s="117">
        <f t="shared" si="60"/>
        <v>2</v>
      </c>
      <c r="H438" s="107">
        <f t="shared" si="61"/>
        <v>0</v>
      </c>
      <c r="I438" s="107">
        <f t="shared" si="62"/>
        <v>0</v>
      </c>
      <c r="J438" s="107">
        <f t="shared" si="63"/>
        <v>5</v>
      </c>
      <c r="K438" s="107">
        <f t="shared" si="64"/>
        <v>3</v>
      </c>
      <c r="L438" s="170"/>
      <c r="M438" s="395">
        <f>+[1]Tables!AP202</f>
        <v>16587.485000000001</v>
      </c>
      <c r="N438" s="164">
        <f>+[1]Tables!BA202</f>
        <v>15359.887777777778</v>
      </c>
      <c r="O438" s="164"/>
      <c r="P438" s="164"/>
      <c r="Q438" s="73" t="s">
        <v>1905</v>
      </c>
      <c r="R438" s="61">
        <f t="shared" si="65"/>
        <v>0</v>
      </c>
      <c r="S438" s="61">
        <f t="shared" si="65"/>
        <v>0</v>
      </c>
      <c r="T438" s="61">
        <f t="shared" si="65"/>
        <v>0</v>
      </c>
      <c r="U438" s="61">
        <f t="shared" si="65"/>
        <v>0</v>
      </c>
      <c r="V438" s="61">
        <f t="shared" si="65"/>
        <v>0</v>
      </c>
    </row>
    <row r="439" spans="1:22" s="61" customFormat="1" ht="12.75" customHeight="1">
      <c r="A439" s="73" t="s">
        <v>1905</v>
      </c>
      <c r="B439" s="75">
        <f>IF($M439&gt;0,('Amounts Pivot Table'!S$280/$M439),0)</f>
        <v>0</v>
      </c>
      <c r="C439" s="75">
        <f>IF($M439&gt;0,('Amounts Pivot Table'!S$283/$M439),0)</f>
        <v>0</v>
      </c>
      <c r="D439" s="75">
        <f>IF($M439&gt;0,('Amounts Pivot Table'!S$286/$M439),0)</f>
        <v>0</v>
      </c>
      <c r="E439" s="75">
        <f>IF($M439&gt;0,('Amounts Pivot Table'!S$289/$M439),0)</f>
        <v>0</v>
      </c>
      <c r="F439" s="75">
        <f t="shared" si="58"/>
        <v>0</v>
      </c>
      <c r="G439" s="117">
        <f t="shared" si="60"/>
        <v>0</v>
      </c>
      <c r="H439" s="107">
        <f t="shared" si="61"/>
        <v>0</v>
      </c>
      <c r="I439" s="107">
        <f t="shared" si="62"/>
        <v>0</v>
      </c>
      <c r="J439" s="107">
        <f t="shared" si="63"/>
        <v>0</v>
      </c>
      <c r="K439" s="107">
        <f t="shared" si="64"/>
        <v>0</v>
      </c>
      <c r="L439" s="170"/>
      <c r="M439" s="395">
        <f>+[1]Tables!AP203</f>
        <v>0</v>
      </c>
      <c r="N439" s="164">
        <f>+[1]Tables!BA203</f>
        <v>0</v>
      </c>
      <c r="O439" s="164"/>
      <c r="P439" s="164"/>
      <c r="Q439" s="73" t="s">
        <v>1895</v>
      </c>
      <c r="R439" s="61">
        <f t="shared" ref="R439:V442" si="66">B441*$M441</f>
        <v>0</v>
      </c>
      <c r="S439" s="61">
        <f t="shared" si="66"/>
        <v>0</v>
      </c>
      <c r="T439" s="61">
        <f t="shared" si="66"/>
        <v>0</v>
      </c>
      <c r="U439" s="61">
        <f t="shared" si="66"/>
        <v>0</v>
      </c>
      <c r="V439" s="61">
        <f t="shared" si="66"/>
        <v>0</v>
      </c>
    </row>
    <row r="440" spans="1:22" s="61" customFormat="1" ht="12.75" customHeight="1">
      <c r="A440" s="73"/>
      <c r="B440" s="75"/>
      <c r="C440" s="75"/>
      <c r="D440" s="75"/>
      <c r="E440" s="75"/>
      <c r="F440" s="75">
        <f t="shared" si="58"/>
        <v>0</v>
      </c>
      <c r="G440" s="117"/>
      <c r="H440" s="107"/>
      <c r="I440" s="107"/>
      <c r="J440" s="107"/>
      <c r="K440" s="107"/>
      <c r="L440" s="170"/>
      <c r="M440" s="395">
        <f>+[1]Tables!AP204</f>
        <v>0</v>
      </c>
      <c r="N440" s="164">
        <f>+[1]Tables!BA204</f>
        <v>0</v>
      </c>
      <c r="O440" s="164"/>
      <c r="P440" s="164"/>
      <c r="Q440" s="73" t="s">
        <v>1896</v>
      </c>
      <c r="R440" s="61">
        <f t="shared" si="66"/>
        <v>0</v>
      </c>
      <c r="S440" s="61">
        <f t="shared" si="66"/>
        <v>0</v>
      </c>
      <c r="T440" s="61">
        <f t="shared" si="66"/>
        <v>0</v>
      </c>
      <c r="U440" s="61">
        <f t="shared" si="66"/>
        <v>0</v>
      </c>
      <c r="V440" s="61">
        <f t="shared" si="66"/>
        <v>0</v>
      </c>
    </row>
    <row r="441" spans="1:22" s="61" customFormat="1" ht="12.75" customHeight="1">
      <c r="A441" s="73" t="s">
        <v>1895</v>
      </c>
      <c r="B441" s="75">
        <f>IF($M441&gt;0,('Amounts Pivot Table'!S$319/$M441),0)</f>
        <v>0</v>
      </c>
      <c r="C441" s="75">
        <f>IF($M441&gt;0,('Amounts Pivot Table'!S$322/$M441),0)</f>
        <v>0</v>
      </c>
      <c r="D441" s="75">
        <f>IF($M441&gt;0,('Amounts Pivot Table'!S$325/$M441),0)</f>
        <v>0</v>
      </c>
      <c r="E441" s="75">
        <f>IF($M441&gt;0,('Amounts Pivot Table'!S$328/$M441),0)</f>
        <v>0</v>
      </c>
      <c r="F441" s="75">
        <f t="shared" si="58"/>
        <v>0</v>
      </c>
      <c r="G441" s="117">
        <f t="shared" si="60"/>
        <v>0</v>
      </c>
      <c r="H441" s="107">
        <f t="shared" si="61"/>
        <v>0</v>
      </c>
      <c r="I441" s="107">
        <f t="shared" si="62"/>
        <v>0</v>
      </c>
      <c r="J441" s="107">
        <f t="shared" si="63"/>
        <v>0</v>
      </c>
      <c r="K441" s="107">
        <f t="shared" si="64"/>
        <v>0</v>
      </c>
      <c r="L441" s="170"/>
      <c r="M441" s="395">
        <f>+[1]Tables!AP205</f>
        <v>0</v>
      </c>
      <c r="N441" s="164">
        <f>+[1]Tables!BA205</f>
        <v>0</v>
      </c>
      <c r="O441" s="164"/>
      <c r="P441" s="164"/>
      <c r="Q441" s="73" t="s">
        <v>1903</v>
      </c>
      <c r="R441" s="61">
        <f t="shared" si="66"/>
        <v>0</v>
      </c>
      <c r="S441" s="61">
        <f t="shared" si="66"/>
        <v>0</v>
      </c>
      <c r="T441" s="61">
        <f t="shared" si="66"/>
        <v>0</v>
      </c>
      <c r="U441" s="61">
        <f t="shared" si="66"/>
        <v>0</v>
      </c>
      <c r="V441" s="61">
        <f t="shared" si="66"/>
        <v>0</v>
      </c>
    </row>
    <row r="442" spans="1:22" s="61" customFormat="1" ht="12.75" customHeight="1">
      <c r="A442" s="73" t="s">
        <v>1896</v>
      </c>
      <c r="B442" s="75">
        <f>IF($M442&gt;0,('Amounts Pivot Table'!S$358/$M442),0)</f>
        <v>0</v>
      </c>
      <c r="C442" s="75">
        <f>IF($M442&gt;0,('Amounts Pivot Table'!S$361/$M442),0)</f>
        <v>0</v>
      </c>
      <c r="D442" s="75">
        <f>IF($M442&gt;0,('Amounts Pivot Table'!S$364/$M442),0)</f>
        <v>0</v>
      </c>
      <c r="E442" s="75">
        <f>IF($M442&gt;0,('Amounts Pivot Table'!S$367/$M442),0)</f>
        <v>0</v>
      </c>
      <c r="F442" s="75">
        <f t="shared" si="58"/>
        <v>0</v>
      </c>
      <c r="G442" s="117">
        <f t="shared" si="60"/>
        <v>0</v>
      </c>
      <c r="H442" s="107">
        <f t="shared" si="61"/>
        <v>0</v>
      </c>
      <c r="I442" s="107">
        <f t="shared" si="62"/>
        <v>0</v>
      </c>
      <c r="J442" s="107">
        <f t="shared" si="63"/>
        <v>0</v>
      </c>
      <c r="K442" s="107">
        <f t="shared" si="64"/>
        <v>0</v>
      </c>
      <c r="L442" s="170"/>
      <c r="M442" s="395">
        <f>+[1]Tables!AP206</f>
        <v>0</v>
      </c>
      <c r="N442" s="164">
        <f>+[1]Tables!BA206</f>
        <v>0</v>
      </c>
      <c r="O442" s="164"/>
      <c r="P442" s="164"/>
      <c r="Q442" s="73" t="s">
        <v>1897</v>
      </c>
      <c r="R442" s="61">
        <f t="shared" si="66"/>
        <v>0</v>
      </c>
      <c r="S442" s="61">
        <f t="shared" si="66"/>
        <v>0</v>
      </c>
      <c r="T442" s="61">
        <f t="shared" si="66"/>
        <v>0</v>
      </c>
      <c r="U442" s="61">
        <f t="shared" si="66"/>
        <v>0</v>
      </c>
      <c r="V442" s="61">
        <f t="shared" si="66"/>
        <v>0</v>
      </c>
    </row>
    <row r="443" spans="1:22" s="61" customFormat="1" ht="12.75" customHeight="1">
      <c r="A443" s="73" t="s">
        <v>1903</v>
      </c>
      <c r="B443" s="75">
        <f>IF($M443&gt;0,('Amounts Pivot Table'!S$397/$M443),0)</f>
        <v>0</v>
      </c>
      <c r="C443" s="75">
        <f>IF($M443&gt;0,('Amounts Pivot Table'!S$400/$M443),0)</f>
        <v>0</v>
      </c>
      <c r="D443" s="75">
        <f>IF($M443&gt;0,('Amounts Pivot Table'!S$403/$M443),0)</f>
        <v>0</v>
      </c>
      <c r="E443" s="75">
        <f>IF($M443&gt;0,('Amounts Pivot Table'!S$406/$M443),0)</f>
        <v>0</v>
      </c>
      <c r="F443" s="75">
        <f t="shared" si="58"/>
        <v>0</v>
      </c>
      <c r="G443" s="117">
        <f t="shared" si="60"/>
        <v>0</v>
      </c>
      <c r="H443" s="107">
        <f t="shared" si="61"/>
        <v>0</v>
      </c>
      <c r="I443" s="107">
        <f t="shared" si="62"/>
        <v>0</v>
      </c>
      <c r="J443" s="107">
        <f t="shared" si="63"/>
        <v>0</v>
      </c>
      <c r="K443" s="107">
        <f t="shared" si="64"/>
        <v>0</v>
      </c>
      <c r="L443" s="170"/>
      <c r="M443" s="395">
        <f>+[1]Tables!AP207</f>
        <v>0</v>
      </c>
      <c r="N443" s="164">
        <f>+[1]Tables!BA207</f>
        <v>0</v>
      </c>
      <c r="O443" s="164"/>
      <c r="P443" s="164"/>
      <c r="Q443" s="73" t="s">
        <v>647</v>
      </c>
      <c r="R443" s="61">
        <f t="shared" ref="R443:V446" si="67">B446*$M446</f>
        <v>50872900</v>
      </c>
      <c r="S443" s="61">
        <f t="shared" si="67"/>
        <v>0</v>
      </c>
      <c r="T443" s="61">
        <f t="shared" si="67"/>
        <v>0</v>
      </c>
      <c r="U443" s="61">
        <f t="shared" si="67"/>
        <v>19711570</v>
      </c>
      <c r="V443" s="61">
        <f t="shared" si="67"/>
        <v>70584470</v>
      </c>
    </row>
    <row r="444" spans="1:22" s="61" customFormat="1" ht="12.75" customHeight="1">
      <c r="A444" s="73" t="s">
        <v>1897</v>
      </c>
      <c r="B444" s="75">
        <f>IF($M444&gt;0,('Amounts Pivot Table'!S$436/$M444),0)</f>
        <v>0</v>
      </c>
      <c r="C444" s="75">
        <f>IF($M444&gt;0,('Amounts Pivot Table'!S$439/$M444),0)</f>
        <v>0</v>
      </c>
      <c r="D444" s="75">
        <f>IF($M444&gt;0,('Amounts Pivot Table'!S$442/$M444),0)</f>
        <v>0</v>
      </c>
      <c r="E444" s="75">
        <f>IF($M444&gt;0,('Amounts Pivot Table'!S$445/$M444),0)</f>
        <v>0</v>
      </c>
      <c r="F444" s="75">
        <f t="shared" si="58"/>
        <v>0</v>
      </c>
      <c r="G444" s="117">
        <f t="shared" si="60"/>
        <v>0</v>
      </c>
      <c r="H444" s="107">
        <f t="shared" si="61"/>
        <v>0</v>
      </c>
      <c r="I444" s="107">
        <f t="shared" si="62"/>
        <v>0</v>
      </c>
      <c r="J444" s="107">
        <f t="shared" si="63"/>
        <v>0</v>
      </c>
      <c r="K444" s="107">
        <f t="shared" si="64"/>
        <v>0</v>
      </c>
      <c r="L444" s="170"/>
      <c r="M444" s="395">
        <f>+[1]Tables!AP208</f>
        <v>0</v>
      </c>
      <c r="N444" s="164">
        <f>+[1]Tables!BA208</f>
        <v>0</v>
      </c>
      <c r="O444" s="164"/>
      <c r="P444" s="164"/>
      <c r="Q444" s="73" t="s">
        <v>1898</v>
      </c>
      <c r="R444" s="61">
        <f t="shared" si="67"/>
        <v>0</v>
      </c>
      <c r="S444" s="61">
        <f t="shared" si="67"/>
        <v>0</v>
      </c>
      <c r="T444" s="61">
        <f t="shared" si="67"/>
        <v>0</v>
      </c>
      <c r="U444" s="61">
        <f t="shared" si="67"/>
        <v>0</v>
      </c>
      <c r="V444" s="61">
        <f t="shared" si="67"/>
        <v>0</v>
      </c>
    </row>
    <row r="445" spans="1:22" s="61" customFormat="1" ht="12.75" customHeight="1">
      <c r="A445" s="73"/>
      <c r="B445" s="75"/>
      <c r="C445" s="75"/>
      <c r="D445" s="75"/>
      <c r="E445" s="75"/>
      <c r="F445" s="75">
        <f t="shared" si="58"/>
        <v>0</v>
      </c>
      <c r="G445" s="117"/>
      <c r="H445" s="107"/>
      <c r="I445" s="107"/>
      <c r="J445" s="107"/>
      <c r="K445" s="107"/>
      <c r="L445" s="170"/>
      <c r="M445" s="395">
        <f>+[1]Tables!AP209</f>
        <v>0</v>
      </c>
      <c r="N445" s="164">
        <f>+[1]Tables!BA209</f>
        <v>0</v>
      </c>
      <c r="O445" s="164"/>
      <c r="P445" s="164"/>
      <c r="Q445" s="73" t="s">
        <v>1899</v>
      </c>
      <c r="R445" s="61">
        <f t="shared" si="67"/>
        <v>0</v>
      </c>
      <c r="S445" s="61">
        <f t="shared" si="67"/>
        <v>0</v>
      </c>
      <c r="T445" s="61">
        <f t="shared" si="67"/>
        <v>0</v>
      </c>
      <c r="U445" s="61">
        <f t="shared" si="67"/>
        <v>0</v>
      </c>
      <c r="V445" s="61">
        <f t="shared" si="67"/>
        <v>0</v>
      </c>
    </row>
    <row r="446" spans="1:22" s="61" customFormat="1" ht="12.75" customHeight="1">
      <c r="A446" s="73" t="s">
        <v>647</v>
      </c>
      <c r="B446" s="75">
        <f>IF($M446&gt;0,('Amounts Pivot Table'!S$475/$M446),0)</f>
        <v>4609.1983413751223</v>
      </c>
      <c r="C446" s="75">
        <f>IF($M446&gt;0,('Amounts Pivot Table'!S$478/$M446),0)</f>
        <v>0</v>
      </c>
      <c r="D446" s="75">
        <f>IF($M446&gt;0,('Amounts Pivot Table'!S$481/$M446),0)</f>
        <v>0</v>
      </c>
      <c r="E446" s="75">
        <f>IF($M446&gt;0,('Amounts Pivot Table'!S$484/$M446),0)</f>
        <v>1785.9122587841387</v>
      </c>
      <c r="F446" s="75">
        <f t="shared" si="58"/>
        <v>6395.1106001592607</v>
      </c>
      <c r="G446" s="117">
        <f t="shared" si="60"/>
        <v>4</v>
      </c>
      <c r="H446" s="107">
        <f t="shared" si="61"/>
        <v>0</v>
      </c>
      <c r="I446" s="107">
        <f t="shared" si="62"/>
        <v>0</v>
      </c>
      <c r="J446" s="107">
        <f t="shared" si="63"/>
        <v>4</v>
      </c>
      <c r="K446" s="107">
        <f t="shared" si="64"/>
        <v>4</v>
      </c>
      <c r="L446" s="170"/>
      <c r="M446" s="395">
        <f>+[1]Tables!AP210</f>
        <v>11037.255555555552</v>
      </c>
      <c r="N446" s="164">
        <f>+[1]Tables!BA210</f>
        <v>10283.096666666668</v>
      </c>
      <c r="O446" s="164"/>
      <c r="P446" s="164"/>
      <c r="Q446" s="74" t="s">
        <v>1904</v>
      </c>
      <c r="R446" s="61">
        <f t="shared" si="67"/>
        <v>0</v>
      </c>
      <c r="S446" s="61">
        <f t="shared" si="67"/>
        <v>0</v>
      </c>
      <c r="T446" s="61">
        <f t="shared" si="67"/>
        <v>0</v>
      </c>
      <c r="U446" s="61">
        <f t="shared" si="67"/>
        <v>0</v>
      </c>
      <c r="V446" s="61">
        <f t="shared" si="67"/>
        <v>0</v>
      </c>
    </row>
    <row r="447" spans="1:22" s="76" customFormat="1" ht="12.75" customHeight="1">
      <c r="A447" s="73" t="s">
        <v>1898</v>
      </c>
      <c r="B447" s="75">
        <f>IF($M447&gt;0,('Amounts Pivot Table'!S$514/$M447),0)</f>
        <v>0</v>
      </c>
      <c r="C447" s="75">
        <f>IF($M447&gt;0,('Amounts Pivot Table'!S$517/$M447),0)</f>
        <v>0</v>
      </c>
      <c r="D447" s="75">
        <f>IF($M447&gt;0,('Amounts Pivot Table'!S$520/$M447),0)</f>
        <v>0</v>
      </c>
      <c r="E447" s="75">
        <f>IF($M447&gt;0,('Amounts Pivot Table'!S$523/$M447),0)</f>
        <v>0</v>
      </c>
      <c r="F447" s="75">
        <f t="shared" si="58"/>
        <v>0</v>
      </c>
      <c r="G447" s="117">
        <f t="shared" si="60"/>
        <v>0</v>
      </c>
      <c r="H447" s="107">
        <f t="shared" si="61"/>
        <v>0</v>
      </c>
      <c r="I447" s="107">
        <f t="shared" si="62"/>
        <v>0</v>
      </c>
      <c r="J447" s="107">
        <f t="shared" si="63"/>
        <v>0</v>
      </c>
      <c r="K447" s="107">
        <f t="shared" si="64"/>
        <v>0</v>
      </c>
      <c r="L447" s="171"/>
      <c r="M447" s="395">
        <f>+[1]Tables!AP211</f>
        <v>0</v>
      </c>
      <c r="N447" s="164">
        <f>+[1]Tables!BA211</f>
        <v>0</v>
      </c>
      <c r="O447" s="164"/>
      <c r="P447" s="164"/>
    </row>
    <row r="448" spans="1:22" s="61" customFormat="1" ht="12.75" customHeight="1">
      <c r="A448" s="73" t="s">
        <v>1899</v>
      </c>
      <c r="B448" s="75">
        <f>IF($M448&gt;0,('Amounts Pivot Table'!S$553/$M448),0)</f>
        <v>0</v>
      </c>
      <c r="C448" s="75">
        <f>IF($M448&gt;0,('Amounts Pivot Table'!S$556/$M448),0)</f>
        <v>0</v>
      </c>
      <c r="D448" s="75">
        <f>IF($M448&gt;0,('Amounts Pivot Table'!S$559/$M448),0)</f>
        <v>0</v>
      </c>
      <c r="E448" s="75">
        <f>IF($M448&gt;0,('Amounts Pivot Table'!S$562/$M448),0)</f>
        <v>0</v>
      </c>
      <c r="F448" s="75">
        <f t="shared" si="58"/>
        <v>0</v>
      </c>
      <c r="G448" s="117">
        <f t="shared" si="60"/>
        <v>0</v>
      </c>
      <c r="H448" s="107">
        <f t="shared" si="61"/>
        <v>0</v>
      </c>
      <c r="I448" s="107">
        <f t="shared" si="62"/>
        <v>0</v>
      </c>
      <c r="J448" s="107">
        <f t="shared" si="63"/>
        <v>0</v>
      </c>
      <c r="K448" s="107">
        <f t="shared" si="64"/>
        <v>0</v>
      </c>
      <c r="L448" s="172"/>
      <c r="M448" s="395">
        <f>+[1]Tables!AP212</f>
        <v>0</v>
      </c>
      <c r="N448" s="164">
        <f>+[1]Tables!BA212</f>
        <v>0</v>
      </c>
      <c r="O448" s="164"/>
      <c r="P448" s="164"/>
    </row>
    <row r="449" spans="1:17" s="61" customFormat="1" ht="15" customHeight="1">
      <c r="A449" s="74" t="s">
        <v>1904</v>
      </c>
      <c r="B449" s="104">
        <f>IF($M449&gt;0,('Amounts Pivot Table'!S$592/$M449),0)</f>
        <v>0</v>
      </c>
      <c r="C449" s="104">
        <f>IF($M449&gt;0,('Amounts Pivot Table'!S$595/$M449),0)</f>
        <v>0</v>
      </c>
      <c r="D449" s="104">
        <f>IF($M449&gt;0,('Amounts Pivot Table'!S$598/$M449),0)</f>
        <v>0</v>
      </c>
      <c r="E449" s="104">
        <f>IF($M449&gt;0,('Amounts Pivot Table'!S$601/$M449),0)</f>
        <v>0</v>
      </c>
      <c r="F449" s="105">
        <f t="shared" si="58"/>
        <v>0</v>
      </c>
      <c r="G449" s="118">
        <f t="shared" si="60"/>
        <v>0</v>
      </c>
      <c r="H449" s="119">
        <f t="shared" si="61"/>
        <v>0</v>
      </c>
      <c r="I449" s="119">
        <f t="shared" si="62"/>
        <v>0</v>
      </c>
      <c r="J449" s="119">
        <f t="shared" si="63"/>
        <v>0</v>
      </c>
      <c r="K449" s="119">
        <f t="shared" si="64"/>
        <v>0</v>
      </c>
      <c r="L449" s="173"/>
      <c r="M449" s="395">
        <f>+[1]Tables!AP213</f>
        <v>0</v>
      </c>
      <c r="N449" s="164">
        <f>+[1]Tables!BA213</f>
        <v>0</v>
      </c>
      <c r="O449" s="164"/>
      <c r="P449" s="164"/>
    </row>
    <row r="450" spans="1:17" s="76" customFormat="1" ht="34.5" customHeight="1">
      <c r="A450" s="1188" t="s">
        <v>275</v>
      </c>
      <c r="B450" s="1199"/>
      <c r="C450" s="1199"/>
      <c r="D450" s="1199"/>
      <c r="E450" s="1199"/>
      <c r="F450" s="1199"/>
      <c r="G450" s="1199"/>
      <c r="H450" s="1199"/>
      <c r="I450" s="1199"/>
      <c r="J450" s="1199"/>
      <c r="K450" s="1199"/>
      <c r="L450" s="171"/>
      <c r="M450" s="395"/>
      <c r="N450" s="90"/>
      <c r="O450" s="90"/>
      <c r="P450" s="90"/>
      <c r="Q450" s="90"/>
    </row>
    <row r="451" spans="1:17" s="219" customFormat="1" ht="13.5" customHeight="1">
      <c r="A451" s="1188" t="s">
        <v>453</v>
      </c>
      <c r="B451" s="1199"/>
      <c r="C451" s="1199"/>
      <c r="D451" s="1199"/>
      <c r="E451" s="1199"/>
      <c r="F451" s="1199"/>
      <c r="G451" s="1199"/>
      <c r="H451" s="1199"/>
      <c r="I451" s="1199"/>
      <c r="J451" s="1199"/>
      <c r="K451" s="1199"/>
      <c r="L451" s="218"/>
      <c r="M451" s="401"/>
      <c r="N451" s="220"/>
      <c r="O451" s="220"/>
      <c r="P451" s="220"/>
      <c r="Q451" s="220"/>
    </row>
    <row r="452" spans="1:17" s="61" customFormat="1" ht="13.5" customHeight="1">
      <c r="A452" s="1188" t="s">
        <v>1600</v>
      </c>
      <c r="B452" s="1195"/>
      <c r="C452" s="1195"/>
      <c r="D452" s="1195"/>
      <c r="E452" s="1195"/>
      <c r="F452" s="1195"/>
      <c r="G452" s="1196"/>
      <c r="H452" s="1196"/>
      <c r="I452" s="1196"/>
      <c r="J452" s="1196"/>
      <c r="K452" s="1196"/>
      <c r="L452" s="173"/>
      <c r="M452" s="399"/>
      <c r="N452" s="73"/>
      <c r="O452" s="73"/>
      <c r="P452" s="73"/>
      <c r="Q452" s="73"/>
    </row>
    <row r="453" spans="1:17" s="61" customFormat="1" ht="13.5" customHeight="1">
      <c r="A453" s="189"/>
      <c r="B453" s="106"/>
      <c r="C453" s="106"/>
      <c r="D453" s="106"/>
      <c r="E453" s="106"/>
      <c r="F453" s="106"/>
      <c r="G453" s="190"/>
      <c r="H453" s="190"/>
      <c r="I453" s="190"/>
      <c r="J453" s="190"/>
      <c r="K453" s="190"/>
      <c r="L453" s="173"/>
      <c r="M453" s="399"/>
      <c r="N453" s="73"/>
      <c r="O453" s="73"/>
      <c r="P453" s="73"/>
      <c r="Q453" s="73"/>
    </row>
    <row r="454" spans="1:17" s="61" customFormat="1">
      <c r="A454" s="189"/>
      <c r="B454" s="106"/>
      <c r="C454" s="106"/>
      <c r="D454" s="106"/>
      <c r="E454" s="106"/>
      <c r="F454" s="106"/>
      <c r="G454" s="190"/>
      <c r="H454" s="190"/>
      <c r="I454" s="190"/>
      <c r="J454" s="190"/>
      <c r="K454" s="805" t="s">
        <v>1931</v>
      </c>
      <c r="L454" s="73"/>
      <c r="M454" s="402"/>
      <c r="N454" s="73"/>
      <c r="O454" s="73"/>
      <c r="P454" s="73"/>
      <c r="Q454" s="73"/>
    </row>
    <row r="455" spans="1:17" s="61" customFormat="1" ht="18.75" customHeight="1">
      <c r="A455" s="1173" t="s">
        <v>1505</v>
      </c>
      <c r="B455" s="1173"/>
      <c r="C455" s="1173"/>
      <c r="D455" s="1173"/>
      <c r="E455" s="1173"/>
      <c r="F455" s="1173"/>
      <c r="G455" s="1173"/>
      <c r="H455" s="1173"/>
      <c r="I455" s="1173"/>
      <c r="J455" s="1173"/>
      <c r="K455" s="1173"/>
      <c r="L455" s="172"/>
      <c r="M455" s="395"/>
      <c r="N455" s="73"/>
      <c r="O455" s="73"/>
      <c r="P455" s="73"/>
      <c r="Q455" s="73"/>
    </row>
    <row r="456" spans="1:17" s="61" customFormat="1" ht="18.75">
      <c r="A456" s="1173" t="s">
        <v>276</v>
      </c>
      <c r="B456" s="1173"/>
      <c r="C456" s="1173"/>
      <c r="D456" s="1173"/>
      <c r="E456" s="1173"/>
      <c r="F456" s="1173"/>
      <c r="G456" s="1173"/>
      <c r="H456" s="1173"/>
      <c r="I456" s="1173"/>
      <c r="J456" s="1173"/>
      <c r="K456" s="1173"/>
      <c r="L456" s="167"/>
      <c r="M456" s="395"/>
      <c r="N456" s="73"/>
      <c r="O456" s="73"/>
      <c r="P456" s="73"/>
      <c r="Q456" s="73"/>
    </row>
    <row r="457" spans="1:17" s="61" customFormat="1" ht="15.75" customHeight="1">
      <c r="A457" s="1173" t="s">
        <v>119</v>
      </c>
      <c r="B457" s="1173"/>
      <c r="C457" s="1173"/>
      <c r="D457" s="1173"/>
      <c r="E457" s="1173"/>
      <c r="F457" s="1173"/>
      <c r="G457" s="1173"/>
      <c r="H457" s="1173"/>
      <c r="I457" s="1173"/>
      <c r="J457" s="1173"/>
      <c r="K457" s="1173"/>
      <c r="L457" s="167"/>
      <c r="M457" s="398"/>
      <c r="N457" s="73"/>
      <c r="O457" s="73"/>
      <c r="P457" s="73"/>
      <c r="Q457" s="73"/>
    </row>
    <row r="458" spans="1:17" s="113" customFormat="1" ht="8.25">
      <c r="A458" s="196"/>
      <c r="B458" s="196"/>
      <c r="C458" s="196"/>
      <c r="D458" s="196"/>
      <c r="E458" s="196"/>
      <c r="F458" s="196"/>
      <c r="G458" s="197"/>
      <c r="H458" s="196"/>
      <c r="I458" s="196"/>
      <c r="J458" s="196"/>
      <c r="K458" s="196"/>
      <c r="L458" s="198"/>
      <c r="M458" s="405"/>
      <c r="N458" s="111"/>
      <c r="O458" s="111"/>
      <c r="P458" s="111"/>
      <c r="Q458" s="111"/>
    </row>
    <row r="459" spans="1:17" s="61" customFormat="1" ht="14.25" customHeight="1">
      <c r="A459" s="60"/>
      <c r="B459" s="1197" t="s">
        <v>454</v>
      </c>
      <c r="C459" s="1198"/>
      <c r="D459" s="1198"/>
      <c r="E459" s="1198"/>
      <c r="F459" s="1198"/>
      <c r="G459" s="57" t="s">
        <v>909</v>
      </c>
      <c r="H459" s="58"/>
      <c r="I459" s="58"/>
      <c r="J459" s="58"/>
      <c r="K459" s="58"/>
      <c r="L459" s="175"/>
      <c r="M459" s="395"/>
      <c r="N459" s="73"/>
      <c r="O459" s="73"/>
      <c r="P459" s="73"/>
      <c r="Q459" s="73"/>
    </row>
    <row r="460" spans="1:17" s="6" customFormat="1" ht="45">
      <c r="A460" s="50"/>
      <c r="B460" s="51" t="s">
        <v>643</v>
      </c>
      <c r="C460" s="52" t="s">
        <v>645</v>
      </c>
      <c r="D460" s="52" t="s">
        <v>644</v>
      </c>
      <c r="E460" s="52" t="s">
        <v>1835</v>
      </c>
      <c r="F460" s="52" t="s">
        <v>670</v>
      </c>
      <c r="G460" s="53" t="s">
        <v>643</v>
      </c>
      <c r="H460" s="52" t="s">
        <v>645</v>
      </c>
      <c r="I460" s="52" t="s">
        <v>644</v>
      </c>
      <c r="J460" s="52" t="s">
        <v>1835</v>
      </c>
      <c r="K460" s="52" t="s">
        <v>670</v>
      </c>
      <c r="L460" s="169"/>
      <c r="M460" s="397" t="s">
        <v>1772</v>
      </c>
      <c r="N460" s="7"/>
      <c r="O460" s="7"/>
      <c r="P460" s="7"/>
      <c r="Q460" s="7"/>
    </row>
    <row r="461" spans="1:17" s="61" customFormat="1" ht="14.25">
      <c r="A461" s="73" t="s">
        <v>455</v>
      </c>
      <c r="B461" s="102">
        <f>IF($M461&gt;0,('Amounts Pivot Table'!P$631/$M461),0)</f>
        <v>4295.2256537320791</v>
      </c>
      <c r="C461" s="102">
        <f>IF($M461&gt;0,('Amounts Pivot Table'!P$634/$M461),0)</f>
        <v>0.67831262108257129</v>
      </c>
      <c r="D461" s="102">
        <f>IF($M461&gt;0,('Amounts Pivot Table'!P$637/$M461),0)</f>
        <v>0</v>
      </c>
      <c r="E461" s="102">
        <f>IF($M461&gt;0,('Amounts Pivot Table'!P$640/$M461),0)</f>
        <v>1983.6974495385152</v>
      </c>
      <c r="F461" s="102">
        <f>SUM(B461:E461)</f>
        <v>6279.6014158916769</v>
      </c>
      <c r="G461" s="199"/>
      <c r="H461" s="116"/>
      <c r="I461" s="116"/>
      <c r="J461" s="116"/>
      <c r="K461" s="116"/>
      <c r="L461" s="170"/>
      <c r="M461" s="395">
        <f>+[1]Tables!AM193</f>
        <v>73712.324444444443</v>
      </c>
      <c r="N461" s="73"/>
      <c r="O461" s="73"/>
      <c r="P461" s="73"/>
      <c r="Q461" s="73"/>
    </row>
    <row r="462" spans="1:17" s="113" customFormat="1">
      <c r="A462" s="196"/>
      <c r="B462" s="196"/>
      <c r="C462" s="196"/>
      <c r="D462" s="196"/>
      <c r="E462" s="196"/>
      <c r="F462" s="196"/>
      <c r="G462" s="200"/>
      <c r="H462" s="196"/>
      <c r="I462" s="196"/>
      <c r="J462" s="196"/>
      <c r="K462" s="196"/>
      <c r="L462" s="198"/>
      <c r="M462" s="395">
        <f>+[1]Tables!AM194</f>
        <v>0</v>
      </c>
      <c r="N462" s="111"/>
      <c r="O462" s="111"/>
      <c r="P462" s="111"/>
      <c r="Q462" s="111"/>
    </row>
    <row r="463" spans="1:17" s="61" customFormat="1" ht="12.75" customHeight="1">
      <c r="A463" s="73" t="s">
        <v>1892</v>
      </c>
      <c r="B463" s="75">
        <f>IF($M463&gt;0,('Amounts Pivot Table'!P$7/$M463),0)</f>
        <v>9097.3844741280809</v>
      </c>
      <c r="C463" s="75">
        <f>IF($M463&gt;0,('Amounts Pivot Table'!P$10/$M463),0)</f>
        <v>40.807443277653846</v>
      </c>
      <c r="D463" s="75">
        <f>IF($M463&gt;0,('Amounts Pivot Table'!P$13/$M463),0)</f>
        <v>0</v>
      </c>
      <c r="E463" s="75">
        <f>IF($M463&gt;0,('Amounts Pivot Table'!P$16/$M463),0)</f>
        <v>2210.5473638391645</v>
      </c>
      <c r="F463" s="75">
        <f t="shared" ref="F463:F481" si="68">SUM(B463:E463)</f>
        <v>11348.7392812449</v>
      </c>
      <c r="G463" s="117">
        <f>IF(B463&gt;0,RANK(B463,$B$463:$B$481),)</f>
        <v>1</v>
      </c>
      <c r="H463" s="107">
        <f>IF(C463&gt;0,RANK(C463,$C$463:$C$481),)</f>
        <v>1</v>
      </c>
      <c r="I463" s="107">
        <f>IF(D463&gt;0,RANK(D463,$D$463:$D$481),)</f>
        <v>0</v>
      </c>
      <c r="J463" s="107">
        <f>IF(E463&gt;0,RANK(E463,$E$463:$E$481),)</f>
        <v>2</v>
      </c>
      <c r="K463" s="107">
        <f>IF(F463&gt;0,RANK(F463,$F$463:$F$481),)</f>
        <v>1</v>
      </c>
      <c r="L463" s="170"/>
      <c r="M463" s="395">
        <f>+[1]Tables!AM195</f>
        <v>1225.2666666666667</v>
      </c>
      <c r="N463" s="73"/>
      <c r="O463" s="73"/>
      <c r="P463" s="73"/>
      <c r="Q463" s="73"/>
    </row>
    <row r="464" spans="1:17" s="61" customFormat="1" ht="12.75" customHeight="1">
      <c r="A464" s="73" t="s">
        <v>1906</v>
      </c>
      <c r="B464" s="75">
        <f>IF($M464&gt;0,('Amounts Pivot Table'!P$46/$M464),0)</f>
        <v>0</v>
      </c>
      <c r="C464" s="75">
        <f>IF($M464&gt;0,('Amounts Pivot Table'!P$49/$M464),0)</f>
        <v>0</v>
      </c>
      <c r="D464" s="75">
        <f>IF($M464&gt;0,('Amounts Pivot Table'!P$52/$M464),0)</f>
        <v>0</v>
      </c>
      <c r="E464" s="75">
        <f>IF($M464&gt;0,('Amounts Pivot Table'!P$55/$M464),0)</f>
        <v>0</v>
      </c>
      <c r="F464" s="75">
        <f t="shared" si="68"/>
        <v>0</v>
      </c>
      <c r="G464" s="117">
        <f>IF(B464&gt;0,RANK(B464,$B$463:$B$481),)</f>
        <v>0</v>
      </c>
      <c r="H464" s="107">
        <f>IF(C464&gt;0,RANK(C464,$C$463:$C$481),)</f>
        <v>0</v>
      </c>
      <c r="I464" s="107">
        <f>IF(D464&gt;0,RANK(D464,$D$463:$D$481),)</f>
        <v>0</v>
      </c>
      <c r="J464" s="107">
        <f>IF(E464&gt;0,RANK(E464,$E$463:$E$481),)</f>
        <v>0</v>
      </c>
      <c r="K464" s="107">
        <f>IF(F464&gt;0,RANK(F464,$F$463:$F$481),)</f>
        <v>0</v>
      </c>
      <c r="L464" s="170"/>
      <c r="M464" s="395">
        <f>+[1]Tables!AM196</f>
        <v>0</v>
      </c>
      <c r="N464" s="73"/>
      <c r="O464" s="73"/>
      <c r="P464" s="73"/>
      <c r="Q464" s="73"/>
    </row>
    <row r="465" spans="1:17" s="61" customFormat="1" ht="12.75" customHeight="1">
      <c r="A465" s="73" t="s">
        <v>1893</v>
      </c>
      <c r="B465" s="75">
        <f>IF($M465&gt;0,('Amounts Pivot Table'!P$85/$M465),0)</f>
        <v>0</v>
      </c>
      <c r="C465" s="75">
        <f>IF($M465&gt;0,('Amounts Pivot Table'!P$88/$M465),0)</f>
        <v>0</v>
      </c>
      <c r="D465" s="75">
        <f>IF($M465&gt;0,('Amounts Pivot Table'!P$91/$M465),0)</f>
        <v>0</v>
      </c>
      <c r="E465" s="75">
        <f>IF($M465&gt;0,('Amounts Pivot Table'!P$94/$M465),0)</f>
        <v>0</v>
      </c>
      <c r="F465" s="75">
        <f t="shared" si="68"/>
        <v>0</v>
      </c>
      <c r="G465" s="117">
        <f>IF(B465&gt;0,RANK(B465,$B$463:$B$481),)</f>
        <v>0</v>
      </c>
      <c r="H465" s="107">
        <f>IF(C465&gt;0,RANK(C465,$C$463:$C$481),)</f>
        <v>0</v>
      </c>
      <c r="I465" s="107">
        <f>IF(D465&gt;0,RANK(D465,$D$463:$D$481),)</f>
        <v>0</v>
      </c>
      <c r="J465" s="107">
        <f>IF(E465&gt;0,RANK(E465,$E$463:$E$481),)</f>
        <v>0</v>
      </c>
      <c r="K465" s="107">
        <f>IF(F465&gt;0,RANK(F465,$F$463:$F$481),)</f>
        <v>0</v>
      </c>
      <c r="L465" s="177"/>
      <c r="M465" s="395">
        <f>+[1]Tables!AM197</f>
        <v>0</v>
      </c>
      <c r="N465" s="73"/>
      <c r="O465" s="73"/>
      <c r="P465" s="73"/>
      <c r="Q465" s="73"/>
    </row>
    <row r="466" spans="1:17" s="61" customFormat="1" ht="12.75" customHeight="1">
      <c r="A466" s="73" t="s">
        <v>1900</v>
      </c>
      <c r="B466" s="75">
        <f>IF($M466&gt;0,('Amounts Pivot Table'!P$124/$M466),0)</f>
        <v>0</v>
      </c>
      <c r="C466" s="75">
        <f>IF($M466&gt;0,('Amounts Pivot Table'!P$127/$M466),0)</f>
        <v>0</v>
      </c>
      <c r="D466" s="75">
        <f>IF($M466&gt;0,('Amounts Pivot Table'!P$130/$M466),0)</f>
        <v>0</v>
      </c>
      <c r="E466" s="75">
        <f>IF($M466&gt;0,('Amounts Pivot Table'!P$133/$M466),0)</f>
        <v>0</v>
      </c>
      <c r="F466" s="75">
        <f t="shared" si="68"/>
        <v>0</v>
      </c>
      <c r="G466" s="117">
        <f>IF(B466&gt;0,RANK(B466,$B$463:$B$481),)</f>
        <v>0</v>
      </c>
      <c r="H466" s="107">
        <f>IF(C466&gt;0,RANK(C466,$C$463:$C$481),)</f>
        <v>0</v>
      </c>
      <c r="I466" s="107">
        <f>IF(D466&gt;0,RANK(D466,$D$463:$D$481),)</f>
        <v>0</v>
      </c>
      <c r="J466" s="107">
        <f>IF(E466&gt;0,RANK(E466,$E$463:$E$481),)</f>
        <v>0</v>
      </c>
      <c r="K466" s="107">
        <f>IF(F466&gt;0,RANK(F466,$F$463:$F$481),)</f>
        <v>0</v>
      </c>
      <c r="L466" s="170"/>
      <c r="M466" s="395">
        <f>+[1]Tables!AM198</f>
        <v>0</v>
      </c>
      <c r="N466" s="73"/>
      <c r="O466" s="73"/>
      <c r="P466" s="73"/>
      <c r="Q466" s="73"/>
    </row>
    <row r="467" spans="1:17" s="113" customFormat="1">
      <c r="A467" s="196"/>
      <c r="B467" s="196"/>
      <c r="C467" s="196"/>
      <c r="D467" s="196"/>
      <c r="E467" s="196"/>
      <c r="F467" s="196"/>
      <c r="G467" s="200"/>
      <c r="H467" s="196"/>
      <c r="I467" s="196"/>
      <c r="J467" s="196"/>
      <c r="K467" s="196"/>
      <c r="L467" s="198"/>
      <c r="M467" s="395">
        <f>+[1]Tables!AM199</f>
        <v>0</v>
      </c>
      <c r="N467" s="111"/>
      <c r="O467" s="111"/>
      <c r="P467" s="111"/>
      <c r="Q467" s="111"/>
    </row>
    <row r="468" spans="1:17" s="61" customFormat="1" ht="12.75" customHeight="1">
      <c r="A468" s="73" t="s">
        <v>1901</v>
      </c>
      <c r="B468" s="75">
        <f>IF($M468&gt;0,('Amounts Pivot Table'!P$163/$M468),0)</f>
        <v>4123.9133465999275</v>
      </c>
      <c r="C468" s="75">
        <f>IF($M468&gt;0,('Amounts Pivot Table'!P$166/$M468),0)</f>
        <v>0</v>
      </c>
      <c r="D468" s="75">
        <f>IF($M468&gt;0,('Amounts Pivot Table'!P$169/$M468),0)</f>
        <v>0</v>
      </c>
      <c r="E468" s="75">
        <f>IF($M468&gt;0,('Amounts Pivot Table'!P$172/$M468),0)</f>
        <v>1908.6705186845011</v>
      </c>
      <c r="F468" s="75">
        <f t="shared" si="68"/>
        <v>6032.5838652844286</v>
      </c>
      <c r="G468" s="117">
        <f>IF(B468&gt;0,RANK(B468,$B$463:$B$481),)</f>
        <v>4</v>
      </c>
      <c r="H468" s="107">
        <f>IF(C468&gt;0,RANK(C468,$C$463:$C$481),)</f>
        <v>0</v>
      </c>
      <c r="I468" s="107">
        <f>IF(D468&gt;0,RANK(D468,$D$463:$D$481),)</f>
        <v>0</v>
      </c>
      <c r="J468" s="107">
        <f>IF(E468&gt;0,RANK(E468,$E$463:$E$481),)</f>
        <v>4</v>
      </c>
      <c r="K468" s="107">
        <f>IF(F468&gt;0,RANK(F468,$F$463:$F$481),)</f>
        <v>4</v>
      </c>
      <c r="L468" s="177"/>
      <c r="M468" s="395">
        <f>+[1]Tables!AM200</f>
        <v>68099.757777777777</v>
      </c>
      <c r="N468" s="73"/>
      <c r="O468" s="73"/>
      <c r="P468" s="73"/>
      <c r="Q468" s="73"/>
    </row>
    <row r="469" spans="1:17" s="61" customFormat="1" ht="12.75" customHeight="1">
      <c r="A469" s="73" t="s">
        <v>1894</v>
      </c>
      <c r="B469" s="75">
        <f>IF($M469&gt;0,('Amounts Pivot Table'!P$202/$M469),0)</f>
        <v>5514.9116837001793</v>
      </c>
      <c r="C469" s="75">
        <f>IF($M469&gt;0,('Amounts Pivot Table'!P$205/$M469),0)</f>
        <v>0</v>
      </c>
      <c r="D469" s="75">
        <f>IF($M469&gt;0,('Amounts Pivot Table'!P$208/$M469),0)</f>
        <v>0</v>
      </c>
      <c r="E469" s="75">
        <f>IF($M469&gt;0,('Amounts Pivot Table'!P$211/$M469),0)</f>
        <v>3595.3155942002595</v>
      </c>
      <c r="F469" s="75">
        <f t="shared" si="68"/>
        <v>9110.2272779004379</v>
      </c>
      <c r="G469" s="117">
        <f>IF(B469&gt;0,RANK(B469,$B$463:$B$481),)</f>
        <v>3</v>
      </c>
      <c r="H469" s="107">
        <f>IF(C469&gt;0,RANK(C469,$C$463:$C$481),)</f>
        <v>0</v>
      </c>
      <c r="I469" s="107">
        <f>IF(D469&gt;0,RANK(D469,$D$463:$D$481),)</f>
        <v>0</v>
      </c>
      <c r="J469" s="107">
        <f>IF(E469&gt;0,RANK(E469,$E$463:$E$481),)</f>
        <v>1</v>
      </c>
      <c r="K469" s="107">
        <f>IF(F469&gt;0,RANK(F469,$F$463:$F$481),)</f>
        <v>2</v>
      </c>
      <c r="L469" s="170"/>
      <c r="M469" s="395">
        <f>+[1]Tables!AM201</f>
        <v>2928.8666666666668</v>
      </c>
      <c r="N469" s="73"/>
      <c r="O469" s="73"/>
      <c r="P469" s="73"/>
      <c r="Q469" s="73"/>
    </row>
    <row r="470" spans="1:17" s="61" customFormat="1" ht="12.75" customHeight="1">
      <c r="A470" s="73" t="s">
        <v>1902</v>
      </c>
      <c r="B470" s="75">
        <f>IF($M470&gt;0,('Amounts Pivot Table'!P$241/$M470),0)</f>
        <v>5810.621443101044</v>
      </c>
      <c r="C470" s="75">
        <f>IF($M470&gt;0,('Amounts Pivot Table'!P$244/$M470),0)</f>
        <v>0</v>
      </c>
      <c r="D470" s="75">
        <f>IF($M470&gt;0,('Amounts Pivot Table'!P$247/$M470),0)</f>
        <v>0</v>
      </c>
      <c r="E470" s="75">
        <f>IF($M470&gt;0,('Amounts Pivot Table'!P$250/$M470),0)</f>
        <v>2059.9090348090417</v>
      </c>
      <c r="F470" s="75">
        <f t="shared" si="68"/>
        <v>7870.5304779100861</v>
      </c>
      <c r="G470" s="117">
        <f>IF(B470&gt;0,RANK(B470,$B$463:$B$481),)</f>
        <v>2</v>
      </c>
      <c r="H470" s="107">
        <f>IF(C470&gt;0,RANK(C470,$C$463:$C$481),)</f>
        <v>0</v>
      </c>
      <c r="I470" s="107">
        <f>IF(D470&gt;0,RANK(D470,$D$463:$D$481),)</f>
        <v>0</v>
      </c>
      <c r="J470" s="107">
        <f>IF(E470&gt;0,RANK(E470,$E$463:$E$481),)</f>
        <v>3</v>
      </c>
      <c r="K470" s="107">
        <f>IF(F470&gt;0,RANK(F470,$F$463:$F$481),)</f>
        <v>3</v>
      </c>
      <c r="L470" s="170"/>
      <c r="M470" s="395">
        <f>+[1]Tables!AM202</f>
        <v>1458.4333333333334</v>
      </c>
      <c r="N470" s="73"/>
      <c r="O470" s="73"/>
      <c r="P470" s="73"/>
      <c r="Q470" s="73"/>
    </row>
    <row r="471" spans="1:17" s="61" customFormat="1" ht="12.75" customHeight="1">
      <c r="A471" s="73" t="s">
        <v>1905</v>
      </c>
      <c r="B471" s="75">
        <f>IF($M471&gt;0,('Amounts Pivot Table'!P$280/$M471),0)</f>
        <v>0</v>
      </c>
      <c r="C471" s="75">
        <f>IF($M471&gt;0,('Amounts Pivot Table'!P$283/$M471),0)</f>
        <v>0</v>
      </c>
      <c r="D471" s="75">
        <f>IF($M471&gt;0,('Amounts Pivot Table'!P$286/$M471),0)</f>
        <v>0</v>
      </c>
      <c r="E471" s="75">
        <f>IF($M471&gt;0,('Amounts Pivot Table'!P$289/$M471),0)</f>
        <v>0</v>
      </c>
      <c r="F471" s="75">
        <f t="shared" si="68"/>
        <v>0</v>
      </c>
      <c r="G471" s="117">
        <f>IF(B471&gt;0,RANK(B471,$B$463:$B$481),)</f>
        <v>0</v>
      </c>
      <c r="H471" s="107">
        <f>IF(C471&gt;0,RANK(C471,$C$463:$C$481),)</f>
        <v>0</v>
      </c>
      <c r="I471" s="107">
        <f>IF(D471&gt;0,RANK(D471,$D$463:$D$481),)</f>
        <v>0</v>
      </c>
      <c r="J471" s="107">
        <f>IF(E471&gt;0,RANK(E471,$E$463:$E$481),)</f>
        <v>0</v>
      </c>
      <c r="K471" s="107">
        <f>IF(F471&gt;0,RANK(F471,$F$463:$F$481),)</f>
        <v>0</v>
      </c>
      <c r="L471" s="177"/>
      <c r="M471" s="395">
        <f>+[1]Tables!AM203</f>
        <v>0</v>
      </c>
      <c r="N471" s="73"/>
      <c r="O471" s="73"/>
      <c r="P471" s="73"/>
      <c r="Q471" s="73"/>
    </row>
    <row r="472" spans="1:17" s="113" customFormat="1">
      <c r="A472" s="196"/>
      <c r="B472" s="196"/>
      <c r="C472" s="196"/>
      <c r="D472" s="196"/>
      <c r="E472" s="196"/>
      <c r="F472" s="196"/>
      <c r="G472" s="200"/>
      <c r="H472" s="196"/>
      <c r="I472" s="196"/>
      <c r="J472" s="196"/>
      <c r="K472" s="196"/>
      <c r="L472" s="198"/>
      <c r="M472" s="395">
        <f>+[1]Tables!AM204</f>
        <v>0</v>
      </c>
      <c r="N472" s="111"/>
      <c r="O472" s="111"/>
      <c r="P472" s="111"/>
      <c r="Q472" s="111"/>
    </row>
    <row r="473" spans="1:17" s="61" customFormat="1" ht="12.75" customHeight="1">
      <c r="A473" s="73" t="s">
        <v>1895</v>
      </c>
      <c r="B473" s="75">
        <f>IF($M473&gt;0,('Amounts Pivot Table'!P$319/$M473),0)</f>
        <v>0</v>
      </c>
      <c r="C473" s="75">
        <f>IF($M473&gt;0,('Amounts Pivot Table'!P$322/$M473),0)</f>
        <v>0</v>
      </c>
      <c r="D473" s="75">
        <f>IF($M473&gt;0,('Amounts Pivot Table'!P$325/$M473),0)</f>
        <v>0</v>
      </c>
      <c r="E473" s="75">
        <f>IF($M473&gt;0,('Amounts Pivot Table'!P$328/$M473),0)</f>
        <v>0</v>
      </c>
      <c r="F473" s="75">
        <f t="shared" si="68"/>
        <v>0</v>
      </c>
      <c r="G473" s="117">
        <f>IF(B473&gt;0,RANK(B473,$B$463:$B$481),)</f>
        <v>0</v>
      </c>
      <c r="H473" s="107">
        <f>IF(C473&gt;0,RANK(C473,$C$463:$C$481),)</f>
        <v>0</v>
      </c>
      <c r="I473" s="107">
        <f>IF(D473&gt;0,RANK(D473,$D$463:$D$481),)</f>
        <v>0</v>
      </c>
      <c r="J473" s="107">
        <f>IF(E473&gt;0,RANK(E473,$E$463:$E$481),)</f>
        <v>0</v>
      </c>
      <c r="K473" s="107">
        <f>IF(F473&gt;0,RANK(F473,$F$463:$F$481),)</f>
        <v>0</v>
      </c>
      <c r="L473" s="170"/>
      <c r="M473" s="395">
        <f>+[1]Tables!AM205</f>
        <v>0</v>
      </c>
      <c r="N473" s="73"/>
      <c r="O473" s="73"/>
      <c r="P473" s="73"/>
      <c r="Q473" s="73"/>
    </row>
    <row r="474" spans="1:17" s="61" customFormat="1" ht="12.75" customHeight="1">
      <c r="A474" s="73" t="s">
        <v>1896</v>
      </c>
      <c r="B474" s="75">
        <f>IF($M474&gt;0,('Amounts Pivot Table'!P$358/$M474),0)</f>
        <v>0</v>
      </c>
      <c r="C474" s="75">
        <f>IF($M474&gt;0,('Amounts Pivot Table'!P$361/$M474),0)</f>
        <v>0</v>
      </c>
      <c r="D474" s="75">
        <f>IF($M474&gt;0,('Amounts Pivot Table'!P$364/$M474),0)</f>
        <v>0</v>
      </c>
      <c r="E474" s="75">
        <f>IF($M474&gt;0,('Amounts Pivot Table'!P$367/$M474),0)</f>
        <v>0</v>
      </c>
      <c r="F474" s="75">
        <f t="shared" si="68"/>
        <v>0</v>
      </c>
      <c r="G474" s="117">
        <f>IF(B474&gt;0,RANK(B474,$B$463:$B$481),)</f>
        <v>0</v>
      </c>
      <c r="H474" s="107">
        <f>IF(C474&gt;0,RANK(C474,$C$463:$C$481),)</f>
        <v>0</v>
      </c>
      <c r="I474" s="107">
        <f>IF(D474&gt;0,RANK(D474,$D$463:$D$481),)</f>
        <v>0</v>
      </c>
      <c r="J474" s="107">
        <f>IF(E474&gt;0,RANK(E474,$E$463:$E$481),)</f>
        <v>0</v>
      </c>
      <c r="K474" s="107">
        <f>IF(F474&gt;0,RANK(F474,$F$463:$F$481),)</f>
        <v>0</v>
      </c>
      <c r="L474" s="177"/>
      <c r="M474" s="395">
        <f>+[1]Tables!AM206</f>
        <v>0</v>
      </c>
      <c r="N474" s="73"/>
      <c r="O474" s="73"/>
      <c r="P474" s="73"/>
      <c r="Q474" s="73"/>
    </row>
    <row r="475" spans="1:17" s="61" customFormat="1" ht="12.75" customHeight="1">
      <c r="A475" s="73" t="s">
        <v>1903</v>
      </c>
      <c r="B475" s="75">
        <f>IF($M475&gt;0,('Amounts Pivot Table'!P$397/$M475),0)</f>
        <v>0</v>
      </c>
      <c r="C475" s="75">
        <f>IF($M475&gt;0,('Amounts Pivot Table'!P$400/$M475),0)</f>
        <v>0</v>
      </c>
      <c r="D475" s="75">
        <f>IF($M475&gt;0,('Amounts Pivot Table'!P$403/$M475),0)</f>
        <v>0</v>
      </c>
      <c r="E475" s="75">
        <f>IF($M475&gt;0,('Amounts Pivot Table'!P$406/$M475),0)</f>
        <v>0</v>
      </c>
      <c r="F475" s="75">
        <f t="shared" si="68"/>
        <v>0</v>
      </c>
      <c r="G475" s="117">
        <f>IF(B475&gt;0,RANK(B475,$B$463:$B$481),)</f>
        <v>0</v>
      </c>
      <c r="H475" s="107">
        <f>IF(C475&gt;0,RANK(C475,$C$463:$C$481),)</f>
        <v>0</v>
      </c>
      <c r="I475" s="107">
        <f>IF(D475&gt;0,RANK(D475,$D$463:$D$481),)</f>
        <v>0</v>
      </c>
      <c r="J475" s="107">
        <f>IF(E475&gt;0,RANK(E475,$E$463:$E$481),)</f>
        <v>0</v>
      </c>
      <c r="K475" s="107">
        <f>IF(F475&gt;0,RANK(F475,$F$463:$F$481),)</f>
        <v>0</v>
      </c>
      <c r="L475" s="170"/>
      <c r="M475" s="395">
        <f>+[1]Tables!AM207</f>
        <v>0</v>
      </c>
      <c r="N475" s="73"/>
      <c r="O475" s="73"/>
      <c r="P475" s="73"/>
      <c r="Q475" s="73"/>
    </row>
    <row r="476" spans="1:17" s="61" customFormat="1" ht="12.75" customHeight="1">
      <c r="A476" s="73" t="s">
        <v>1897</v>
      </c>
      <c r="B476" s="75">
        <f>IF($M476&gt;0,('Amounts Pivot Table'!P$436/$M476),0)</f>
        <v>0</v>
      </c>
      <c r="C476" s="75">
        <f>IF($M476&gt;0,('Amounts Pivot Table'!P$439/$M476),0)</f>
        <v>0</v>
      </c>
      <c r="D476" s="75">
        <f>IF($M476&gt;0,('Amounts Pivot Table'!P$442/$M476),0)</f>
        <v>0</v>
      </c>
      <c r="E476" s="75">
        <f>IF($M476&gt;0,('Amounts Pivot Table'!P$445/$M476),0)</f>
        <v>0</v>
      </c>
      <c r="F476" s="75">
        <f t="shared" si="68"/>
        <v>0</v>
      </c>
      <c r="G476" s="117">
        <f>IF(B476&gt;0,RANK(B476,$B$463:$B$481),)</f>
        <v>0</v>
      </c>
      <c r="H476" s="107">
        <f>IF(C476&gt;0,RANK(C476,$C$463:$C$481),)</f>
        <v>0</v>
      </c>
      <c r="I476" s="107">
        <f>IF(D476&gt;0,RANK(D476,$D$463:$D$481),)</f>
        <v>0</v>
      </c>
      <c r="J476" s="107">
        <f>IF(E476&gt;0,RANK(E476,$E$463:$E$481),)</f>
        <v>0</v>
      </c>
      <c r="K476" s="107">
        <f>IF(F476&gt;0,RANK(F476,$F$463:$F$481),)</f>
        <v>0</v>
      </c>
      <c r="L476" s="170"/>
      <c r="M476" s="395">
        <f>+[1]Tables!AM208</f>
        <v>0</v>
      </c>
      <c r="N476" s="73"/>
      <c r="O476" s="73"/>
      <c r="P476" s="73"/>
      <c r="Q476" s="73"/>
    </row>
    <row r="477" spans="1:17" s="113" customFormat="1">
      <c r="A477" s="196"/>
      <c r="B477" s="196"/>
      <c r="C477" s="196"/>
      <c r="D477" s="196"/>
      <c r="E477" s="196"/>
      <c r="F477" s="196"/>
      <c r="G477" s="200"/>
      <c r="H477" s="196"/>
      <c r="I477" s="196"/>
      <c r="J477" s="196"/>
      <c r="K477" s="196"/>
      <c r="L477" s="198"/>
      <c r="M477" s="395">
        <f>+[1]Tables!AM209</f>
        <v>0</v>
      </c>
      <c r="N477" s="111"/>
      <c r="O477" s="111"/>
      <c r="P477" s="111"/>
      <c r="Q477" s="111"/>
    </row>
    <row r="478" spans="1:17" s="61" customFormat="1" ht="12.75" customHeight="1">
      <c r="A478" s="73" t="s">
        <v>647</v>
      </c>
      <c r="B478" s="75">
        <f>IF($M478&gt;0,('Amounts Pivot Table'!P$475/$M478),0)</f>
        <v>0</v>
      </c>
      <c r="C478" s="75">
        <f>IF($M478&gt;0,('Amounts Pivot Table'!P$478/$M478),0)</f>
        <v>0</v>
      </c>
      <c r="D478" s="75">
        <f>IF($M478&gt;0,('Amounts Pivot Table'!P$481/$M478),0)</f>
        <v>0</v>
      </c>
      <c r="E478" s="75">
        <f>IF($M478&gt;0,('Amounts Pivot Table'!P$484/$M478),0)</f>
        <v>0</v>
      </c>
      <c r="F478" s="75">
        <f t="shared" si="68"/>
        <v>0</v>
      </c>
      <c r="G478" s="117">
        <f>IF(B478&gt;0,RANK(B478,$B$463:$B$481),)</f>
        <v>0</v>
      </c>
      <c r="H478" s="107">
        <f>IF(C478&gt;0,RANK(C478,$C$463:$C$481),)</f>
        <v>0</v>
      </c>
      <c r="I478" s="107">
        <f>IF(D478&gt;0,RANK(D478,$D$463:$D$481),)</f>
        <v>0</v>
      </c>
      <c r="J478" s="107">
        <f>IF(E478&gt;0,RANK(E478,$E$463:$E$481),)</f>
        <v>0</v>
      </c>
      <c r="K478" s="107">
        <f>IF(F478&gt;0,RANK(F478,$F$463:$F$481),)</f>
        <v>0</v>
      </c>
      <c r="L478" s="170"/>
      <c r="M478" s="395">
        <f>+[1]Tables!AM210</f>
        <v>0</v>
      </c>
      <c r="N478" s="73"/>
      <c r="O478" s="73"/>
      <c r="P478" s="73"/>
      <c r="Q478" s="73"/>
    </row>
    <row r="479" spans="1:17" s="76" customFormat="1" ht="12.75" customHeight="1">
      <c r="A479" s="73" t="s">
        <v>1898</v>
      </c>
      <c r="B479" s="75">
        <f>IF($M479&gt;0,('Amounts Pivot Table'!P$514/$M479),0)</f>
        <v>0</v>
      </c>
      <c r="C479" s="75">
        <f>IF($M479&gt;0,('Amounts Pivot Table'!P$517/$M479),0)</f>
        <v>0</v>
      </c>
      <c r="D479" s="75">
        <f>IF($M479&gt;0,('Amounts Pivot Table'!P$520/$M479),0)</f>
        <v>0</v>
      </c>
      <c r="E479" s="75">
        <f>IF($M479&gt;0,('Amounts Pivot Table'!P$523/$M479),0)</f>
        <v>0</v>
      </c>
      <c r="F479" s="75">
        <f t="shared" si="68"/>
        <v>0</v>
      </c>
      <c r="G479" s="117">
        <f>IF(B479&gt;0,RANK(B479,$B$463:$B$481),)</f>
        <v>0</v>
      </c>
      <c r="H479" s="107">
        <f>IF(C479&gt;0,RANK(C479,$C$463:$C$481),)</f>
        <v>0</v>
      </c>
      <c r="I479" s="107">
        <f>IF(D479&gt;0,RANK(D479,$D$463:$D$481),)</f>
        <v>0</v>
      </c>
      <c r="J479" s="107">
        <f>IF(E479&gt;0,RANK(E479,$E$463:$E$481),)</f>
        <v>0</v>
      </c>
      <c r="K479" s="107">
        <f>IF(F479&gt;0,RANK(F479,$F$463:$F$481),)</f>
        <v>0</v>
      </c>
      <c r="L479" s="170"/>
      <c r="M479" s="395">
        <f>+[1]Tables!AM211</f>
        <v>0</v>
      </c>
      <c r="N479" s="90"/>
      <c r="O479" s="90"/>
      <c r="P479" s="90"/>
      <c r="Q479" s="90"/>
    </row>
    <row r="480" spans="1:17" s="61" customFormat="1" ht="12.75" customHeight="1">
      <c r="A480" s="73" t="s">
        <v>1899</v>
      </c>
      <c r="B480" s="75">
        <f>IF($M480&gt;0,('Amounts Pivot Table'!P$553/$M480),0)</f>
        <v>0</v>
      </c>
      <c r="C480" s="75">
        <f>IF($M480&gt;0,('Amounts Pivot Table'!P$556/$M480),0)</f>
        <v>0</v>
      </c>
      <c r="D480" s="75">
        <f>IF($M480&gt;0,('Amounts Pivot Table'!P$559/$M480),0)</f>
        <v>0</v>
      </c>
      <c r="E480" s="75">
        <f>IF($M480&gt;0,('Amounts Pivot Table'!P$562/$M480),0)</f>
        <v>0</v>
      </c>
      <c r="F480" s="75">
        <f t="shared" si="68"/>
        <v>0</v>
      </c>
      <c r="G480" s="117">
        <f>IF(B480&gt;0,RANK(B480,$B$463:$B$481),)</f>
        <v>0</v>
      </c>
      <c r="H480" s="107">
        <f>IF(C480&gt;0,RANK(C480,$C$463:$C$481),)</f>
        <v>0</v>
      </c>
      <c r="I480" s="107">
        <f>IF(D480&gt;0,RANK(D480,$D$463:$D$481),)</f>
        <v>0</v>
      </c>
      <c r="J480" s="107">
        <f>IF(E480&gt;0,RANK(E480,$E$463:$E$481),)</f>
        <v>0</v>
      </c>
      <c r="K480" s="107">
        <f>IF(F480&gt;0,RANK(F480,$F$463:$F$481),)</f>
        <v>0</v>
      </c>
      <c r="L480" s="177"/>
      <c r="M480" s="395">
        <f>+[1]Tables!AM212</f>
        <v>0</v>
      </c>
      <c r="N480" s="73"/>
      <c r="O480" s="73"/>
      <c r="P480" s="73"/>
      <c r="Q480" s="73"/>
    </row>
    <row r="481" spans="1:17" s="61" customFormat="1" ht="17.25" customHeight="1">
      <c r="A481" s="74" t="s">
        <v>1904</v>
      </c>
      <c r="B481" s="104">
        <f>IF($M481&gt;0,('Amounts Pivot Table'!P$592/$M481),0)</f>
        <v>0</v>
      </c>
      <c r="C481" s="104">
        <f>IF($M481&gt;0,('Amounts Pivot Table'!P$595/$M481),0)</f>
        <v>0</v>
      </c>
      <c r="D481" s="104">
        <f>IF($M481&gt;0,('Amounts Pivot Table'!P$598/$M481),0)</f>
        <v>0</v>
      </c>
      <c r="E481" s="104">
        <f>IF($M481&gt;0,('Amounts Pivot Table'!P$601/$M481),0)</f>
        <v>0</v>
      </c>
      <c r="F481" s="105">
        <f t="shared" si="68"/>
        <v>0</v>
      </c>
      <c r="G481" s="118">
        <f>IF(B481&gt;0,RANK(B481,$B$463:$B$481),)</f>
        <v>0</v>
      </c>
      <c r="H481" s="119">
        <f>IF(C481&gt;0,RANK(C481,$C$463:$C$481),)</f>
        <v>0</v>
      </c>
      <c r="I481" s="119">
        <f>IF(D481&gt;0,RANK(D481,$D$463:$D$481),)</f>
        <v>0</v>
      </c>
      <c r="J481" s="119">
        <f>IF(E481&gt;0,RANK(E481,$E$463:$E$481),)</f>
        <v>0</v>
      </c>
      <c r="K481" s="119">
        <f>IF(F481&gt;0,RANK(F481,$F$463:$F$481),)</f>
        <v>0</v>
      </c>
      <c r="L481" s="170"/>
      <c r="M481" s="395">
        <f>+[1]Tables!AM213</f>
        <v>0</v>
      </c>
      <c r="N481" s="73"/>
      <c r="O481" s="73"/>
      <c r="P481" s="73"/>
      <c r="Q481" s="73"/>
    </row>
    <row r="482" spans="1:17" s="76" customFormat="1" ht="34.5" customHeight="1">
      <c r="A482" s="1188" t="s">
        <v>275</v>
      </c>
      <c r="B482" s="1199"/>
      <c r="C482" s="1199"/>
      <c r="D482" s="1199"/>
      <c r="E482" s="1199"/>
      <c r="F482" s="1199"/>
      <c r="G482" s="1199"/>
      <c r="H482" s="1199"/>
      <c r="I482" s="1199"/>
      <c r="J482" s="1199"/>
      <c r="K482" s="1199"/>
      <c r="L482" s="171"/>
      <c r="M482" s="395"/>
      <c r="N482" s="90"/>
      <c r="O482" s="90"/>
      <c r="P482" s="90"/>
      <c r="Q482" s="90"/>
    </row>
    <row r="483" spans="1:17" s="219" customFormat="1" ht="13.5" customHeight="1">
      <c r="A483" s="1188" t="s">
        <v>453</v>
      </c>
      <c r="B483" s="1199"/>
      <c r="C483" s="1199"/>
      <c r="D483" s="1199"/>
      <c r="E483" s="1199"/>
      <c r="F483" s="1199"/>
      <c r="G483" s="1199"/>
      <c r="H483" s="1199"/>
      <c r="I483" s="1199"/>
      <c r="J483" s="1199"/>
      <c r="K483" s="1199"/>
      <c r="L483" s="218"/>
      <c r="M483" s="401"/>
      <c r="N483" s="220"/>
      <c r="O483" s="220"/>
      <c r="P483" s="220"/>
      <c r="Q483" s="220"/>
    </row>
    <row r="484" spans="1:17" s="61" customFormat="1" ht="13.5" customHeight="1">
      <c r="A484" s="1188" t="s">
        <v>1600</v>
      </c>
      <c r="B484" s="1195"/>
      <c r="C484" s="1195"/>
      <c r="D484" s="1195"/>
      <c r="E484" s="1195"/>
      <c r="F484" s="1195"/>
      <c r="G484" s="1196"/>
      <c r="H484" s="1196"/>
      <c r="I484" s="1196"/>
      <c r="J484" s="1196"/>
      <c r="K484" s="1196"/>
      <c r="L484" s="173"/>
      <c r="M484" s="399"/>
      <c r="N484" s="73"/>
      <c r="O484" s="73"/>
      <c r="P484" s="73"/>
      <c r="Q484" s="73"/>
    </row>
    <row r="485" spans="1:17" s="61" customFormat="1" ht="13.5" customHeight="1">
      <c r="A485" s="189"/>
      <c r="B485" s="106"/>
      <c r="C485" s="106"/>
      <c r="D485" s="106"/>
      <c r="E485" s="106"/>
      <c r="F485" s="106"/>
      <c r="G485" s="190"/>
      <c r="H485" s="190"/>
      <c r="I485" s="190"/>
      <c r="J485" s="190"/>
      <c r="K485" s="190"/>
      <c r="L485" s="173"/>
      <c r="M485" s="399"/>
      <c r="N485" s="73"/>
      <c r="O485" s="73"/>
      <c r="P485" s="73"/>
      <c r="Q485" s="73"/>
    </row>
    <row r="486" spans="1:17" s="61" customFormat="1">
      <c r="A486" s="189"/>
      <c r="B486" s="106"/>
      <c r="C486" s="106"/>
      <c r="D486" s="106"/>
      <c r="E486" s="106"/>
      <c r="F486" s="106"/>
      <c r="G486" s="190"/>
      <c r="H486" s="190"/>
      <c r="I486" s="190"/>
      <c r="J486" s="190"/>
      <c r="K486" s="805" t="s">
        <v>1931</v>
      </c>
      <c r="L486" s="173"/>
      <c r="M486" s="402"/>
      <c r="N486" s="73"/>
      <c r="O486" s="73"/>
      <c r="P486" s="73"/>
      <c r="Q486" s="73"/>
    </row>
    <row r="487" spans="1:17" s="61" customFormat="1" ht="18.75" customHeight="1">
      <c r="A487" s="1173" t="s">
        <v>1506</v>
      </c>
      <c r="B487" s="1173"/>
      <c r="C487" s="1173"/>
      <c r="D487" s="1173"/>
      <c r="E487" s="1173"/>
      <c r="F487" s="1173"/>
      <c r="G487" s="1173"/>
      <c r="H487" s="1173"/>
      <c r="I487" s="1173"/>
      <c r="J487" s="1173"/>
      <c r="K487" s="1173"/>
      <c r="L487" s="172"/>
      <c r="M487" s="395"/>
      <c r="N487" s="73"/>
      <c r="O487" s="73"/>
      <c r="P487" s="73"/>
      <c r="Q487" s="73"/>
    </row>
    <row r="488" spans="1:17" s="61" customFormat="1" ht="18.75">
      <c r="A488" s="1173" t="s">
        <v>276</v>
      </c>
      <c r="B488" s="1173"/>
      <c r="C488" s="1173"/>
      <c r="D488" s="1173"/>
      <c r="E488" s="1173"/>
      <c r="F488" s="1173"/>
      <c r="G488" s="1173"/>
      <c r="H488" s="1173"/>
      <c r="I488" s="1173"/>
      <c r="J488" s="1173"/>
      <c r="K488" s="1173"/>
      <c r="L488" s="167"/>
      <c r="M488" s="395"/>
      <c r="N488" s="73"/>
      <c r="O488" s="73"/>
      <c r="P488" s="73"/>
      <c r="Q488" s="73"/>
    </row>
    <row r="489" spans="1:17" s="61" customFormat="1" ht="15.75" customHeight="1">
      <c r="A489" s="1173" t="s">
        <v>120</v>
      </c>
      <c r="B489" s="1173"/>
      <c r="C489" s="1173"/>
      <c r="D489" s="1173"/>
      <c r="E489" s="1173"/>
      <c r="F489" s="1173"/>
      <c r="G489" s="1173"/>
      <c r="H489" s="1173"/>
      <c r="I489" s="1173"/>
      <c r="J489" s="1173"/>
      <c r="K489" s="1173"/>
      <c r="L489" s="167"/>
      <c r="M489" s="406"/>
      <c r="N489" s="73"/>
      <c r="O489" s="73"/>
      <c r="P489" s="73"/>
      <c r="Q489" s="73"/>
    </row>
    <row r="490" spans="1:17" s="61" customFormat="1" ht="9.75" customHeight="1">
      <c r="A490" s="91"/>
      <c r="B490" s="91"/>
      <c r="C490" s="91"/>
      <c r="D490" s="91"/>
      <c r="E490" s="91"/>
      <c r="F490" s="91"/>
      <c r="G490" s="108"/>
      <c r="H490" s="91"/>
      <c r="I490" s="91"/>
      <c r="J490" s="91"/>
      <c r="K490" s="91"/>
      <c r="L490" s="167"/>
      <c r="M490" s="395"/>
      <c r="N490" s="73"/>
      <c r="O490" s="73"/>
      <c r="P490" s="73"/>
      <c r="Q490" s="73"/>
    </row>
    <row r="491" spans="1:17" s="59" customFormat="1" ht="15.75" customHeight="1">
      <c r="A491" s="56"/>
      <c r="B491" s="1197" t="s">
        <v>454</v>
      </c>
      <c r="C491" s="1198"/>
      <c r="D491" s="1198"/>
      <c r="E491" s="1198"/>
      <c r="F491" s="1198"/>
      <c r="G491" s="1202" t="s">
        <v>909</v>
      </c>
      <c r="H491" s="1203"/>
      <c r="I491" s="1203"/>
      <c r="J491" s="1203"/>
      <c r="K491" s="1203"/>
      <c r="L491" s="175"/>
      <c r="M491" s="395"/>
      <c r="N491" s="89"/>
      <c r="O491" s="89"/>
      <c r="P491" s="89"/>
      <c r="Q491" s="89"/>
    </row>
    <row r="492" spans="1:17" s="6" customFormat="1" ht="47.25" customHeight="1">
      <c r="A492" s="50"/>
      <c r="B492" s="51" t="s">
        <v>643</v>
      </c>
      <c r="C492" s="52" t="s">
        <v>645</v>
      </c>
      <c r="D492" s="52" t="s">
        <v>644</v>
      </c>
      <c r="E492" s="52" t="s">
        <v>1835</v>
      </c>
      <c r="F492" s="52" t="s">
        <v>670</v>
      </c>
      <c r="G492" s="53" t="s">
        <v>643</v>
      </c>
      <c r="H492" s="52" t="s">
        <v>645</v>
      </c>
      <c r="I492" s="52" t="s">
        <v>644</v>
      </c>
      <c r="J492" s="52" t="s">
        <v>1835</v>
      </c>
      <c r="K492" s="52" t="s">
        <v>670</v>
      </c>
      <c r="L492" s="169"/>
      <c r="M492" s="395" t="s">
        <v>1772</v>
      </c>
      <c r="N492" s="7"/>
      <c r="O492" s="7"/>
      <c r="P492" s="7"/>
      <c r="Q492" s="7"/>
    </row>
    <row r="493" spans="1:17" s="61" customFormat="1" ht="16.5" customHeight="1">
      <c r="A493" s="73" t="s">
        <v>455</v>
      </c>
      <c r="B493" s="102">
        <f>IF($M493&gt;0,('Amounts Pivot Table'!Q$631/$M493),0)</f>
        <v>5605.765485205352</v>
      </c>
      <c r="C493" s="102">
        <f>IF($M493&gt;0,('Amounts Pivot Table'!Q$634/$M493),0)</f>
        <v>6.8718140361291287</v>
      </c>
      <c r="D493" s="102">
        <f>IF($M493&gt;0,('Amounts Pivot Table'!Q$637/$M493),0)</f>
        <v>0</v>
      </c>
      <c r="E493" s="102">
        <f>IF($M493&gt;0,('Amounts Pivot Table'!Q$640/$M493),0)</f>
        <v>1901.3796525769642</v>
      </c>
      <c r="F493" s="102">
        <f>SUM(B493:E493)</f>
        <v>7514.0169518184448</v>
      </c>
      <c r="G493" s="115"/>
      <c r="H493" s="116"/>
      <c r="I493" s="116"/>
      <c r="J493" s="116"/>
      <c r="K493" s="116"/>
      <c r="L493" s="170"/>
      <c r="M493" s="395">
        <f>+[1]Tables!AN193</f>
        <v>18190.247777777775</v>
      </c>
      <c r="N493" s="73"/>
      <c r="O493" s="73"/>
      <c r="P493" s="73"/>
      <c r="Q493" s="73"/>
    </row>
    <row r="494" spans="1:17" s="113" customFormat="1">
      <c r="A494" s="111"/>
      <c r="B494" s="192"/>
      <c r="C494" s="192"/>
      <c r="D494" s="192"/>
      <c r="E494" s="192"/>
      <c r="F494" s="192"/>
      <c r="G494" s="193"/>
      <c r="H494" s="194"/>
      <c r="I494" s="194"/>
      <c r="J494" s="194"/>
      <c r="K494" s="194"/>
      <c r="L494" s="177"/>
      <c r="M494" s="395">
        <f>+[1]Tables!AN194</f>
        <v>0</v>
      </c>
      <c r="N494" s="111"/>
      <c r="O494" s="111"/>
      <c r="P494" s="111"/>
      <c r="Q494" s="111"/>
    </row>
    <row r="495" spans="1:17" s="61" customFormat="1" ht="12.75" customHeight="1">
      <c r="A495" s="73" t="s">
        <v>1892</v>
      </c>
      <c r="B495" s="75">
        <f>IF($M495&gt;0,('Amounts Pivot Table'!Q$7/$M495),0)</f>
        <v>8530.7256218509683</v>
      </c>
      <c r="C495" s="75">
        <f>IF($M495&gt;0,('Amounts Pivot Table'!Q$10/$M495),0)</f>
        <v>66.295412357464869</v>
      </c>
      <c r="D495" s="75">
        <f>IF($M495&gt;0,('Amounts Pivot Table'!Q$13/$M495),0)</f>
        <v>0</v>
      </c>
      <c r="E495" s="75">
        <f>IF($M495&gt;0,('Amounts Pivot Table'!Q$16/$M495),0)</f>
        <v>2450.42800318218</v>
      </c>
      <c r="F495" s="75">
        <f t="shared" ref="F495:F513" si="69">SUM(B495:E495)</f>
        <v>11047.449037390614</v>
      </c>
      <c r="G495" s="117">
        <f>IF(B495&gt;0,RANK(B495,$B$495:$B$513),)</f>
        <v>1</v>
      </c>
      <c r="H495" s="107">
        <f>IF(C495&gt;0,RANK(C495,$C$495:$C$513),)</f>
        <v>1</v>
      </c>
      <c r="I495" s="107">
        <f>IF(D495&gt;0,RANK(D495,$D$495:$D$513),)</f>
        <v>0</v>
      </c>
      <c r="J495" s="107">
        <f>IF(E495&gt;0,RANK(E495,$E$495:$E$513),)</f>
        <v>1</v>
      </c>
      <c r="K495" s="107">
        <f>IF(F495&gt;0,RANK(F495,$F$495:$F$513),)</f>
        <v>1</v>
      </c>
      <c r="L495" s="170"/>
      <c r="M495" s="395">
        <f>+[1]Tables!AN195</f>
        <v>1885.5</v>
      </c>
      <c r="N495" s="73"/>
      <c r="O495" s="73"/>
      <c r="P495" s="73"/>
      <c r="Q495" s="73"/>
    </row>
    <row r="496" spans="1:17" s="61" customFormat="1" ht="12.75" customHeight="1">
      <c r="A496" s="73" t="s">
        <v>1906</v>
      </c>
      <c r="B496" s="75">
        <f>IF($M496&gt;0,('Amounts Pivot Table'!Q$46/$M496),0)</f>
        <v>0</v>
      </c>
      <c r="C496" s="75">
        <f>IF($M496&gt;0,('Amounts Pivot Table'!Q$49/$M496),0)</f>
        <v>0</v>
      </c>
      <c r="D496" s="75">
        <f>IF($M496&gt;0,('Amounts Pivot Table'!Q$52/$M496),0)</f>
        <v>0</v>
      </c>
      <c r="E496" s="75">
        <f>IF($M496&gt;0,('Amounts Pivot Table'!Q$55/$M496),0)</f>
        <v>0</v>
      </c>
      <c r="F496" s="75">
        <f t="shared" si="69"/>
        <v>0</v>
      </c>
      <c r="G496" s="117">
        <f>IF(B496&gt;0,RANK(B496,$B$495:$B$513),)</f>
        <v>0</v>
      </c>
      <c r="H496" s="107">
        <f>IF(C496&gt;0,RANK(C496,$C$495:$C$513),)</f>
        <v>0</v>
      </c>
      <c r="I496" s="107">
        <f>IF(D496&gt;0,RANK(D496,$D$495:$D$513),)</f>
        <v>0</v>
      </c>
      <c r="J496" s="107">
        <f>IF(E496&gt;0,RANK(E496,$E$495:$E$513),)</f>
        <v>0</v>
      </c>
      <c r="K496" s="107">
        <f>IF(F496&gt;0,RANK(F496,$F$495:$F$513),)</f>
        <v>0</v>
      </c>
      <c r="L496" s="170"/>
      <c r="M496" s="395">
        <f>+[1]Tables!AN196</f>
        <v>0</v>
      </c>
      <c r="N496" s="73"/>
      <c r="O496" s="73"/>
      <c r="P496" s="73"/>
      <c r="Q496" s="73"/>
    </row>
    <row r="497" spans="1:17" s="61" customFormat="1" ht="12.75" customHeight="1">
      <c r="A497" s="73" t="s">
        <v>1893</v>
      </c>
      <c r="B497" s="75">
        <f>IF($M497&gt;0,('Amounts Pivot Table'!Q$85/$M497),0)</f>
        <v>0</v>
      </c>
      <c r="C497" s="75">
        <f>IF($M497&gt;0,('Amounts Pivot Table'!Q$88/$M497),0)</f>
        <v>0</v>
      </c>
      <c r="D497" s="75">
        <f>IF($M497&gt;0,('Amounts Pivot Table'!Q$91/$M497),0)</f>
        <v>0</v>
      </c>
      <c r="E497" s="75">
        <f>IF($M497&gt;0,('Amounts Pivot Table'!Q$94/$M497),0)</f>
        <v>0</v>
      </c>
      <c r="F497" s="75">
        <f t="shared" si="69"/>
        <v>0</v>
      </c>
      <c r="G497" s="117">
        <f>IF(B497&gt;0,RANK(B497,$B$495:$B$513),)</f>
        <v>0</v>
      </c>
      <c r="H497" s="107">
        <f>IF(C497&gt;0,RANK(C497,$C$495:$C$513),)</f>
        <v>0</v>
      </c>
      <c r="I497" s="107">
        <f>IF(D497&gt;0,RANK(D497,$D$495:$D$513),)</f>
        <v>0</v>
      </c>
      <c r="J497" s="107">
        <f>IF(E497&gt;0,RANK(E497,$E$495:$E$513),)</f>
        <v>0</v>
      </c>
      <c r="K497" s="107">
        <f>IF(F497&gt;0,RANK(F497,$F$495:$F$513),)</f>
        <v>0</v>
      </c>
      <c r="L497" s="170"/>
      <c r="M497" s="395">
        <f>+[1]Tables!AN197</f>
        <v>0</v>
      </c>
      <c r="N497" s="73"/>
      <c r="O497" s="73"/>
      <c r="P497" s="73"/>
      <c r="Q497" s="73"/>
    </row>
    <row r="498" spans="1:17" s="61" customFormat="1" ht="12.75" customHeight="1">
      <c r="A498" s="73" t="s">
        <v>1900</v>
      </c>
      <c r="B498" s="75">
        <f>IF($M498&gt;0,('Amounts Pivot Table'!Q$124/$M498),0)</f>
        <v>0</v>
      </c>
      <c r="C498" s="75">
        <f>IF($M498&gt;0,('Amounts Pivot Table'!Q$127/$M498),0)</f>
        <v>0</v>
      </c>
      <c r="D498" s="75">
        <f>IF($M498&gt;0,('Amounts Pivot Table'!Q$130/$M498),0)</f>
        <v>0</v>
      </c>
      <c r="E498" s="75">
        <f>IF($M498&gt;0,('Amounts Pivot Table'!Q$133/$M498),0)</f>
        <v>0</v>
      </c>
      <c r="F498" s="75">
        <f t="shared" si="69"/>
        <v>0</v>
      </c>
      <c r="G498" s="117">
        <f>IF(B498&gt;0,RANK(B498,$B$495:$B$513),)</f>
        <v>0</v>
      </c>
      <c r="H498" s="107">
        <f>IF(C498&gt;0,RANK(C498,$C$495:$C$513),)</f>
        <v>0</v>
      </c>
      <c r="I498" s="107">
        <f>IF(D498&gt;0,RANK(D498,$D$495:$D$513),)</f>
        <v>0</v>
      </c>
      <c r="J498" s="107">
        <f>IF(E498&gt;0,RANK(E498,$E$495:$E$513),)</f>
        <v>0</v>
      </c>
      <c r="K498" s="107">
        <f>IF(F498&gt;0,RANK(F498,$F$495:$F$513),)</f>
        <v>0</v>
      </c>
      <c r="L498" s="170"/>
      <c r="M498" s="395">
        <f>+[1]Tables!AN198</f>
        <v>0</v>
      </c>
      <c r="N498" s="73"/>
      <c r="O498" s="73"/>
      <c r="P498" s="73"/>
      <c r="Q498" s="73"/>
    </row>
    <row r="499" spans="1:17" s="113" customFormat="1">
      <c r="A499" s="111"/>
      <c r="B499" s="112"/>
      <c r="C499" s="112"/>
      <c r="D499" s="112"/>
      <c r="E499" s="112"/>
      <c r="F499" s="112">
        <f t="shared" si="69"/>
        <v>0</v>
      </c>
      <c r="G499" s="120"/>
      <c r="H499" s="121"/>
      <c r="I499" s="121"/>
      <c r="J499" s="121"/>
      <c r="K499" s="121"/>
      <c r="L499" s="177"/>
      <c r="M499" s="395">
        <f>+[1]Tables!AN199</f>
        <v>0</v>
      </c>
      <c r="N499" s="111"/>
      <c r="O499" s="111"/>
      <c r="P499" s="111"/>
      <c r="Q499" s="111"/>
    </row>
    <row r="500" spans="1:17" s="61" customFormat="1" ht="12.75" customHeight="1">
      <c r="A500" s="73" t="s">
        <v>1901</v>
      </c>
      <c r="B500" s="75">
        <f>IF($M500&gt;0,('Amounts Pivot Table'!Q$163/$M500),0)</f>
        <v>6949.9200505917797</v>
      </c>
      <c r="C500" s="75">
        <f>IF($M500&gt;0,('Amounts Pivot Table'!Q$166/$M500),0)</f>
        <v>0</v>
      </c>
      <c r="D500" s="75">
        <f>IF($M500&gt;0,('Amounts Pivot Table'!Q$169/$M500),0)</f>
        <v>0</v>
      </c>
      <c r="E500" s="75">
        <f>IF($M500&gt;0,('Amounts Pivot Table'!Q$172/$M500),0)</f>
        <v>1985.1103867391953</v>
      </c>
      <c r="F500" s="75">
        <f t="shared" si="69"/>
        <v>8935.0304373309755</v>
      </c>
      <c r="G500" s="117">
        <f>IF(B500&gt;0,RANK(B500,$B$495:$B$513),)</f>
        <v>2</v>
      </c>
      <c r="H500" s="107">
        <f>IF(C500&gt;0,RANK(C500,$C$495:$C$513),)</f>
        <v>0</v>
      </c>
      <c r="I500" s="107">
        <f>IF(D500&gt;0,RANK(D500,$D$495:$D$513),)</f>
        <v>0</v>
      </c>
      <c r="J500" s="107">
        <f>IF(E500&gt;0,RANK(E500,$E$495:$E$513),)</f>
        <v>2</v>
      </c>
      <c r="K500" s="107">
        <f>IF(F500&gt;0,RANK(F500,$F$495:$F$513),)</f>
        <v>2</v>
      </c>
      <c r="L500" s="170"/>
      <c r="M500" s="395">
        <f>+[1]Tables!AN200</f>
        <v>4322.1777777777779</v>
      </c>
      <c r="N500" s="73"/>
      <c r="O500" s="73"/>
      <c r="P500" s="73"/>
      <c r="Q500" s="73"/>
    </row>
    <row r="501" spans="1:17" s="61" customFormat="1" ht="12.75" customHeight="1">
      <c r="A501" s="73" t="s">
        <v>1894</v>
      </c>
      <c r="B501" s="75">
        <f>IF($M501&gt;0,('Amounts Pivot Table'!Q$202/$M501),0)</f>
        <v>0</v>
      </c>
      <c r="C501" s="75">
        <f>IF($M501&gt;0,('Amounts Pivot Table'!Q$205/$M501),0)</f>
        <v>0</v>
      </c>
      <c r="D501" s="75">
        <f>IF($M501&gt;0,('Amounts Pivot Table'!Q$208/$M501),0)</f>
        <v>0</v>
      </c>
      <c r="E501" s="75">
        <f>IF($M501&gt;0,('Amounts Pivot Table'!Q$211/$M501),0)</f>
        <v>0</v>
      </c>
      <c r="F501" s="75">
        <f t="shared" si="69"/>
        <v>0</v>
      </c>
      <c r="G501" s="117">
        <f>IF(B501&gt;0,RANK(B501,$B$495:$B$513),)</f>
        <v>0</v>
      </c>
      <c r="H501" s="107">
        <f>IF(C501&gt;0,RANK(C501,$C$495:$C$513),)</f>
        <v>0</v>
      </c>
      <c r="I501" s="107">
        <f>IF(D501&gt;0,RANK(D501,$D$495:$D$513),)</f>
        <v>0</v>
      </c>
      <c r="J501" s="107">
        <f>IF(E501&gt;0,RANK(E501,$E$495:$E$513),)</f>
        <v>0</v>
      </c>
      <c r="K501" s="107">
        <f>IF(F501&gt;0,RANK(F501,$F$495:$F$513),)</f>
        <v>0</v>
      </c>
      <c r="L501" s="170"/>
      <c r="M501" s="395">
        <f>+[1]Tables!AN201</f>
        <v>0</v>
      </c>
      <c r="N501" s="73"/>
      <c r="O501" s="73"/>
      <c r="P501" s="73"/>
      <c r="Q501" s="73"/>
    </row>
    <row r="502" spans="1:17" s="61" customFormat="1" ht="12.75" customHeight="1">
      <c r="A502" s="73" t="s">
        <v>1902</v>
      </c>
      <c r="B502" s="75">
        <f>IF($M502&gt;0,('Amounts Pivot Table'!Q$241/$M502),0)</f>
        <v>5261.6248796696691</v>
      </c>
      <c r="C502" s="75">
        <f>IF($M502&gt;0,('Amounts Pivot Table'!Q$244/$M502),0)</f>
        <v>0</v>
      </c>
      <c r="D502" s="75">
        <f>IF($M502&gt;0,('Amounts Pivot Table'!Q$247/$M502),0)</f>
        <v>0</v>
      </c>
      <c r="E502" s="75">
        <f>IF($M502&gt;0,('Amounts Pivot Table'!Q$250/$M502),0)</f>
        <v>1771.5956947893881</v>
      </c>
      <c r="F502" s="75">
        <f t="shared" si="69"/>
        <v>7033.2205744590574</v>
      </c>
      <c r="G502" s="117">
        <f>IF(B502&gt;0,RANK(B502,$B$495:$B$513),)</f>
        <v>3</v>
      </c>
      <c r="H502" s="107">
        <f>IF(C502&gt;0,RANK(C502,$C$495:$C$513),)</f>
        <v>0</v>
      </c>
      <c r="I502" s="107">
        <f>IF(D502&gt;0,RANK(D502,$D$495:$D$513),)</f>
        <v>0</v>
      </c>
      <c r="J502" s="107">
        <f>IF(E502&gt;0,RANK(E502,$E$495:$E$513),)</f>
        <v>4</v>
      </c>
      <c r="K502" s="107">
        <f>IF(F502&gt;0,RANK(F502,$F$495:$F$513),)</f>
        <v>3</v>
      </c>
      <c r="L502" s="170"/>
      <c r="M502" s="395">
        <f>+[1]Tables!AN202</f>
        <v>945.31444444444446</v>
      </c>
      <c r="N502" s="73"/>
      <c r="O502" s="73"/>
      <c r="P502" s="73"/>
      <c r="Q502" s="73"/>
    </row>
    <row r="503" spans="1:17" s="61" customFormat="1" ht="12.75" customHeight="1">
      <c r="A503" s="73" t="s">
        <v>1905</v>
      </c>
      <c r="B503" s="75">
        <f>IF($M503&gt;0,('Amounts Pivot Table'!Q$280/$M503),0)</f>
        <v>0</v>
      </c>
      <c r="C503" s="75">
        <f>IF($M503&gt;0,('Amounts Pivot Table'!Q$283/$M503),0)</f>
        <v>0</v>
      </c>
      <c r="D503" s="75">
        <f>IF($M503&gt;0,('Amounts Pivot Table'!Q$286/$M503),0)</f>
        <v>0</v>
      </c>
      <c r="E503" s="75">
        <f>IF($M503&gt;0,('Amounts Pivot Table'!Q$289/$M503),0)</f>
        <v>0</v>
      </c>
      <c r="F503" s="75">
        <f t="shared" si="69"/>
        <v>0</v>
      </c>
      <c r="G503" s="117">
        <f>IF(B503&gt;0,RANK(B503,$B$495:$B$513),)</f>
        <v>0</v>
      </c>
      <c r="H503" s="107">
        <f>IF(C503&gt;0,RANK(C503,$C$495:$C$513),)</f>
        <v>0</v>
      </c>
      <c r="I503" s="107">
        <f>IF(D503&gt;0,RANK(D503,$D$495:$D$513),)</f>
        <v>0</v>
      </c>
      <c r="J503" s="107">
        <f>IF(E503&gt;0,RANK(E503,$E$495:$E$513),)</f>
        <v>0</v>
      </c>
      <c r="K503" s="107">
        <f>IF(F503&gt;0,RANK(F503,$F$495:$F$513),)</f>
        <v>0</v>
      </c>
      <c r="L503" s="170"/>
      <c r="M503" s="395">
        <f>+[1]Tables!AN203</f>
        <v>0</v>
      </c>
      <c r="N503" s="73"/>
      <c r="O503" s="73"/>
      <c r="P503" s="73"/>
      <c r="Q503" s="73"/>
    </row>
    <row r="504" spans="1:17" s="113" customFormat="1">
      <c r="A504" s="111"/>
      <c r="B504" s="112"/>
      <c r="C504" s="112"/>
      <c r="D504" s="112"/>
      <c r="E504" s="112"/>
      <c r="F504" s="112">
        <f t="shared" si="69"/>
        <v>0</v>
      </c>
      <c r="G504" s="120"/>
      <c r="H504" s="121"/>
      <c r="I504" s="121"/>
      <c r="J504" s="121"/>
      <c r="K504" s="121"/>
      <c r="L504" s="177"/>
      <c r="M504" s="395">
        <f>+[1]Tables!AN204</f>
        <v>0</v>
      </c>
      <c r="N504" s="111"/>
      <c r="O504" s="111"/>
      <c r="P504" s="111"/>
      <c r="Q504" s="111"/>
    </row>
    <row r="505" spans="1:17" s="61" customFormat="1" ht="12.75" customHeight="1">
      <c r="A505" s="73" t="s">
        <v>1895</v>
      </c>
      <c r="B505" s="75">
        <f>IF($M505&gt;0,('Amounts Pivot Table'!Q$319/$M505),0)</f>
        <v>0</v>
      </c>
      <c r="C505" s="75">
        <f>IF($M505&gt;0,('Amounts Pivot Table'!Q$322/$M505),0)</f>
        <v>0</v>
      </c>
      <c r="D505" s="75">
        <f>IF($M505&gt;0,('Amounts Pivot Table'!Q$325/$M505),0)</f>
        <v>0</v>
      </c>
      <c r="E505" s="75">
        <f>IF($M505&gt;0,('Amounts Pivot Table'!Q$328/$M505),0)</f>
        <v>0</v>
      </c>
      <c r="F505" s="75">
        <f t="shared" si="69"/>
        <v>0</v>
      </c>
      <c r="G505" s="117">
        <f>IF(B505&gt;0,RANK(B505,$B$495:$B$513),)</f>
        <v>0</v>
      </c>
      <c r="H505" s="107">
        <f>IF(C505&gt;0,RANK(C505,$C$495:$C$513),)</f>
        <v>0</v>
      </c>
      <c r="I505" s="107">
        <f>IF(D505&gt;0,RANK(D505,$D$495:$D$513),)</f>
        <v>0</v>
      </c>
      <c r="J505" s="107">
        <f>IF(E505&gt;0,RANK(E505,$E$495:$E$513),)</f>
        <v>0</v>
      </c>
      <c r="K505" s="107">
        <f>IF(F505&gt;0,RANK(F505,$F$495:$F$513),)</f>
        <v>0</v>
      </c>
      <c r="L505" s="170"/>
      <c r="M505" s="395">
        <f>+[1]Tables!AN205</f>
        <v>0</v>
      </c>
      <c r="N505" s="73"/>
      <c r="O505" s="73"/>
      <c r="P505" s="73"/>
      <c r="Q505" s="73"/>
    </row>
    <row r="506" spans="1:17" s="61" customFormat="1" ht="12.75" customHeight="1">
      <c r="A506" s="73" t="s">
        <v>1896</v>
      </c>
      <c r="B506" s="75">
        <f>IF($M506&gt;0,('Amounts Pivot Table'!Q$358/$M506),0)</f>
        <v>0</v>
      </c>
      <c r="C506" s="75">
        <f>IF($M506&gt;0,('Amounts Pivot Table'!Q$361/$M506),0)</f>
        <v>0</v>
      </c>
      <c r="D506" s="75">
        <f>IF($M506&gt;0,('Amounts Pivot Table'!Q$364/$M506),0)</f>
        <v>0</v>
      </c>
      <c r="E506" s="75">
        <f>IF($M506&gt;0,('Amounts Pivot Table'!Q$367/$M506),0)</f>
        <v>0</v>
      </c>
      <c r="F506" s="75">
        <f t="shared" si="69"/>
        <v>0</v>
      </c>
      <c r="G506" s="117">
        <f>IF(B506&gt;0,RANK(B506,$B$495:$B$513),)</f>
        <v>0</v>
      </c>
      <c r="H506" s="107">
        <f>IF(C506&gt;0,RANK(C506,$C$495:$C$513),)</f>
        <v>0</v>
      </c>
      <c r="I506" s="107">
        <f>IF(D506&gt;0,RANK(D506,$D$495:$D$513),)</f>
        <v>0</v>
      </c>
      <c r="J506" s="107">
        <f>IF(E506&gt;0,RANK(E506,$E$495:$E$513),)</f>
        <v>0</v>
      </c>
      <c r="K506" s="107">
        <f>IF(F506&gt;0,RANK(F506,$F$495:$F$513),)</f>
        <v>0</v>
      </c>
      <c r="L506" s="170"/>
      <c r="M506" s="395">
        <f>+[1]Tables!AN206</f>
        <v>0</v>
      </c>
      <c r="N506" s="73"/>
      <c r="O506" s="73"/>
      <c r="P506" s="73"/>
      <c r="Q506" s="73"/>
    </row>
    <row r="507" spans="1:17" s="61" customFormat="1" ht="12.75" customHeight="1">
      <c r="A507" s="73" t="s">
        <v>1903</v>
      </c>
      <c r="B507" s="75">
        <f>IF($M507&gt;0,('Amounts Pivot Table'!Q$397/$M507),0)</f>
        <v>0</v>
      </c>
      <c r="C507" s="75">
        <f>IF($M507&gt;0,('Amounts Pivot Table'!Q$400/$M507),0)</f>
        <v>0</v>
      </c>
      <c r="D507" s="75">
        <f>IF($M507&gt;0,('Amounts Pivot Table'!Q$403/$M507),0)</f>
        <v>0</v>
      </c>
      <c r="E507" s="75">
        <f>IF($M507&gt;0,('Amounts Pivot Table'!Q$406/$M507),0)</f>
        <v>0</v>
      </c>
      <c r="F507" s="75">
        <f t="shared" si="69"/>
        <v>0</v>
      </c>
      <c r="G507" s="117">
        <f>IF(B507&gt;0,RANK(B507,$B$495:$B$513),)</f>
        <v>0</v>
      </c>
      <c r="H507" s="107">
        <f>IF(C507&gt;0,RANK(C507,$C$495:$C$513),)</f>
        <v>0</v>
      </c>
      <c r="I507" s="107">
        <f>IF(D507&gt;0,RANK(D507,$D$495:$D$513),)</f>
        <v>0</v>
      </c>
      <c r="J507" s="107">
        <f>IF(E507&gt;0,RANK(E507,$E$495:$E$513),)</f>
        <v>0</v>
      </c>
      <c r="K507" s="107">
        <f>IF(F507&gt;0,RANK(F507,$F$495:$F$513),)</f>
        <v>0</v>
      </c>
      <c r="L507" s="170"/>
      <c r="M507" s="395">
        <f>+[1]Tables!AN207</f>
        <v>0</v>
      </c>
      <c r="N507" s="73"/>
      <c r="O507" s="73"/>
      <c r="P507" s="73"/>
      <c r="Q507" s="73"/>
    </row>
    <row r="508" spans="1:17" s="61" customFormat="1" ht="12.75" customHeight="1">
      <c r="A508" s="73" t="s">
        <v>1897</v>
      </c>
      <c r="B508" s="75">
        <f>IF($M508&gt;0,('Amounts Pivot Table'!Q$436/$M508),0)</f>
        <v>0</v>
      </c>
      <c r="C508" s="75">
        <f>IF($M508&gt;0,('Amounts Pivot Table'!Q$439/$M508),0)</f>
        <v>0</v>
      </c>
      <c r="D508" s="75">
        <f>IF($M508&gt;0,('Amounts Pivot Table'!Q$442/$M508),0)</f>
        <v>0</v>
      </c>
      <c r="E508" s="75">
        <f>IF($M508&gt;0,('Amounts Pivot Table'!Q$445/$M508),0)</f>
        <v>0</v>
      </c>
      <c r="F508" s="75">
        <f t="shared" si="69"/>
        <v>0</v>
      </c>
      <c r="G508" s="117">
        <f>IF(B508&gt;0,RANK(B508,$B$495:$B$513),)</f>
        <v>0</v>
      </c>
      <c r="H508" s="107">
        <f>IF(C508&gt;0,RANK(C508,$C$495:$C$513),)</f>
        <v>0</v>
      </c>
      <c r="I508" s="107">
        <f>IF(D508&gt;0,RANK(D508,$D$495:$D$513),)</f>
        <v>0</v>
      </c>
      <c r="J508" s="107">
        <f>IF(E508&gt;0,RANK(E508,$E$495:$E$513),)</f>
        <v>0</v>
      </c>
      <c r="K508" s="107">
        <f>IF(F508&gt;0,RANK(F508,$F$495:$F$513),)</f>
        <v>0</v>
      </c>
      <c r="L508" s="170"/>
      <c r="M508" s="395">
        <f>+[1]Tables!AN208</f>
        <v>0</v>
      </c>
      <c r="N508" s="73"/>
      <c r="O508" s="73"/>
      <c r="P508" s="73"/>
      <c r="Q508" s="73"/>
    </row>
    <row r="509" spans="1:17" s="113" customFormat="1">
      <c r="A509" s="111"/>
      <c r="B509" s="112"/>
      <c r="C509" s="112"/>
      <c r="D509" s="112"/>
      <c r="E509" s="112"/>
      <c r="F509" s="112">
        <f t="shared" si="69"/>
        <v>0</v>
      </c>
      <c r="G509" s="120"/>
      <c r="H509" s="121"/>
      <c r="I509" s="121"/>
      <c r="J509" s="121"/>
      <c r="K509" s="121"/>
      <c r="L509" s="177"/>
      <c r="M509" s="395">
        <f>+[1]Tables!AN209</f>
        <v>0</v>
      </c>
      <c r="N509" s="111"/>
      <c r="O509" s="111"/>
      <c r="P509" s="111"/>
      <c r="Q509" s="111"/>
    </row>
    <row r="510" spans="1:17" s="61" customFormat="1" ht="12.75" customHeight="1">
      <c r="A510" s="73" t="s">
        <v>647</v>
      </c>
      <c r="B510" s="75">
        <f>IF($M510&gt;0,('Amounts Pivot Table'!Q$475/$M510),0)</f>
        <v>4609.1983413751223</v>
      </c>
      <c r="C510" s="75">
        <f>IF($M510&gt;0,('Amounts Pivot Table'!Q$478/$M510),0)</f>
        <v>0</v>
      </c>
      <c r="D510" s="75">
        <f>IF($M510&gt;0,('Amounts Pivot Table'!Q$481/$M510),0)</f>
        <v>0</v>
      </c>
      <c r="E510" s="75">
        <f>IF($M510&gt;0,('Amounts Pivot Table'!Q$484/$M510),0)</f>
        <v>1785.9122587841387</v>
      </c>
      <c r="F510" s="75">
        <f t="shared" si="69"/>
        <v>6395.1106001592607</v>
      </c>
      <c r="G510" s="117">
        <f>IF(B510&gt;0,RANK(B510,$B$495:$B$513),)</f>
        <v>4</v>
      </c>
      <c r="H510" s="107">
        <f>IF(C510&gt;0,RANK(C510,$C$495:$C$513),)</f>
        <v>0</v>
      </c>
      <c r="I510" s="107">
        <f>IF(D510&gt;0,RANK(D510,$D$495:$D$513),)</f>
        <v>0</v>
      </c>
      <c r="J510" s="107">
        <f>IF(E510&gt;0,RANK(E510,$E$495:$E$513),)</f>
        <v>3</v>
      </c>
      <c r="K510" s="107">
        <f>IF(F510&gt;0,RANK(F510,$F$495:$F$513),)</f>
        <v>4</v>
      </c>
      <c r="L510" s="170"/>
      <c r="M510" s="395">
        <f>+[1]Tables!AN210</f>
        <v>11037.255555555552</v>
      </c>
      <c r="N510" s="73"/>
      <c r="O510" s="73"/>
      <c r="P510" s="73"/>
      <c r="Q510" s="73"/>
    </row>
    <row r="511" spans="1:17" s="61" customFormat="1" ht="12.75" customHeight="1">
      <c r="A511" s="73" t="s">
        <v>1898</v>
      </c>
      <c r="B511" s="75">
        <f>IF($M511&gt;0,('Amounts Pivot Table'!Q$514/$M511),0)</f>
        <v>0</v>
      </c>
      <c r="C511" s="75">
        <f>IF($M511&gt;0,('Amounts Pivot Table'!Q$517/$M511),0)</f>
        <v>0</v>
      </c>
      <c r="D511" s="75">
        <f>IF($M511&gt;0,('Amounts Pivot Table'!Q$520/$M511),0)</f>
        <v>0</v>
      </c>
      <c r="E511" s="75">
        <f>IF($M511&gt;0,('Amounts Pivot Table'!Q$523/$M511),0)</f>
        <v>0</v>
      </c>
      <c r="F511" s="75">
        <f t="shared" si="69"/>
        <v>0</v>
      </c>
      <c r="G511" s="117">
        <f>IF(B511&gt;0,RANK(B511,$B$495:$B$513),)</f>
        <v>0</v>
      </c>
      <c r="H511" s="107">
        <f>IF(C511&gt;0,RANK(C511,$C$495:$C$513),)</f>
        <v>0</v>
      </c>
      <c r="I511" s="107">
        <f>IF(D511&gt;0,RANK(D511,$D$495:$D$513),)</f>
        <v>0</v>
      </c>
      <c r="J511" s="107">
        <f>IF(E511&gt;0,RANK(E511,$E$495:$E$513),)</f>
        <v>0</v>
      </c>
      <c r="K511" s="107">
        <f>IF(F511&gt;0,RANK(F511,$F$495:$F$513),)</f>
        <v>0</v>
      </c>
      <c r="L511" s="170"/>
      <c r="M511" s="395">
        <f>+[1]Tables!AN211</f>
        <v>0</v>
      </c>
      <c r="N511" s="73"/>
      <c r="O511" s="73"/>
      <c r="P511" s="73"/>
      <c r="Q511" s="73"/>
    </row>
    <row r="512" spans="1:17" s="61" customFormat="1" ht="12.75" customHeight="1">
      <c r="A512" s="73" t="s">
        <v>1899</v>
      </c>
      <c r="B512" s="75">
        <f>IF($M512&gt;0,('Amounts Pivot Table'!Q$553/$M512),0)</f>
        <v>0</v>
      </c>
      <c r="C512" s="75">
        <f>IF($M512&gt;0,('Amounts Pivot Table'!Q$556/$M512),0)</f>
        <v>0</v>
      </c>
      <c r="D512" s="75">
        <f>IF($M512&gt;0,('Amounts Pivot Table'!Q$559/$M512),0)</f>
        <v>0</v>
      </c>
      <c r="E512" s="75">
        <f>IF($M512&gt;0,('Amounts Pivot Table'!Q$562/$M512),0)</f>
        <v>0</v>
      </c>
      <c r="F512" s="75">
        <f t="shared" si="69"/>
        <v>0</v>
      </c>
      <c r="G512" s="117">
        <f>IF(B512&gt;0,RANK(B512,$B$495:$B$513),)</f>
        <v>0</v>
      </c>
      <c r="H512" s="107">
        <f>IF(C512&gt;0,RANK(C512,$C$495:$C$513),)</f>
        <v>0</v>
      </c>
      <c r="I512" s="107">
        <f>IF(D512&gt;0,RANK(D512,$D$495:$D$513),)</f>
        <v>0</v>
      </c>
      <c r="J512" s="107">
        <f>IF(E512&gt;0,RANK(E512,$E$495:$E$513),)</f>
        <v>0</v>
      </c>
      <c r="K512" s="107">
        <f>IF(F512&gt;0,RANK(F512,$F$495:$F$513),)</f>
        <v>0</v>
      </c>
      <c r="L512" s="170"/>
      <c r="M512" s="395">
        <f>+[1]Tables!AN212</f>
        <v>0</v>
      </c>
      <c r="N512" s="73"/>
      <c r="O512" s="73"/>
      <c r="P512" s="73"/>
      <c r="Q512" s="73"/>
    </row>
    <row r="513" spans="1:17" s="61" customFormat="1" ht="12.75" customHeight="1">
      <c r="A513" s="74" t="s">
        <v>1904</v>
      </c>
      <c r="B513" s="104">
        <f>IF($M513&gt;0,('Amounts Pivot Table'!Q$592/$M513),0)</f>
        <v>0</v>
      </c>
      <c r="C513" s="104">
        <f>IF($M513&gt;0,('Amounts Pivot Table'!Q$595/$M513),0)</f>
        <v>0</v>
      </c>
      <c r="D513" s="104">
        <f>IF($M513&gt;0,('Amounts Pivot Table'!Q$598/$M513),0)</f>
        <v>0</v>
      </c>
      <c r="E513" s="104">
        <f>IF($M513&gt;0,('Amounts Pivot Table'!Q$601/$M513),0)</f>
        <v>0</v>
      </c>
      <c r="F513" s="104">
        <f t="shared" si="69"/>
        <v>0</v>
      </c>
      <c r="G513" s="118">
        <f>IF(B513&gt;0,RANK(B513,$B$495:$B$513),)</f>
        <v>0</v>
      </c>
      <c r="H513" s="119">
        <f>IF(C513&gt;0,RANK(C513,$C$495:$C$513),)</f>
        <v>0</v>
      </c>
      <c r="I513" s="119">
        <f>IF(D513&gt;0,RANK(D513,$D$495:$D$513),)</f>
        <v>0</v>
      </c>
      <c r="J513" s="119">
        <f>IF(E513&gt;0,RANK(E513,$E$495:$E$513),)</f>
        <v>0</v>
      </c>
      <c r="K513" s="119">
        <f>IF(F513&gt;0,RANK(F513,$F$495:$F$513),)</f>
        <v>0</v>
      </c>
      <c r="L513" s="170"/>
      <c r="M513" s="395">
        <f>+[1]Tables!AN213</f>
        <v>0</v>
      </c>
      <c r="N513" s="73"/>
      <c r="O513" s="73"/>
      <c r="P513" s="73"/>
      <c r="Q513" s="73"/>
    </row>
    <row r="514" spans="1:17" s="76" customFormat="1" ht="34.5" customHeight="1">
      <c r="A514" s="1188" t="s">
        <v>275</v>
      </c>
      <c r="B514" s="1199"/>
      <c r="C514" s="1199"/>
      <c r="D514" s="1199"/>
      <c r="E514" s="1199"/>
      <c r="F514" s="1199"/>
      <c r="G514" s="1199"/>
      <c r="H514" s="1199"/>
      <c r="I514" s="1199"/>
      <c r="J514" s="1199"/>
      <c r="K514" s="1199"/>
      <c r="L514" s="171"/>
      <c r="M514" s="395"/>
      <c r="N514" s="90"/>
      <c r="O514" s="90"/>
      <c r="P514" s="90"/>
      <c r="Q514" s="90"/>
    </row>
    <row r="515" spans="1:17" s="219" customFormat="1" ht="13.5" customHeight="1">
      <c r="A515" s="1188" t="s">
        <v>453</v>
      </c>
      <c r="B515" s="1199"/>
      <c r="C515" s="1199"/>
      <c r="D515" s="1199"/>
      <c r="E515" s="1199"/>
      <c r="F515" s="1199"/>
      <c r="G515" s="1199"/>
      <c r="H515" s="1199"/>
      <c r="I515" s="1199"/>
      <c r="J515" s="1199"/>
      <c r="K515" s="1199"/>
      <c r="L515" s="218"/>
      <c r="M515" s="401"/>
      <c r="N515" s="220"/>
      <c r="O515" s="220"/>
      <c r="P515" s="220"/>
      <c r="Q515" s="220"/>
    </row>
    <row r="516" spans="1:17" s="61" customFormat="1" ht="13.5" customHeight="1">
      <c r="A516" s="1188" t="s">
        <v>1600</v>
      </c>
      <c r="B516" s="1195"/>
      <c r="C516" s="1195"/>
      <c r="D516" s="1195"/>
      <c r="E516" s="1195"/>
      <c r="F516" s="1195"/>
      <c r="G516" s="1196"/>
      <c r="H516" s="1196"/>
      <c r="I516" s="1196"/>
      <c r="J516" s="1196"/>
      <c r="K516" s="1196"/>
      <c r="L516" s="173"/>
      <c r="M516" s="399"/>
      <c r="N516" s="73"/>
      <c r="O516" s="73"/>
      <c r="P516" s="73"/>
      <c r="Q516" s="73"/>
    </row>
    <row r="517" spans="1:17" s="61" customFormat="1" ht="13.5" customHeight="1">
      <c r="A517" s="189"/>
      <c r="B517" s="106"/>
      <c r="C517" s="106"/>
      <c r="D517" s="106"/>
      <c r="E517" s="106"/>
      <c r="F517" s="106"/>
      <c r="G517" s="190"/>
      <c r="H517" s="190"/>
      <c r="I517" s="190"/>
      <c r="J517" s="190"/>
      <c r="K517" s="190"/>
      <c r="L517" s="173"/>
      <c r="M517" s="399"/>
      <c r="N517" s="73"/>
      <c r="O517" s="73"/>
      <c r="P517" s="73"/>
      <c r="Q517" s="73"/>
    </row>
    <row r="518" spans="1:17" s="61" customFormat="1">
      <c r="A518" s="189"/>
      <c r="B518" s="106"/>
      <c r="C518" s="106"/>
      <c r="D518" s="106"/>
      <c r="E518" s="106"/>
      <c r="F518" s="106"/>
      <c r="G518" s="190"/>
      <c r="H518" s="190"/>
      <c r="I518" s="190"/>
      <c r="J518" s="190"/>
      <c r="K518" s="805" t="s">
        <v>1931</v>
      </c>
      <c r="L518" s="173"/>
      <c r="M518" s="402"/>
      <c r="N518" s="73"/>
      <c r="O518" s="73"/>
      <c r="P518" s="73"/>
      <c r="Q518" s="73"/>
    </row>
    <row r="519" spans="1:17" s="61" customFormat="1" ht="18.75" customHeight="1">
      <c r="A519" s="1173" t="s">
        <v>1364</v>
      </c>
      <c r="B519" s="1173"/>
      <c r="C519" s="1173"/>
      <c r="D519" s="1173"/>
      <c r="E519" s="1173"/>
      <c r="F519" s="1173"/>
      <c r="G519" s="1173"/>
      <c r="H519" s="1173"/>
      <c r="I519" s="1173"/>
      <c r="J519" s="1173"/>
      <c r="K519" s="1173"/>
      <c r="L519" s="172"/>
      <c r="M519" s="395"/>
      <c r="N519" s="73"/>
      <c r="O519" s="73"/>
      <c r="P519" s="73"/>
      <c r="Q519" s="73"/>
    </row>
    <row r="520" spans="1:17" s="61" customFormat="1" ht="18.75">
      <c r="A520" s="1173" t="s">
        <v>276</v>
      </c>
      <c r="B520" s="1173"/>
      <c r="C520" s="1173"/>
      <c r="D520" s="1173"/>
      <c r="E520" s="1173"/>
      <c r="F520" s="1173"/>
      <c r="G520" s="1173"/>
      <c r="H520" s="1173"/>
      <c r="I520" s="1173"/>
      <c r="J520" s="1173"/>
      <c r="K520" s="1173"/>
      <c r="L520" s="167"/>
      <c r="M520" s="395"/>
      <c r="N520" s="73"/>
      <c r="O520" s="73"/>
      <c r="P520" s="73"/>
      <c r="Q520" s="73"/>
    </row>
    <row r="521" spans="1:17" s="61" customFormat="1" ht="15.75" customHeight="1">
      <c r="A521" s="1173" t="s">
        <v>121</v>
      </c>
      <c r="B521" s="1173"/>
      <c r="C521" s="1173"/>
      <c r="D521" s="1173"/>
      <c r="E521" s="1173"/>
      <c r="F521" s="1173"/>
      <c r="G521" s="1173"/>
      <c r="H521" s="1173"/>
      <c r="I521" s="1173"/>
      <c r="J521" s="1173"/>
      <c r="K521" s="1173"/>
      <c r="L521" s="167"/>
      <c r="M521" s="398"/>
      <c r="N521" s="73"/>
      <c r="O521" s="73"/>
      <c r="P521" s="73"/>
      <c r="Q521" s="73"/>
    </row>
    <row r="522" spans="1:17" s="61" customFormat="1" ht="15.75" customHeight="1">
      <c r="A522" s="91"/>
      <c r="B522" s="91"/>
      <c r="C522" s="91"/>
      <c r="D522" s="91"/>
      <c r="E522" s="91"/>
      <c r="F522" s="91"/>
      <c r="G522" s="108"/>
      <c r="H522" s="91"/>
      <c r="I522" s="91"/>
      <c r="J522" s="91"/>
      <c r="K522" s="91"/>
      <c r="L522" s="167"/>
      <c r="M522" s="395"/>
      <c r="N522" s="73"/>
      <c r="O522" s="73"/>
      <c r="P522" s="73"/>
      <c r="Q522" s="73"/>
    </row>
    <row r="523" spans="1:17" s="59" customFormat="1" ht="15.75" customHeight="1">
      <c r="A523" s="56"/>
      <c r="B523" s="1197" t="s">
        <v>454</v>
      </c>
      <c r="C523" s="1198"/>
      <c r="D523" s="1198"/>
      <c r="E523" s="1198"/>
      <c r="F523" s="1198"/>
      <c r="G523" s="1202" t="s">
        <v>909</v>
      </c>
      <c r="H523" s="1203"/>
      <c r="I523" s="1203"/>
      <c r="J523" s="1203"/>
      <c r="K523" s="1203"/>
      <c r="L523" s="175"/>
      <c r="M523" s="395"/>
      <c r="N523" s="89"/>
      <c r="O523" s="89"/>
      <c r="P523" s="89"/>
      <c r="Q523" s="89"/>
    </row>
    <row r="524" spans="1:17" s="6" customFormat="1" ht="47.25" customHeight="1">
      <c r="A524" s="50"/>
      <c r="B524" s="51" t="s">
        <v>643</v>
      </c>
      <c r="C524" s="52" t="s">
        <v>645</v>
      </c>
      <c r="D524" s="52" t="s">
        <v>644</v>
      </c>
      <c r="E524" s="52" t="s">
        <v>1835</v>
      </c>
      <c r="F524" s="52" t="s">
        <v>670</v>
      </c>
      <c r="G524" s="53" t="s">
        <v>643</v>
      </c>
      <c r="H524" s="52" t="s">
        <v>645</v>
      </c>
      <c r="I524" s="52" t="s">
        <v>644</v>
      </c>
      <c r="J524" s="52" t="s">
        <v>1835</v>
      </c>
      <c r="K524" s="52" t="s">
        <v>670</v>
      </c>
      <c r="L524" s="169"/>
      <c r="M524" s="397" t="s">
        <v>1772</v>
      </c>
      <c r="N524" s="7"/>
      <c r="O524" s="7"/>
      <c r="P524" s="7"/>
      <c r="Q524" s="7"/>
    </row>
    <row r="525" spans="1:17" s="61" customFormat="1" ht="14.25">
      <c r="A525" s="73" t="s">
        <v>455</v>
      </c>
      <c r="B525" s="102">
        <f>IF($M525&gt;0,('Amounts Pivot Table'!R$631/$M525),0)</f>
        <v>5604.2362992640201</v>
      </c>
      <c r="C525" s="102">
        <f>IF($M525&gt;0,('Amounts Pivot Table'!R$634/$M525),0)</f>
        <v>0</v>
      </c>
      <c r="D525" s="102">
        <f>IF($M525&gt;0,('Amounts Pivot Table'!R$637/$M525),0)</f>
        <v>0</v>
      </c>
      <c r="E525" s="102">
        <f>IF($M525&gt;0,('Amounts Pivot Table'!R$640/$M525),0)</f>
        <v>976.52916033295878</v>
      </c>
      <c r="F525" s="102">
        <f>SUM(B525:E525)</f>
        <v>6580.7654595969789</v>
      </c>
      <c r="G525" s="115"/>
      <c r="H525" s="116"/>
      <c r="I525" s="116"/>
      <c r="J525" s="116"/>
      <c r="K525" s="116"/>
      <c r="L525" s="170"/>
      <c r="M525" s="395">
        <f>+[1]Tables!AO193</f>
        <v>14183.737222222222</v>
      </c>
      <c r="N525" s="73"/>
      <c r="O525" s="73"/>
      <c r="P525" s="73"/>
      <c r="Q525" s="73"/>
    </row>
    <row r="526" spans="1:17" s="113" customFormat="1">
      <c r="A526" s="111"/>
      <c r="B526" s="112"/>
      <c r="C526" s="112"/>
      <c r="D526" s="112"/>
      <c r="E526" s="112"/>
      <c r="F526" s="112">
        <f>SUM(B526:E526)</f>
        <v>0</v>
      </c>
      <c r="G526" s="120"/>
      <c r="H526" s="121"/>
      <c r="I526" s="121"/>
      <c r="J526" s="121"/>
      <c r="K526" s="121"/>
      <c r="L526" s="177"/>
      <c r="M526" s="395">
        <f>+[1]Tables!AO194</f>
        <v>0</v>
      </c>
      <c r="N526" s="111"/>
      <c r="O526" s="111"/>
      <c r="P526" s="111"/>
      <c r="Q526" s="111"/>
    </row>
    <row r="527" spans="1:17" s="61" customFormat="1" ht="12.75" customHeight="1">
      <c r="A527" s="73" t="s">
        <v>1892</v>
      </c>
      <c r="B527" s="75">
        <f>IF($M527&gt;0,('Amounts Pivot Table'!R$7/$M527),0)</f>
        <v>0</v>
      </c>
      <c r="C527" s="75">
        <f>IF($M527&gt;0,('Amounts Pivot Table'!R$10/$M527),0)</f>
        <v>0</v>
      </c>
      <c r="D527" s="75">
        <f>IF($M527&gt;0,('Amounts Pivot Table'!R$13/$M527),0)</f>
        <v>0</v>
      </c>
      <c r="E527" s="75">
        <f>IF($M527&gt;0,('Amounts Pivot Table'!R$16/$M527),0)</f>
        <v>0</v>
      </c>
      <c r="F527" s="75">
        <f t="shared" ref="F527:F545" si="70">SUM(B527:E527)</f>
        <v>0</v>
      </c>
      <c r="G527" s="117">
        <f>IF(B527&gt;0,RANK(B527,$B$527:$B$545),)</f>
        <v>0</v>
      </c>
      <c r="H527" s="107">
        <f>IF(C527&gt;0,RANK(C527,$C$527:$C$545),)</f>
        <v>0</v>
      </c>
      <c r="I527" s="107">
        <f>IF(D527&gt;0,RANK(D527,$D$527:$D$545),)</f>
        <v>0</v>
      </c>
      <c r="J527" s="107">
        <f>IF(E527&gt;0,RANK(E527,$E$527:$E$545),)</f>
        <v>0</v>
      </c>
      <c r="K527" s="107">
        <f>IF(F527&gt;0,RANK(F527,$F$527:$F$545),)</f>
        <v>0</v>
      </c>
      <c r="L527" s="170"/>
      <c r="M527" s="395">
        <f>+[1]Tables!AO195</f>
        <v>0</v>
      </c>
      <c r="N527" s="73"/>
      <c r="O527" s="73"/>
      <c r="P527" s="73"/>
      <c r="Q527" s="73"/>
    </row>
    <row r="528" spans="1:17" s="61" customFormat="1" ht="12.75" customHeight="1">
      <c r="A528" s="73" t="s">
        <v>1906</v>
      </c>
      <c r="B528" s="75">
        <f>IF($M528&gt;0,('Amounts Pivot Table'!R$46/$M528),0)</f>
        <v>0</v>
      </c>
      <c r="C528" s="75">
        <f>IF($M528&gt;0,('Amounts Pivot Table'!R$49/$M528),0)</f>
        <v>0</v>
      </c>
      <c r="D528" s="75">
        <f>IF($M528&gt;0,('Amounts Pivot Table'!R$52/$M528),0)</f>
        <v>0</v>
      </c>
      <c r="E528" s="75">
        <f>IF($M528&gt;0,('Amounts Pivot Table'!R$55/$M528),0)</f>
        <v>0</v>
      </c>
      <c r="F528" s="75">
        <f t="shared" si="70"/>
        <v>0</v>
      </c>
      <c r="G528" s="117">
        <f>IF(B528&gt;0,RANK(B528,$B$527:$B$545),)</f>
        <v>0</v>
      </c>
      <c r="H528" s="107">
        <f>IF(C528&gt;0,RANK(C528,$C$527:$C$545),)</f>
        <v>0</v>
      </c>
      <c r="I528" s="107">
        <f>IF(D528&gt;0,RANK(D528,$D$527:$D$545),)</f>
        <v>0</v>
      </c>
      <c r="J528" s="107">
        <f>IF(E528&gt;0,RANK(E528,$E$527:$E$545),)</f>
        <v>0</v>
      </c>
      <c r="K528" s="107">
        <f>IF(F528&gt;0,RANK(F528,$F$527:$F$545),)</f>
        <v>0</v>
      </c>
      <c r="L528" s="170"/>
      <c r="M528" s="395">
        <f>+[1]Tables!AO196</f>
        <v>0</v>
      </c>
      <c r="N528" s="73"/>
      <c r="O528" s="73"/>
      <c r="P528" s="73"/>
      <c r="Q528" s="73"/>
    </row>
    <row r="529" spans="1:17" s="61" customFormat="1" ht="12.75" customHeight="1">
      <c r="A529" s="73" t="s">
        <v>1893</v>
      </c>
      <c r="B529" s="75">
        <f>IF($M529&gt;0,('Amounts Pivot Table'!R$85/$M529),0)</f>
        <v>0</v>
      </c>
      <c r="C529" s="75">
        <f>IF($M529&gt;0,('Amounts Pivot Table'!R$88/$M529),0)</f>
        <v>0</v>
      </c>
      <c r="D529" s="75">
        <f>IF($M529&gt;0,('Amounts Pivot Table'!R$91/$M529),0)</f>
        <v>0</v>
      </c>
      <c r="E529" s="75">
        <f>IF($M529&gt;0,('Amounts Pivot Table'!R$94/$M529),0)</f>
        <v>0</v>
      </c>
      <c r="F529" s="75">
        <f t="shared" si="70"/>
        <v>0</v>
      </c>
      <c r="G529" s="117">
        <f>IF(B529&gt;0,RANK(B529,$B$527:$B$545),)</f>
        <v>0</v>
      </c>
      <c r="H529" s="107">
        <f>IF(C529&gt;0,RANK(C529,$C$527:$C$545),)</f>
        <v>0</v>
      </c>
      <c r="I529" s="107">
        <f>IF(D529&gt;0,RANK(D529,$D$527:$D$545),)</f>
        <v>0</v>
      </c>
      <c r="J529" s="107">
        <f>IF(E529&gt;0,RANK(E529,$E$527:$E$545),)</f>
        <v>0</v>
      </c>
      <c r="K529" s="107">
        <f>IF(F529&gt;0,RANK(F529,$F$527:$F$545),)</f>
        <v>0</v>
      </c>
      <c r="L529" s="170"/>
      <c r="M529" s="395">
        <f>+[1]Tables!AO197</f>
        <v>0</v>
      </c>
      <c r="N529" s="73"/>
      <c r="O529" s="73"/>
      <c r="P529" s="73"/>
      <c r="Q529" s="73"/>
    </row>
    <row r="530" spans="1:17" s="61" customFormat="1" ht="12.75" customHeight="1">
      <c r="A530" s="73" t="s">
        <v>1900</v>
      </c>
      <c r="B530" s="75">
        <f>IF($M530&gt;0,('Amounts Pivot Table'!R$124/$M530),0)</f>
        <v>0</v>
      </c>
      <c r="C530" s="75">
        <f>IF($M530&gt;0,('Amounts Pivot Table'!R$127/$M530),0)</f>
        <v>0</v>
      </c>
      <c r="D530" s="75">
        <f>IF($M530&gt;0,('Amounts Pivot Table'!R$130/$M530),0)</f>
        <v>0</v>
      </c>
      <c r="E530" s="75">
        <f>IF($M530&gt;0,('Amounts Pivot Table'!R$133/$M530),0)</f>
        <v>0</v>
      </c>
      <c r="F530" s="75">
        <f t="shared" si="70"/>
        <v>0</v>
      </c>
      <c r="G530" s="117">
        <f>IF(B530&gt;0,RANK(B530,$B$527:$B$545),)</f>
        <v>0</v>
      </c>
      <c r="H530" s="107">
        <f>IF(C530&gt;0,RANK(C530,$C$527:$C$545),)</f>
        <v>0</v>
      </c>
      <c r="I530" s="107">
        <f>IF(D530&gt;0,RANK(D530,$D$527:$D$545),)</f>
        <v>0</v>
      </c>
      <c r="J530" s="107">
        <f>IF(E530&gt;0,RANK(E530,$E$527:$E$545),)</f>
        <v>0</v>
      </c>
      <c r="K530" s="107">
        <f>IF(F530&gt;0,RANK(F530,$F$527:$F$545),)</f>
        <v>0</v>
      </c>
      <c r="L530" s="170"/>
      <c r="M530" s="395">
        <f>+[1]Tables!AO198</f>
        <v>0</v>
      </c>
      <c r="N530" s="73"/>
      <c r="O530" s="73"/>
      <c r="P530" s="73"/>
      <c r="Q530" s="73"/>
    </row>
    <row r="531" spans="1:17" s="113" customFormat="1">
      <c r="A531" s="111"/>
      <c r="B531" s="112"/>
      <c r="C531" s="112"/>
      <c r="D531" s="112"/>
      <c r="E531" s="112"/>
      <c r="F531" s="112">
        <f t="shared" si="70"/>
        <v>0</v>
      </c>
      <c r="G531" s="120"/>
      <c r="H531" s="121"/>
      <c r="I531" s="121"/>
      <c r="J531" s="121"/>
      <c r="K531" s="121"/>
      <c r="L531" s="177"/>
      <c r="M531" s="395">
        <f>+[1]Tables!AO199</f>
        <v>0</v>
      </c>
      <c r="N531" s="111"/>
      <c r="O531" s="111"/>
      <c r="P531" s="111"/>
      <c r="Q531" s="111"/>
    </row>
    <row r="532" spans="1:17" s="61" customFormat="1" ht="12.75" customHeight="1">
      <c r="A532" s="73" t="s">
        <v>1901</v>
      </c>
      <c r="B532" s="75">
        <f>IF($M532&gt;0,('Amounts Pivot Table'!R$163/$M532),0)</f>
        <v>0</v>
      </c>
      <c r="C532" s="75">
        <f>IF($M532&gt;0,('Amounts Pivot Table'!R$166/$M532),0)</f>
        <v>0</v>
      </c>
      <c r="D532" s="75">
        <f>IF($M532&gt;0,('Amounts Pivot Table'!R$169/$M532),0)</f>
        <v>0</v>
      </c>
      <c r="E532" s="75">
        <f>IF($M532&gt;0,('Amounts Pivot Table'!R$172/$M532),0)</f>
        <v>0</v>
      </c>
      <c r="F532" s="75">
        <f t="shared" si="70"/>
        <v>0</v>
      </c>
      <c r="G532" s="117">
        <f>IF(B532&gt;0,RANK(B532,$B$527:$B$545),)</f>
        <v>0</v>
      </c>
      <c r="H532" s="107">
        <f>IF(C532&gt;0,RANK(C532,$C$527:$C$545),)</f>
        <v>0</v>
      </c>
      <c r="I532" s="107">
        <f>IF(D532&gt;0,RANK(D532,$D$527:$D$545),)</f>
        <v>0</v>
      </c>
      <c r="J532" s="107">
        <f>IF(E532&gt;0,RANK(E532,$E$527:$E$545),)</f>
        <v>0</v>
      </c>
      <c r="K532" s="107">
        <f>IF(F532&gt;0,RANK(F532,$F$527:$F$545),)</f>
        <v>0</v>
      </c>
      <c r="L532" s="170"/>
      <c r="M532" s="395">
        <f>+[1]Tables!AO200</f>
        <v>0</v>
      </c>
      <c r="N532" s="73"/>
      <c r="O532" s="73"/>
      <c r="P532" s="73"/>
      <c r="Q532" s="73"/>
    </row>
    <row r="533" spans="1:17" s="61" customFormat="1" ht="12.75" customHeight="1">
      <c r="A533" s="73" t="s">
        <v>1894</v>
      </c>
      <c r="B533" s="75">
        <f>IF($M533&gt;0,('Amounts Pivot Table'!R$202/$M533),0)</f>
        <v>0</v>
      </c>
      <c r="C533" s="75">
        <f>IF($M533&gt;0,('Amounts Pivot Table'!R$205/$M533),0)</f>
        <v>0</v>
      </c>
      <c r="D533" s="75">
        <f>IF($M533&gt;0,('Amounts Pivot Table'!R$208/$M533),0)</f>
        <v>0</v>
      </c>
      <c r="E533" s="75">
        <f>IF($M533&gt;0,('Amounts Pivot Table'!R$211/$M533),0)</f>
        <v>0</v>
      </c>
      <c r="F533" s="75">
        <f t="shared" si="70"/>
        <v>0</v>
      </c>
      <c r="G533" s="117">
        <f>IF(B533&gt;0,RANK(B533,$B$527:$B$545),)</f>
        <v>0</v>
      </c>
      <c r="H533" s="107">
        <f>IF(C533&gt;0,RANK(C533,$C$527:$C$545),)</f>
        <v>0</v>
      </c>
      <c r="I533" s="107">
        <f>IF(D533&gt;0,RANK(D533,$D$527:$D$545),)</f>
        <v>0</v>
      </c>
      <c r="J533" s="107">
        <f>IF(E533&gt;0,RANK(E533,$E$527:$E$545),)</f>
        <v>0</v>
      </c>
      <c r="K533" s="107">
        <f>IF(F533&gt;0,RANK(F533,$F$527:$F$545),)</f>
        <v>0</v>
      </c>
      <c r="L533" s="170"/>
      <c r="M533" s="395">
        <f>+[1]Tables!AO201</f>
        <v>0</v>
      </c>
      <c r="N533" s="73"/>
      <c r="O533" s="73"/>
      <c r="P533" s="73"/>
      <c r="Q533" s="73"/>
    </row>
    <row r="534" spans="1:17" s="61" customFormat="1" ht="12.75" customHeight="1">
      <c r="A534" s="73" t="s">
        <v>1902</v>
      </c>
      <c r="B534" s="75">
        <f>IF($M534&gt;0,('Amounts Pivot Table'!R$241/$M534),0)</f>
        <v>5604.2362992640201</v>
      </c>
      <c r="C534" s="75">
        <f>IF($M534&gt;0,('Amounts Pivot Table'!R$244/$M534),0)</f>
        <v>0</v>
      </c>
      <c r="D534" s="75">
        <f>IF($M534&gt;0,('Amounts Pivot Table'!R$247/$M534),0)</f>
        <v>0</v>
      </c>
      <c r="E534" s="75">
        <f>IF($M534&gt;0,('Amounts Pivot Table'!R$250/$M534),0)</f>
        <v>976.52916033295878</v>
      </c>
      <c r="F534" s="75">
        <f t="shared" si="70"/>
        <v>6580.7654595969789</v>
      </c>
      <c r="G534" s="117">
        <f>IF(B534&gt;0,RANK(B534,$B$527:$B$545),)</f>
        <v>1</v>
      </c>
      <c r="H534" s="107">
        <f>IF(C534&gt;0,RANK(C534,$C$527:$C$545),)</f>
        <v>0</v>
      </c>
      <c r="I534" s="107">
        <f>IF(D534&gt;0,RANK(D534,$D$527:$D$545),)</f>
        <v>0</v>
      </c>
      <c r="J534" s="107">
        <f>IF(E534&gt;0,RANK(E534,$E$527:$E$545),)</f>
        <v>1</v>
      </c>
      <c r="K534" s="107">
        <f>IF(F534&gt;0,RANK(F534,$F$527:$F$545),)</f>
        <v>1</v>
      </c>
      <c r="L534" s="170"/>
      <c r="M534" s="395">
        <f>+[1]Tables!AO202</f>
        <v>14183.737222222222</v>
      </c>
      <c r="N534" s="73"/>
      <c r="O534" s="73"/>
      <c r="P534" s="73"/>
      <c r="Q534" s="73"/>
    </row>
    <row r="535" spans="1:17" s="61" customFormat="1" ht="12.75" customHeight="1">
      <c r="A535" s="73" t="s">
        <v>1905</v>
      </c>
      <c r="B535" s="75">
        <f>IF($M535&gt;0,('Amounts Pivot Table'!R$280/$M535),0)</f>
        <v>0</v>
      </c>
      <c r="C535" s="75">
        <f>IF($M535&gt;0,('Amounts Pivot Table'!R$283/$M535),0)</f>
        <v>0</v>
      </c>
      <c r="D535" s="75">
        <f>IF($M535&gt;0,('Amounts Pivot Table'!R$286/$M535),0)</f>
        <v>0</v>
      </c>
      <c r="E535" s="75">
        <f>IF($M535&gt;0,('Amounts Pivot Table'!R$289/$M535),0)</f>
        <v>0</v>
      </c>
      <c r="F535" s="75">
        <f t="shared" si="70"/>
        <v>0</v>
      </c>
      <c r="G535" s="117">
        <f>IF(B535&gt;0,RANK(B535,$B$527:$B$545),)</f>
        <v>0</v>
      </c>
      <c r="H535" s="107">
        <f>IF(C535&gt;0,RANK(C535,$C$527:$C$545),)</f>
        <v>0</v>
      </c>
      <c r="I535" s="107">
        <f>IF(D535&gt;0,RANK(D535,$D$527:$D$545),)</f>
        <v>0</v>
      </c>
      <c r="J535" s="107">
        <f>IF(E535&gt;0,RANK(E535,$E$527:$E$545),)</f>
        <v>0</v>
      </c>
      <c r="K535" s="107">
        <f>IF(F535&gt;0,RANK(F535,$F$527:$F$545),)</f>
        <v>0</v>
      </c>
      <c r="L535" s="170"/>
      <c r="M535" s="395">
        <f>+[1]Tables!AO203</f>
        <v>0</v>
      </c>
      <c r="N535" s="73"/>
      <c r="O535" s="73"/>
      <c r="P535" s="73"/>
      <c r="Q535" s="73"/>
    </row>
    <row r="536" spans="1:17" s="113" customFormat="1">
      <c r="A536" s="111"/>
      <c r="B536" s="112"/>
      <c r="C536" s="112"/>
      <c r="D536" s="112"/>
      <c r="E536" s="112"/>
      <c r="F536" s="112">
        <f>SUM(B536:E536)</f>
        <v>0</v>
      </c>
      <c r="G536" s="120"/>
      <c r="H536" s="121"/>
      <c r="I536" s="121"/>
      <c r="J536" s="121"/>
      <c r="K536" s="121"/>
      <c r="L536" s="177"/>
      <c r="M536" s="395">
        <f>+[1]Tables!AO204</f>
        <v>0</v>
      </c>
      <c r="N536" s="111"/>
      <c r="O536" s="111"/>
      <c r="P536" s="111"/>
      <c r="Q536" s="111"/>
    </row>
    <row r="537" spans="1:17" s="61" customFormat="1" ht="12.75" customHeight="1">
      <c r="A537" s="73" t="s">
        <v>1895</v>
      </c>
      <c r="B537" s="75">
        <f>IF($M537&gt;0,('Amounts Pivot Table'!R$319/$M537),0)</f>
        <v>0</v>
      </c>
      <c r="C537" s="75">
        <f>IF($M537&gt;0,('Amounts Pivot Table'!R$322/$M537),0)</f>
        <v>0</v>
      </c>
      <c r="D537" s="75">
        <f>IF($M537&gt;0,('Amounts Pivot Table'!R$325/$M537),0)</f>
        <v>0</v>
      </c>
      <c r="E537" s="75">
        <f>IF($M537&gt;0,('Amounts Pivot Table'!R$328/$M537),0)</f>
        <v>0</v>
      </c>
      <c r="F537" s="75">
        <f t="shared" si="70"/>
        <v>0</v>
      </c>
      <c r="G537" s="117">
        <f>IF(B537&gt;0,RANK(B537,$B$527:$B$545),)</f>
        <v>0</v>
      </c>
      <c r="H537" s="107">
        <f>IF(C537&gt;0,RANK(C537,$C$527:$C$545),)</f>
        <v>0</v>
      </c>
      <c r="I537" s="107">
        <f>IF(D537&gt;0,RANK(D537,$D$527:$D$545),)</f>
        <v>0</v>
      </c>
      <c r="J537" s="107">
        <f>IF(E537&gt;0,RANK(E537,$E$527:$E$545),)</f>
        <v>0</v>
      </c>
      <c r="K537" s="107">
        <f>IF(F537&gt;0,RANK(F537,$F$527:$F$545),)</f>
        <v>0</v>
      </c>
      <c r="L537" s="170"/>
      <c r="M537" s="395">
        <f>+[1]Tables!AO205</f>
        <v>0</v>
      </c>
      <c r="N537" s="73"/>
      <c r="O537" s="73"/>
      <c r="P537" s="73"/>
      <c r="Q537" s="73"/>
    </row>
    <row r="538" spans="1:17" s="61" customFormat="1" ht="12.75" customHeight="1">
      <c r="A538" s="73" t="s">
        <v>1896</v>
      </c>
      <c r="B538" s="75">
        <f>IF($M538&gt;0,('Amounts Pivot Table'!R$358/$M538),0)</f>
        <v>0</v>
      </c>
      <c r="C538" s="75">
        <f>IF($M538&gt;0,('Amounts Pivot Table'!R$361/$M538),0)</f>
        <v>0</v>
      </c>
      <c r="D538" s="75">
        <f>IF($M538&gt;0,('Amounts Pivot Table'!R$364/$M538),0)</f>
        <v>0</v>
      </c>
      <c r="E538" s="75">
        <f>IF($M538&gt;0,('Amounts Pivot Table'!R$367/$M538),0)</f>
        <v>0</v>
      </c>
      <c r="F538" s="75">
        <f t="shared" si="70"/>
        <v>0</v>
      </c>
      <c r="G538" s="117">
        <f>IF(B538&gt;0,RANK(B538,$B$527:$B$545),)</f>
        <v>0</v>
      </c>
      <c r="H538" s="107">
        <f>IF(C538&gt;0,RANK(C538,$C$527:$C$545),)</f>
        <v>0</v>
      </c>
      <c r="I538" s="107">
        <f>IF(D538&gt;0,RANK(D538,$D$527:$D$545),)</f>
        <v>0</v>
      </c>
      <c r="J538" s="107">
        <f>IF(E538&gt;0,RANK(E538,$E$527:$E$545),)</f>
        <v>0</v>
      </c>
      <c r="K538" s="107">
        <f>IF(F538&gt;0,RANK(F538,$F$527:$F$545),)</f>
        <v>0</v>
      </c>
      <c r="L538" s="170"/>
      <c r="M538" s="395">
        <f>+[1]Tables!AO206</f>
        <v>0</v>
      </c>
      <c r="N538" s="73"/>
      <c r="O538" s="73"/>
      <c r="P538" s="73"/>
      <c r="Q538" s="73"/>
    </row>
    <row r="539" spans="1:17" s="61" customFormat="1" ht="12.75" customHeight="1">
      <c r="A539" s="73" t="s">
        <v>1903</v>
      </c>
      <c r="B539" s="75">
        <f>IF($M539&gt;0,('Amounts Pivot Table'!R$397/$M539),0)</f>
        <v>0</v>
      </c>
      <c r="C539" s="75">
        <f>IF($M539&gt;0,('Amounts Pivot Table'!R$400/$M539),0)</f>
        <v>0</v>
      </c>
      <c r="D539" s="75">
        <f>IF($M539&gt;0,('Amounts Pivot Table'!R$403/$M539),0)</f>
        <v>0</v>
      </c>
      <c r="E539" s="75">
        <f>IF($M539&gt;0,('Amounts Pivot Table'!R$406/$M539),0)</f>
        <v>0</v>
      </c>
      <c r="F539" s="75">
        <f t="shared" si="70"/>
        <v>0</v>
      </c>
      <c r="G539" s="117">
        <f>IF(B539&gt;0,RANK(B539,$B$527:$B$545),)</f>
        <v>0</v>
      </c>
      <c r="H539" s="107">
        <f>IF(C539&gt;0,RANK(C539,$C$527:$C$545),)</f>
        <v>0</v>
      </c>
      <c r="I539" s="107">
        <f>IF(D539&gt;0,RANK(D539,$D$527:$D$545),)</f>
        <v>0</v>
      </c>
      <c r="J539" s="107">
        <f>IF(E539&gt;0,RANK(E539,$E$527:$E$545),)</f>
        <v>0</v>
      </c>
      <c r="K539" s="107">
        <f>IF(F539&gt;0,RANK(F539,$F$527:$F$545),)</f>
        <v>0</v>
      </c>
      <c r="L539" s="170"/>
      <c r="M539" s="395">
        <f>+[1]Tables!AO207</f>
        <v>0</v>
      </c>
      <c r="N539" s="73"/>
      <c r="O539" s="73"/>
      <c r="P539" s="73"/>
      <c r="Q539" s="73"/>
    </row>
    <row r="540" spans="1:17" s="61" customFormat="1" ht="12.75" customHeight="1">
      <c r="A540" s="73" t="s">
        <v>1897</v>
      </c>
      <c r="B540" s="75">
        <f>IF($M540&gt;0,('Amounts Pivot Table'!R$436/$M540),0)</f>
        <v>0</v>
      </c>
      <c r="C540" s="75">
        <f>IF($M540&gt;0,('Amounts Pivot Table'!R$439/$M540),0)</f>
        <v>0</v>
      </c>
      <c r="D540" s="75">
        <f>IF($M540&gt;0,('Amounts Pivot Table'!R$442/$M540),0)</f>
        <v>0</v>
      </c>
      <c r="E540" s="75">
        <f>IF($M540&gt;0,('Amounts Pivot Table'!R$445/$M540),0)</f>
        <v>0</v>
      </c>
      <c r="F540" s="75">
        <f t="shared" si="70"/>
        <v>0</v>
      </c>
      <c r="G540" s="117">
        <f>IF(B540&gt;0,RANK(B540,$B$527:$B$545),)</f>
        <v>0</v>
      </c>
      <c r="H540" s="107">
        <f>IF(C540&gt;0,RANK(C540,$C$527:$C$545),)</f>
        <v>0</v>
      </c>
      <c r="I540" s="107">
        <f>IF(D540&gt;0,RANK(D540,$D$527:$D$545),)</f>
        <v>0</v>
      </c>
      <c r="J540" s="107">
        <f>IF(E540&gt;0,RANK(E540,$E$527:$E$545),)</f>
        <v>0</v>
      </c>
      <c r="K540" s="107">
        <f>IF(F540&gt;0,RANK(F540,$F$527:$F$545),)</f>
        <v>0</v>
      </c>
      <c r="L540" s="170"/>
      <c r="M540" s="395">
        <f>+[1]Tables!AO208</f>
        <v>0</v>
      </c>
      <c r="N540" s="73"/>
      <c r="O540" s="73"/>
      <c r="P540" s="73"/>
      <c r="Q540" s="73"/>
    </row>
    <row r="541" spans="1:17" s="113" customFormat="1">
      <c r="A541" s="111"/>
      <c r="B541" s="112"/>
      <c r="C541" s="112"/>
      <c r="D541" s="112"/>
      <c r="E541" s="112"/>
      <c r="F541" s="112">
        <f>SUM(B541:E541)</f>
        <v>0</v>
      </c>
      <c r="G541" s="120"/>
      <c r="H541" s="121"/>
      <c r="I541" s="121"/>
      <c r="J541" s="121"/>
      <c r="K541" s="121"/>
      <c r="L541" s="177"/>
      <c r="M541" s="395">
        <f>+[1]Tables!AO209</f>
        <v>0</v>
      </c>
      <c r="N541" s="111"/>
      <c r="O541" s="111"/>
      <c r="P541" s="111"/>
      <c r="Q541" s="111"/>
    </row>
    <row r="542" spans="1:17" s="61" customFormat="1" ht="12.75" customHeight="1">
      <c r="A542" s="73" t="s">
        <v>647</v>
      </c>
      <c r="B542" s="75">
        <f>IF($M542&gt;0,('Amounts Pivot Table'!R$475/$M542),0)</f>
        <v>0</v>
      </c>
      <c r="C542" s="75">
        <f>IF($M542&gt;0,('Amounts Pivot Table'!R$478/$M542),0)</f>
        <v>0</v>
      </c>
      <c r="D542" s="75">
        <f>IF($M542&gt;0,('Amounts Pivot Table'!R$481/$M542),0)</f>
        <v>0</v>
      </c>
      <c r="E542" s="75">
        <f>IF($M542&gt;0,('Amounts Pivot Table'!R$484/$M542),0)</f>
        <v>0</v>
      </c>
      <c r="F542" s="75">
        <f t="shared" si="70"/>
        <v>0</v>
      </c>
      <c r="G542" s="117">
        <f>IF(B542&gt;0,RANK(B542,$B$527:$B$545),)</f>
        <v>0</v>
      </c>
      <c r="H542" s="107">
        <f>IF(C542&gt;0,RANK(C542,$C$527:$C$545),)</f>
        <v>0</v>
      </c>
      <c r="I542" s="107">
        <f>IF(D542&gt;0,RANK(D542,$D$527:$D$545),)</f>
        <v>0</v>
      </c>
      <c r="J542" s="107">
        <f>IF(E542&gt;0,RANK(E542,$E$527:$E$545),)</f>
        <v>0</v>
      </c>
      <c r="K542" s="107">
        <f>IF(F542&gt;0,RANK(F542,$F$527:$F$545),)</f>
        <v>0</v>
      </c>
      <c r="L542" s="170"/>
      <c r="M542" s="395">
        <f>+[1]Tables!AO210</f>
        <v>0</v>
      </c>
      <c r="N542" s="73"/>
      <c r="O542" s="73"/>
      <c r="P542" s="73"/>
      <c r="Q542" s="73"/>
    </row>
    <row r="543" spans="1:17" s="76" customFormat="1" ht="12.75" customHeight="1">
      <c r="A543" s="73" t="s">
        <v>1898</v>
      </c>
      <c r="B543" s="75">
        <f>IF($M543&gt;0,('Amounts Pivot Table'!R$514/$M543),0)</f>
        <v>0</v>
      </c>
      <c r="C543" s="75">
        <f>IF($M543&gt;0,('Amounts Pivot Table'!R$517/$M543),0)</f>
        <v>0</v>
      </c>
      <c r="D543" s="75">
        <f>IF($M543&gt;0,('Amounts Pivot Table'!R$520/$M543),0)</f>
        <v>0</v>
      </c>
      <c r="E543" s="75">
        <f>IF($M543&gt;0,('Amounts Pivot Table'!R$523/$M543),0)</f>
        <v>0</v>
      </c>
      <c r="F543" s="75">
        <f t="shared" si="70"/>
        <v>0</v>
      </c>
      <c r="G543" s="117">
        <f>IF(B543&gt;0,RANK(B543,$B$527:$B$545),)</f>
        <v>0</v>
      </c>
      <c r="H543" s="107">
        <f>IF(C543&gt;0,RANK(C543,$C$527:$C$545),)</f>
        <v>0</v>
      </c>
      <c r="I543" s="107">
        <f>IF(D543&gt;0,RANK(D543,$D$527:$D$545),)</f>
        <v>0</v>
      </c>
      <c r="J543" s="107">
        <f>IF(E543&gt;0,RANK(E543,$E$527:$E$545),)</f>
        <v>0</v>
      </c>
      <c r="K543" s="107">
        <f>IF(F543&gt;0,RANK(F543,$F$527:$F$545),)</f>
        <v>0</v>
      </c>
      <c r="L543" s="171"/>
      <c r="M543" s="395">
        <f>+[1]Tables!AO211</f>
        <v>0</v>
      </c>
      <c r="N543" s="90"/>
      <c r="O543" s="90"/>
      <c r="P543" s="90"/>
      <c r="Q543" s="90"/>
    </row>
    <row r="544" spans="1:17" s="61" customFormat="1" ht="12.75" customHeight="1">
      <c r="A544" s="73" t="s">
        <v>1899</v>
      </c>
      <c r="B544" s="75">
        <f>IF($M544&gt;0,('Amounts Pivot Table'!R$553/$M544),0)</f>
        <v>0</v>
      </c>
      <c r="C544" s="75">
        <f>IF($M544&gt;0,('Amounts Pivot Table'!R$556/$M544),0)</f>
        <v>0</v>
      </c>
      <c r="D544" s="75">
        <f>IF($M544&gt;0,('Amounts Pivot Table'!R$559/$M544),0)</f>
        <v>0</v>
      </c>
      <c r="E544" s="75">
        <f>IF($M544&gt;0,('Amounts Pivot Table'!R$562/$M544),0)</f>
        <v>0</v>
      </c>
      <c r="F544" s="75">
        <f t="shared" si="70"/>
        <v>0</v>
      </c>
      <c r="G544" s="117">
        <f>IF(B544&gt;0,RANK(B544,$B$527:$B$545),)</f>
        <v>0</v>
      </c>
      <c r="H544" s="107">
        <f>IF(C544&gt;0,RANK(C544,$C$527:$C$545),)</f>
        <v>0</v>
      </c>
      <c r="I544" s="107">
        <f>IF(D544&gt;0,RANK(D544,$D$527:$D$545),)</f>
        <v>0</v>
      </c>
      <c r="J544" s="107">
        <f>IF(E544&gt;0,RANK(E544,$E$527:$E$545),)</f>
        <v>0</v>
      </c>
      <c r="K544" s="107">
        <f>IF(F544&gt;0,RANK(F544,$F$527:$F$545),)</f>
        <v>0</v>
      </c>
      <c r="L544" s="172"/>
      <c r="M544" s="395">
        <f>+[1]Tables!AO212</f>
        <v>0</v>
      </c>
      <c r="N544" s="73"/>
      <c r="O544" s="73"/>
      <c r="P544" s="73"/>
      <c r="Q544" s="73"/>
    </row>
    <row r="545" spans="1:17" s="61" customFormat="1" ht="15" customHeight="1">
      <c r="A545" s="74" t="s">
        <v>1904</v>
      </c>
      <c r="B545" s="104">
        <f>IF($M545&gt;0,('Amounts Pivot Table'!R$592/$M545),0)</f>
        <v>0</v>
      </c>
      <c r="C545" s="104">
        <f>IF($M545&gt;0,('Amounts Pivot Table'!R$595/$M545),0)</f>
        <v>0</v>
      </c>
      <c r="D545" s="104">
        <f>IF($M545&gt;0,('Amounts Pivot Table'!R$598/$M545),0)</f>
        <v>0</v>
      </c>
      <c r="E545" s="104">
        <f>IF($M545&gt;0,('Amounts Pivot Table'!R$601/$M545),0)</f>
        <v>0</v>
      </c>
      <c r="F545" s="105">
        <f t="shared" si="70"/>
        <v>0</v>
      </c>
      <c r="G545" s="118">
        <f>IF(B545&gt;0,RANK(B545,$B$527:$B$545),)</f>
        <v>0</v>
      </c>
      <c r="H545" s="119">
        <f>IF(C545&gt;0,RANK(C545,$C$527:$C$545),)</f>
        <v>0</v>
      </c>
      <c r="I545" s="119">
        <f>IF(D545&gt;0,RANK(D545,$D$527:$D$545),)</f>
        <v>0</v>
      </c>
      <c r="J545" s="119">
        <f>IF(E545&gt;0,RANK(E545,$E$527:$E$545),)</f>
        <v>0</v>
      </c>
      <c r="K545" s="119">
        <f>IF(F545&gt;0,RANK(F545,$F$527:$F$545),)</f>
        <v>0</v>
      </c>
      <c r="L545" s="173"/>
      <c r="M545" s="395">
        <f>+[1]Tables!AO213</f>
        <v>0</v>
      </c>
      <c r="N545" s="73"/>
      <c r="O545" s="73"/>
      <c r="P545" s="73"/>
      <c r="Q545" s="73"/>
    </row>
    <row r="546" spans="1:17" s="76" customFormat="1" ht="34.5" customHeight="1">
      <c r="A546" s="1188" t="s">
        <v>275</v>
      </c>
      <c r="B546" s="1199"/>
      <c r="C546" s="1199"/>
      <c r="D546" s="1199"/>
      <c r="E546" s="1199"/>
      <c r="F546" s="1199"/>
      <c r="G546" s="1199"/>
      <c r="H546" s="1199"/>
      <c r="I546" s="1199"/>
      <c r="J546" s="1199"/>
      <c r="K546" s="1199"/>
      <c r="L546" s="171"/>
      <c r="M546" s="395"/>
      <c r="N546" s="90"/>
      <c r="O546" s="90"/>
      <c r="P546" s="90"/>
      <c r="Q546" s="90"/>
    </row>
    <row r="547" spans="1:17" s="219" customFormat="1" ht="13.5" customHeight="1">
      <c r="A547" s="1188" t="s">
        <v>453</v>
      </c>
      <c r="B547" s="1199"/>
      <c r="C547" s="1199"/>
      <c r="D547" s="1199"/>
      <c r="E547" s="1199"/>
      <c r="F547" s="1199"/>
      <c r="G547" s="1199"/>
      <c r="H547" s="1199"/>
      <c r="I547" s="1199"/>
      <c r="J547" s="1199"/>
      <c r="K547" s="1199"/>
      <c r="L547" s="218"/>
      <c r="M547" s="401"/>
      <c r="N547" s="220"/>
      <c r="O547" s="220"/>
      <c r="P547" s="220"/>
      <c r="Q547" s="220"/>
    </row>
    <row r="548" spans="1:17" s="61" customFormat="1" ht="13.5" customHeight="1">
      <c r="A548" s="1188" t="s">
        <v>1600</v>
      </c>
      <c r="B548" s="1195"/>
      <c r="C548" s="1195"/>
      <c r="D548" s="1195"/>
      <c r="E548" s="1195"/>
      <c r="F548" s="1195"/>
      <c r="G548" s="1196"/>
      <c r="H548" s="1196"/>
      <c r="I548" s="1196"/>
      <c r="J548" s="1196"/>
      <c r="K548" s="1196"/>
      <c r="L548" s="173"/>
      <c r="M548" s="399"/>
      <c r="N548" s="73"/>
      <c r="O548" s="73"/>
      <c r="P548" s="73"/>
      <c r="Q548" s="73"/>
    </row>
    <row r="549" spans="1:17" s="61" customFormat="1" ht="13.5" customHeight="1">
      <c r="A549" s="189"/>
      <c r="B549" s="106"/>
      <c r="C549" s="106"/>
      <c r="D549" s="106"/>
      <c r="E549" s="106"/>
      <c r="F549" s="106"/>
      <c r="G549" s="190"/>
      <c r="H549" s="190"/>
      <c r="I549" s="190"/>
      <c r="J549" s="190"/>
      <c r="K549" s="190"/>
      <c r="L549" s="173"/>
      <c r="M549" s="399"/>
      <c r="N549" s="73"/>
      <c r="O549" s="73"/>
      <c r="P549" s="73"/>
      <c r="Q549" s="73"/>
    </row>
    <row r="550" spans="1:17">
      <c r="K550" s="805" t="s">
        <v>1931</v>
      </c>
    </row>
  </sheetData>
  <mergeCells count="115">
    <mergeCell ref="A2:I2"/>
    <mergeCell ref="A34:I34"/>
    <mergeCell ref="A35:I35"/>
    <mergeCell ref="A36:I36"/>
    <mergeCell ref="A29:I29"/>
    <mergeCell ref="B5:E5"/>
    <mergeCell ref="F5:I5"/>
    <mergeCell ref="A30:I30"/>
    <mergeCell ref="A31:I31"/>
    <mergeCell ref="A547:K547"/>
    <mergeCell ref="A520:K520"/>
    <mergeCell ref="A521:K521"/>
    <mergeCell ref="B523:F523"/>
    <mergeCell ref="A546:K546"/>
    <mergeCell ref="G523:K523"/>
    <mergeCell ref="A489:K489"/>
    <mergeCell ref="B491:F491"/>
    <mergeCell ref="A514:K514"/>
    <mergeCell ref="G491:K491"/>
    <mergeCell ref="A515:K515"/>
    <mergeCell ref="A519:K519"/>
    <mergeCell ref="A516:K516"/>
    <mergeCell ref="A424:K424"/>
    <mergeCell ref="A483:K483"/>
    <mergeCell ref="A487:K487"/>
    <mergeCell ref="A450:K450"/>
    <mergeCell ref="A456:K456"/>
    <mergeCell ref="A457:K457"/>
    <mergeCell ref="A451:K451"/>
    <mergeCell ref="A425:K425"/>
    <mergeCell ref="B427:F427"/>
    <mergeCell ref="A423:K423"/>
    <mergeCell ref="A419:K419"/>
    <mergeCell ref="A390:K390"/>
    <mergeCell ref="A391:K391"/>
    <mergeCell ref="A392:K392"/>
    <mergeCell ref="B394:F394"/>
    <mergeCell ref="A417:K417"/>
    <mergeCell ref="A418:K418"/>
    <mergeCell ref="A93:I93"/>
    <mergeCell ref="A125:I125"/>
    <mergeCell ref="A126:I126"/>
    <mergeCell ref="A164:I164"/>
    <mergeCell ref="A163:I163"/>
    <mergeCell ref="A130:I130"/>
    <mergeCell ref="A131:I131"/>
    <mergeCell ref="A132:I132"/>
    <mergeCell ref="A162:I162"/>
    <mergeCell ref="A158:I158"/>
    <mergeCell ref="A228:K228"/>
    <mergeCell ref="A196:I196"/>
    <mergeCell ref="A159:I159"/>
    <mergeCell ref="A190:I190"/>
    <mergeCell ref="A189:I189"/>
    <mergeCell ref="A191:K191"/>
    <mergeCell ref="A61:I61"/>
    <mergeCell ref="A100:I100"/>
    <mergeCell ref="A63:K63"/>
    <mergeCell ref="A99:I99"/>
    <mergeCell ref="A67:I67"/>
    <mergeCell ref="A94:I94"/>
    <mergeCell ref="A98:I98"/>
    <mergeCell ref="A66:I66"/>
    <mergeCell ref="A62:I62"/>
    <mergeCell ref="A68:I68"/>
    <mergeCell ref="A160:I160"/>
    <mergeCell ref="A255:K255"/>
    <mergeCell ref="A291:K291"/>
    <mergeCell ref="A290:K290"/>
    <mergeCell ref="A226:K226"/>
    <mergeCell ref="A227:K227"/>
    <mergeCell ref="A285:K285"/>
    <mergeCell ref="A258:K258"/>
    <mergeCell ref="A259:K259"/>
    <mergeCell ref="A254:K254"/>
    <mergeCell ref="B230:F230"/>
    <mergeCell ref="A260:K260"/>
    <mergeCell ref="B262:F262"/>
    <mergeCell ref="A286:K286"/>
    <mergeCell ref="A287:K287"/>
    <mergeCell ref="A253:K253"/>
    <mergeCell ref="A222:I222"/>
    <mergeCell ref="A325:K325"/>
    <mergeCell ref="A319:K319"/>
    <mergeCell ref="A317:K317"/>
    <mergeCell ref="A358:K358"/>
    <mergeCell ref="A385:K385"/>
    <mergeCell ref="A386:K386"/>
    <mergeCell ref="A221:I221"/>
    <mergeCell ref="A194:I194"/>
    <mergeCell ref="A195:I195"/>
    <mergeCell ref="A548:K548"/>
    <mergeCell ref="A420:K420"/>
    <mergeCell ref="A452:K452"/>
    <mergeCell ref="A484:K484"/>
    <mergeCell ref="A488:K488"/>
    <mergeCell ref="B459:F459"/>
    <mergeCell ref="A482:K482"/>
    <mergeCell ref="A455:K455"/>
    <mergeCell ref="A292:K292"/>
    <mergeCell ref="B327:F327"/>
    <mergeCell ref="A320:K320"/>
    <mergeCell ref="A383:K383"/>
    <mergeCell ref="A351:K351"/>
    <mergeCell ref="B360:F360"/>
    <mergeCell ref="A350:K350"/>
    <mergeCell ref="A352:K352"/>
    <mergeCell ref="A356:K356"/>
    <mergeCell ref="A357:K357"/>
    <mergeCell ref="A387:K387"/>
    <mergeCell ref="B294:F294"/>
    <mergeCell ref="A318:K318"/>
    <mergeCell ref="A323:K323"/>
    <mergeCell ref="A324:K324"/>
    <mergeCell ref="A353:K353"/>
  </mergeCells>
  <phoneticPr fontId="5" type="noConversion"/>
  <printOptions horizontalCentered="1"/>
  <pageMargins left="0.5" right="0.5" top="0.85" bottom="0.42" header="0.85" footer="0.4"/>
  <pageSetup scale="94" firstPageNumber="88" orientation="landscape" useFirstPageNumber="1" r:id="rId1"/>
  <headerFooter alignWithMargins="0">
    <oddHeader>&amp;R&amp;"Arial,Regular"&amp;8SREB-State Data Exchange</oddHeader>
    <oddFooter>&amp;C&amp;"Arial,Regular"&amp;P</oddFooter>
  </headerFooter>
  <rowBreaks count="16" manualBreakCount="16">
    <brk id="33" max="10" man="1"/>
    <brk id="65" max="10" man="1"/>
    <brk id="97" max="10" man="1"/>
    <brk id="129" max="10" man="1"/>
    <brk id="161" max="10" man="1"/>
    <brk id="193" max="10" man="1"/>
    <brk id="225" max="10" man="1"/>
    <brk id="257" max="10" man="1"/>
    <brk id="289" max="10" man="1"/>
    <brk id="322" max="10" man="1"/>
    <brk id="355" max="10" man="1"/>
    <brk id="389" max="10" man="1"/>
    <brk id="422" max="10" man="1"/>
    <brk id="454" max="10" man="1"/>
    <brk id="486" max="10" man="1"/>
    <brk id="518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tabColor indexed="58"/>
  </sheetPr>
  <dimension ref="A1:AN138"/>
  <sheetViews>
    <sheetView showGridLines="0" showZeros="0" view="pageBreakPreview" topLeftCell="C101" zoomScale="80" zoomScaleNormal="80" zoomScaleSheetLayoutView="80" workbookViewId="0">
      <selection activeCell="H107" sqref="H107"/>
    </sheetView>
  </sheetViews>
  <sheetFormatPr defaultRowHeight="12.75"/>
  <cols>
    <col min="1" max="1" width="12.125" style="182" customWidth="1"/>
    <col min="2" max="2" width="11.25" style="182" bestFit="1" customWidth="1"/>
    <col min="3" max="3" width="11.75" style="182" bestFit="1" customWidth="1"/>
    <col min="4" max="4" width="11.25" style="182" bestFit="1" customWidth="1"/>
    <col min="5" max="5" width="10.875" style="182" bestFit="1" customWidth="1"/>
    <col min="6" max="6" width="11.375" style="182" bestFit="1" customWidth="1"/>
    <col min="7" max="7" width="10.75" style="182" customWidth="1"/>
    <col min="8" max="8" width="9.625" style="182" bestFit="1" customWidth="1"/>
    <col min="9" max="9" width="11.5" style="182" bestFit="1" customWidth="1"/>
    <col min="10" max="10" width="10.875" style="182" customWidth="1"/>
    <col min="11" max="11" width="11.625" style="182" customWidth="1"/>
    <col min="12" max="12" width="11.375" style="182" bestFit="1" customWidth="1"/>
    <col min="13" max="13" width="16.625" style="182" customWidth="1"/>
    <col min="14" max="14" width="10.625" style="182" customWidth="1"/>
    <col min="15" max="15" width="11.625" style="182" bestFit="1" customWidth="1"/>
    <col min="16" max="16" width="7.25" style="182" customWidth="1"/>
    <col min="17" max="17" width="11.125" style="182" bestFit="1" customWidth="1"/>
    <col min="18" max="18" width="11.75" style="182" bestFit="1" customWidth="1"/>
    <col min="19" max="19" width="11.25" style="182" customWidth="1"/>
    <col min="20" max="20" width="13.5" style="6" bestFit="1" customWidth="1"/>
    <col min="21" max="21" width="12.5" style="182" customWidth="1"/>
    <col min="22" max="22" width="10.125" style="182" customWidth="1"/>
    <col min="23" max="23" width="9.875" style="182" customWidth="1"/>
    <col min="24" max="24" width="10.125" style="182" customWidth="1"/>
    <col min="25" max="25" width="11" style="182" customWidth="1"/>
    <col min="26" max="26" width="10.75" style="182" customWidth="1"/>
    <col min="27" max="27" width="10.875" style="182" customWidth="1"/>
    <col min="28" max="28" width="9.5" style="182" bestFit="1" customWidth="1"/>
    <col min="29" max="29" width="9.75" style="182" customWidth="1"/>
    <col min="30" max="30" width="10" style="182" customWidth="1"/>
    <col min="31" max="31" width="11.5" style="182" customWidth="1"/>
    <col min="32" max="32" width="22.5" style="182" customWidth="1"/>
    <col min="33" max="33" width="12" style="182" customWidth="1"/>
    <col min="34" max="34" width="10.5" style="182" customWidth="1"/>
    <col min="35" max="35" width="10.125" style="182" customWidth="1"/>
    <col min="36" max="36" width="9" style="182"/>
    <col min="37" max="37" width="9.75" style="182" customWidth="1"/>
    <col min="38" max="38" width="11" style="182" customWidth="1"/>
    <col min="39" max="39" width="9.75" style="182" customWidth="1"/>
    <col min="40" max="40" width="11.875" style="182" customWidth="1"/>
    <col min="41" max="16384" width="9" style="182"/>
  </cols>
  <sheetData>
    <row r="1" spans="1:20" ht="23.25">
      <c r="A1" s="244" t="s">
        <v>122</v>
      </c>
      <c r="B1" s="92"/>
      <c r="C1" s="92"/>
      <c r="D1" s="92"/>
      <c r="E1" s="857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S1" s="92"/>
    </row>
    <row r="2" spans="1:20">
      <c r="A2" s="96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7"/>
      <c r="P2" s="96"/>
      <c r="S2" s="96"/>
      <c r="T2" s="8"/>
    </row>
    <row r="3" spans="1:20" ht="15.75">
      <c r="A3" s="359"/>
      <c r="B3" s="153" t="s">
        <v>562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7"/>
      <c r="N3" s="329" t="s">
        <v>648</v>
      </c>
      <c r="O3" s="109"/>
      <c r="P3" s="109"/>
      <c r="Q3" s="329" t="s">
        <v>648</v>
      </c>
      <c r="R3" s="109"/>
      <c r="S3" s="109"/>
      <c r="T3" s="355"/>
    </row>
    <row r="4" spans="1:20" ht="22.5">
      <c r="A4" s="95"/>
      <c r="B4" s="324" t="s">
        <v>561</v>
      </c>
      <c r="C4" s="324"/>
      <c r="D4" s="324"/>
      <c r="E4" s="323" t="s">
        <v>563</v>
      </c>
      <c r="F4" s="324"/>
      <c r="G4" s="324"/>
      <c r="H4" s="323" t="s">
        <v>444</v>
      </c>
      <c r="I4" s="325"/>
      <c r="J4" s="330" t="s">
        <v>670</v>
      </c>
      <c r="K4" s="330"/>
      <c r="L4" s="351" t="s">
        <v>648</v>
      </c>
      <c r="M4" s="351" t="s">
        <v>648</v>
      </c>
      <c r="N4" s="327" t="s">
        <v>565</v>
      </c>
      <c r="O4" s="328"/>
      <c r="P4" s="328"/>
      <c r="Q4" s="327" t="s">
        <v>566</v>
      </c>
      <c r="R4" s="328"/>
      <c r="S4" s="328"/>
      <c r="T4" s="349"/>
    </row>
    <row r="5" spans="1:20" ht="58.5" customHeight="1">
      <c r="A5" s="50"/>
      <c r="B5" s="51" t="s">
        <v>559</v>
      </c>
      <c r="C5" s="52" t="s">
        <v>560</v>
      </c>
      <c r="D5" s="52" t="s">
        <v>435</v>
      </c>
      <c r="E5" s="53" t="s">
        <v>559</v>
      </c>
      <c r="F5" s="52" t="s">
        <v>560</v>
      </c>
      <c r="G5" s="52" t="s">
        <v>435</v>
      </c>
      <c r="H5" s="53" t="s">
        <v>559</v>
      </c>
      <c r="I5" s="326" t="s">
        <v>560</v>
      </c>
      <c r="J5" s="331" t="s">
        <v>559</v>
      </c>
      <c r="K5" s="332" t="s">
        <v>560</v>
      </c>
      <c r="L5" s="327" t="s">
        <v>436</v>
      </c>
      <c r="M5" s="350" t="s">
        <v>1907</v>
      </c>
      <c r="N5" s="53" t="s">
        <v>559</v>
      </c>
      <c r="O5" s="52" t="s">
        <v>560</v>
      </c>
      <c r="P5" s="52" t="s">
        <v>435</v>
      </c>
      <c r="Q5" s="53" t="s">
        <v>559</v>
      </c>
      <c r="R5" s="52" t="s">
        <v>560</v>
      </c>
      <c r="S5" s="52" t="s">
        <v>435</v>
      </c>
      <c r="T5" s="356" t="s">
        <v>1907</v>
      </c>
    </row>
    <row r="6" spans="1:20">
      <c r="A6" s="73" t="s">
        <v>437</v>
      </c>
      <c r="B6" s="342">
        <f>'Distrib pivot table'!U$113</f>
        <v>329162038.35000002</v>
      </c>
      <c r="C6" s="353">
        <f>'Distrib pivot table'!U$116</f>
        <v>670898087.70000005</v>
      </c>
      <c r="D6" s="343">
        <f>'Distrib pivot table'!U$110</f>
        <v>0</v>
      </c>
      <c r="E6" s="337">
        <f>'Distrib pivot table'!U$122</f>
        <v>89495985.140000001</v>
      </c>
      <c r="F6" s="353">
        <f>'Distrib pivot table'!U$125</f>
        <v>119380864</v>
      </c>
      <c r="G6" s="342">
        <f>'Distrib pivot table'!U$119</f>
        <v>0</v>
      </c>
      <c r="H6" s="337">
        <f>'Distrib pivot table'!U$104</f>
        <v>10085005</v>
      </c>
      <c r="I6" s="354">
        <f>'Distrib pivot table'!U$107</f>
        <v>450500292</v>
      </c>
      <c r="J6" s="336">
        <f>+B6+E6+H6</f>
        <v>428743028.49000001</v>
      </c>
      <c r="K6" s="344">
        <f>+C6+F6+I6</f>
        <v>1240779243.7</v>
      </c>
      <c r="L6" s="337">
        <f>'Distrib pivot table'!U$101</f>
        <v>443692152</v>
      </c>
      <c r="M6" s="336">
        <f>+D6+G6+J6+K6+L6</f>
        <v>2113214424.1900001</v>
      </c>
      <c r="N6" s="337">
        <f>'Distrib pivot table'!U$131</f>
        <v>364050825</v>
      </c>
      <c r="O6" s="353">
        <f>'Distrib pivot table'!U$134</f>
        <v>386570119</v>
      </c>
      <c r="P6" s="342">
        <f>'Distrib pivot table'!U$128</f>
        <v>686032</v>
      </c>
      <c r="Q6" s="337">
        <f>'Distrib pivot table'!U$140</f>
        <v>134273568</v>
      </c>
      <c r="R6" s="353">
        <f>'Distrib pivot table'!U$143</f>
        <v>273928053</v>
      </c>
      <c r="S6" s="342">
        <f>'Distrib pivot table'!U$137</f>
        <v>3828751</v>
      </c>
      <c r="T6" s="362">
        <f>+M6+N6+O6+P6+Q6+R6+S6</f>
        <v>3276551772.1900001</v>
      </c>
    </row>
    <row r="7" spans="1:20">
      <c r="A7" s="73"/>
      <c r="B7" s="334"/>
      <c r="C7" s="334"/>
      <c r="D7" s="334"/>
      <c r="E7" s="333"/>
      <c r="F7" s="334"/>
      <c r="G7" s="334"/>
      <c r="H7" s="333"/>
      <c r="I7" s="335"/>
      <c r="J7" s="333"/>
      <c r="K7" s="334"/>
      <c r="L7" s="333"/>
      <c r="M7" s="336"/>
      <c r="N7" s="333"/>
      <c r="O7" s="334"/>
      <c r="P7" s="334"/>
      <c r="Q7" s="333"/>
      <c r="R7" s="334"/>
      <c r="S7" s="334"/>
      <c r="T7" s="333"/>
    </row>
    <row r="8" spans="1:20">
      <c r="A8" s="73" t="s">
        <v>1892</v>
      </c>
      <c r="B8" s="342">
        <f>'Distrib pivot table'!E$113</f>
        <v>4230769</v>
      </c>
      <c r="C8" s="342">
        <f>'Distrib pivot table'!E$116</f>
        <v>23304767</v>
      </c>
      <c r="D8" s="343">
        <f>'Distrib pivot table'!E$110</f>
        <v>0</v>
      </c>
      <c r="E8" s="337">
        <f>'Distrib pivot table'!E$122</f>
        <v>937198</v>
      </c>
      <c r="F8" s="342">
        <f>'Distrib pivot table'!E$125</f>
        <v>160785</v>
      </c>
      <c r="G8" s="342">
        <f>'Distrib pivot table'!E$119</f>
        <v>0</v>
      </c>
      <c r="H8" s="337">
        <f>'Distrib pivot table'!E$104</f>
        <v>11844</v>
      </c>
      <c r="I8" s="343">
        <f>'Distrib pivot table'!E$107</f>
        <v>1893614</v>
      </c>
      <c r="J8" s="336">
        <f t="shared" ref="J8:J23" si="0">+B8+E8+H8</f>
        <v>5179811</v>
      </c>
      <c r="K8" s="344">
        <f t="shared" ref="K8:K23" si="1">+C8+F8+I8</f>
        <v>25359166</v>
      </c>
      <c r="L8" s="337">
        <f>'Distrib pivot table'!E$101</f>
        <v>0</v>
      </c>
      <c r="M8" s="360">
        <f t="shared" ref="M8:M23" si="2">+D8+G8+J8+K8+L8</f>
        <v>30538977</v>
      </c>
      <c r="N8" s="337">
        <f>'Distrib pivot table'!E$131</f>
        <v>0</v>
      </c>
      <c r="O8" s="342">
        <f>'Distrib pivot table'!E$134</f>
        <v>102375</v>
      </c>
      <c r="P8" s="342">
        <f>'Distrib pivot table'!E$128</f>
        <v>0</v>
      </c>
      <c r="Q8" s="337">
        <f>'Distrib pivot table'!E$140</f>
        <v>0</v>
      </c>
      <c r="R8" s="342">
        <f>'Distrib pivot table'!E$143</f>
        <v>2549945</v>
      </c>
      <c r="S8" s="342">
        <f>'Distrib pivot table'!E$137</f>
        <v>0</v>
      </c>
      <c r="T8" s="363">
        <f t="shared" ref="T8:T23" si="3">+M8+N8+O8+P8+Q8+R8+S8</f>
        <v>33191297</v>
      </c>
    </row>
    <row r="9" spans="1:20">
      <c r="A9" s="73" t="s">
        <v>1906</v>
      </c>
      <c r="B9" s="342">
        <f>'Distrib pivot table'!F$113</f>
        <v>23308550</v>
      </c>
      <c r="C9" s="342">
        <f>'Distrib pivot table'!F$116</f>
        <v>10006935</v>
      </c>
      <c r="D9" s="343">
        <f>'Distrib pivot table'!F$110</f>
        <v>0</v>
      </c>
      <c r="E9" s="337">
        <f>'Distrib pivot table'!F$122</f>
        <v>2723017</v>
      </c>
      <c r="F9" s="342">
        <f>'Distrib pivot table'!F$125</f>
        <v>2999000</v>
      </c>
      <c r="G9" s="342">
        <f>'Distrib pivot table'!F$119</f>
        <v>0</v>
      </c>
      <c r="H9" s="337">
        <f>'Distrib pivot table'!F$104</f>
        <v>0</v>
      </c>
      <c r="I9" s="343">
        <f>'Distrib pivot table'!F$107</f>
        <v>200000</v>
      </c>
      <c r="J9" s="336">
        <f t="shared" si="0"/>
        <v>26031567</v>
      </c>
      <c r="K9" s="344">
        <f t="shared" si="1"/>
        <v>13205935</v>
      </c>
      <c r="L9" s="337">
        <f>'Distrib pivot table'!F$101</f>
        <v>0</v>
      </c>
      <c r="M9" s="360">
        <f t="shared" si="2"/>
        <v>39237502</v>
      </c>
      <c r="N9" s="337">
        <f>'Distrib pivot table'!F$131</f>
        <v>0</v>
      </c>
      <c r="O9" s="342">
        <f>'Distrib pivot table'!F$134</f>
        <v>146000</v>
      </c>
      <c r="P9" s="342">
        <f>'Distrib pivot table'!F$128</f>
        <v>0</v>
      </c>
      <c r="Q9" s="337">
        <f>'Distrib pivot table'!F$140</f>
        <v>0</v>
      </c>
      <c r="R9" s="342">
        <f>'Distrib pivot table'!F$143</f>
        <v>0</v>
      </c>
      <c r="S9" s="342">
        <f>'Distrib pivot table'!F$137</f>
        <v>0</v>
      </c>
      <c r="T9" s="363">
        <f t="shared" si="3"/>
        <v>39383502</v>
      </c>
    </row>
    <row r="10" spans="1:20">
      <c r="A10" s="73" t="s">
        <v>1893</v>
      </c>
      <c r="B10" s="341">
        <f>'Distrib pivot table'!G$113</f>
        <v>875300</v>
      </c>
      <c r="C10" s="341">
        <f>'Distrib pivot table'!G$116</f>
        <v>1011738</v>
      </c>
      <c r="D10" s="339">
        <f>'Distrib pivot table'!G$110</f>
        <v>0</v>
      </c>
      <c r="E10" s="338">
        <f>'Distrib pivot table'!G$122</f>
        <v>1723855</v>
      </c>
      <c r="F10" s="341">
        <f>'Distrib pivot table'!G$125</f>
        <v>505450</v>
      </c>
      <c r="G10" s="342">
        <f>'Distrib pivot table'!G$119</f>
        <v>0</v>
      </c>
      <c r="H10" s="338">
        <f>'Distrib pivot table'!G$104</f>
        <v>0</v>
      </c>
      <c r="I10" s="339">
        <f>'Distrib pivot table'!G$107</f>
        <v>0</v>
      </c>
      <c r="J10" s="340">
        <f t="shared" si="0"/>
        <v>2599155</v>
      </c>
      <c r="K10" s="340">
        <f t="shared" si="1"/>
        <v>1517188</v>
      </c>
      <c r="L10" s="338">
        <f>'Distrib pivot table'!G$101</f>
        <v>577408</v>
      </c>
      <c r="M10" s="360">
        <f t="shared" si="2"/>
        <v>4693751</v>
      </c>
      <c r="N10" s="338">
        <f>'Distrib pivot table'!G$131</f>
        <v>0</v>
      </c>
      <c r="O10" s="341">
        <f>'Distrib pivot table'!G$134</f>
        <v>0</v>
      </c>
      <c r="P10" s="342">
        <f>'Distrib pivot table'!G$128</f>
        <v>0</v>
      </c>
      <c r="Q10" s="349">
        <f>'Distrib pivot table'!G$140</f>
        <v>0</v>
      </c>
      <c r="R10" s="6">
        <f>'Distrib pivot table'!G$143</f>
        <v>0</v>
      </c>
      <c r="S10" s="342">
        <f>'Distrib pivot table'!G$137</f>
        <v>0</v>
      </c>
      <c r="T10" s="363">
        <f t="shared" si="3"/>
        <v>4693751</v>
      </c>
    </row>
    <row r="11" spans="1:20">
      <c r="A11" s="73" t="s">
        <v>1900</v>
      </c>
      <c r="B11" s="341">
        <f>'Distrib pivot table'!H$113</f>
        <v>0</v>
      </c>
      <c r="C11" s="341">
        <f>'Distrib pivot table'!H$116</f>
        <v>0</v>
      </c>
      <c r="D11" s="339">
        <f>'Distrib pivot table'!H$110</f>
        <v>0</v>
      </c>
      <c r="E11" s="338">
        <f>'Distrib pivot table'!H$122</f>
        <v>0</v>
      </c>
      <c r="F11" s="341">
        <f>'Distrib pivot table'!H$125</f>
        <v>0</v>
      </c>
      <c r="G11" s="342">
        <f>'Distrib pivot table'!H$119</f>
        <v>0</v>
      </c>
      <c r="H11" s="338">
        <f>'Distrib pivot table'!H$104</f>
        <v>7659861</v>
      </c>
      <c r="I11" s="339">
        <f>'Distrib pivot table'!H$107</f>
        <v>438172903</v>
      </c>
      <c r="J11" s="340">
        <f t="shared" si="0"/>
        <v>7659861</v>
      </c>
      <c r="K11" s="340">
        <f t="shared" si="1"/>
        <v>438172903</v>
      </c>
      <c r="L11" s="338">
        <f>'Distrib pivot table'!H$101</f>
        <v>500000</v>
      </c>
      <c r="M11" s="360">
        <f t="shared" si="2"/>
        <v>446332764</v>
      </c>
      <c r="N11" s="338">
        <f>'Distrib pivot table'!H$131</f>
        <v>98546590</v>
      </c>
      <c r="O11" s="341">
        <f>'Distrib pivot table'!H$134</f>
        <v>5592988</v>
      </c>
      <c r="P11" s="342">
        <f>'Distrib pivot table'!H$128</f>
        <v>0</v>
      </c>
      <c r="Q11" s="349">
        <f>'Distrib pivot table'!H$140</f>
        <v>27606096</v>
      </c>
      <c r="R11" s="6">
        <f>'Distrib pivot table'!H$143</f>
        <v>101481987</v>
      </c>
      <c r="S11" s="342">
        <f>'Distrib pivot table'!H$137</f>
        <v>0</v>
      </c>
      <c r="T11" s="363">
        <f t="shared" si="3"/>
        <v>679560425</v>
      </c>
    </row>
    <row r="12" spans="1:20">
      <c r="A12" s="73" t="s">
        <v>1901</v>
      </c>
      <c r="B12" s="341">
        <f>'Distrib pivot table'!I$113</f>
        <v>0</v>
      </c>
      <c r="C12" s="341">
        <f>'Distrib pivot table'!I$116</f>
        <v>255850</v>
      </c>
      <c r="D12" s="339">
        <f>'Distrib pivot table'!I$110</f>
        <v>0</v>
      </c>
      <c r="E12" s="338">
        <f>'Distrib pivot table'!I$122</f>
        <v>0</v>
      </c>
      <c r="F12" s="341">
        <f>'Distrib pivot table'!I$125</f>
        <v>710000</v>
      </c>
      <c r="G12" s="342">
        <f>'Distrib pivot table'!I$119</f>
        <v>0</v>
      </c>
      <c r="H12" s="338">
        <f>'Distrib pivot table'!I$104</f>
        <v>0</v>
      </c>
      <c r="I12" s="339">
        <f>'Distrib pivot table'!I$107</f>
        <v>0</v>
      </c>
      <c r="J12" s="340">
        <f t="shared" si="0"/>
        <v>0</v>
      </c>
      <c r="K12" s="340">
        <f t="shared" si="1"/>
        <v>965850</v>
      </c>
      <c r="L12" s="338">
        <f>'Distrib pivot table'!I$101</f>
        <v>11238887</v>
      </c>
      <c r="M12" s="360">
        <f t="shared" si="2"/>
        <v>12204737</v>
      </c>
      <c r="N12" s="338">
        <f>'Distrib pivot table'!I$131</f>
        <v>0</v>
      </c>
      <c r="O12" s="341">
        <f>'Distrib pivot table'!I$134</f>
        <v>355086391</v>
      </c>
      <c r="P12" s="342">
        <f>'Distrib pivot table'!I$128</f>
        <v>0</v>
      </c>
      <c r="Q12" s="349">
        <f>'Distrib pivot table'!I$140</f>
        <v>0</v>
      </c>
      <c r="R12" s="6">
        <f>'Distrib pivot table'!I$143</f>
        <v>43551802</v>
      </c>
      <c r="S12" s="342">
        <f>'Distrib pivot table'!I$137</f>
        <v>0</v>
      </c>
      <c r="T12" s="363">
        <f t="shared" si="3"/>
        <v>410842930</v>
      </c>
    </row>
    <row r="13" spans="1:20">
      <c r="A13" s="73" t="s">
        <v>1894</v>
      </c>
      <c r="B13" s="342">
        <f>'Distrib pivot table'!J$113</f>
        <v>45021600</v>
      </c>
      <c r="C13" s="342">
        <f>'Distrib pivot table'!J$116</f>
        <v>71910200</v>
      </c>
      <c r="D13" s="343">
        <f>'Distrib pivot table'!J$110</f>
        <v>0</v>
      </c>
      <c r="E13" s="337">
        <f>'Distrib pivot table'!J$122</f>
        <v>14374800</v>
      </c>
      <c r="F13" s="342">
        <f>'Distrib pivot table'!J$125</f>
        <v>16688000</v>
      </c>
      <c r="G13" s="342">
        <f>'Distrib pivot table'!J$119</f>
        <v>0</v>
      </c>
      <c r="H13" s="337">
        <f>'Distrib pivot table'!J$104</f>
        <v>0</v>
      </c>
      <c r="I13" s="343">
        <f>'Distrib pivot table'!J$107</f>
        <v>0</v>
      </c>
      <c r="J13" s="344">
        <f t="shared" si="0"/>
        <v>59396400</v>
      </c>
      <c r="K13" s="344">
        <f t="shared" si="1"/>
        <v>88598200</v>
      </c>
      <c r="L13" s="337">
        <f>'Distrib pivot table'!J$101</f>
        <v>0</v>
      </c>
      <c r="M13" s="360">
        <f t="shared" si="2"/>
        <v>147994600</v>
      </c>
      <c r="N13" s="337">
        <f>'Distrib pivot table'!J$131</f>
        <v>0</v>
      </c>
      <c r="O13" s="342">
        <f>'Distrib pivot table'!J$134</f>
        <v>0</v>
      </c>
      <c r="P13" s="342">
        <f>'Distrib pivot table'!J$128</f>
        <v>9600</v>
      </c>
      <c r="Q13" s="349">
        <f>'Distrib pivot table'!J$140</f>
        <v>32764600</v>
      </c>
      <c r="R13" s="6">
        <f>'Distrib pivot table'!J$143</f>
        <v>854400</v>
      </c>
      <c r="S13" s="342">
        <f>'Distrib pivot table'!J$137</f>
        <v>0</v>
      </c>
      <c r="T13" s="363">
        <f t="shared" si="3"/>
        <v>181623200</v>
      </c>
    </row>
    <row r="14" spans="1:20">
      <c r="A14" s="73" t="s">
        <v>1570</v>
      </c>
      <c r="B14" s="342">
        <f>'Distrib pivot table'!K$113</f>
        <v>22910043.800000001</v>
      </c>
      <c r="C14" s="342">
        <f>'Distrib pivot table'!K$116</f>
        <v>108762475</v>
      </c>
      <c r="D14" s="343">
        <f>'Distrib pivot table'!K$110</f>
        <v>0</v>
      </c>
      <c r="E14" s="337">
        <f>'Distrib pivot table'!K$122</f>
        <v>2339789.14</v>
      </c>
      <c r="F14" s="342">
        <f>'Distrib pivot table'!K$125</f>
        <v>9223851</v>
      </c>
      <c r="G14" s="342">
        <f>'Distrib pivot table'!K$119</f>
        <v>0</v>
      </c>
      <c r="H14" s="337">
        <f>'Distrib pivot table'!K$104</f>
        <v>0</v>
      </c>
      <c r="I14" s="343">
        <f>'Distrib pivot table'!K$107</f>
        <v>0</v>
      </c>
      <c r="J14" s="344">
        <f t="shared" si="0"/>
        <v>25249832.940000001</v>
      </c>
      <c r="K14" s="344">
        <f t="shared" si="1"/>
        <v>117986326</v>
      </c>
      <c r="L14" s="337">
        <f>'Distrib pivot table'!K$101</f>
        <v>0</v>
      </c>
      <c r="M14" s="360">
        <f t="shared" si="2"/>
        <v>143236158.94</v>
      </c>
      <c r="N14" s="337">
        <f>'Distrib pivot table'!K$131</f>
        <v>0</v>
      </c>
      <c r="O14" s="342">
        <f>'Distrib pivot table'!K$134</f>
        <v>4031800</v>
      </c>
      <c r="P14" s="342">
        <f>'Distrib pivot table'!K$128</f>
        <v>0</v>
      </c>
      <c r="Q14" s="349">
        <f>'Distrib pivot table'!K$140</f>
        <v>0</v>
      </c>
      <c r="R14" s="6">
        <f>'Distrib pivot table'!K$143</f>
        <v>0</v>
      </c>
      <c r="S14" s="342">
        <f>'Distrib pivot table'!K$137</f>
        <v>0</v>
      </c>
      <c r="T14" s="363">
        <f t="shared" si="3"/>
        <v>147267958.94</v>
      </c>
    </row>
    <row r="15" spans="1:20">
      <c r="A15" s="73" t="s">
        <v>1905</v>
      </c>
      <c r="B15" s="342">
        <f>'Distrib pivot table'!L$113</f>
        <v>75528895.549999997</v>
      </c>
      <c r="C15" s="342">
        <f>'Distrib pivot table'!L$116</f>
        <v>13299139</v>
      </c>
      <c r="D15" s="343">
        <f>'Distrib pivot table'!L$110</f>
        <v>0</v>
      </c>
      <c r="E15" s="337">
        <f>'Distrib pivot table'!L$122</f>
        <v>16328496</v>
      </c>
      <c r="F15" s="342">
        <f>'Distrib pivot table'!L$125</f>
        <v>2906119</v>
      </c>
      <c r="G15" s="342">
        <f>'Distrib pivot table'!L$119</f>
        <v>0</v>
      </c>
      <c r="H15" s="337">
        <f>'Distrib pivot table'!L$104</f>
        <v>0</v>
      </c>
      <c r="I15" s="343">
        <f>'Distrib pivot table'!L$107</f>
        <v>0</v>
      </c>
      <c r="J15" s="344">
        <f t="shared" si="0"/>
        <v>91857391.549999997</v>
      </c>
      <c r="K15" s="344">
        <f t="shared" si="1"/>
        <v>16205258</v>
      </c>
      <c r="L15" s="337">
        <f>'Distrib pivot table'!L$101</f>
        <v>0</v>
      </c>
      <c r="M15" s="360">
        <f t="shared" si="2"/>
        <v>108062649.55</v>
      </c>
      <c r="N15" s="337">
        <f>'Distrib pivot table'!L$131</f>
        <v>0</v>
      </c>
      <c r="O15" s="342">
        <f>'Distrib pivot table'!L$134</f>
        <v>0</v>
      </c>
      <c r="P15" s="342">
        <f>'Distrib pivot table'!L$128</f>
        <v>0</v>
      </c>
      <c r="Q15" s="349">
        <f>'Distrib pivot table'!L$140</f>
        <v>0</v>
      </c>
      <c r="R15" s="6">
        <f>'Distrib pivot table'!L$143</f>
        <v>0</v>
      </c>
      <c r="S15" s="342">
        <f>'Distrib pivot table'!L$137</f>
        <v>0</v>
      </c>
      <c r="T15" s="363">
        <f t="shared" si="3"/>
        <v>108062649.55</v>
      </c>
    </row>
    <row r="16" spans="1:20">
      <c r="A16" s="73" t="s">
        <v>1895</v>
      </c>
      <c r="B16" s="342">
        <f>'Distrib pivot table'!M$113</f>
        <v>4185228</v>
      </c>
      <c r="C16" s="342">
        <f>'Distrib pivot table'!M$116</f>
        <v>13932527.699999999</v>
      </c>
      <c r="D16" s="342">
        <f>'Distrib pivot table'!M$110</f>
        <v>0</v>
      </c>
      <c r="E16" s="337">
        <f>'Distrib pivot table'!M$122</f>
        <v>346457</v>
      </c>
      <c r="F16" s="342">
        <f>'Distrib pivot table'!M$125</f>
        <v>3112516</v>
      </c>
      <c r="G16" s="342">
        <f>'Distrib pivot table'!M$119</f>
        <v>0</v>
      </c>
      <c r="H16" s="337">
        <f>'Distrib pivot table'!M$104</f>
        <v>0</v>
      </c>
      <c r="I16" s="343">
        <f>'Distrib pivot table'!M$107</f>
        <v>0</v>
      </c>
      <c r="J16" s="344">
        <f t="shared" si="0"/>
        <v>4531685</v>
      </c>
      <c r="K16" s="344">
        <f t="shared" si="1"/>
        <v>17045043.699999999</v>
      </c>
      <c r="L16" s="337">
        <f>'Distrib pivot table'!M$101</f>
        <v>0</v>
      </c>
      <c r="M16" s="360">
        <f t="shared" si="2"/>
        <v>21576728.699999999</v>
      </c>
      <c r="N16" s="337">
        <f>'Distrib pivot table'!M$131</f>
        <v>0</v>
      </c>
      <c r="O16" s="342">
        <f>'Distrib pivot table'!M$134</f>
        <v>5630743</v>
      </c>
      <c r="P16" s="342">
        <f>'Distrib pivot table'!M$128</f>
        <v>376432</v>
      </c>
      <c r="Q16" s="349">
        <f>'Distrib pivot table'!M$140</f>
        <v>0</v>
      </c>
      <c r="R16" s="6">
        <f>'Distrib pivot table'!M$143</f>
        <v>0</v>
      </c>
      <c r="S16" s="342">
        <f>'Distrib pivot table'!M$137</f>
        <v>0</v>
      </c>
      <c r="T16" s="363">
        <f t="shared" si="3"/>
        <v>27583903.699999999</v>
      </c>
    </row>
    <row r="17" spans="1:40">
      <c r="A17" s="73" t="s">
        <v>1896</v>
      </c>
      <c r="B17" s="342">
        <f>'Distrib pivot table'!N$113</f>
        <v>0</v>
      </c>
      <c r="C17" s="342">
        <f>'Distrib pivot table'!N$116</f>
        <v>0</v>
      </c>
      <c r="D17" s="343">
        <f>'Distrib pivot table'!N$110</f>
        <v>0</v>
      </c>
      <c r="E17" s="337">
        <f>'Distrib pivot table'!N$122</f>
        <v>0</v>
      </c>
      <c r="F17" s="342">
        <f>'Distrib pivot table'!N$125</f>
        <v>0</v>
      </c>
      <c r="G17" s="342">
        <f>'Distrib pivot table'!N$119</f>
        <v>0</v>
      </c>
      <c r="H17" s="337">
        <f>'Distrib pivot table'!N$104</f>
        <v>2413300</v>
      </c>
      <c r="I17" s="343">
        <f>'Distrib pivot table'!N$107</f>
        <v>8533775</v>
      </c>
      <c r="J17" s="344">
        <f t="shared" si="0"/>
        <v>2413300</v>
      </c>
      <c r="K17" s="344">
        <f t="shared" si="1"/>
        <v>8533775</v>
      </c>
      <c r="L17" s="337">
        <f>'Distrib pivot table'!N$101</f>
        <v>0</v>
      </c>
      <c r="M17" s="360">
        <f t="shared" si="2"/>
        <v>10947075</v>
      </c>
      <c r="N17" s="337">
        <f>'Distrib pivot table'!N$131</f>
        <v>142536195</v>
      </c>
      <c r="O17" s="342">
        <f>'Distrib pivot table'!N$134</f>
        <v>3620000</v>
      </c>
      <c r="P17" s="342">
        <f>'Distrib pivot table'!N$128</f>
        <v>0</v>
      </c>
      <c r="Q17" s="349">
        <f>'Distrib pivot table'!N$140</f>
        <v>44058375</v>
      </c>
      <c r="R17" s="6">
        <f>'Distrib pivot table'!N$143</f>
        <v>60935305</v>
      </c>
      <c r="S17" s="342">
        <f>'Distrib pivot table'!N$137</f>
        <v>0</v>
      </c>
      <c r="T17" s="363">
        <f t="shared" si="3"/>
        <v>262096950</v>
      </c>
    </row>
    <row r="18" spans="1:40">
      <c r="A18" s="73" t="s">
        <v>1903</v>
      </c>
      <c r="B18" s="342">
        <f>'Distrib pivot table'!O$113</f>
        <v>0</v>
      </c>
      <c r="C18" s="342">
        <f>'Distrib pivot table'!O$116</f>
        <v>0</v>
      </c>
      <c r="D18" s="343">
        <f>'Distrib pivot table'!O$110</f>
        <v>0</v>
      </c>
      <c r="E18" s="337">
        <f>'Distrib pivot table'!O$122</f>
        <v>0</v>
      </c>
      <c r="F18" s="342">
        <f>'Distrib pivot table'!O$125</f>
        <v>0</v>
      </c>
      <c r="G18" s="342">
        <f>'Distrib pivot table'!O$119</f>
        <v>0</v>
      </c>
      <c r="H18" s="337">
        <f>'Distrib pivot table'!O$104</f>
        <v>0</v>
      </c>
      <c r="I18" s="343">
        <f>'Distrib pivot table'!O$107</f>
        <v>0</v>
      </c>
      <c r="J18" s="344">
        <f t="shared" si="0"/>
        <v>0</v>
      </c>
      <c r="K18" s="344">
        <f t="shared" si="1"/>
        <v>0</v>
      </c>
      <c r="L18" s="337">
        <f>'Distrib pivot table'!O$101</f>
        <v>73867556</v>
      </c>
      <c r="M18" s="360">
        <f t="shared" si="2"/>
        <v>73867556</v>
      </c>
      <c r="N18" s="337">
        <f>'Distrib pivot table'!O$131</f>
        <v>0</v>
      </c>
      <c r="O18" s="342">
        <f>'Distrib pivot table'!O$134</f>
        <v>0</v>
      </c>
      <c r="P18" s="342">
        <f>'Distrib pivot table'!O$128</f>
        <v>0</v>
      </c>
      <c r="Q18" s="349">
        <f>'Distrib pivot table'!O$140</f>
        <v>0</v>
      </c>
      <c r="R18" s="6">
        <f>'Distrib pivot table'!O$143</f>
        <v>0</v>
      </c>
      <c r="S18" s="342">
        <f>'Distrib pivot table'!O$137</f>
        <v>3828751</v>
      </c>
      <c r="T18" s="363">
        <f t="shared" si="3"/>
        <v>77696307</v>
      </c>
    </row>
    <row r="19" spans="1:40">
      <c r="A19" s="73" t="s">
        <v>1897</v>
      </c>
      <c r="B19" s="342">
        <f>'Distrib pivot table'!P$113</f>
        <v>18554748</v>
      </c>
      <c r="C19" s="342">
        <f>'Distrib pivot table'!P$116</f>
        <v>212679429</v>
      </c>
      <c r="D19" s="343">
        <f>'Distrib pivot table'!P$110</f>
        <v>0</v>
      </c>
      <c r="E19" s="337">
        <f>'Distrib pivot table'!P$122</f>
        <v>5076818</v>
      </c>
      <c r="F19" s="342">
        <f>'Distrib pivot table'!P$125</f>
        <v>40962910</v>
      </c>
      <c r="G19" s="342">
        <f>'Distrib pivot table'!P$119</f>
        <v>0</v>
      </c>
      <c r="H19" s="337">
        <f>'Distrib pivot table'!P$104</f>
        <v>0</v>
      </c>
      <c r="I19" s="343">
        <f>'Distrib pivot table'!P$107</f>
        <v>1700000</v>
      </c>
      <c r="J19" s="344">
        <f t="shared" si="0"/>
        <v>23631566</v>
      </c>
      <c r="K19" s="344">
        <f t="shared" si="1"/>
        <v>255342339</v>
      </c>
      <c r="L19" s="337">
        <f>'Distrib pivot table'!P$101</f>
        <v>109138</v>
      </c>
      <c r="M19" s="360">
        <f t="shared" si="2"/>
        <v>279083043</v>
      </c>
      <c r="N19" s="337">
        <f>'Distrib pivot table'!P$131</f>
        <v>0</v>
      </c>
      <c r="O19" s="342">
        <f>'Distrib pivot table'!P$134</f>
        <v>0</v>
      </c>
      <c r="P19" s="342">
        <f>'Distrib pivot table'!P$128</f>
        <v>0</v>
      </c>
      <c r="Q19" s="349">
        <f>'Distrib pivot table'!P$140</f>
        <v>29844497</v>
      </c>
      <c r="R19" s="6">
        <f>'Distrib pivot table'!P$143</f>
        <v>0</v>
      </c>
      <c r="S19" s="342">
        <f>'Distrib pivot table'!P$137</f>
        <v>0</v>
      </c>
      <c r="T19" s="363">
        <f t="shared" si="3"/>
        <v>308927540</v>
      </c>
    </row>
    <row r="20" spans="1:40">
      <c r="A20" s="73" t="s">
        <v>647</v>
      </c>
      <c r="B20" s="342">
        <f>'Distrib pivot table'!Q$113</f>
        <v>98067700</v>
      </c>
      <c r="C20" s="342">
        <f>'Distrib pivot table'!Q$116</f>
        <v>176737500</v>
      </c>
      <c r="D20" s="343">
        <f>'Distrib pivot table'!Q$110</f>
        <v>0</v>
      </c>
      <c r="E20" s="337">
        <f>'Distrib pivot table'!Q$122</f>
        <v>39591500</v>
      </c>
      <c r="F20" s="342">
        <f>'Distrib pivot table'!Q$125</f>
        <v>38103600</v>
      </c>
      <c r="G20" s="342">
        <f>'Distrib pivot table'!Q$119</f>
        <v>0</v>
      </c>
      <c r="H20" s="337">
        <f>'Distrib pivot table'!Q$104</f>
        <v>0</v>
      </c>
      <c r="I20" s="343">
        <f>'Distrib pivot table'!Q$107</f>
        <v>0</v>
      </c>
      <c r="J20" s="344">
        <f t="shared" si="0"/>
        <v>137659200</v>
      </c>
      <c r="K20" s="344">
        <f t="shared" si="1"/>
        <v>214841100</v>
      </c>
      <c r="L20" s="337">
        <f>'Distrib pivot table'!Q$101</f>
        <v>0</v>
      </c>
      <c r="M20" s="360">
        <f t="shared" si="2"/>
        <v>352500300</v>
      </c>
      <c r="N20" s="337">
        <f>'Distrib pivot table'!Q$131</f>
        <v>0</v>
      </c>
      <c r="O20" s="342">
        <f>'Distrib pivot table'!Q$134</f>
        <v>0</v>
      </c>
      <c r="P20" s="342">
        <f>'Distrib pivot table'!Q$128</f>
        <v>0</v>
      </c>
      <c r="Q20" s="349">
        <f>'Distrib pivot table'!Q$140</f>
        <v>0</v>
      </c>
      <c r="R20" s="6">
        <f>'Distrib pivot table'!Q$143</f>
        <v>0</v>
      </c>
      <c r="S20" s="342">
        <f>'Distrib pivot table'!Q$137</f>
        <v>0</v>
      </c>
      <c r="T20" s="363">
        <f t="shared" si="3"/>
        <v>352500300</v>
      </c>
    </row>
    <row r="21" spans="1:40">
      <c r="A21" s="73" t="s">
        <v>1898</v>
      </c>
      <c r="B21" s="342">
        <f>'Distrib pivot table'!R$113</f>
        <v>0</v>
      </c>
      <c r="C21" s="342">
        <f>'Distrib pivot table'!R$116</f>
        <v>0</v>
      </c>
      <c r="D21" s="343">
        <f>'Distrib pivot table'!R$110</f>
        <v>0</v>
      </c>
      <c r="E21" s="337">
        <f>'Distrib pivot table'!R$122</f>
        <v>0</v>
      </c>
      <c r="F21" s="342">
        <f>'Distrib pivot table'!R$125</f>
        <v>0</v>
      </c>
      <c r="G21" s="342">
        <f>'Distrib pivot table'!R$119</f>
        <v>0</v>
      </c>
      <c r="H21" s="337">
        <f>'Distrib pivot table'!R$104</f>
        <v>0</v>
      </c>
      <c r="I21" s="343">
        <f>'Distrib pivot table'!R$107</f>
        <v>0</v>
      </c>
      <c r="J21" s="344">
        <f t="shared" si="0"/>
        <v>0</v>
      </c>
      <c r="K21" s="344">
        <f t="shared" si="1"/>
        <v>0</v>
      </c>
      <c r="L21" s="337">
        <f>'Distrib pivot table'!R$101</f>
        <v>357399163</v>
      </c>
      <c r="M21" s="360">
        <f t="shared" si="2"/>
        <v>357399163</v>
      </c>
      <c r="N21" s="337">
        <f>'Distrib pivot table'!R$131</f>
        <v>0</v>
      </c>
      <c r="O21" s="342">
        <f>'Distrib pivot table'!R$134</f>
        <v>0</v>
      </c>
      <c r="P21" s="342">
        <f>'Distrib pivot table'!R$128</f>
        <v>0</v>
      </c>
      <c r="Q21" s="349">
        <f>'Distrib pivot table'!R$140</f>
        <v>0</v>
      </c>
      <c r="R21" s="6">
        <f>'Distrib pivot table'!R$143</f>
        <v>0</v>
      </c>
      <c r="S21" s="357">
        <f>'Distrib pivot table'!R$137</f>
        <v>0</v>
      </c>
      <c r="T21" s="363">
        <f t="shared" si="3"/>
        <v>357399163</v>
      </c>
    </row>
    <row r="22" spans="1:40">
      <c r="A22" s="73" t="s">
        <v>1899</v>
      </c>
      <c r="B22" s="342">
        <f>'Distrib pivot table'!S$113</f>
        <v>3372105</v>
      </c>
      <c r="C22" s="342">
        <f>'Distrib pivot table'!S$116</f>
        <v>1000000</v>
      </c>
      <c r="D22" s="343">
        <f>'Distrib pivot table'!S$110</f>
        <v>0</v>
      </c>
      <c r="E22" s="337">
        <f>'Distrib pivot table'!S$122</f>
        <v>1041645</v>
      </c>
      <c r="F22" s="342">
        <f>'Distrib pivot table'!S$125</f>
        <v>0</v>
      </c>
      <c r="G22" s="342">
        <f>'Distrib pivot table'!S$119</f>
        <v>0</v>
      </c>
      <c r="H22" s="337">
        <f>'Distrib pivot table'!S$104</f>
        <v>0</v>
      </c>
      <c r="I22" s="343">
        <f>'Distrib pivot table'!S$107</f>
        <v>0</v>
      </c>
      <c r="J22" s="344">
        <f t="shared" si="0"/>
        <v>4413750</v>
      </c>
      <c r="K22" s="344">
        <f t="shared" si="1"/>
        <v>1000000</v>
      </c>
      <c r="L22" s="337">
        <f>'Distrib pivot table'!S$101</f>
        <v>0</v>
      </c>
      <c r="M22" s="360">
        <f t="shared" si="2"/>
        <v>5413750</v>
      </c>
      <c r="N22" s="337">
        <f>'Distrib pivot table'!S$131</f>
        <v>122968040</v>
      </c>
      <c r="O22" s="342">
        <f>'Distrib pivot table'!S$134</f>
        <v>12359822</v>
      </c>
      <c r="P22" s="342">
        <f>'Distrib pivot table'!S$128</f>
        <v>300000</v>
      </c>
      <c r="Q22" s="349">
        <f>'Distrib pivot table'!S$140</f>
        <v>0</v>
      </c>
      <c r="R22" s="6">
        <f>'Distrib pivot table'!S$143</f>
        <v>64554614</v>
      </c>
      <c r="S22" s="357">
        <f>'Distrib pivot table'!S$137</f>
        <v>0</v>
      </c>
      <c r="T22" s="363">
        <f t="shared" si="3"/>
        <v>205596226</v>
      </c>
    </row>
    <row r="23" spans="1:40">
      <c r="A23" s="74" t="s">
        <v>1904</v>
      </c>
      <c r="B23" s="346">
        <f>'Distrib pivot table'!T$113</f>
        <v>33107099</v>
      </c>
      <c r="C23" s="346">
        <f>'Distrib pivot table'!T$116</f>
        <v>37997527</v>
      </c>
      <c r="D23" s="347">
        <f>'Distrib pivot table'!T$110</f>
        <v>0</v>
      </c>
      <c r="E23" s="345">
        <f>'Distrib pivot table'!T$122</f>
        <v>5012410</v>
      </c>
      <c r="F23" s="346">
        <f>'Distrib pivot table'!T$125</f>
        <v>4008633</v>
      </c>
      <c r="G23" s="346">
        <f>'Distrib pivot table'!T$119</f>
        <v>0</v>
      </c>
      <c r="H23" s="345">
        <f>'Distrib pivot table'!T$104</f>
        <v>0</v>
      </c>
      <c r="I23" s="347">
        <f>'Distrib pivot table'!T$107</f>
        <v>0</v>
      </c>
      <c r="J23" s="348">
        <f t="shared" si="0"/>
        <v>38119509</v>
      </c>
      <c r="K23" s="348">
        <f t="shared" si="1"/>
        <v>42006160</v>
      </c>
      <c r="L23" s="345">
        <f>'Distrib pivot table'!T$101</f>
        <v>0</v>
      </c>
      <c r="M23" s="361">
        <f t="shared" si="2"/>
        <v>80125669</v>
      </c>
      <c r="N23" s="345">
        <f>'Distrib pivot table'!T$131</f>
        <v>0</v>
      </c>
      <c r="O23" s="346">
        <f>'Distrib pivot table'!T$134</f>
        <v>0</v>
      </c>
      <c r="P23" s="346">
        <f>'Distrib pivot table'!T$128</f>
        <v>0</v>
      </c>
      <c r="Q23" s="352">
        <f>'Distrib pivot table'!T$140</f>
        <v>0</v>
      </c>
      <c r="R23" s="8">
        <f>'Distrib pivot table'!T$143</f>
        <v>0</v>
      </c>
      <c r="S23" s="358">
        <f>'Distrib pivot table'!T$143</f>
        <v>0</v>
      </c>
      <c r="T23" s="364">
        <f t="shared" si="3"/>
        <v>80125669</v>
      </c>
    </row>
    <row r="24" spans="1:40">
      <c r="A24" s="99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107"/>
      <c r="O24" s="107"/>
      <c r="P24" s="107"/>
      <c r="S24" s="107"/>
      <c r="AN24" s="6"/>
    </row>
    <row r="25" spans="1:40" ht="15.75">
      <c r="A25" s="244" t="s">
        <v>1373</v>
      </c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S25" s="92"/>
      <c r="AN25" s="6"/>
    </row>
    <row r="26" spans="1:40">
      <c r="A26" s="96"/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7"/>
      <c r="P26" s="96"/>
      <c r="S26" s="96"/>
      <c r="T26" s="8"/>
      <c r="AN26" s="6"/>
    </row>
    <row r="27" spans="1:40" ht="15.75">
      <c r="A27" s="359"/>
      <c r="B27" s="153" t="s">
        <v>562</v>
      </c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7"/>
      <c r="N27" s="329" t="s">
        <v>648</v>
      </c>
      <c r="O27" s="109"/>
      <c r="P27" s="109"/>
      <c r="Q27" s="329" t="s">
        <v>648</v>
      </c>
      <c r="R27" s="109"/>
      <c r="S27" s="109"/>
      <c r="T27" s="355"/>
      <c r="AN27" s="6"/>
    </row>
    <row r="28" spans="1:40" ht="22.5">
      <c r="A28" s="95"/>
      <c r="B28" s="324" t="s">
        <v>561</v>
      </c>
      <c r="C28" s="324"/>
      <c r="D28" s="324"/>
      <c r="E28" s="323" t="s">
        <v>563</v>
      </c>
      <c r="F28" s="324"/>
      <c r="G28" s="324"/>
      <c r="H28" s="323" t="s">
        <v>444</v>
      </c>
      <c r="I28" s="325"/>
      <c r="J28" s="330" t="s">
        <v>670</v>
      </c>
      <c r="K28" s="330"/>
      <c r="L28" s="351" t="s">
        <v>648</v>
      </c>
      <c r="M28" s="351" t="s">
        <v>648</v>
      </c>
      <c r="N28" s="327" t="s">
        <v>565</v>
      </c>
      <c r="O28" s="328"/>
      <c r="P28" s="328"/>
      <c r="Q28" s="327" t="s">
        <v>566</v>
      </c>
      <c r="R28" s="328"/>
      <c r="S28" s="328"/>
      <c r="T28" s="349"/>
      <c r="AN28" s="6"/>
    </row>
    <row r="29" spans="1:40" ht="45">
      <c r="A29" s="50"/>
      <c r="B29" s="51" t="s">
        <v>559</v>
      </c>
      <c r="C29" s="52" t="s">
        <v>560</v>
      </c>
      <c r="D29" s="52" t="s">
        <v>435</v>
      </c>
      <c r="E29" s="53" t="s">
        <v>559</v>
      </c>
      <c r="F29" s="52" t="s">
        <v>560</v>
      </c>
      <c r="G29" s="52" t="s">
        <v>435</v>
      </c>
      <c r="H29" s="53" t="s">
        <v>559</v>
      </c>
      <c r="I29" s="326" t="s">
        <v>560</v>
      </c>
      <c r="J29" s="331" t="s">
        <v>559</v>
      </c>
      <c r="K29" s="332" t="s">
        <v>560</v>
      </c>
      <c r="L29" s="327" t="s">
        <v>436</v>
      </c>
      <c r="M29" s="350" t="s">
        <v>1907</v>
      </c>
      <c r="N29" s="53" t="s">
        <v>559</v>
      </c>
      <c r="O29" s="52" t="s">
        <v>560</v>
      </c>
      <c r="P29" s="52" t="s">
        <v>435</v>
      </c>
      <c r="Q29" s="53" t="s">
        <v>559</v>
      </c>
      <c r="R29" s="52" t="s">
        <v>560</v>
      </c>
      <c r="S29" s="52" t="s">
        <v>435</v>
      </c>
      <c r="T29" s="356" t="s">
        <v>1907</v>
      </c>
      <c r="AN29" s="6"/>
    </row>
    <row r="30" spans="1:40">
      <c r="A30" s="73" t="s">
        <v>437</v>
      </c>
      <c r="B30" s="342">
        <f>'Distrib pivot table'!U$112</f>
        <v>314862245</v>
      </c>
      <c r="C30" s="353">
        <f>'Distrib pivot table'!U$115</f>
        <v>619138096</v>
      </c>
      <c r="D30" s="343">
        <f>'Distrib pivot table'!U$109</f>
        <v>3512563</v>
      </c>
      <c r="E30" s="337">
        <f>'Distrib pivot table'!U$121</f>
        <v>89136113</v>
      </c>
      <c r="F30" s="353">
        <f>'Distrib pivot table'!U$124</f>
        <v>109662052</v>
      </c>
      <c r="G30" s="342">
        <f>'Distrib pivot table'!U$118</f>
        <v>0</v>
      </c>
      <c r="H30" s="337">
        <f>'Distrib pivot table'!U$103</f>
        <v>9205064</v>
      </c>
      <c r="I30" s="354">
        <f>'Distrib pivot table'!U$106</f>
        <v>401573338</v>
      </c>
      <c r="J30" s="336">
        <f>+B30+E30+H30</f>
        <v>413203422</v>
      </c>
      <c r="K30" s="344">
        <f>+C30+F30+I30</f>
        <v>1130373486</v>
      </c>
      <c r="L30" s="337">
        <f>'Distrib pivot table'!U$100</f>
        <v>449574733.19999999</v>
      </c>
      <c r="M30" s="336">
        <f>+D30+G30+J30+K30+L30</f>
        <v>1996664204.2</v>
      </c>
      <c r="N30" s="337">
        <f>'Distrib pivot table'!U$130</f>
        <v>319262110</v>
      </c>
      <c r="O30" s="353">
        <f>'Distrib pivot table'!U$133</f>
        <v>370632786</v>
      </c>
      <c r="P30" s="342">
        <f>'Distrib pivot table'!U$127</f>
        <v>609493</v>
      </c>
      <c r="Q30" s="337">
        <f>'Distrib pivot table'!U$139</f>
        <v>135361457</v>
      </c>
      <c r="R30" s="353">
        <f>'Distrib pivot table'!U$142</f>
        <v>283416314</v>
      </c>
      <c r="S30" s="342">
        <f>'Distrib pivot table'!U$136</f>
        <v>3828751</v>
      </c>
      <c r="T30" s="362">
        <f>+M30+N30+O30+P30+Q30+R30+S30</f>
        <v>3109775115.1999998</v>
      </c>
      <c r="AN30" s="6"/>
    </row>
    <row r="31" spans="1:40">
      <c r="A31" s="73"/>
      <c r="B31" s="334"/>
      <c r="C31" s="334"/>
      <c r="D31" s="334"/>
      <c r="E31" s="333" t="s">
        <v>434</v>
      </c>
      <c r="F31" s="334"/>
      <c r="G31" s="334"/>
      <c r="H31" s="333"/>
      <c r="I31" s="335"/>
      <c r="J31" s="333"/>
      <c r="K31" s="334"/>
      <c r="L31" s="333"/>
      <c r="M31" s="336"/>
      <c r="N31" s="333"/>
      <c r="O31" s="334"/>
      <c r="P31" s="334"/>
      <c r="Q31" s="333"/>
      <c r="R31" s="334"/>
      <c r="S31" s="334"/>
      <c r="T31" s="333"/>
      <c r="AN31" s="6"/>
    </row>
    <row r="32" spans="1:40">
      <c r="A32" s="73" t="s">
        <v>1892</v>
      </c>
      <c r="B32" s="342">
        <f>'Distrib pivot table'!E$112</f>
        <v>5657283</v>
      </c>
      <c r="C32" s="342">
        <f>'Distrib pivot table'!E$115</f>
        <v>24672857</v>
      </c>
      <c r="D32" s="343">
        <f>'Distrib pivot table'!E$109</f>
        <v>0</v>
      </c>
      <c r="E32" s="337">
        <f>'Distrib pivot table'!E$121</f>
        <v>1181950</v>
      </c>
      <c r="F32" s="342">
        <f>'Distrib pivot table'!E$124</f>
        <v>160451</v>
      </c>
      <c r="G32" s="342">
        <f>'Distrib pivot table'!E$118</f>
        <v>0</v>
      </c>
      <c r="H32" s="337">
        <f>'Distrib pivot table'!E$103</f>
        <v>12750</v>
      </c>
      <c r="I32" s="343">
        <f>'Distrib pivot table'!E$106</f>
        <v>2753000</v>
      </c>
      <c r="J32" s="336">
        <f t="shared" ref="J32:J47" si="4">+B32+E32+H32</f>
        <v>6851983</v>
      </c>
      <c r="K32" s="344">
        <f t="shared" ref="K32:K47" si="5">+C32+F32+I32</f>
        <v>27586308</v>
      </c>
      <c r="L32" s="337">
        <f>'Distrib pivot table'!E$100</f>
        <v>0</v>
      </c>
      <c r="M32" s="360">
        <f t="shared" ref="M32:M47" si="6">+D32+G32+J32+K32+L32</f>
        <v>34438291</v>
      </c>
      <c r="N32" s="337">
        <f>'Distrib pivot table'!E$130</f>
        <v>0</v>
      </c>
      <c r="O32" s="342">
        <f>'Distrib pivot table'!E$133</f>
        <v>112500</v>
      </c>
      <c r="P32" s="342">
        <f>'Distrib pivot table'!E$127</f>
        <v>0</v>
      </c>
      <c r="Q32" s="337">
        <f>'Distrib pivot table'!E$139</f>
        <v>0</v>
      </c>
      <c r="R32" s="342">
        <f>'Distrib pivot table'!E$142</f>
        <v>3526701</v>
      </c>
      <c r="S32" s="342">
        <f>'Distrib pivot table'!E$136</f>
        <v>0</v>
      </c>
      <c r="T32" s="363">
        <f t="shared" ref="T32:T47" si="7">+M32+N32+O32+P32+Q32+R32+S32</f>
        <v>38077492</v>
      </c>
      <c r="AN32" s="6"/>
    </row>
    <row r="33" spans="1:40">
      <c r="A33" s="73" t="s">
        <v>1906</v>
      </c>
      <c r="B33" s="342">
        <f>'Distrib pivot table'!F$112</f>
        <v>21200045</v>
      </c>
      <c r="C33" s="342">
        <f>'Distrib pivot table'!F$115</f>
        <v>9623545</v>
      </c>
      <c r="D33" s="343">
        <f>'Distrib pivot table'!F$109</f>
        <v>0</v>
      </c>
      <c r="E33" s="337">
        <f>'Distrib pivot table'!F$121</f>
        <v>2485149</v>
      </c>
      <c r="F33" s="342">
        <f>'Distrib pivot table'!F$124</f>
        <v>2742917</v>
      </c>
      <c r="G33" s="342">
        <f>'Distrib pivot table'!F$118</f>
        <v>0</v>
      </c>
      <c r="H33" s="337">
        <f>'Distrib pivot table'!F$103</f>
        <v>0</v>
      </c>
      <c r="I33" s="343">
        <f>'Distrib pivot table'!F$106</f>
        <v>200000</v>
      </c>
      <c r="J33" s="336">
        <f t="shared" si="4"/>
        <v>23685194</v>
      </c>
      <c r="K33" s="344">
        <f t="shared" si="5"/>
        <v>12566462</v>
      </c>
      <c r="L33" s="337">
        <f>'Distrib pivot table'!F$100</f>
        <v>0</v>
      </c>
      <c r="M33" s="360">
        <f t="shared" si="6"/>
        <v>36251656</v>
      </c>
      <c r="N33" s="337">
        <f>'Distrib pivot table'!F$130</f>
        <v>0</v>
      </c>
      <c r="O33" s="342">
        <f>'Distrib pivot table'!F$133</f>
        <v>147755</v>
      </c>
      <c r="P33" s="342">
        <f>'Distrib pivot table'!F$127</f>
        <v>0</v>
      </c>
      <c r="Q33" s="337">
        <f>'Distrib pivot table'!F$139</f>
        <v>0</v>
      </c>
      <c r="R33" s="342">
        <f>'Distrib pivot table'!F$142</f>
        <v>0</v>
      </c>
      <c r="S33" s="342">
        <f>'Distrib pivot table'!F$136</f>
        <v>0</v>
      </c>
      <c r="T33" s="363">
        <f t="shared" si="7"/>
        <v>36399411</v>
      </c>
      <c r="AN33" s="6"/>
    </row>
    <row r="34" spans="1:40">
      <c r="A34" s="73" t="s">
        <v>1893</v>
      </c>
      <c r="B34" s="341">
        <f>'Distrib pivot table'!G$112</f>
        <v>832040</v>
      </c>
      <c r="C34" s="341">
        <f>'Distrib pivot table'!G$115</f>
        <v>1257989</v>
      </c>
      <c r="D34" s="339">
        <f>'Distrib pivot table'!G$109</f>
        <v>0</v>
      </c>
      <c r="E34" s="338">
        <f>'Distrib pivot table'!G$121</f>
        <v>1635060</v>
      </c>
      <c r="F34" s="341">
        <f>'Distrib pivot table'!G$124</f>
        <v>606405</v>
      </c>
      <c r="G34" s="342">
        <f>'Distrib pivot table'!G$118</f>
        <v>0</v>
      </c>
      <c r="H34" s="338">
        <f>'Distrib pivot table'!G$103</f>
        <v>0</v>
      </c>
      <c r="I34" s="339">
        <f>'Distrib pivot table'!G$106</f>
        <v>0</v>
      </c>
      <c r="J34" s="340">
        <f t="shared" si="4"/>
        <v>2467100</v>
      </c>
      <c r="K34" s="340">
        <f t="shared" si="5"/>
        <v>1864394</v>
      </c>
      <c r="L34" s="338">
        <f>'Distrib pivot table'!G$100</f>
        <v>365299.20000000001</v>
      </c>
      <c r="M34" s="360">
        <f t="shared" si="6"/>
        <v>4696793.2</v>
      </c>
      <c r="N34" s="338">
        <f>'Distrib pivot table'!G$130</f>
        <v>0</v>
      </c>
      <c r="O34" s="341">
        <f>'Distrib pivot table'!G$133</f>
        <v>0</v>
      </c>
      <c r="P34" s="342">
        <f>'Distrib pivot table'!G$127</f>
        <v>0</v>
      </c>
      <c r="Q34" s="349">
        <f>'Distrib pivot table'!G$139</f>
        <v>0</v>
      </c>
      <c r="R34" s="6">
        <f>'Distrib pivot table'!G$142</f>
        <v>0</v>
      </c>
      <c r="S34" s="342">
        <f>'Distrib pivot table'!G$136</f>
        <v>0</v>
      </c>
      <c r="T34" s="363">
        <f t="shared" si="7"/>
        <v>4696793.2</v>
      </c>
      <c r="AN34" s="6"/>
    </row>
    <row r="35" spans="1:40">
      <c r="A35" s="73" t="s">
        <v>1900</v>
      </c>
      <c r="B35" s="341">
        <f>'Distrib pivot table'!H$112</f>
        <v>0</v>
      </c>
      <c r="C35" s="341">
        <f>'Distrib pivot table'!H$115</f>
        <v>0</v>
      </c>
      <c r="D35" s="339">
        <f>'Distrib pivot table'!H$109</f>
        <v>0</v>
      </c>
      <c r="E35" s="338">
        <f>'Distrib pivot table'!H$121</f>
        <v>0</v>
      </c>
      <c r="F35" s="341">
        <f>'Distrib pivot table'!H$124</f>
        <v>0</v>
      </c>
      <c r="G35" s="342">
        <f>'Distrib pivot table'!H$118</f>
        <v>0</v>
      </c>
      <c r="H35" s="338">
        <f>'Distrib pivot table'!H$103</f>
        <v>6251267</v>
      </c>
      <c r="I35" s="339">
        <f>'Distrib pivot table'!H$106</f>
        <v>388786563</v>
      </c>
      <c r="J35" s="340">
        <f t="shared" si="4"/>
        <v>6251267</v>
      </c>
      <c r="K35" s="340">
        <f t="shared" si="5"/>
        <v>388786563</v>
      </c>
      <c r="L35" s="338">
        <f>'Distrib pivot table'!H$100</f>
        <v>500000</v>
      </c>
      <c r="M35" s="360">
        <f t="shared" si="6"/>
        <v>395537830</v>
      </c>
      <c r="N35" s="338">
        <f>'Distrib pivot table'!H$130</f>
        <v>100705360</v>
      </c>
      <c r="O35" s="341">
        <f>'Distrib pivot table'!H$133</f>
        <v>5685864</v>
      </c>
      <c r="P35" s="342">
        <f>'Distrib pivot table'!H$127</f>
        <v>0</v>
      </c>
      <c r="Q35" s="349">
        <f>'Distrib pivot table'!H$139</f>
        <v>28209829</v>
      </c>
      <c r="R35" s="6">
        <f>'Distrib pivot table'!H$142</f>
        <v>107131750</v>
      </c>
      <c r="S35" s="342">
        <f>'Distrib pivot table'!H$136</f>
        <v>0</v>
      </c>
      <c r="T35" s="363">
        <f t="shared" si="7"/>
        <v>637270633</v>
      </c>
      <c r="AN35" s="6"/>
    </row>
    <row r="36" spans="1:40">
      <c r="A36" s="73" t="s">
        <v>1901</v>
      </c>
      <c r="B36" s="341">
        <f>'Distrib pivot table'!I$112</f>
        <v>100000</v>
      </c>
      <c r="C36" s="341">
        <f>'Distrib pivot table'!I$115</f>
        <v>255850</v>
      </c>
      <c r="D36" s="339">
        <f>'Distrib pivot table'!I$109</f>
        <v>0</v>
      </c>
      <c r="E36" s="338">
        <f>'Distrib pivot table'!I$121</f>
        <v>520000</v>
      </c>
      <c r="F36" s="341">
        <f>'Distrib pivot table'!I$124</f>
        <v>760000</v>
      </c>
      <c r="G36" s="342">
        <f>'Distrib pivot table'!I$118</f>
        <v>0</v>
      </c>
      <c r="H36" s="338">
        <f>'Distrib pivot table'!I$103</f>
        <v>0</v>
      </c>
      <c r="I36" s="339">
        <f>'Distrib pivot table'!I$106</f>
        <v>0</v>
      </c>
      <c r="J36" s="340">
        <f t="shared" si="4"/>
        <v>620000</v>
      </c>
      <c r="K36" s="340">
        <f t="shared" si="5"/>
        <v>1015850</v>
      </c>
      <c r="L36" s="338">
        <f>'Distrib pivot table'!I$100</f>
        <v>11238887</v>
      </c>
      <c r="M36" s="360">
        <f t="shared" si="6"/>
        <v>12874737</v>
      </c>
      <c r="N36" s="338">
        <f>'Distrib pivot table'!I$130</f>
        <v>0</v>
      </c>
      <c r="O36" s="341">
        <f>'Distrib pivot table'!I$133</f>
        <v>338950936</v>
      </c>
      <c r="P36" s="342">
        <f>'Distrib pivot table'!I$127</f>
        <v>0</v>
      </c>
      <c r="Q36" s="349">
        <f>'Distrib pivot table'!I$139</f>
        <v>0</v>
      </c>
      <c r="R36" s="6">
        <f>'Distrib pivot table'!I$142</f>
        <v>46880440</v>
      </c>
      <c r="S36" s="342">
        <f>'Distrib pivot table'!I$136</f>
        <v>0</v>
      </c>
      <c r="T36" s="363">
        <f t="shared" si="7"/>
        <v>398706113</v>
      </c>
      <c r="AN36" s="6"/>
    </row>
    <row r="37" spans="1:40">
      <c r="A37" s="73" t="s">
        <v>1894</v>
      </c>
      <c r="B37" s="342">
        <f>'Distrib pivot table'!J$112</f>
        <v>46790800</v>
      </c>
      <c r="C37" s="342">
        <f>'Distrib pivot table'!J$115</f>
        <v>71354000</v>
      </c>
      <c r="D37" s="343">
        <f>'Distrib pivot table'!J$109</f>
        <v>0</v>
      </c>
      <c r="E37" s="337">
        <f>'Distrib pivot table'!J$121</f>
        <v>14426100</v>
      </c>
      <c r="F37" s="342">
        <f>'Distrib pivot table'!J$124</f>
        <v>16635500</v>
      </c>
      <c r="G37" s="342">
        <f>'Distrib pivot table'!J$118</f>
        <v>0</v>
      </c>
      <c r="H37" s="337">
        <f>'Distrib pivot table'!J$103</f>
        <v>0</v>
      </c>
      <c r="I37" s="343">
        <f>'Distrib pivot table'!J$106</f>
        <v>0</v>
      </c>
      <c r="J37" s="344">
        <f t="shared" si="4"/>
        <v>61216900</v>
      </c>
      <c r="K37" s="344">
        <f t="shared" si="5"/>
        <v>87989500</v>
      </c>
      <c r="L37" s="337">
        <f>'Distrib pivot table'!J$100</f>
        <v>0</v>
      </c>
      <c r="M37" s="360">
        <f t="shared" si="6"/>
        <v>149206400</v>
      </c>
      <c r="N37" s="337">
        <f>'Distrib pivot table'!J$130</f>
        <v>0</v>
      </c>
      <c r="O37" s="342">
        <f>'Distrib pivot table'!J$133</f>
        <v>0</v>
      </c>
      <c r="P37" s="342">
        <f>'Distrib pivot table'!J$127</f>
        <v>9600</v>
      </c>
      <c r="Q37" s="349">
        <f>'Distrib pivot table'!J$139</f>
        <v>32038200</v>
      </c>
      <c r="R37" s="6">
        <f>'Distrib pivot table'!J$142</f>
        <v>1024300</v>
      </c>
      <c r="S37" s="342">
        <f>'Distrib pivot table'!J$136</f>
        <v>0</v>
      </c>
      <c r="T37" s="363">
        <f t="shared" si="7"/>
        <v>182278500</v>
      </c>
      <c r="AN37" s="6"/>
    </row>
    <row r="38" spans="1:40">
      <c r="A38" s="73" t="s">
        <v>1570</v>
      </c>
      <c r="B38" s="342">
        <f>'Distrib pivot table'!K$112</f>
        <v>14605369</v>
      </c>
      <c r="C38" s="342">
        <f>'Distrib pivot table'!K$115</f>
        <v>106752569</v>
      </c>
      <c r="D38" s="343">
        <f>'Distrib pivot table'!K$109</f>
        <v>0</v>
      </c>
      <c r="E38" s="337">
        <f>'Distrib pivot table'!K$121</f>
        <v>1453682</v>
      </c>
      <c r="F38" s="342">
        <f>'Distrib pivot table'!K$124</f>
        <v>9140146</v>
      </c>
      <c r="G38" s="342">
        <f>'Distrib pivot table'!K$118</f>
        <v>0</v>
      </c>
      <c r="H38" s="337">
        <f>'Distrib pivot table'!K$103</f>
        <v>0</v>
      </c>
      <c r="I38" s="343">
        <f>'Distrib pivot table'!K$106</f>
        <v>0</v>
      </c>
      <c r="J38" s="344">
        <f t="shared" si="4"/>
        <v>16059051</v>
      </c>
      <c r="K38" s="344">
        <f t="shared" si="5"/>
        <v>115892715</v>
      </c>
      <c r="L38" s="337">
        <f>'Distrib pivot table'!K$100</f>
        <v>0</v>
      </c>
      <c r="M38" s="360">
        <f t="shared" si="6"/>
        <v>131951766</v>
      </c>
      <c r="N38" s="337">
        <f>'Distrib pivot table'!K$130</f>
        <v>0</v>
      </c>
      <c r="O38" s="342">
        <f>'Distrib pivot table'!K$133</f>
        <v>3539600</v>
      </c>
      <c r="P38" s="342">
        <f>'Distrib pivot table'!K$127</f>
        <v>0</v>
      </c>
      <c r="Q38" s="349">
        <f>'Distrib pivot table'!K$139</f>
        <v>0</v>
      </c>
      <c r="R38" s="6">
        <f>'Distrib pivot table'!K$142</f>
        <v>0</v>
      </c>
      <c r="S38" s="342">
        <f>'Distrib pivot table'!K$136</f>
        <v>0</v>
      </c>
      <c r="T38" s="363">
        <f t="shared" si="7"/>
        <v>135491366</v>
      </c>
      <c r="AN38" s="6"/>
    </row>
    <row r="39" spans="1:40">
      <c r="A39" s="73" t="s">
        <v>1905</v>
      </c>
      <c r="B39" s="342">
        <f>'Distrib pivot table'!L$112</f>
        <v>75748515</v>
      </c>
      <c r="C39" s="342">
        <f>'Distrib pivot table'!L$115</f>
        <v>12204142</v>
      </c>
      <c r="D39" s="343">
        <f>'Distrib pivot table'!L$109</f>
        <v>0</v>
      </c>
      <c r="E39" s="337">
        <f>'Distrib pivot table'!L$121</f>
        <v>17589857</v>
      </c>
      <c r="F39" s="342">
        <f>'Distrib pivot table'!L$124</f>
        <v>2617683</v>
      </c>
      <c r="G39" s="342">
        <f>'Distrib pivot table'!L$118</f>
        <v>0</v>
      </c>
      <c r="H39" s="337">
        <f>'Distrib pivot table'!L$103</f>
        <v>527747</v>
      </c>
      <c r="I39" s="343">
        <f>'Distrib pivot table'!L$106</f>
        <v>0</v>
      </c>
      <c r="J39" s="344">
        <f t="shared" si="4"/>
        <v>93866119</v>
      </c>
      <c r="K39" s="344">
        <f t="shared" si="5"/>
        <v>14821825</v>
      </c>
      <c r="L39" s="337">
        <f>'Distrib pivot table'!L$100</f>
        <v>0</v>
      </c>
      <c r="M39" s="360">
        <f t="shared" si="6"/>
        <v>108687944</v>
      </c>
      <c r="N39" s="337">
        <f>'Distrib pivot table'!L$130</f>
        <v>0</v>
      </c>
      <c r="O39" s="342">
        <f>'Distrib pivot table'!L$133</f>
        <v>0</v>
      </c>
      <c r="P39" s="342">
        <f>'Distrib pivot table'!L$127</f>
        <v>0</v>
      </c>
      <c r="Q39" s="349">
        <f>'Distrib pivot table'!L$139</f>
        <v>0</v>
      </c>
      <c r="R39" s="6">
        <f>'Distrib pivot table'!L$142</f>
        <v>0</v>
      </c>
      <c r="S39" s="342">
        <f>'Distrib pivot table'!L$136</f>
        <v>0</v>
      </c>
      <c r="T39" s="363">
        <f t="shared" si="7"/>
        <v>108687944</v>
      </c>
      <c r="AN39" s="6"/>
    </row>
    <row r="40" spans="1:40">
      <c r="A40" s="73" t="s">
        <v>1895</v>
      </c>
      <c r="B40" s="342">
        <f>'Distrib pivot table'!M$112</f>
        <v>4340033</v>
      </c>
      <c r="C40" s="342">
        <f>'Distrib pivot table'!M$115</f>
        <v>13613979</v>
      </c>
      <c r="D40" s="342">
        <f>'Distrib pivot table'!M$109</f>
        <v>3512563</v>
      </c>
      <c r="E40" s="337">
        <f>'Distrib pivot table'!M$121</f>
        <v>383369</v>
      </c>
      <c r="F40" s="342">
        <f>'Distrib pivot table'!M$124</f>
        <v>2926054</v>
      </c>
      <c r="G40" s="342">
        <f>'Distrib pivot table'!M$118</f>
        <v>0</v>
      </c>
      <c r="H40" s="337">
        <f>'Distrib pivot table'!M$103</f>
        <v>0</v>
      </c>
      <c r="I40" s="343">
        <f>'Distrib pivot table'!M$106</f>
        <v>0</v>
      </c>
      <c r="J40" s="344">
        <f t="shared" si="4"/>
        <v>4723402</v>
      </c>
      <c r="K40" s="344">
        <f t="shared" si="5"/>
        <v>16540033</v>
      </c>
      <c r="L40" s="337">
        <f>'Distrib pivot table'!M$100</f>
        <v>0</v>
      </c>
      <c r="M40" s="360">
        <f t="shared" si="6"/>
        <v>24775998</v>
      </c>
      <c r="N40" s="337">
        <f>'Distrib pivot table'!M$130</f>
        <v>0</v>
      </c>
      <c r="O40" s="342">
        <f>'Distrib pivot table'!M$133</f>
        <v>6216309</v>
      </c>
      <c r="P40" s="342">
        <f>'Distrib pivot table'!M$127</f>
        <v>599893</v>
      </c>
      <c r="Q40" s="349">
        <f>'Distrib pivot table'!M$139</f>
        <v>0</v>
      </c>
      <c r="R40" s="6">
        <f>'Distrib pivot table'!M$142</f>
        <v>0</v>
      </c>
      <c r="S40" s="342">
        <f>'Distrib pivot table'!M$136</f>
        <v>0</v>
      </c>
      <c r="T40" s="363">
        <f t="shared" si="7"/>
        <v>31592200</v>
      </c>
      <c r="AN40" s="6"/>
    </row>
    <row r="41" spans="1:40">
      <c r="A41" s="73" t="s">
        <v>1896</v>
      </c>
      <c r="B41" s="342">
        <f>'Distrib pivot table'!N$112</f>
        <v>0</v>
      </c>
      <c r="C41" s="342">
        <f>'Distrib pivot table'!N$115</f>
        <v>0</v>
      </c>
      <c r="D41" s="343">
        <f>'Distrib pivot table'!N$109</f>
        <v>0</v>
      </c>
      <c r="E41" s="337">
        <f>'Distrib pivot table'!N$121</f>
        <v>0</v>
      </c>
      <c r="F41" s="342">
        <f>'Distrib pivot table'!N$124</f>
        <v>0</v>
      </c>
      <c r="G41" s="342">
        <f>'Distrib pivot table'!N$118</f>
        <v>0</v>
      </c>
      <c r="H41" s="337">
        <f>'Distrib pivot table'!N$103</f>
        <v>2413300</v>
      </c>
      <c r="I41" s="343">
        <f>'Distrib pivot table'!N$106</f>
        <v>8533775</v>
      </c>
      <c r="J41" s="344">
        <f t="shared" si="4"/>
        <v>2413300</v>
      </c>
      <c r="K41" s="344">
        <f t="shared" si="5"/>
        <v>8533775</v>
      </c>
      <c r="L41" s="337">
        <f>'Distrib pivot table'!N$100</f>
        <v>0</v>
      </c>
      <c r="M41" s="360">
        <f t="shared" si="6"/>
        <v>10947075</v>
      </c>
      <c r="N41" s="337">
        <f>'Distrib pivot table'!N$130</f>
        <v>104851951</v>
      </c>
      <c r="O41" s="342">
        <f>'Distrib pivot table'!N$133</f>
        <v>3620000</v>
      </c>
      <c r="P41" s="342">
        <f>'Distrib pivot table'!N$127</f>
        <v>0</v>
      </c>
      <c r="Q41" s="349">
        <f>'Distrib pivot table'!N$139</f>
        <v>45158375</v>
      </c>
      <c r="R41" s="6">
        <f>'Distrib pivot table'!N$142</f>
        <v>60822305</v>
      </c>
      <c r="S41" s="342">
        <f>'Distrib pivot table'!N$136</f>
        <v>0</v>
      </c>
      <c r="T41" s="363">
        <f t="shared" si="7"/>
        <v>225399706</v>
      </c>
      <c r="U41" s="1090">
        <f>+U40/T40</f>
        <v>0</v>
      </c>
      <c r="AN41" s="6"/>
    </row>
    <row r="42" spans="1:40">
      <c r="A42" s="73" t="s">
        <v>1903</v>
      </c>
      <c r="B42" s="342">
        <f>'Distrib pivot table'!O$112</f>
        <v>0</v>
      </c>
      <c r="C42" s="342">
        <f>'Distrib pivot table'!O$115</f>
        <v>0</v>
      </c>
      <c r="D42" s="343">
        <f>'Distrib pivot table'!O$109</f>
        <v>0</v>
      </c>
      <c r="E42" s="337">
        <f>'Distrib pivot table'!O$121</f>
        <v>0</v>
      </c>
      <c r="F42" s="342">
        <f>'Distrib pivot table'!O$124</f>
        <v>0</v>
      </c>
      <c r="G42" s="342">
        <f>'Distrib pivot table'!O$118</f>
        <v>0</v>
      </c>
      <c r="H42" s="337">
        <f>'Distrib pivot table'!O$103</f>
        <v>0</v>
      </c>
      <c r="I42" s="343">
        <f>'Distrib pivot table'!O$106</f>
        <v>0</v>
      </c>
      <c r="J42" s="344">
        <f t="shared" si="4"/>
        <v>0</v>
      </c>
      <c r="K42" s="344">
        <f t="shared" si="5"/>
        <v>0</v>
      </c>
      <c r="L42" s="337">
        <f>'Distrib pivot table'!O$100</f>
        <v>67967556</v>
      </c>
      <c r="M42" s="360">
        <f t="shared" si="6"/>
        <v>67967556</v>
      </c>
      <c r="N42" s="337">
        <f>'Distrib pivot table'!O$130</f>
        <v>0</v>
      </c>
      <c r="O42" s="342">
        <f>'Distrib pivot table'!O$133</f>
        <v>0</v>
      </c>
      <c r="P42" s="342">
        <f>'Distrib pivot table'!O$127</f>
        <v>0</v>
      </c>
      <c r="Q42" s="349">
        <f>'Distrib pivot table'!O$139</f>
        <v>0</v>
      </c>
      <c r="R42" s="6">
        <f>'Distrib pivot table'!O$142</f>
        <v>0</v>
      </c>
      <c r="S42" s="342">
        <f>'Distrib pivot table'!O$136</f>
        <v>3828751</v>
      </c>
      <c r="T42" s="363">
        <f t="shared" si="7"/>
        <v>71796307</v>
      </c>
      <c r="AN42" s="6"/>
    </row>
    <row r="43" spans="1:40">
      <c r="A43" s="73" t="s">
        <v>1897</v>
      </c>
      <c r="B43" s="342">
        <f>'Distrib pivot table'!P$112</f>
        <v>21793965</v>
      </c>
      <c r="C43" s="342">
        <f>'Distrib pivot table'!P$115</f>
        <v>204597917</v>
      </c>
      <c r="D43" s="343">
        <f>'Distrib pivot table'!P$109</f>
        <v>0</v>
      </c>
      <c r="E43" s="337">
        <f>'Distrib pivot table'!P$121</f>
        <v>5315872</v>
      </c>
      <c r="F43" s="342">
        <f>'Distrib pivot table'!P$124</f>
        <v>38812721</v>
      </c>
      <c r="G43" s="342">
        <f>'Distrib pivot table'!P$118</f>
        <v>0</v>
      </c>
      <c r="H43" s="337">
        <f>'Distrib pivot table'!P$103</f>
        <v>0</v>
      </c>
      <c r="I43" s="343">
        <f>'Distrib pivot table'!P$106</f>
        <v>1300000</v>
      </c>
      <c r="J43" s="344">
        <f t="shared" si="4"/>
        <v>27109837</v>
      </c>
      <c r="K43" s="344">
        <f t="shared" si="5"/>
        <v>244710638</v>
      </c>
      <c r="L43" s="337">
        <f>'Distrib pivot table'!P$100</f>
        <v>1829187</v>
      </c>
      <c r="M43" s="360">
        <f t="shared" si="6"/>
        <v>273649662</v>
      </c>
      <c r="N43" s="337">
        <f>'Distrib pivot table'!P$130</f>
        <v>0</v>
      </c>
      <c r="O43" s="342">
        <f>'Distrib pivot table'!P$133</f>
        <v>0</v>
      </c>
      <c r="P43" s="342">
        <f>'Distrib pivot table'!P$127</f>
        <v>0</v>
      </c>
      <c r="Q43" s="349">
        <f>'Distrib pivot table'!P$139</f>
        <v>29955053</v>
      </c>
      <c r="R43" s="6">
        <f>'Distrib pivot table'!P$142</f>
        <v>0</v>
      </c>
      <c r="S43" s="342">
        <f>'Distrib pivot table'!P$136</f>
        <v>0</v>
      </c>
      <c r="T43" s="363">
        <f t="shared" si="7"/>
        <v>303604715</v>
      </c>
      <c r="AN43" s="6"/>
    </row>
    <row r="44" spans="1:40">
      <c r="A44" s="73" t="s">
        <v>647</v>
      </c>
      <c r="B44" s="342">
        <f>'Distrib pivot table'!Q$112</f>
        <v>87522700</v>
      </c>
      <c r="C44" s="342">
        <f>'Distrib pivot table'!Q$115</f>
        <v>135310300</v>
      </c>
      <c r="D44" s="343">
        <f>'Distrib pivot table'!Q$109</f>
        <v>0</v>
      </c>
      <c r="E44" s="337">
        <f>'Distrib pivot table'!Q$121</f>
        <v>36962500</v>
      </c>
      <c r="F44" s="342">
        <f>'Distrib pivot table'!Q$124</f>
        <v>31170600</v>
      </c>
      <c r="G44" s="342">
        <f>'Distrib pivot table'!Q$118</f>
        <v>0</v>
      </c>
      <c r="H44" s="337">
        <f>'Distrib pivot table'!Q$103</f>
        <v>0</v>
      </c>
      <c r="I44" s="343">
        <f>'Distrib pivot table'!Q$106</f>
        <v>0</v>
      </c>
      <c r="J44" s="344">
        <f t="shared" si="4"/>
        <v>124485200</v>
      </c>
      <c r="K44" s="344">
        <f t="shared" si="5"/>
        <v>166480900</v>
      </c>
      <c r="L44" s="337">
        <f>'Distrib pivot table'!Q$100</f>
        <v>0</v>
      </c>
      <c r="M44" s="360">
        <f t="shared" si="6"/>
        <v>290966100</v>
      </c>
      <c r="N44" s="337">
        <f>'Distrib pivot table'!Q$130</f>
        <v>0</v>
      </c>
      <c r="O44" s="342">
        <f>'Distrib pivot table'!Q$133</f>
        <v>0</v>
      </c>
      <c r="P44" s="342">
        <f>'Distrib pivot table'!Q$127</f>
        <v>0</v>
      </c>
      <c r="Q44" s="349">
        <f>'Distrib pivot table'!Q$139</f>
        <v>0</v>
      </c>
      <c r="R44" s="6">
        <f>'Distrib pivot table'!Q$142</f>
        <v>0</v>
      </c>
      <c r="S44" s="342">
        <f>'Distrib pivot table'!Q$136</f>
        <v>0</v>
      </c>
      <c r="T44" s="363">
        <f t="shared" si="7"/>
        <v>290966100</v>
      </c>
      <c r="AN44" s="6"/>
    </row>
    <row r="45" spans="1:40">
      <c r="A45" s="73" t="s">
        <v>1898</v>
      </c>
      <c r="B45" s="342">
        <f>'Distrib pivot table'!R$112</f>
        <v>0</v>
      </c>
      <c r="C45" s="342">
        <f>'Distrib pivot table'!R$115</f>
        <v>0</v>
      </c>
      <c r="D45" s="343">
        <f>'Distrib pivot table'!R$109</f>
        <v>0</v>
      </c>
      <c r="E45" s="337">
        <f>'Distrib pivot table'!R$121</f>
        <v>0</v>
      </c>
      <c r="F45" s="342">
        <f>'Distrib pivot table'!R$124</f>
        <v>0</v>
      </c>
      <c r="G45" s="342">
        <f>'Distrib pivot table'!R$118</f>
        <v>0</v>
      </c>
      <c r="H45" s="337">
        <f>'Distrib pivot table'!R$103</f>
        <v>0</v>
      </c>
      <c r="I45" s="343">
        <f>'Distrib pivot table'!R$106</f>
        <v>0</v>
      </c>
      <c r="J45" s="344">
        <f t="shared" si="4"/>
        <v>0</v>
      </c>
      <c r="K45" s="344">
        <f t="shared" si="5"/>
        <v>0</v>
      </c>
      <c r="L45" s="337">
        <f>'Distrib pivot table'!R$100</f>
        <v>367673804</v>
      </c>
      <c r="M45" s="360">
        <f t="shared" si="6"/>
        <v>367673804</v>
      </c>
      <c r="N45" s="337">
        <f>'Distrib pivot table'!R$130</f>
        <v>0</v>
      </c>
      <c r="O45" s="342">
        <f>'Distrib pivot table'!R$133</f>
        <v>0</v>
      </c>
      <c r="P45" s="342">
        <f>'Distrib pivot table'!R$127</f>
        <v>0</v>
      </c>
      <c r="Q45" s="349">
        <f>'Distrib pivot table'!R$139</f>
        <v>0</v>
      </c>
      <c r="R45" s="6">
        <f>'Distrib pivot table'!R$142</f>
        <v>0</v>
      </c>
      <c r="S45" s="357">
        <f>'Distrib pivot table'!R$136</f>
        <v>0</v>
      </c>
      <c r="T45" s="363">
        <f t="shared" si="7"/>
        <v>367673804</v>
      </c>
      <c r="AN45" s="6"/>
    </row>
    <row r="46" spans="1:40">
      <c r="A46" s="73" t="s">
        <v>1899</v>
      </c>
      <c r="B46" s="342">
        <f>'Distrib pivot table'!S$112</f>
        <v>3372105</v>
      </c>
      <c r="C46" s="342">
        <f>'Distrib pivot table'!S$115</f>
        <v>1000000</v>
      </c>
      <c r="D46" s="343">
        <f>'Distrib pivot table'!S$109</f>
        <v>0</v>
      </c>
      <c r="E46" s="337">
        <f>'Distrib pivot table'!S$121</f>
        <v>1041645</v>
      </c>
      <c r="F46" s="342">
        <f>'Distrib pivot table'!S$124</f>
        <v>0</v>
      </c>
      <c r="G46" s="342">
        <f>'Distrib pivot table'!S$118</f>
        <v>0</v>
      </c>
      <c r="H46" s="337">
        <f>'Distrib pivot table'!S$103</f>
        <v>0</v>
      </c>
      <c r="I46" s="343">
        <f>'Distrib pivot table'!S$106</f>
        <v>0</v>
      </c>
      <c r="J46" s="344">
        <f t="shared" si="4"/>
        <v>4413750</v>
      </c>
      <c r="K46" s="344">
        <f t="shared" si="5"/>
        <v>1000000</v>
      </c>
      <c r="L46" s="337">
        <f>'Distrib pivot table'!S$100</f>
        <v>0</v>
      </c>
      <c r="M46" s="360">
        <f t="shared" si="6"/>
        <v>5413750</v>
      </c>
      <c r="N46" s="337">
        <f>'Distrib pivot table'!S$130</f>
        <v>113704799</v>
      </c>
      <c r="O46" s="342">
        <f>'Distrib pivot table'!S$133</f>
        <v>12359822</v>
      </c>
      <c r="P46" s="342">
        <f>'Distrib pivot table'!S$127</f>
        <v>0</v>
      </c>
      <c r="Q46" s="349">
        <f>'Distrib pivot table'!S$139</f>
        <v>0</v>
      </c>
      <c r="R46" s="6">
        <f>'Distrib pivot table'!S$142</f>
        <v>64030818</v>
      </c>
      <c r="S46" s="357">
        <f>'Distrib pivot table'!S$136</f>
        <v>0</v>
      </c>
      <c r="T46" s="363">
        <f t="shared" si="7"/>
        <v>195509189</v>
      </c>
      <c r="AN46" s="6"/>
    </row>
    <row r="47" spans="1:40">
      <c r="A47" s="74" t="s">
        <v>1904</v>
      </c>
      <c r="B47" s="346">
        <f>'Distrib pivot table'!T$112</f>
        <v>32899390</v>
      </c>
      <c r="C47" s="346">
        <f>'Distrib pivot table'!T$115</f>
        <v>38494948</v>
      </c>
      <c r="D47" s="347">
        <f>'Distrib pivot table'!T$109</f>
        <v>0</v>
      </c>
      <c r="E47" s="345">
        <f>'Distrib pivot table'!T$121</f>
        <v>6140929</v>
      </c>
      <c r="F47" s="346">
        <f>'Distrib pivot table'!T$124</f>
        <v>4089575</v>
      </c>
      <c r="G47" s="346">
        <f>'Distrib pivot table'!T$118</f>
        <v>0</v>
      </c>
      <c r="H47" s="345">
        <f>'Distrib pivot table'!T$103</f>
        <v>0</v>
      </c>
      <c r="I47" s="347">
        <f>'Distrib pivot table'!T$106</f>
        <v>0</v>
      </c>
      <c r="J47" s="348">
        <f t="shared" si="4"/>
        <v>39040319</v>
      </c>
      <c r="K47" s="348">
        <f t="shared" si="5"/>
        <v>42584523</v>
      </c>
      <c r="L47" s="345">
        <f>'Distrib pivot table'!T$100</f>
        <v>0</v>
      </c>
      <c r="M47" s="361">
        <f t="shared" si="6"/>
        <v>81624842</v>
      </c>
      <c r="N47" s="345">
        <f>'Distrib pivot table'!T$130</f>
        <v>0</v>
      </c>
      <c r="O47" s="346">
        <f>'Distrib pivot table'!T$133</f>
        <v>0</v>
      </c>
      <c r="P47" s="346">
        <f>'Distrib pivot table'!T$127</f>
        <v>0</v>
      </c>
      <c r="Q47" s="352">
        <f>'Distrib pivot table'!T$139</f>
        <v>0</v>
      </c>
      <c r="R47" s="8">
        <f>'Distrib pivot table'!T$142</f>
        <v>0</v>
      </c>
      <c r="S47" s="358">
        <f>'Distrib pivot table'!T$136</f>
        <v>0</v>
      </c>
      <c r="T47" s="364">
        <f t="shared" si="7"/>
        <v>81624842</v>
      </c>
      <c r="AN47" s="6"/>
    </row>
    <row r="48" spans="1:40" ht="24" customHeight="1">
      <c r="A48" s="99"/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107"/>
      <c r="O48" s="107"/>
      <c r="P48" s="107"/>
      <c r="S48" s="107"/>
      <c r="AN48" s="6"/>
    </row>
    <row r="49" spans="1:19" ht="24" customHeight="1">
      <c r="A49" s="394" t="s">
        <v>123</v>
      </c>
      <c r="B49" s="75"/>
      <c r="C49" s="75"/>
      <c r="D49" s="75"/>
      <c r="E49" s="75"/>
      <c r="F49" s="75"/>
      <c r="G49" s="75"/>
      <c r="H49" s="75"/>
      <c r="I49" s="75"/>
      <c r="J49" s="104"/>
      <c r="K49" s="75"/>
      <c r="L49" s="75"/>
      <c r="M49" s="75"/>
      <c r="N49" s="107"/>
      <c r="O49" s="107"/>
      <c r="P49" s="107"/>
      <c r="S49" s="107"/>
    </row>
    <row r="50" spans="1:19" ht="26.25" customHeight="1">
      <c r="A50" s="95"/>
      <c r="B50" s="324" t="s">
        <v>561</v>
      </c>
      <c r="C50" s="324"/>
      <c r="D50" s="324"/>
      <c r="E50" s="323" t="s">
        <v>563</v>
      </c>
      <c r="F50" s="324"/>
      <c r="G50" s="324"/>
      <c r="H50" s="323" t="s">
        <v>444</v>
      </c>
      <c r="I50" s="325"/>
      <c r="J50" s="351" t="s">
        <v>648</v>
      </c>
      <c r="K50" s="368"/>
      <c r="L50" s="75"/>
      <c r="M50" s="75"/>
      <c r="N50" s="107"/>
      <c r="O50" s="107"/>
      <c r="P50" s="107"/>
      <c r="S50" s="107"/>
    </row>
    <row r="51" spans="1:19" ht="57" customHeight="1">
      <c r="A51" s="50"/>
      <c r="B51" s="51" t="s">
        <v>559</v>
      </c>
      <c r="C51" s="52" t="s">
        <v>560</v>
      </c>
      <c r="D51" s="52" t="s">
        <v>435</v>
      </c>
      <c r="E51" s="53" t="s">
        <v>559</v>
      </c>
      <c r="F51" s="52" t="s">
        <v>560</v>
      </c>
      <c r="G51" s="52" t="s">
        <v>435</v>
      </c>
      <c r="H51" s="53" t="s">
        <v>559</v>
      </c>
      <c r="I51" s="326" t="s">
        <v>560</v>
      </c>
      <c r="J51" s="374" t="s">
        <v>436</v>
      </c>
      <c r="K51" s="366" t="s">
        <v>1907</v>
      </c>
      <c r="L51" s="386"/>
      <c r="M51" s="104"/>
      <c r="N51" s="119"/>
      <c r="O51" s="119"/>
      <c r="P51" s="119"/>
      <c r="Q51" s="365"/>
      <c r="R51" s="365"/>
      <c r="S51" s="119"/>
    </row>
    <row r="52" spans="1:19" ht="24" customHeight="1">
      <c r="A52" s="73" t="s">
        <v>437</v>
      </c>
      <c r="B52" s="370">
        <f t="shared" ref="B52:G52" si="8">+B6+N6</f>
        <v>693212863.35000002</v>
      </c>
      <c r="C52" s="370">
        <f t="shared" si="8"/>
        <v>1057468206.7</v>
      </c>
      <c r="D52" s="369">
        <f t="shared" si="8"/>
        <v>686032</v>
      </c>
      <c r="E52" s="370">
        <f t="shared" si="8"/>
        <v>223769553.13999999</v>
      </c>
      <c r="F52" s="370">
        <f t="shared" si="8"/>
        <v>393308917</v>
      </c>
      <c r="G52" s="369">
        <f t="shared" si="8"/>
        <v>3828751</v>
      </c>
      <c r="H52" s="370">
        <f>+H6</f>
        <v>10085005</v>
      </c>
      <c r="I52" s="369">
        <f>+I6</f>
        <v>450500292</v>
      </c>
      <c r="J52" s="369">
        <f>+L6</f>
        <v>443692152</v>
      </c>
      <c r="K52" s="370">
        <f>SUM(B52:J52)</f>
        <v>3276551772.1900001</v>
      </c>
      <c r="L52" s="73" t="s">
        <v>437</v>
      </c>
      <c r="O52" s="107"/>
      <c r="P52" s="107"/>
      <c r="S52" s="107"/>
    </row>
    <row r="53" spans="1:19" ht="9" customHeight="1">
      <c r="A53" s="73"/>
      <c r="B53" s="367"/>
      <c r="C53" s="367"/>
      <c r="D53" s="372"/>
      <c r="E53" s="367"/>
      <c r="F53" s="367"/>
      <c r="G53" s="372"/>
      <c r="H53" s="367"/>
      <c r="I53" s="372"/>
      <c r="J53" s="372"/>
      <c r="K53" s="367"/>
      <c r="L53" s="73"/>
      <c r="O53" s="107"/>
      <c r="P53" s="107"/>
      <c r="S53" s="107"/>
    </row>
    <row r="54" spans="1:19">
      <c r="A54" s="73" t="s">
        <v>1892</v>
      </c>
      <c r="B54" s="367">
        <f t="shared" ref="B54:B69" si="9">+B8+N8</f>
        <v>4230769</v>
      </c>
      <c r="C54" s="367">
        <f t="shared" ref="C54:C69" si="10">+C8+O8</f>
        <v>23407142</v>
      </c>
      <c r="D54" s="372">
        <f t="shared" ref="D54:D69" si="11">+D8+P8</f>
        <v>0</v>
      </c>
      <c r="E54" s="367">
        <f t="shared" ref="E54:E69" si="12">+E8+Q8</f>
        <v>937198</v>
      </c>
      <c r="F54" s="367">
        <f t="shared" ref="F54:F69" si="13">+F8+R8</f>
        <v>2710730</v>
      </c>
      <c r="G54" s="372">
        <f t="shared" ref="G54:G69" si="14">+G8+S8</f>
        <v>0</v>
      </c>
      <c r="H54" s="367">
        <f t="shared" ref="H54:I69" si="15">+H8</f>
        <v>11844</v>
      </c>
      <c r="I54" s="372">
        <f t="shared" si="15"/>
        <v>1893614</v>
      </c>
      <c r="J54" s="372">
        <f t="shared" ref="J54:J69" si="16">+L8</f>
        <v>0</v>
      </c>
      <c r="K54" s="367">
        <f t="shared" ref="K54:K69" si="17">SUM(B54:J54)</f>
        <v>33191297</v>
      </c>
      <c r="L54" s="73" t="s">
        <v>1892</v>
      </c>
    </row>
    <row r="55" spans="1:19">
      <c r="A55" s="73" t="s">
        <v>1906</v>
      </c>
      <c r="B55" s="367">
        <f t="shared" si="9"/>
        <v>23308550</v>
      </c>
      <c r="C55" s="367">
        <f t="shared" si="10"/>
        <v>10152935</v>
      </c>
      <c r="D55" s="372">
        <f t="shared" si="11"/>
        <v>0</v>
      </c>
      <c r="E55" s="367">
        <f t="shared" si="12"/>
        <v>2723017</v>
      </c>
      <c r="F55" s="367">
        <f t="shared" si="13"/>
        <v>2999000</v>
      </c>
      <c r="G55" s="372">
        <f t="shared" si="14"/>
        <v>0</v>
      </c>
      <c r="H55" s="367">
        <f t="shared" si="15"/>
        <v>0</v>
      </c>
      <c r="I55" s="372">
        <f t="shared" si="15"/>
        <v>200000</v>
      </c>
      <c r="J55" s="372">
        <f t="shared" si="16"/>
        <v>0</v>
      </c>
      <c r="K55" s="367">
        <f t="shared" si="17"/>
        <v>39383502</v>
      </c>
      <c r="L55" s="73" t="s">
        <v>1906</v>
      </c>
    </row>
    <row r="56" spans="1:19">
      <c r="A56" s="73" t="s">
        <v>1893</v>
      </c>
      <c r="B56" s="367">
        <f>+B10+N10</f>
        <v>875300</v>
      </c>
      <c r="C56" s="367">
        <f t="shared" si="10"/>
        <v>1011738</v>
      </c>
      <c r="D56" s="372">
        <f t="shared" si="11"/>
        <v>0</v>
      </c>
      <c r="E56" s="367">
        <f t="shared" si="12"/>
        <v>1723855</v>
      </c>
      <c r="F56" s="367">
        <f t="shared" si="13"/>
        <v>505450</v>
      </c>
      <c r="G56" s="372">
        <f t="shared" si="14"/>
        <v>0</v>
      </c>
      <c r="H56" s="367">
        <f t="shared" si="15"/>
        <v>0</v>
      </c>
      <c r="I56" s="372">
        <f t="shared" si="15"/>
        <v>0</v>
      </c>
      <c r="J56" s="372">
        <f t="shared" si="16"/>
        <v>577408</v>
      </c>
      <c r="K56" s="367">
        <f t="shared" si="17"/>
        <v>4693751</v>
      </c>
      <c r="L56" s="73" t="s">
        <v>1893</v>
      </c>
    </row>
    <row r="57" spans="1:19">
      <c r="A57" s="73" t="s">
        <v>1900</v>
      </c>
      <c r="B57" s="367">
        <f t="shared" si="9"/>
        <v>98546590</v>
      </c>
      <c r="C57" s="367">
        <f t="shared" si="10"/>
        <v>5592988</v>
      </c>
      <c r="D57" s="372">
        <f t="shared" si="11"/>
        <v>0</v>
      </c>
      <c r="E57" s="367">
        <f t="shared" si="12"/>
        <v>27606096</v>
      </c>
      <c r="F57" s="367">
        <f t="shared" si="13"/>
        <v>101481987</v>
      </c>
      <c r="G57" s="372">
        <f t="shared" si="14"/>
        <v>0</v>
      </c>
      <c r="H57" s="367">
        <f t="shared" si="15"/>
        <v>7659861</v>
      </c>
      <c r="I57" s="372">
        <f t="shared" si="15"/>
        <v>438172903</v>
      </c>
      <c r="J57" s="372">
        <f t="shared" si="16"/>
        <v>500000</v>
      </c>
      <c r="K57" s="367">
        <f t="shared" si="17"/>
        <v>679560425</v>
      </c>
      <c r="L57" s="73" t="s">
        <v>1900</v>
      </c>
    </row>
    <row r="58" spans="1:19">
      <c r="A58" s="73" t="s">
        <v>1901</v>
      </c>
      <c r="B58" s="367">
        <f t="shared" si="9"/>
        <v>0</v>
      </c>
      <c r="C58" s="367">
        <f t="shared" si="10"/>
        <v>355342241</v>
      </c>
      <c r="D58" s="372">
        <f t="shared" si="11"/>
        <v>0</v>
      </c>
      <c r="E58" s="367">
        <f t="shared" si="12"/>
        <v>0</v>
      </c>
      <c r="F58" s="367">
        <f t="shared" si="13"/>
        <v>44261802</v>
      </c>
      <c r="G58" s="372">
        <f t="shared" si="14"/>
        <v>0</v>
      </c>
      <c r="H58" s="367">
        <f t="shared" si="15"/>
        <v>0</v>
      </c>
      <c r="I58" s="372">
        <f t="shared" si="15"/>
        <v>0</v>
      </c>
      <c r="J58" s="372">
        <f t="shared" si="16"/>
        <v>11238887</v>
      </c>
      <c r="K58" s="367">
        <f t="shared" si="17"/>
        <v>410842930</v>
      </c>
      <c r="L58" s="73" t="s">
        <v>1901</v>
      </c>
    </row>
    <row r="59" spans="1:19">
      <c r="A59" s="73" t="s">
        <v>1894</v>
      </c>
      <c r="B59" s="367">
        <f t="shared" si="9"/>
        <v>45021600</v>
      </c>
      <c r="C59" s="367">
        <f t="shared" si="10"/>
        <v>71910200</v>
      </c>
      <c r="D59" s="372">
        <f t="shared" si="11"/>
        <v>9600</v>
      </c>
      <c r="E59" s="367">
        <f t="shared" si="12"/>
        <v>47139400</v>
      </c>
      <c r="F59" s="367">
        <f t="shared" si="13"/>
        <v>17542400</v>
      </c>
      <c r="G59" s="372">
        <f t="shared" si="14"/>
        <v>0</v>
      </c>
      <c r="H59" s="367">
        <f t="shared" si="15"/>
        <v>0</v>
      </c>
      <c r="I59" s="372">
        <f t="shared" si="15"/>
        <v>0</v>
      </c>
      <c r="J59" s="372">
        <f t="shared" si="16"/>
        <v>0</v>
      </c>
      <c r="K59" s="367">
        <f t="shared" si="17"/>
        <v>181623200</v>
      </c>
      <c r="L59" s="73" t="s">
        <v>1894</v>
      </c>
    </row>
    <row r="60" spans="1:19">
      <c r="A60" s="73" t="s">
        <v>1570</v>
      </c>
      <c r="B60" s="367">
        <f t="shared" si="9"/>
        <v>22910043.800000001</v>
      </c>
      <c r="C60" s="367">
        <f t="shared" si="10"/>
        <v>112794275</v>
      </c>
      <c r="D60" s="372">
        <f t="shared" si="11"/>
        <v>0</v>
      </c>
      <c r="E60" s="367">
        <f t="shared" si="12"/>
        <v>2339789.14</v>
      </c>
      <c r="F60" s="367">
        <f t="shared" si="13"/>
        <v>9223851</v>
      </c>
      <c r="G60" s="372">
        <f t="shared" si="14"/>
        <v>0</v>
      </c>
      <c r="H60" s="367">
        <f t="shared" si="15"/>
        <v>0</v>
      </c>
      <c r="I60" s="372">
        <f t="shared" si="15"/>
        <v>0</v>
      </c>
      <c r="J60" s="372">
        <f t="shared" si="16"/>
        <v>0</v>
      </c>
      <c r="K60" s="367">
        <f t="shared" si="17"/>
        <v>147267958.94</v>
      </c>
      <c r="L60" s="73" t="s">
        <v>1570</v>
      </c>
    </row>
    <row r="61" spans="1:19">
      <c r="A61" s="73" t="s">
        <v>1905</v>
      </c>
      <c r="B61" s="367">
        <f t="shared" si="9"/>
        <v>75528895.549999997</v>
      </c>
      <c r="C61" s="367">
        <f t="shared" si="10"/>
        <v>13299139</v>
      </c>
      <c r="D61" s="372">
        <f t="shared" si="11"/>
        <v>0</v>
      </c>
      <c r="E61" s="367">
        <f t="shared" si="12"/>
        <v>16328496</v>
      </c>
      <c r="F61" s="367">
        <f t="shared" si="13"/>
        <v>2906119</v>
      </c>
      <c r="G61" s="372">
        <f t="shared" si="14"/>
        <v>0</v>
      </c>
      <c r="H61" s="367">
        <f t="shared" si="15"/>
        <v>0</v>
      </c>
      <c r="I61" s="372">
        <f t="shared" si="15"/>
        <v>0</v>
      </c>
      <c r="J61" s="372">
        <f t="shared" si="16"/>
        <v>0</v>
      </c>
      <c r="K61" s="367">
        <f t="shared" si="17"/>
        <v>108062649.55</v>
      </c>
      <c r="L61" s="73" t="s">
        <v>1905</v>
      </c>
    </row>
    <row r="62" spans="1:19">
      <c r="A62" s="73" t="s">
        <v>1895</v>
      </c>
      <c r="B62" s="367">
        <f t="shared" si="9"/>
        <v>4185228</v>
      </c>
      <c r="C62" s="367">
        <f t="shared" si="10"/>
        <v>19563270.699999999</v>
      </c>
      <c r="D62" s="372">
        <f t="shared" si="11"/>
        <v>376432</v>
      </c>
      <c r="E62" s="367">
        <f t="shared" si="12"/>
        <v>346457</v>
      </c>
      <c r="F62" s="367">
        <f t="shared" si="13"/>
        <v>3112516</v>
      </c>
      <c r="G62" s="372">
        <f t="shared" si="14"/>
        <v>0</v>
      </c>
      <c r="H62" s="367">
        <f t="shared" si="15"/>
        <v>0</v>
      </c>
      <c r="I62" s="372">
        <f t="shared" si="15"/>
        <v>0</v>
      </c>
      <c r="J62" s="372">
        <f t="shared" si="16"/>
        <v>0</v>
      </c>
      <c r="K62" s="367">
        <f t="shared" si="17"/>
        <v>27583903.699999999</v>
      </c>
      <c r="L62" s="73" t="s">
        <v>1895</v>
      </c>
    </row>
    <row r="63" spans="1:19">
      <c r="A63" s="73" t="s">
        <v>1896</v>
      </c>
      <c r="B63" s="367">
        <f t="shared" si="9"/>
        <v>142536195</v>
      </c>
      <c r="C63" s="367">
        <f t="shared" si="10"/>
        <v>3620000</v>
      </c>
      <c r="D63" s="372">
        <f t="shared" si="11"/>
        <v>0</v>
      </c>
      <c r="E63" s="367">
        <f t="shared" si="12"/>
        <v>44058375</v>
      </c>
      <c r="F63" s="367">
        <f t="shared" si="13"/>
        <v>60935305</v>
      </c>
      <c r="G63" s="372">
        <f t="shared" si="14"/>
        <v>0</v>
      </c>
      <c r="H63" s="367">
        <f t="shared" si="15"/>
        <v>2413300</v>
      </c>
      <c r="I63" s="372">
        <f t="shared" si="15"/>
        <v>8533775</v>
      </c>
      <c r="J63" s="372">
        <f t="shared" si="16"/>
        <v>0</v>
      </c>
      <c r="K63" s="367">
        <f t="shared" si="17"/>
        <v>262096950</v>
      </c>
      <c r="L63" s="73" t="s">
        <v>1896</v>
      </c>
    </row>
    <row r="64" spans="1:19">
      <c r="A64" s="73" t="s">
        <v>1903</v>
      </c>
      <c r="B64" s="367">
        <f t="shared" si="9"/>
        <v>0</v>
      </c>
      <c r="C64" s="367">
        <f t="shared" si="10"/>
        <v>0</v>
      </c>
      <c r="D64" s="372">
        <f t="shared" si="11"/>
        <v>0</v>
      </c>
      <c r="E64" s="367">
        <f t="shared" si="12"/>
        <v>0</v>
      </c>
      <c r="F64" s="367">
        <f t="shared" si="13"/>
        <v>0</v>
      </c>
      <c r="G64" s="372">
        <f t="shared" si="14"/>
        <v>3828751</v>
      </c>
      <c r="H64" s="367">
        <f t="shared" si="15"/>
        <v>0</v>
      </c>
      <c r="I64" s="372">
        <f t="shared" si="15"/>
        <v>0</v>
      </c>
      <c r="J64" s="372">
        <f t="shared" si="16"/>
        <v>73867556</v>
      </c>
      <c r="K64" s="367">
        <f t="shared" si="17"/>
        <v>77696307</v>
      </c>
      <c r="L64" s="73" t="s">
        <v>1903</v>
      </c>
    </row>
    <row r="65" spans="1:12">
      <c r="A65" s="73" t="s">
        <v>1897</v>
      </c>
      <c r="B65" s="367">
        <f t="shared" si="9"/>
        <v>18554748</v>
      </c>
      <c r="C65" s="367">
        <f t="shared" si="10"/>
        <v>212679429</v>
      </c>
      <c r="D65" s="372">
        <f t="shared" si="11"/>
        <v>0</v>
      </c>
      <c r="E65" s="367">
        <f t="shared" si="12"/>
        <v>34921315</v>
      </c>
      <c r="F65" s="367">
        <f t="shared" si="13"/>
        <v>40962910</v>
      </c>
      <c r="G65" s="372">
        <f t="shared" si="14"/>
        <v>0</v>
      </c>
      <c r="H65" s="367">
        <f t="shared" si="15"/>
        <v>0</v>
      </c>
      <c r="I65" s="372">
        <f t="shared" si="15"/>
        <v>1700000</v>
      </c>
      <c r="J65" s="372">
        <f t="shared" si="16"/>
        <v>109138</v>
      </c>
      <c r="K65" s="367">
        <f t="shared" si="17"/>
        <v>308927540</v>
      </c>
      <c r="L65" s="73" t="s">
        <v>1897</v>
      </c>
    </row>
    <row r="66" spans="1:12">
      <c r="A66" s="73" t="s">
        <v>647</v>
      </c>
      <c r="B66" s="367">
        <f t="shared" si="9"/>
        <v>98067700</v>
      </c>
      <c r="C66" s="367">
        <f t="shared" si="10"/>
        <v>176737500</v>
      </c>
      <c r="D66" s="372">
        <f t="shared" si="11"/>
        <v>0</v>
      </c>
      <c r="E66" s="367">
        <f t="shared" si="12"/>
        <v>39591500</v>
      </c>
      <c r="F66" s="367">
        <f t="shared" si="13"/>
        <v>38103600</v>
      </c>
      <c r="G66" s="372">
        <f t="shared" si="14"/>
        <v>0</v>
      </c>
      <c r="H66" s="367">
        <f t="shared" si="15"/>
        <v>0</v>
      </c>
      <c r="I66" s="372">
        <f t="shared" si="15"/>
        <v>0</v>
      </c>
      <c r="J66" s="372">
        <f t="shared" si="16"/>
        <v>0</v>
      </c>
      <c r="K66" s="367">
        <f t="shared" si="17"/>
        <v>352500300</v>
      </c>
      <c r="L66" s="73" t="s">
        <v>647</v>
      </c>
    </row>
    <row r="67" spans="1:12">
      <c r="A67" s="73" t="s">
        <v>1898</v>
      </c>
      <c r="B67" s="367">
        <f t="shared" si="9"/>
        <v>0</v>
      </c>
      <c r="C67" s="367">
        <f t="shared" si="10"/>
        <v>0</v>
      </c>
      <c r="D67" s="372">
        <f t="shared" si="11"/>
        <v>0</v>
      </c>
      <c r="E67" s="367">
        <f t="shared" si="12"/>
        <v>0</v>
      </c>
      <c r="F67" s="367">
        <f t="shared" si="13"/>
        <v>0</v>
      </c>
      <c r="G67" s="372">
        <f t="shared" si="14"/>
        <v>0</v>
      </c>
      <c r="H67" s="367">
        <f t="shared" si="15"/>
        <v>0</v>
      </c>
      <c r="I67" s="372">
        <f t="shared" si="15"/>
        <v>0</v>
      </c>
      <c r="J67" s="372">
        <f t="shared" si="16"/>
        <v>357399163</v>
      </c>
      <c r="K67" s="367">
        <f t="shared" si="17"/>
        <v>357399163</v>
      </c>
      <c r="L67" s="73" t="s">
        <v>1898</v>
      </c>
    </row>
    <row r="68" spans="1:12">
      <c r="A68" s="73" t="s">
        <v>1899</v>
      </c>
      <c r="B68" s="367">
        <f t="shared" si="9"/>
        <v>126340145</v>
      </c>
      <c r="C68" s="367">
        <f t="shared" si="10"/>
        <v>13359822</v>
      </c>
      <c r="D68" s="372">
        <f t="shared" si="11"/>
        <v>300000</v>
      </c>
      <c r="E68" s="367">
        <f t="shared" si="12"/>
        <v>1041645</v>
      </c>
      <c r="F68" s="367">
        <f t="shared" si="13"/>
        <v>64554614</v>
      </c>
      <c r="G68" s="372">
        <f t="shared" si="14"/>
        <v>0</v>
      </c>
      <c r="H68" s="367">
        <f t="shared" si="15"/>
        <v>0</v>
      </c>
      <c r="I68" s="372">
        <f t="shared" si="15"/>
        <v>0</v>
      </c>
      <c r="J68" s="372">
        <f t="shared" si="16"/>
        <v>0</v>
      </c>
      <c r="K68" s="367">
        <f t="shared" si="17"/>
        <v>205596226</v>
      </c>
      <c r="L68" s="73" t="s">
        <v>1899</v>
      </c>
    </row>
    <row r="69" spans="1:12">
      <c r="A69" s="74" t="s">
        <v>1904</v>
      </c>
      <c r="B69" s="371">
        <f t="shared" si="9"/>
        <v>33107099</v>
      </c>
      <c r="C69" s="371">
        <f t="shared" si="10"/>
        <v>37997527</v>
      </c>
      <c r="D69" s="373">
        <f t="shared" si="11"/>
        <v>0</v>
      </c>
      <c r="E69" s="371">
        <f t="shared" si="12"/>
        <v>5012410</v>
      </c>
      <c r="F69" s="371">
        <f t="shared" si="13"/>
        <v>4008633</v>
      </c>
      <c r="G69" s="373">
        <f t="shared" si="14"/>
        <v>0</v>
      </c>
      <c r="H69" s="371">
        <f t="shared" si="15"/>
        <v>0</v>
      </c>
      <c r="I69" s="373">
        <f t="shared" si="15"/>
        <v>0</v>
      </c>
      <c r="J69" s="373">
        <f t="shared" si="16"/>
        <v>0</v>
      </c>
      <c r="K69" s="371">
        <f t="shared" si="17"/>
        <v>80125669</v>
      </c>
      <c r="L69" s="74" t="s">
        <v>1904</v>
      </c>
    </row>
    <row r="71" spans="1:12" ht="15.75">
      <c r="A71" s="394" t="s">
        <v>1374</v>
      </c>
    </row>
    <row r="72" spans="1:12" ht="15.75">
      <c r="A72" s="95"/>
      <c r="B72" s="324" t="s">
        <v>561</v>
      </c>
      <c r="C72" s="324"/>
      <c r="D72" s="324"/>
      <c r="E72" s="323" t="s">
        <v>563</v>
      </c>
      <c r="F72" s="324"/>
      <c r="G72" s="324"/>
      <c r="H72" s="323" t="s">
        <v>564</v>
      </c>
      <c r="I72" s="325"/>
      <c r="J72" s="351" t="s">
        <v>648</v>
      </c>
      <c r="K72" s="368"/>
    </row>
    <row r="73" spans="1:12" ht="45">
      <c r="A73" s="50"/>
      <c r="B73" s="51" t="s">
        <v>559</v>
      </c>
      <c r="C73" s="52" t="s">
        <v>560</v>
      </c>
      <c r="D73" s="52" t="s">
        <v>435</v>
      </c>
      <c r="E73" s="53" t="s">
        <v>559</v>
      </c>
      <c r="F73" s="52" t="s">
        <v>560</v>
      </c>
      <c r="G73" s="52" t="s">
        <v>435</v>
      </c>
      <c r="H73" s="53" t="s">
        <v>559</v>
      </c>
      <c r="I73" s="326" t="s">
        <v>560</v>
      </c>
      <c r="J73" s="374" t="s">
        <v>436</v>
      </c>
      <c r="K73" s="366" t="s">
        <v>1907</v>
      </c>
    </row>
    <row r="74" spans="1:12">
      <c r="A74" s="73" t="s">
        <v>437</v>
      </c>
      <c r="B74" s="370">
        <f t="shared" ref="B74:G74" si="18">+B30+N30</f>
        <v>634124355</v>
      </c>
      <c r="C74" s="370">
        <f t="shared" si="18"/>
        <v>989770882</v>
      </c>
      <c r="D74" s="369">
        <f t="shared" si="18"/>
        <v>4122056</v>
      </c>
      <c r="E74" s="370">
        <f t="shared" si="18"/>
        <v>224497570</v>
      </c>
      <c r="F74" s="370">
        <f t="shared" si="18"/>
        <v>393078366</v>
      </c>
      <c r="G74" s="369">
        <f t="shared" si="18"/>
        <v>3828751</v>
      </c>
      <c r="H74" s="370">
        <f>+H30</f>
        <v>9205064</v>
      </c>
      <c r="I74" s="369">
        <f>+I30</f>
        <v>401573338</v>
      </c>
      <c r="J74" s="369">
        <f>+L30</f>
        <v>449574733.19999999</v>
      </c>
      <c r="K74" s="370">
        <f>SUM(B74:J74)</f>
        <v>3109775115.1999998</v>
      </c>
    </row>
    <row r="75" spans="1:12">
      <c r="A75" s="73"/>
      <c r="B75" s="367"/>
      <c r="C75" s="367"/>
      <c r="D75" s="372"/>
      <c r="E75" s="367"/>
      <c r="F75" s="367"/>
      <c r="G75" s="372"/>
      <c r="H75" s="367"/>
      <c r="I75" s="372"/>
      <c r="J75" s="372"/>
      <c r="K75" s="367"/>
    </row>
    <row r="76" spans="1:12">
      <c r="A76" s="73" t="s">
        <v>1892</v>
      </c>
      <c r="B76" s="367">
        <f t="shared" ref="B76:B91" si="19">+B32+N32</f>
        <v>5657283</v>
      </c>
      <c r="C76" s="367">
        <f t="shared" ref="C76:C91" si="20">+C32+O32</f>
        <v>24785357</v>
      </c>
      <c r="D76" s="372">
        <f t="shared" ref="D76:D91" si="21">+D32+P32</f>
        <v>0</v>
      </c>
      <c r="E76" s="367">
        <f t="shared" ref="E76:E91" si="22">+E32+Q32</f>
        <v>1181950</v>
      </c>
      <c r="F76" s="367">
        <f t="shared" ref="F76:F91" si="23">+F32+R32</f>
        <v>3687152</v>
      </c>
      <c r="G76" s="372">
        <f t="shared" ref="G76:G91" si="24">+G32+S32</f>
        <v>0</v>
      </c>
      <c r="H76" s="367">
        <f t="shared" ref="H76:I91" si="25">+H32</f>
        <v>12750</v>
      </c>
      <c r="I76" s="372">
        <f t="shared" si="25"/>
        <v>2753000</v>
      </c>
      <c r="J76" s="372">
        <f t="shared" ref="J76:J91" si="26">+L32</f>
        <v>0</v>
      </c>
      <c r="K76" s="367">
        <f t="shared" ref="K76:K91" si="27">SUM(B76:J76)</f>
        <v>38077492</v>
      </c>
    </row>
    <row r="77" spans="1:12">
      <c r="A77" s="73" t="s">
        <v>1906</v>
      </c>
      <c r="B77" s="367">
        <f t="shared" si="19"/>
        <v>21200045</v>
      </c>
      <c r="C77" s="367">
        <f t="shared" si="20"/>
        <v>9771300</v>
      </c>
      <c r="D77" s="372">
        <f t="shared" si="21"/>
        <v>0</v>
      </c>
      <c r="E77" s="367">
        <f t="shared" si="22"/>
        <v>2485149</v>
      </c>
      <c r="F77" s="367">
        <f t="shared" si="23"/>
        <v>2742917</v>
      </c>
      <c r="G77" s="372">
        <f t="shared" si="24"/>
        <v>0</v>
      </c>
      <c r="H77" s="367">
        <f t="shared" si="25"/>
        <v>0</v>
      </c>
      <c r="I77" s="372">
        <f t="shared" si="25"/>
        <v>200000</v>
      </c>
      <c r="J77" s="372">
        <f t="shared" si="26"/>
        <v>0</v>
      </c>
      <c r="K77" s="367">
        <f t="shared" si="27"/>
        <v>36399411</v>
      </c>
    </row>
    <row r="78" spans="1:12">
      <c r="A78" s="73" t="s">
        <v>1893</v>
      </c>
      <c r="B78" s="367">
        <f t="shared" si="19"/>
        <v>832040</v>
      </c>
      <c r="C78" s="367">
        <f t="shared" si="20"/>
        <v>1257989</v>
      </c>
      <c r="D78" s="372">
        <f t="shared" si="21"/>
        <v>0</v>
      </c>
      <c r="E78" s="367">
        <f t="shared" si="22"/>
        <v>1635060</v>
      </c>
      <c r="F78" s="367">
        <f t="shared" si="23"/>
        <v>606405</v>
      </c>
      <c r="G78" s="372">
        <f t="shared" si="24"/>
        <v>0</v>
      </c>
      <c r="H78" s="367">
        <f t="shared" si="25"/>
        <v>0</v>
      </c>
      <c r="I78" s="372">
        <f t="shared" si="25"/>
        <v>0</v>
      </c>
      <c r="J78" s="372">
        <f t="shared" si="26"/>
        <v>365299.20000000001</v>
      </c>
      <c r="K78" s="367">
        <f t="shared" si="27"/>
        <v>4696793.2</v>
      </c>
    </row>
    <row r="79" spans="1:12">
      <c r="A79" s="73" t="s">
        <v>1900</v>
      </c>
      <c r="B79" s="367">
        <f t="shared" si="19"/>
        <v>100705360</v>
      </c>
      <c r="C79" s="367">
        <f t="shared" si="20"/>
        <v>5685864</v>
      </c>
      <c r="D79" s="372">
        <f t="shared" si="21"/>
        <v>0</v>
      </c>
      <c r="E79" s="367">
        <f t="shared" si="22"/>
        <v>28209829</v>
      </c>
      <c r="F79" s="367">
        <f t="shared" si="23"/>
        <v>107131750</v>
      </c>
      <c r="G79" s="372">
        <f t="shared" si="24"/>
        <v>0</v>
      </c>
      <c r="H79" s="367">
        <f t="shared" si="25"/>
        <v>6251267</v>
      </c>
      <c r="I79" s="372">
        <f t="shared" si="25"/>
        <v>388786563</v>
      </c>
      <c r="J79" s="372">
        <f t="shared" si="26"/>
        <v>500000</v>
      </c>
      <c r="K79" s="367">
        <f t="shared" si="27"/>
        <v>637270633</v>
      </c>
    </row>
    <row r="80" spans="1:12">
      <c r="A80" s="73" t="s">
        <v>1901</v>
      </c>
      <c r="B80" s="367">
        <f t="shared" si="19"/>
        <v>100000</v>
      </c>
      <c r="C80" s="367">
        <f t="shared" si="20"/>
        <v>339206786</v>
      </c>
      <c r="D80" s="372">
        <f t="shared" si="21"/>
        <v>0</v>
      </c>
      <c r="E80" s="367">
        <f t="shared" si="22"/>
        <v>520000</v>
      </c>
      <c r="F80" s="367">
        <f t="shared" si="23"/>
        <v>47640440</v>
      </c>
      <c r="G80" s="372">
        <f t="shared" si="24"/>
        <v>0</v>
      </c>
      <c r="H80" s="367">
        <f t="shared" si="25"/>
        <v>0</v>
      </c>
      <c r="I80" s="372">
        <f t="shared" si="25"/>
        <v>0</v>
      </c>
      <c r="J80" s="372">
        <f t="shared" si="26"/>
        <v>11238887</v>
      </c>
      <c r="K80" s="367">
        <f t="shared" si="27"/>
        <v>398706113</v>
      </c>
    </row>
    <row r="81" spans="1:12">
      <c r="A81" s="73" t="s">
        <v>1894</v>
      </c>
      <c r="B81" s="367">
        <f t="shared" si="19"/>
        <v>46790800</v>
      </c>
      <c r="C81" s="367">
        <f t="shared" si="20"/>
        <v>71354000</v>
      </c>
      <c r="D81" s="372">
        <f t="shared" si="21"/>
        <v>9600</v>
      </c>
      <c r="E81" s="367">
        <f t="shared" si="22"/>
        <v>46464300</v>
      </c>
      <c r="F81" s="367">
        <f t="shared" si="23"/>
        <v>17659800</v>
      </c>
      <c r="G81" s="372">
        <f t="shared" si="24"/>
        <v>0</v>
      </c>
      <c r="H81" s="367">
        <f t="shared" si="25"/>
        <v>0</v>
      </c>
      <c r="I81" s="372">
        <f t="shared" si="25"/>
        <v>0</v>
      </c>
      <c r="J81" s="372">
        <f t="shared" si="26"/>
        <v>0</v>
      </c>
      <c r="K81" s="367">
        <f t="shared" si="27"/>
        <v>182278500</v>
      </c>
    </row>
    <row r="82" spans="1:12">
      <c r="A82" s="73" t="s">
        <v>1570</v>
      </c>
      <c r="B82" s="367">
        <f t="shared" si="19"/>
        <v>14605369</v>
      </c>
      <c r="C82" s="367">
        <f t="shared" si="20"/>
        <v>110292169</v>
      </c>
      <c r="D82" s="372">
        <f t="shared" si="21"/>
        <v>0</v>
      </c>
      <c r="E82" s="367">
        <f t="shared" si="22"/>
        <v>1453682</v>
      </c>
      <c r="F82" s="367">
        <f t="shared" si="23"/>
        <v>9140146</v>
      </c>
      <c r="G82" s="372">
        <f t="shared" si="24"/>
        <v>0</v>
      </c>
      <c r="H82" s="367">
        <f t="shared" si="25"/>
        <v>0</v>
      </c>
      <c r="I82" s="372">
        <f t="shared" si="25"/>
        <v>0</v>
      </c>
      <c r="J82" s="372">
        <f t="shared" si="26"/>
        <v>0</v>
      </c>
      <c r="K82" s="367">
        <f t="shared" si="27"/>
        <v>135491366</v>
      </c>
    </row>
    <row r="83" spans="1:12">
      <c r="A83" s="73" t="s">
        <v>1905</v>
      </c>
      <c r="B83" s="367">
        <f t="shared" si="19"/>
        <v>75748515</v>
      </c>
      <c r="C83" s="367">
        <f t="shared" si="20"/>
        <v>12204142</v>
      </c>
      <c r="D83" s="372">
        <f t="shared" si="21"/>
        <v>0</v>
      </c>
      <c r="E83" s="367">
        <f t="shared" si="22"/>
        <v>17589857</v>
      </c>
      <c r="F83" s="367">
        <f t="shared" si="23"/>
        <v>2617683</v>
      </c>
      <c r="G83" s="372">
        <f t="shared" si="24"/>
        <v>0</v>
      </c>
      <c r="H83" s="367">
        <f t="shared" si="25"/>
        <v>527747</v>
      </c>
      <c r="I83" s="372">
        <f t="shared" si="25"/>
        <v>0</v>
      </c>
      <c r="J83" s="372">
        <f t="shared" si="26"/>
        <v>0</v>
      </c>
      <c r="K83" s="367">
        <f t="shared" si="27"/>
        <v>108687944</v>
      </c>
    </row>
    <row r="84" spans="1:12">
      <c r="A84" s="73" t="s">
        <v>1895</v>
      </c>
      <c r="B84" s="367">
        <f t="shared" si="19"/>
        <v>4340033</v>
      </c>
      <c r="C84" s="367">
        <f t="shared" si="20"/>
        <v>19830288</v>
      </c>
      <c r="D84" s="372">
        <f t="shared" si="21"/>
        <v>4112456</v>
      </c>
      <c r="E84" s="367">
        <f t="shared" si="22"/>
        <v>383369</v>
      </c>
      <c r="F84" s="367">
        <f t="shared" si="23"/>
        <v>2926054</v>
      </c>
      <c r="G84" s="372">
        <f t="shared" si="24"/>
        <v>0</v>
      </c>
      <c r="H84" s="367">
        <f t="shared" si="25"/>
        <v>0</v>
      </c>
      <c r="I84" s="372">
        <f t="shared" si="25"/>
        <v>0</v>
      </c>
      <c r="J84" s="372">
        <f t="shared" si="26"/>
        <v>0</v>
      </c>
      <c r="K84" s="367">
        <f t="shared" si="27"/>
        <v>31592200</v>
      </c>
    </row>
    <row r="85" spans="1:12">
      <c r="A85" s="73" t="s">
        <v>1896</v>
      </c>
      <c r="B85" s="367">
        <f t="shared" si="19"/>
        <v>104851951</v>
      </c>
      <c r="C85" s="367">
        <f t="shared" si="20"/>
        <v>3620000</v>
      </c>
      <c r="D85" s="372">
        <f t="shared" si="21"/>
        <v>0</v>
      </c>
      <c r="E85" s="367">
        <f t="shared" si="22"/>
        <v>45158375</v>
      </c>
      <c r="F85" s="367">
        <f t="shared" si="23"/>
        <v>60822305</v>
      </c>
      <c r="G85" s="372">
        <f t="shared" si="24"/>
        <v>0</v>
      </c>
      <c r="H85" s="367">
        <f t="shared" si="25"/>
        <v>2413300</v>
      </c>
      <c r="I85" s="372">
        <f t="shared" si="25"/>
        <v>8533775</v>
      </c>
      <c r="J85" s="372">
        <f t="shared" si="26"/>
        <v>0</v>
      </c>
      <c r="K85" s="367">
        <f t="shared" si="27"/>
        <v>225399706</v>
      </c>
    </row>
    <row r="86" spans="1:12">
      <c r="A86" s="73" t="s">
        <v>1903</v>
      </c>
      <c r="B86" s="367">
        <f t="shared" si="19"/>
        <v>0</v>
      </c>
      <c r="C86" s="367">
        <f t="shared" si="20"/>
        <v>0</v>
      </c>
      <c r="D86" s="372">
        <f t="shared" si="21"/>
        <v>0</v>
      </c>
      <c r="E86" s="367">
        <f t="shared" si="22"/>
        <v>0</v>
      </c>
      <c r="F86" s="367">
        <f t="shared" si="23"/>
        <v>0</v>
      </c>
      <c r="G86" s="372">
        <f t="shared" si="24"/>
        <v>3828751</v>
      </c>
      <c r="H86" s="367">
        <f t="shared" si="25"/>
        <v>0</v>
      </c>
      <c r="I86" s="372">
        <f t="shared" si="25"/>
        <v>0</v>
      </c>
      <c r="J86" s="372">
        <f t="shared" si="26"/>
        <v>67967556</v>
      </c>
      <c r="K86" s="367">
        <f t="shared" si="27"/>
        <v>71796307</v>
      </c>
    </row>
    <row r="87" spans="1:12">
      <c r="A87" s="73" t="s">
        <v>1897</v>
      </c>
      <c r="B87" s="367">
        <f t="shared" si="19"/>
        <v>21793965</v>
      </c>
      <c r="C87" s="367">
        <f t="shared" si="20"/>
        <v>204597917</v>
      </c>
      <c r="D87" s="372">
        <f t="shared" si="21"/>
        <v>0</v>
      </c>
      <c r="E87" s="367">
        <f t="shared" si="22"/>
        <v>35270925</v>
      </c>
      <c r="F87" s="367">
        <f t="shared" si="23"/>
        <v>38812721</v>
      </c>
      <c r="G87" s="372">
        <f t="shared" si="24"/>
        <v>0</v>
      </c>
      <c r="H87" s="367">
        <f t="shared" si="25"/>
        <v>0</v>
      </c>
      <c r="I87" s="372">
        <f t="shared" si="25"/>
        <v>1300000</v>
      </c>
      <c r="J87" s="372">
        <f t="shared" si="26"/>
        <v>1829187</v>
      </c>
      <c r="K87" s="367">
        <f t="shared" si="27"/>
        <v>303604715</v>
      </c>
    </row>
    <row r="88" spans="1:12">
      <c r="A88" s="73" t="s">
        <v>647</v>
      </c>
      <c r="B88" s="367">
        <f t="shared" si="19"/>
        <v>87522700</v>
      </c>
      <c r="C88" s="367">
        <f t="shared" si="20"/>
        <v>135310300</v>
      </c>
      <c r="D88" s="372">
        <f t="shared" si="21"/>
        <v>0</v>
      </c>
      <c r="E88" s="367">
        <f t="shared" si="22"/>
        <v>36962500</v>
      </c>
      <c r="F88" s="367">
        <f t="shared" si="23"/>
        <v>31170600</v>
      </c>
      <c r="G88" s="372">
        <f t="shared" si="24"/>
        <v>0</v>
      </c>
      <c r="H88" s="367">
        <f t="shared" si="25"/>
        <v>0</v>
      </c>
      <c r="I88" s="372">
        <f t="shared" si="25"/>
        <v>0</v>
      </c>
      <c r="J88" s="372">
        <f t="shared" si="26"/>
        <v>0</v>
      </c>
      <c r="K88" s="367">
        <f t="shared" si="27"/>
        <v>290966100</v>
      </c>
    </row>
    <row r="89" spans="1:12">
      <c r="A89" s="73" t="s">
        <v>1898</v>
      </c>
      <c r="B89" s="367">
        <f t="shared" si="19"/>
        <v>0</v>
      </c>
      <c r="C89" s="367">
        <f t="shared" si="20"/>
        <v>0</v>
      </c>
      <c r="D89" s="372">
        <f t="shared" si="21"/>
        <v>0</v>
      </c>
      <c r="E89" s="367">
        <f t="shared" si="22"/>
        <v>0</v>
      </c>
      <c r="F89" s="367">
        <f t="shared" si="23"/>
        <v>0</v>
      </c>
      <c r="G89" s="372">
        <f t="shared" si="24"/>
        <v>0</v>
      </c>
      <c r="H89" s="367">
        <f t="shared" si="25"/>
        <v>0</v>
      </c>
      <c r="I89" s="372">
        <f t="shared" si="25"/>
        <v>0</v>
      </c>
      <c r="J89" s="372">
        <f t="shared" si="26"/>
        <v>367673804</v>
      </c>
      <c r="K89" s="367">
        <f t="shared" si="27"/>
        <v>367673804</v>
      </c>
    </row>
    <row r="90" spans="1:12">
      <c r="A90" s="73" t="s">
        <v>1899</v>
      </c>
      <c r="B90" s="367">
        <f t="shared" si="19"/>
        <v>117076904</v>
      </c>
      <c r="C90" s="367">
        <f t="shared" si="20"/>
        <v>13359822</v>
      </c>
      <c r="D90" s="372">
        <f t="shared" si="21"/>
        <v>0</v>
      </c>
      <c r="E90" s="367">
        <f t="shared" si="22"/>
        <v>1041645</v>
      </c>
      <c r="F90" s="367">
        <f t="shared" si="23"/>
        <v>64030818</v>
      </c>
      <c r="G90" s="372">
        <f t="shared" si="24"/>
        <v>0</v>
      </c>
      <c r="H90" s="367">
        <f t="shared" si="25"/>
        <v>0</v>
      </c>
      <c r="I90" s="372">
        <f t="shared" si="25"/>
        <v>0</v>
      </c>
      <c r="J90" s="372">
        <f t="shared" si="26"/>
        <v>0</v>
      </c>
      <c r="K90" s="367">
        <f t="shared" si="27"/>
        <v>195509189</v>
      </c>
    </row>
    <row r="91" spans="1:12">
      <c r="A91" s="74" t="s">
        <v>1904</v>
      </c>
      <c r="B91" s="371">
        <f t="shared" si="19"/>
        <v>32899390</v>
      </c>
      <c r="C91" s="371">
        <f t="shared" si="20"/>
        <v>38494948</v>
      </c>
      <c r="D91" s="373">
        <f t="shared" si="21"/>
        <v>0</v>
      </c>
      <c r="E91" s="371">
        <f t="shared" si="22"/>
        <v>6140929</v>
      </c>
      <c r="F91" s="371">
        <f t="shared" si="23"/>
        <v>4089575</v>
      </c>
      <c r="G91" s="373">
        <f t="shared" si="24"/>
        <v>0</v>
      </c>
      <c r="H91" s="371">
        <f t="shared" si="25"/>
        <v>0</v>
      </c>
      <c r="I91" s="373">
        <f t="shared" si="25"/>
        <v>0</v>
      </c>
      <c r="J91" s="373">
        <f t="shared" si="26"/>
        <v>0</v>
      </c>
      <c r="K91" s="371">
        <f t="shared" si="27"/>
        <v>81624842</v>
      </c>
    </row>
    <row r="93" spans="1:12" ht="15.75">
      <c r="A93" s="95" t="s">
        <v>1978</v>
      </c>
    </row>
    <row r="94" spans="1:12" ht="33.75">
      <c r="A94" s="381"/>
      <c r="B94" s="53" t="s">
        <v>438</v>
      </c>
      <c r="C94" s="52" t="s">
        <v>439</v>
      </c>
      <c r="D94" s="52" t="s">
        <v>440</v>
      </c>
      <c r="E94" s="53" t="s">
        <v>441</v>
      </c>
      <c r="F94" s="52" t="s">
        <v>442</v>
      </c>
      <c r="G94" s="52" t="s">
        <v>443</v>
      </c>
      <c r="H94" s="53" t="s">
        <v>445</v>
      </c>
      <c r="I94" s="51" t="s">
        <v>446</v>
      </c>
      <c r="J94" s="323" t="s">
        <v>447</v>
      </c>
      <c r="K94" s="375" t="s">
        <v>1907</v>
      </c>
    </row>
    <row r="95" spans="1:12">
      <c r="A95" s="73" t="s">
        <v>437</v>
      </c>
      <c r="B95" s="384">
        <f t="shared" ref="B95:K95" si="28">IF(B74&gt;0,(B52-B74)/B74,)</f>
        <v>9.3181263082065383E-2</v>
      </c>
      <c r="C95" s="377">
        <f t="shared" si="28"/>
        <v>6.8396965329194287E-2</v>
      </c>
      <c r="D95" s="377">
        <f t="shared" si="28"/>
        <v>-0.83357043184275037</v>
      </c>
      <c r="E95" s="382">
        <f t="shared" si="28"/>
        <v>-3.242871893891833E-3</v>
      </c>
      <c r="F95" s="376">
        <f t="shared" si="28"/>
        <v>5.8652680977105726E-4</v>
      </c>
      <c r="G95" s="383">
        <f t="shared" si="28"/>
        <v>0</v>
      </c>
      <c r="H95" s="377">
        <f t="shared" si="28"/>
        <v>9.5593143078635853E-2</v>
      </c>
      <c r="I95" s="377">
        <f t="shared" si="28"/>
        <v>0.12183815350808973</v>
      </c>
      <c r="J95" s="388">
        <f t="shared" si="28"/>
        <v>-1.3084768261171463E-2</v>
      </c>
      <c r="K95" s="391">
        <f t="shared" si="28"/>
        <v>5.3629812707300634E-2</v>
      </c>
      <c r="L95" s="73" t="s">
        <v>437</v>
      </c>
    </row>
    <row r="96" spans="1:12">
      <c r="A96" s="73"/>
      <c r="B96" s="384"/>
      <c r="C96" s="377"/>
      <c r="D96" s="378"/>
      <c r="E96" s="377"/>
      <c r="F96" s="377"/>
      <c r="G96" s="378"/>
      <c r="H96" s="377"/>
      <c r="I96" s="378"/>
      <c r="J96" s="389"/>
      <c r="K96" s="391"/>
      <c r="L96" s="73"/>
    </row>
    <row r="97" spans="1:12">
      <c r="A97" s="73" t="s">
        <v>1892</v>
      </c>
      <c r="B97" s="384">
        <f t="shared" ref="B97:K97" si="29">IF(B76&gt;0,(B54-B76)/B76,)</f>
        <v>-0.2521553190816157</v>
      </c>
      <c r="C97" s="377">
        <f t="shared" si="29"/>
        <v>-5.5606017698272413E-2</v>
      </c>
      <c r="D97" s="378">
        <f t="shared" si="29"/>
        <v>0</v>
      </c>
      <c r="E97" s="377">
        <f t="shared" si="29"/>
        <v>-0.20707474935487966</v>
      </c>
      <c r="F97" s="377">
        <f t="shared" si="29"/>
        <v>-0.26481739836057749</v>
      </c>
      <c r="G97" s="378">
        <f t="shared" si="29"/>
        <v>0</v>
      </c>
      <c r="H97" s="377">
        <f t="shared" si="29"/>
        <v>-7.1058823529411771E-2</v>
      </c>
      <c r="I97" s="378">
        <f t="shared" si="29"/>
        <v>-0.31216345804576823</v>
      </c>
      <c r="J97" s="389">
        <f t="shared" si="29"/>
        <v>0</v>
      </c>
      <c r="K97" s="391">
        <f t="shared" si="29"/>
        <v>-0.12832239581325366</v>
      </c>
      <c r="L97" s="73" t="s">
        <v>1892</v>
      </c>
    </row>
    <row r="98" spans="1:12">
      <c r="A98" s="73" t="s">
        <v>1906</v>
      </c>
      <c r="B98" s="384">
        <f t="shared" ref="B98:K98" si="30">IF(B77&gt;0,(B55-B77)/B77,)</f>
        <v>9.9457571906097372E-2</v>
      </c>
      <c r="C98" s="377">
        <f t="shared" si="30"/>
        <v>3.9056727354599696E-2</v>
      </c>
      <c r="D98" s="378">
        <f t="shared" si="30"/>
        <v>0</v>
      </c>
      <c r="E98" s="377">
        <f t="shared" si="30"/>
        <v>9.5715790079387589E-2</v>
      </c>
      <c r="F98" s="377">
        <f t="shared" si="30"/>
        <v>9.3361556328536377E-2</v>
      </c>
      <c r="G98" s="378">
        <f t="shared" si="30"/>
        <v>0</v>
      </c>
      <c r="H98" s="377">
        <f t="shared" si="30"/>
        <v>0</v>
      </c>
      <c r="I98" s="378">
        <f t="shared" si="30"/>
        <v>0</v>
      </c>
      <c r="J98" s="389">
        <f t="shared" si="30"/>
        <v>0</v>
      </c>
      <c r="K98" s="391">
        <f t="shared" si="30"/>
        <v>8.1981848552439493E-2</v>
      </c>
      <c r="L98" s="73" t="s">
        <v>1906</v>
      </c>
    </row>
    <row r="99" spans="1:12">
      <c r="A99" s="73" t="s">
        <v>1893</v>
      </c>
      <c r="B99" s="384">
        <f t="shared" ref="B99:K99" si="31">IF(B78&gt;0,(B56-B78)/B78,)</f>
        <v>5.199269265900678E-2</v>
      </c>
      <c r="C99" s="377">
        <f t="shared" si="31"/>
        <v>-0.19574972436165977</v>
      </c>
      <c r="D99" s="378">
        <f t="shared" si="31"/>
        <v>0</v>
      </c>
      <c r="E99" s="377">
        <f t="shared" si="31"/>
        <v>5.4306875588663414E-2</v>
      </c>
      <c r="F99" s="377">
        <f t="shared" si="31"/>
        <v>-0.16648114708816714</v>
      </c>
      <c r="G99" s="378">
        <f t="shared" si="31"/>
        <v>0</v>
      </c>
      <c r="H99" s="377">
        <f t="shared" si="31"/>
        <v>0</v>
      </c>
      <c r="I99" s="378">
        <f t="shared" si="31"/>
        <v>0</v>
      </c>
      <c r="J99" s="389">
        <f t="shared" si="31"/>
        <v>0.58064403097515671</v>
      </c>
      <c r="K99" s="391">
        <f t="shared" si="31"/>
        <v>-6.4771853272147179E-4</v>
      </c>
      <c r="L99" s="73" t="s">
        <v>1893</v>
      </c>
    </row>
    <row r="100" spans="1:12">
      <c r="A100" s="73" t="s">
        <v>1900</v>
      </c>
      <c r="B100" s="384">
        <f t="shared" ref="B100:K100" si="32">IF(B79&gt;0,(B57-B79)/B79,)</f>
        <v>-2.1436495535093664E-2</v>
      </c>
      <c r="C100" s="377">
        <f t="shared" si="32"/>
        <v>-1.6334544758720926E-2</v>
      </c>
      <c r="D100" s="378">
        <f t="shared" si="32"/>
        <v>0</v>
      </c>
      <c r="E100" s="377">
        <f t="shared" si="32"/>
        <v>-2.1401512217603304E-2</v>
      </c>
      <c r="F100" s="377">
        <f t="shared" si="32"/>
        <v>-5.2736588359659949E-2</v>
      </c>
      <c r="G100" s="378">
        <f t="shared" si="32"/>
        <v>0</v>
      </c>
      <c r="H100" s="377">
        <f t="shared" si="32"/>
        <v>0.22532936123189107</v>
      </c>
      <c r="I100" s="378">
        <f t="shared" si="32"/>
        <v>0.12702686949600159</v>
      </c>
      <c r="J100" s="389">
        <f t="shared" si="32"/>
        <v>0</v>
      </c>
      <c r="K100" s="391">
        <f t="shared" si="32"/>
        <v>6.6360804672447538E-2</v>
      </c>
      <c r="L100" s="73" t="s">
        <v>1900</v>
      </c>
    </row>
    <row r="101" spans="1:12">
      <c r="A101" s="73" t="s">
        <v>1901</v>
      </c>
      <c r="B101" s="384">
        <f t="shared" ref="B101:K101" si="33">IF(B80&gt;0,(B58-B80)/B80,)</f>
        <v>-1</v>
      </c>
      <c r="C101" s="377">
        <f t="shared" si="33"/>
        <v>4.7568196350883142E-2</v>
      </c>
      <c r="D101" s="378">
        <f t="shared" si="33"/>
        <v>0</v>
      </c>
      <c r="E101" s="377">
        <f t="shared" si="33"/>
        <v>-1</v>
      </c>
      <c r="F101" s="377">
        <f t="shared" si="33"/>
        <v>-7.0919538106700944E-2</v>
      </c>
      <c r="G101" s="378">
        <f t="shared" si="33"/>
        <v>0</v>
      </c>
      <c r="H101" s="377">
        <f t="shared" si="33"/>
        <v>0</v>
      </c>
      <c r="I101" s="378">
        <f t="shared" si="33"/>
        <v>0</v>
      </c>
      <c r="J101" s="389">
        <f t="shared" si="33"/>
        <v>0</v>
      </c>
      <c r="K101" s="391">
        <f t="shared" si="33"/>
        <v>3.0440508946999768E-2</v>
      </c>
      <c r="L101" s="73" t="s">
        <v>1901</v>
      </c>
    </row>
    <row r="102" spans="1:12">
      <c r="A102" s="73" t="s">
        <v>1894</v>
      </c>
      <c r="B102" s="384">
        <f t="shared" ref="B102:K102" si="34">IF(B81&gt;0,(B59-B81)/B81,)</f>
        <v>-3.7810851705890901E-2</v>
      </c>
      <c r="C102" s="377">
        <f t="shared" si="34"/>
        <v>7.7949379151834516E-3</v>
      </c>
      <c r="D102" s="378">
        <f t="shared" si="34"/>
        <v>0</v>
      </c>
      <c r="E102" s="377">
        <f t="shared" si="34"/>
        <v>1.4529434426000177E-2</v>
      </c>
      <c r="F102" s="377">
        <f t="shared" si="34"/>
        <v>-6.6478669067599862E-3</v>
      </c>
      <c r="G102" s="378">
        <f t="shared" si="34"/>
        <v>0</v>
      </c>
      <c r="H102" s="377">
        <f t="shared" si="34"/>
        <v>0</v>
      </c>
      <c r="I102" s="378">
        <f t="shared" si="34"/>
        <v>0</v>
      </c>
      <c r="J102" s="389">
        <f t="shared" si="34"/>
        <v>0</v>
      </c>
      <c r="K102" s="391">
        <f t="shared" si="34"/>
        <v>-3.5950482366269199E-3</v>
      </c>
      <c r="L102" s="73" t="s">
        <v>1894</v>
      </c>
    </row>
    <row r="103" spans="1:12">
      <c r="A103" s="73" t="s">
        <v>1570</v>
      </c>
      <c r="B103" s="384">
        <f t="shared" ref="B103:K103" si="35">IF(B82&gt;0,(B60-B82)/B82,)</f>
        <v>0.56860424409681132</v>
      </c>
      <c r="C103" s="377">
        <f t="shared" si="35"/>
        <v>2.2686161879725115E-2</v>
      </c>
      <c r="D103" s="378">
        <f t="shared" si="35"/>
        <v>0</v>
      </c>
      <c r="E103" s="377">
        <f t="shared" si="35"/>
        <v>0.60956050910721882</v>
      </c>
      <c r="F103" s="377">
        <f t="shared" si="35"/>
        <v>9.1579499933589683E-3</v>
      </c>
      <c r="G103" s="378">
        <f t="shared" si="35"/>
        <v>0</v>
      </c>
      <c r="H103" s="377">
        <f t="shared" si="35"/>
        <v>0</v>
      </c>
      <c r="I103" s="378">
        <f t="shared" si="35"/>
        <v>0</v>
      </c>
      <c r="J103" s="389">
        <f t="shared" si="35"/>
        <v>0</v>
      </c>
      <c r="K103" s="391">
        <f t="shared" si="35"/>
        <v>8.69176633734728E-2</v>
      </c>
      <c r="L103" s="73" t="s">
        <v>1570</v>
      </c>
    </row>
    <row r="104" spans="1:12">
      <c r="A104" s="73" t="s">
        <v>1905</v>
      </c>
      <c r="B104" s="384">
        <f t="shared" ref="B104:K104" si="36">IF(B83&gt;0,(B61-B83)/B83,)</f>
        <v>-2.8993235048898713E-3</v>
      </c>
      <c r="C104" s="377">
        <f t="shared" si="36"/>
        <v>8.9723390632459044E-2</v>
      </c>
      <c r="D104" s="378">
        <f t="shared" si="36"/>
        <v>0</v>
      </c>
      <c r="E104" s="377">
        <f t="shared" si="36"/>
        <v>-7.1709565347802429E-2</v>
      </c>
      <c r="F104" s="377">
        <f t="shared" si="36"/>
        <v>0.11018752079606278</v>
      </c>
      <c r="G104" s="378">
        <f t="shared" si="36"/>
        <v>0</v>
      </c>
      <c r="H104" s="377">
        <f t="shared" si="36"/>
        <v>-1</v>
      </c>
      <c r="I104" s="378">
        <f t="shared" si="36"/>
        <v>0</v>
      </c>
      <c r="J104" s="389">
        <f t="shared" si="36"/>
        <v>0</v>
      </c>
      <c r="K104" s="391">
        <f t="shared" si="36"/>
        <v>-5.7531169234372763E-3</v>
      </c>
      <c r="L104" s="73" t="s">
        <v>1905</v>
      </c>
    </row>
    <row r="105" spans="1:12">
      <c r="A105" s="73" t="s">
        <v>1895</v>
      </c>
      <c r="B105" s="384">
        <f t="shared" ref="B105:K105" si="37">IF(B84&gt;0,(B62-B84)/B84,)</f>
        <v>-3.5669083622175225E-2</v>
      </c>
      <c r="C105" s="377">
        <f t="shared" si="37"/>
        <v>-1.3465124661830466E-2</v>
      </c>
      <c r="D105" s="378">
        <f t="shared" si="37"/>
        <v>-0.90846540364200856</v>
      </c>
      <c r="E105" s="377">
        <f t="shared" si="37"/>
        <v>-9.6283215387785656E-2</v>
      </c>
      <c r="F105" s="377">
        <f t="shared" si="37"/>
        <v>6.3724729618797188E-2</v>
      </c>
      <c r="G105" s="378">
        <f t="shared" si="37"/>
        <v>0</v>
      </c>
      <c r="H105" s="377">
        <f t="shared" si="37"/>
        <v>0</v>
      </c>
      <c r="I105" s="378">
        <f t="shared" si="37"/>
        <v>0</v>
      </c>
      <c r="J105" s="389">
        <f t="shared" si="37"/>
        <v>0</v>
      </c>
      <c r="K105" s="391">
        <f t="shared" si="37"/>
        <v>-0.12687613714777701</v>
      </c>
      <c r="L105" s="73" t="s">
        <v>1895</v>
      </c>
    </row>
    <row r="106" spans="1:12">
      <c r="A106" s="73" t="s">
        <v>1896</v>
      </c>
      <c r="B106" s="384">
        <f t="shared" ref="B106:K106" si="38">IF(B85&gt;0,(B63-B85)/B85,)</f>
        <v>0.35940431857104882</v>
      </c>
      <c r="C106" s="377">
        <f t="shared" si="38"/>
        <v>0</v>
      </c>
      <c r="D106" s="378">
        <f t="shared" si="38"/>
        <v>0</v>
      </c>
      <c r="E106" s="377">
        <f t="shared" si="38"/>
        <v>-2.4358715299210833E-2</v>
      </c>
      <c r="F106" s="377">
        <f t="shared" si="38"/>
        <v>1.85787105569248E-3</v>
      </c>
      <c r="G106" s="378">
        <f t="shared" si="38"/>
        <v>0</v>
      </c>
      <c r="H106" s="377">
        <f t="shared" si="38"/>
        <v>0</v>
      </c>
      <c r="I106" s="378">
        <f t="shared" si="38"/>
        <v>0</v>
      </c>
      <c r="J106" s="389">
        <f t="shared" si="38"/>
        <v>0</v>
      </c>
      <c r="K106" s="391">
        <f t="shared" si="38"/>
        <v>0.16280963560795417</v>
      </c>
      <c r="L106" s="73" t="s">
        <v>1896</v>
      </c>
    </row>
    <row r="107" spans="1:12">
      <c r="A107" s="73" t="s">
        <v>1903</v>
      </c>
      <c r="B107" s="384">
        <f t="shared" ref="B107:K107" si="39">IF(B86&gt;0,(B64-B86)/B86,)</f>
        <v>0</v>
      </c>
      <c r="C107" s="377">
        <f t="shared" si="39"/>
        <v>0</v>
      </c>
      <c r="D107" s="378">
        <f t="shared" si="39"/>
        <v>0</v>
      </c>
      <c r="E107" s="377">
        <f t="shared" si="39"/>
        <v>0</v>
      </c>
      <c r="F107" s="377">
        <f t="shared" si="39"/>
        <v>0</v>
      </c>
      <c r="G107" s="378">
        <f t="shared" si="39"/>
        <v>0</v>
      </c>
      <c r="H107" s="377">
        <f t="shared" si="39"/>
        <v>0</v>
      </c>
      <c r="I107" s="378">
        <f t="shared" si="39"/>
        <v>0</v>
      </c>
      <c r="J107" s="389">
        <f t="shared" si="39"/>
        <v>8.6806122615325471E-2</v>
      </c>
      <c r="K107" s="391">
        <f t="shared" si="39"/>
        <v>8.217692868241816E-2</v>
      </c>
      <c r="L107" s="73" t="s">
        <v>1903</v>
      </c>
    </row>
    <row r="108" spans="1:12">
      <c r="A108" s="73" t="s">
        <v>1897</v>
      </c>
      <c r="B108" s="384">
        <f t="shared" ref="B108:K108" si="40">IF(B87&gt;0,(B65-B87)/B87,)</f>
        <v>-0.14862908149113757</v>
      </c>
      <c r="C108" s="377">
        <f t="shared" si="40"/>
        <v>3.9499483271865372E-2</v>
      </c>
      <c r="D108" s="378">
        <f t="shared" si="40"/>
        <v>0</v>
      </c>
      <c r="E108" s="377">
        <f t="shared" si="40"/>
        <v>-9.9121301752080511E-3</v>
      </c>
      <c r="F108" s="377">
        <f t="shared" si="40"/>
        <v>5.5399079080284012E-2</v>
      </c>
      <c r="G108" s="378">
        <f t="shared" si="40"/>
        <v>0</v>
      </c>
      <c r="H108" s="377">
        <f t="shared" si="40"/>
        <v>0</v>
      </c>
      <c r="I108" s="378">
        <f t="shared" si="40"/>
        <v>0.30769230769230771</v>
      </c>
      <c r="J108" s="389">
        <f t="shared" si="40"/>
        <v>-0.94033524183148032</v>
      </c>
      <c r="K108" s="391">
        <f t="shared" si="40"/>
        <v>1.7532089381418203E-2</v>
      </c>
      <c r="L108" s="73" t="s">
        <v>1897</v>
      </c>
    </row>
    <row r="109" spans="1:12">
      <c r="A109" s="73" t="s">
        <v>647</v>
      </c>
      <c r="B109" s="384">
        <f t="shared" ref="B109:K109" si="41">IF(B88&gt;0,(B66-B88)/B88,)</f>
        <v>0.12048302897419755</v>
      </c>
      <c r="C109" s="377">
        <f t="shared" si="41"/>
        <v>0.30616442355090484</v>
      </c>
      <c r="D109" s="378">
        <f t="shared" si="41"/>
        <v>0</v>
      </c>
      <c r="E109" s="377">
        <f t="shared" si="41"/>
        <v>7.1126141359485959E-2</v>
      </c>
      <c r="F109" s="377">
        <f t="shared" si="41"/>
        <v>0.22242112760100866</v>
      </c>
      <c r="G109" s="378">
        <f t="shared" si="41"/>
        <v>0</v>
      </c>
      <c r="H109" s="377">
        <f t="shared" si="41"/>
        <v>0</v>
      </c>
      <c r="I109" s="378">
        <f t="shared" si="41"/>
        <v>0</v>
      </c>
      <c r="J109" s="389">
        <f t="shared" si="41"/>
        <v>0</v>
      </c>
      <c r="K109" s="391">
        <f t="shared" si="41"/>
        <v>0.21148236856458535</v>
      </c>
      <c r="L109" s="73" t="s">
        <v>647</v>
      </c>
    </row>
    <row r="110" spans="1:12">
      <c r="A110" s="73" t="s">
        <v>1898</v>
      </c>
      <c r="B110" s="384">
        <f t="shared" ref="B110:K110" si="42">IF(B89&gt;0,(B67-B89)/B89,)</f>
        <v>0</v>
      </c>
      <c r="C110" s="377">
        <f t="shared" si="42"/>
        <v>0</v>
      </c>
      <c r="D110" s="378">
        <f t="shared" si="42"/>
        <v>0</v>
      </c>
      <c r="E110" s="377">
        <f t="shared" si="42"/>
        <v>0</v>
      </c>
      <c r="F110" s="377">
        <f t="shared" si="42"/>
        <v>0</v>
      </c>
      <c r="G110" s="378">
        <f t="shared" si="42"/>
        <v>0</v>
      </c>
      <c r="H110" s="377">
        <f t="shared" si="42"/>
        <v>0</v>
      </c>
      <c r="I110" s="378">
        <f t="shared" si="42"/>
        <v>0</v>
      </c>
      <c r="J110" s="389">
        <f t="shared" si="42"/>
        <v>-2.7944990609121558E-2</v>
      </c>
      <c r="K110" s="391">
        <f t="shared" si="42"/>
        <v>-2.7944990609121558E-2</v>
      </c>
      <c r="L110" s="73" t="s">
        <v>1898</v>
      </c>
    </row>
    <row r="111" spans="1:12">
      <c r="A111" s="73" t="s">
        <v>1899</v>
      </c>
      <c r="B111" s="384">
        <f t="shared" ref="B111:K111" si="43">IF(B90&gt;0,(B68-B90)/B90,)</f>
        <v>7.9120993838374815E-2</v>
      </c>
      <c r="C111" s="377">
        <f t="shared" si="43"/>
        <v>0</v>
      </c>
      <c r="D111" s="378">
        <f t="shared" si="43"/>
        <v>0</v>
      </c>
      <c r="E111" s="377">
        <f t="shared" si="43"/>
        <v>0</v>
      </c>
      <c r="F111" s="377">
        <f t="shared" si="43"/>
        <v>8.1803733945738435E-3</v>
      </c>
      <c r="G111" s="378">
        <f t="shared" si="43"/>
        <v>0</v>
      </c>
      <c r="H111" s="377">
        <f t="shared" si="43"/>
        <v>0</v>
      </c>
      <c r="I111" s="378">
        <f t="shared" si="43"/>
        <v>0</v>
      </c>
      <c r="J111" s="389">
        <f t="shared" si="43"/>
        <v>0</v>
      </c>
      <c r="K111" s="391">
        <f t="shared" si="43"/>
        <v>5.1593672152156489E-2</v>
      </c>
      <c r="L111" s="73" t="s">
        <v>1899</v>
      </c>
    </row>
    <row r="112" spans="1:12">
      <c r="A112" s="74" t="s">
        <v>1904</v>
      </c>
      <c r="B112" s="385">
        <f t="shared" ref="B112:K112" si="44">IF(B91&gt;0,(B69-B91)/B91,)</f>
        <v>6.3134605231282403E-3</v>
      </c>
      <c r="C112" s="379">
        <f t="shared" si="44"/>
        <v>-1.2921721572399578E-2</v>
      </c>
      <c r="D112" s="380">
        <f t="shared" si="44"/>
        <v>0</v>
      </c>
      <c r="E112" s="379">
        <f t="shared" si="44"/>
        <v>-0.18377007778464791</v>
      </c>
      <c r="F112" s="379">
        <f t="shared" si="44"/>
        <v>-1.9792276703569443E-2</v>
      </c>
      <c r="G112" s="380">
        <f t="shared" si="44"/>
        <v>0</v>
      </c>
      <c r="H112" s="379">
        <f t="shared" si="44"/>
        <v>0</v>
      </c>
      <c r="I112" s="380">
        <f t="shared" si="44"/>
        <v>0</v>
      </c>
      <c r="J112" s="390">
        <f t="shared" si="44"/>
        <v>0</v>
      </c>
      <c r="K112" s="440">
        <f t="shared" si="44"/>
        <v>-1.836662666985622E-2</v>
      </c>
      <c r="L112" s="74" t="s">
        <v>1904</v>
      </c>
    </row>
    <row r="115" spans="9:16">
      <c r="J115" s="73"/>
    </row>
    <row r="116" spans="9:16">
      <c r="J116" s="73"/>
    </row>
    <row r="117" spans="9:16">
      <c r="J117" s="73"/>
      <c r="K117" s="938" t="s">
        <v>2048</v>
      </c>
    </row>
    <row r="118" spans="9:16" ht="13.5" thickBot="1">
      <c r="I118" s="392"/>
      <c r="K118" s="393" t="s">
        <v>1907</v>
      </c>
      <c r="L118" s="854" t="s">
        <v>1977</v>
      </c>
    </row>
    <row r="119" spans="9:16">
      <c r="I119" s="855" t="str">
        <f>N119&amp;" ("&amp;TEXT(M119,)&amp;")"</f>
        <v>SREB states (3.3 billion)</v>
      </c>
      <c r="K119" s="46">
        <f>+K95</f>
        <v>5.3629812707300634E-2</v>
      </c>
      <c r="L119" s="856">
        <f>ROUND(+K52/1000000000,1)</f>
        <v>3.3</v>
      </c>
      <c r="M119" s="855" t="str">
        <f>L119 &amp; " "&amp;TEXT(O119,)</f>
        <v>3.3 billion</v>
      </c>
      <c r="N119" s="1087" t="s">
        <v>437</v>
      </c>
      <c r="O119" s="833" t="s">
        <v>1979</v>
      </c>
      <c r="P119" s="853"/>
    </row>
    <row r="120" spans="9:16">
      <c r="I120" s="73"/>
      <c r="K120" s="46"/>
      <c r="L120" s="387">
        <f t="shared" ref="L120" si="45">+K53/1000000</f>
        <v>0</v>
      </c>
      <c r="M120" s="855"/>
      <c r="N120" s="1087"/>
      <c r="O120" s="833"/>
    </row>
    <row r="121" spans="9:16">
      <c r="I121" s="855" t="str">
        <f t="shared" ref="I121:I136" si="46">N121&amp;" ("&amp;TEXT(M121,)&amp;")"</f>
        <v>Alabama (33.2 million)</v>
      </c>
      <c r="K121" s="46">
        <f t="shared" ref="K121:K136" si="47">+K97</f>
        <v>-0.12832239581325366</v>
      </c>
      <c r="L121" s="856">
        <f t="shared" ref="L121:L136" si="48">ROUND(+K54/1000000,1)</f>
        <v>33.200000000000003</v>
      </c>
      <c r="M121" s="855" t="str">
        <f>L121 &amp; " "&amp;TEXT(O121,)</f>
        <v>33.2 million</v>
      </c>
      <c r="N121" s="1087" t="s">
        <v>1892</v>
      </c>
      <c r="O121" s="833" t="s">
        <v>1980</v>
      </c>
      <c r="P121" s="853"/>
    </row>
    <row r="122" spans="9:16">
      <c r="I122" s="855" t="str">
        <f t="shared" si="46"/>
        <v>Arkansas (39.4 million)</v>
      </c>
      <c r="K122" s="46">
        <f t="shared" si="47"/>
        <v>8.1981848552439493E-2</v>
      </c>
      <c r="L122" s="856">
        <f t="shared" si="48"/>
        <v>39.4</v>
      </c>
      <c r="M122" s="855" t="str">
        <f t="shared" ref="M122:M136" si="49">L122 &amp; " "&amp;TEXT(O122,)</f>
        <v>39.4 million</v>
      </c>
      <c r="N122" s="1087" t="s">
        <v>1906</v>
      </c>
      <c r="O122" s="833" t="s">
        <v>1980</v>
      </c>
      <c r="P122" s="853"/>
    </row>
    <row r="123" spans="9:16">
      <c r="I123" s="855" t="str">
        <f t="shared" si="46"/>
        <v>Delaware (4.7 million)</v>
      </c>
      <c r="K123" s="46">
        <f t="shared" si="47"/>
        <v>-6.4771853272147179E-4</v>
      </c>
      <c r="L123" s="856">
        <f t="shared" si="48"/>
        <v>4.7</v>
      </c>
      <c r="M123" s="855" t="str">
        <f t="shared" si="49"/>
        <v>4.7 million</v>
      </c>
      <c r="N123" s="1087" t="s">
        <v>1893</v>
      </c>
      <c r="O123" s="833" t="s">
        <v>1980</v>
      </c>
      <c r="P123" s="853"/>
    </row>
    <row r="124" spans="9:16">
      <c r="I124" s="855" t="str">
        <f t="shared" si="46"/>
        <v>Florida (679.6 million)</v>
      </c>
      <c r="K124" s="46">
        <f t="shared" si="47"/>
        <v>6.6360804672447538E-2</v>
      </c>
      <c r="L124" s="856">
        <f t="shared" si="48"/>
        <v>679.6</v>
      </c>
      <c r="M124" s="855" t="str">
        <f t="shared" si="49"/>
        <v>679.6 million</v>
      </c>
      <c r="N124" s="1087" t="s">
        <v>1900</v>
      </c>
      <c r="O124" s="833" t="s">
        <v>1980</v>
      </c>
      <c r="P124" s="853"/>
    </row>
    <row r="125" spans="9:16">
      <c r="I125" s="855" t="str">
        <f t="shared" si="46"/>
        <v>Georgia (410.8 million)</v>
      </c>
      <c r="K125" s="46">
        <f t="shared" si="47"/>
        <v>3.0440508946999768E-2</v>
      </c>
      <c r="L125" s="856">
        <f t="shared" si="48"/>
        <v>410.8</v>
      </c>
      <c r="M125" s="855" t="str">
        <f t="shared" si="49"/>
        <v>410.8 million</v>
      </c>
      <c r="N125" s="1087" t="s">
        <v>1901</v>
      </c>
      <c r="O125" s="833" t="s">
        <v>1980</v>
      </c>
      <c r="P125" s="853"/>
    </row>
    <row r="126" spans="9:16">
      <c r="I126" s="855" t="str">
        <f t="shared" si="46"/>
        <v>Kentucky (181.6 million)</v>
      </c>
      <c r="K126" s="46">
        <f t="shared" si="47"/>
        <v>-3.5950482366269199E-3</v>
      </c>
      <c r="L126" s="856">
        <f t="shared" si="48"/>
        <v>181.6</v>
      </c>
      <c r="M126" s="855" t="str">
        <f t="shared" si="49"/>
        <v>181.6 million</v>
      </c>
      <c r="N126" s="1087" t="s">
        <v>1894</v>
      </c>
      <c r="O126" s="833" t="s">
        <v>1980</v>
      </c>
      <c r="P126" s="853"/>
    </row>
    <row r="127" spans="9:16">
      <c r="I127" s="855" t="str">
        <f t="shared" si="46"/>
        <v>Louisiana (147.3 million)</v>
      </c>
      <c r="K127" s="46">
        <f t="shared" si="47"/>
        <v>8.69176633734728E-2</v>
      </c>
      <c r="L127" s="856">
        <f t="shared" si="48"/>
        <v>147.30000000000001</v>
      </c>
      <c r="M127" s="855" t="str">
        <f t="shared" si="49"/>
        <v>147.3 million</v>
      </c>
      <c r="N127" s="1087" t="s">
        <v>1902</v>
      </c>
      <c r="O127" s="833" t="s">
        <v>1980</v>
      </c>
      <c r="P127" s="853"/>
    </row>
    <row r="128" spans="9:16">
      <c r="I128" s="855" t="str">
        <f t="shared" si="46"/>
        <v>Maryland (108.1 million)</v>
      </c>
      <c r="K128" s="46">
        <f t="shared" si="47"/>
        <v>-5.7531169234372763E-3</v>
      </c>
      <c r="L128" s="856">
        <f t="shared" si="48"/>
        <v>108.1</v>
      </c>
      <c r="M128" s="855" t="str">
        <f t="shared" si="49"/>
        <v>108.1 million</v>
      </c>
      <c r="N128" s="1087" t="s">
        <v>1905</v>
      </c>
      <c r="O128" s="833" t="s">
        <v>1980</v>
      </c>
      <c r="P128" s="853"/>
    </row>
    <row r="129" spans="9:16">
      <c r="I129" s="855" t="str">
        <f t="shared" si="46"/>
        <v>Mississippi (27.6 million)</v>
      </c>
      <c r="K129" s="46">
        <f t="shared" si="47"/>
        <v>-0.12687613714777701</v>
      </c>
      <c r="L129" s="856">
        <f t="shared" si="48"/>
        <v>27.6</v>
      </c>
      <c r="M129" s="855" t="str">
        <f t="shared" si="49"/>
        <v>27.6 million</v>
      </c>
      <c r="N129" s="1087" t="s">
        <v>1895</v>
      </c>
      <c r="O129" s="833" t="s">
        <v>1980</v>
      </c>
      <c r="P129" s="853"/>
    </row>
    <row r="130" spans="9:16">
      <c r="I130" s="855" t="str">
        <f t="shared" si="46"/>
        <v>North Carolina (262.1 million)</v>
      </c>
      <c r="K130" s="46">
        <f t="shared" si="47"/>
        <v>0.16280963560795417</v>
      </c>
      <c r="L130" s="856">
        <f t="shared" si="48"/>
        <v>262.10000000000002</v>
      </c>
      <c r="M130" s="855" t="str">
        <f t="shared" si="49"/>
        <v>262.1 million</v>
      </c>
      <c r="N130" s="1087" t="s">
        <v>1896</v>
      </c>
      <c r="O130" s="833" t="s">
        <v>1980</v>
      </c>
      <c r="P130" s="853"/>
    </row>
    <row r="131" spans="9:16">
      <c r="I131" s="855" t="str">
        <f t="shared" si="46"/>
        <v>Oklahoma (77.7 million)</v>
      </c>
      <c r="K131" s="46">
        <f t="shared" si="47"/>
        <v>8.217692868241816E-2</v>
      </c>
      <c r="L131" s="856">
        <f t="shared" si="48"/>
        <v>77.7</v>
      </c>
      <c r="M131" s="855" t="str">
        <f t="shared" si="49"/>
        <v>77.7 million</v>
      </c>
      <c r="N131" s="1087" t="s">
        <v>1903</v>
      </c>
      <c r="O131" s="833" t="s">
        <v>1980</v>
      </c>
      <c r="P131" s="853"/>
    </row>
    <row r="132" spans="9:16">
      <c r="I132" s="855" t="str">
        <f t="shared" si="46"/>
        <v>South Carolina (308.9 million)</v>
      </c>
      <c r="K132" s="46">
        <f t="shared" si="47"/>
        <v>1.7532089381418203E-2</v>
      </c>
      <c r="L132" s="856">
        <f t="shared" si="48"/>
        <v>308.89999999999998</v>
      </c>
      <c r="M132" s="855" t="str">
        <f t="shared" si="49"/>
        <v>308.9 million</v>
      </c>
      <c r="N132" s="1087" t="s">
        <v>1897</v>
      </c>
      <c r="O132" s="833" t="s">
        <v>1980</v>
      </c>
      <c r="P132" s="853"/>
    </row>
    <row r="133" spans="9:16">
      <c r="I133" s="855" t="str">
        <f t="shared" si="46"/>
        <v>Tennessee (352.5 million)</v>
      </c>
      <c r="K133" s="46">
        <f t="shared" si="47"/>
        <v>0.21148236856458535</v>
      </c>
      <c r="L133" s="856">
        <f t="shared" si="48"/>
        <v>352.5</v>
      </c>
      <c r="M133" s="855" t="str">
        <f t="shared" si="49"/>
        <v>352.5 million</v>
      </c>
      <c r="N133" s="1087" t="s">
        <v>647</v>
      </c>
      <c r="O133" s="833" t="s">
        <v>1980</v>
      </c>
      <c r="P133" s="853"/>
    </row>
    <row r="134" spans="9:16">
      <c r="I134" s="855" t="str">
        <f t="shared" si="46"/>
        <v>Texas (357.4 million)</v>
      </c>
      <c r="K134" s="46">
        <f t="shared" si="47"/>
        <v>-2.7944990609121558E-2</v>
      </c>
      <c r="L134" s="856">
        <f t="shared" si="48"/>
        <v>357.4</v>
      </c>
      <c r="M134" s="855" t="str">
        <f t="shared" si="49"/>
        <v>357.4 million</v>
      </c>
      <c r="N134" s="1087" t="s">
        <v>1898</v>
      </c>
      <c r="O134" s="833" t="s">
        <v>1980</v>
      </c>
      <c r="P134" s="853"/>
    </row>
    <row r="135" spans="9:16">
      <c r="I135" s="855" t="str">
        <f t="shared" si="46"/>
        <v>Virginia (205.6 million)</v>
      </c>
      <c r="K135" s="46">
        <f t="shared" si="47"/>
        <v>5.1593672152156489E-2</v>
      </c>
      <c r="L135" s="856">
        <f t="shared" si="48"/>
        <v>205.6</v>
      </c>
      <c r="M135" s="855" t="str">
        <f t="shared" si="49"/>
        <v>205.6 million</v>
      </c>
      <c r="N135" s="1087" t="s">
        <v>1899</v>
      </c>
      <c r="O135" s="833" t="s">
        <v>1980</v>
      </c>
      <c r="P135" s="853"/>
    </row>
    <row r="136" spans="9:16">
      <c r="I136" s="855" t="str">
        <f t="shared" si="46"/>
        <v>West Virginia (80.1 million)</v>
      </c>
      <c r="K136" s="46">
        <f t="shared" si="47"/>
        <v>-1.836662666985622E-2</v>
      </c>
      <c r="L136" s="856">
        <f t="shared" si="48"/>
        <v>80.099999999999994</v>
      </c>
      <c r="M136" s="855" t="str">
        <f t="shared" si="49"/>
        <v>80.1 million</v>
      </c>
      <c r="N136" s="1088" t="s">
        <v>1904</v>
      </c>
      <c r="O136" s="833" t="s">
        <v>1980</v>
      </c>
      <c r="P136" s="853"/>
    </row>
    <row r="138" spans="9:16">
      <c r="I138"/>
    </row>
  </sheetData>
  <sortState ref="I121:N136">
    <sortCondition ref="N121:N136"/>
  </sortState>
  <phoneticPr fontId="5" type="noConversion"/>
  <hyperlinks>
    <hyperlink ref="L119" r:id="rId1" display="=@round(+K52/1000000000,1)"/>
  </hyperlinks>
  <pageMargins left="0.5" right="0.5" top="0.5" bottom="0.5" header="0.25" footer="0.25"/>
  <pageSetup scale="50" orientation="landscape" r:id="rId2"/>
  <headerFooter alignWithMargins="0"/>
  <rowBreaks count="1" manualBreakCount="1">
    <brk id="48" max="19" man="1"/>
  </rowBreaks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10</vt:i4>
      </vt:variant>
    </vt:vector>
  </HeadingPairs>
  <TitlesOfParts>
    <vt:vector size="18" baseType="lpstr">
      <vt:lpstr>Funding Data</vt:lpstr>
      <vt:lpstr>Distrib pivot table</vt:lpstr>
      <vt:lpstr>Amounts Pivot Table</vt:lpstr>
      <vt:lpstr>77. Distrib by purpose (sum)</vt:lpstr>
      <vt:lpstr>78. Distrib by purpose (detail)</vt:lpstr>
      <vt:lpstr>79. Distrib by source</vt:lpstr>
      <vt:lpstr>80.-96. Amounts per FTE</vt:lpstr>
      <vt:lpstr>SFA Data for Highlights</vt:lpstr>
      <vt:lpstr>'77. Distrib by purpose (sum)'!Print_Area</vt:lpstr>
      <vt:lpstr>'78. Distrib by purpose (detail)'!Print_Area</vt:lpstr>
      <vt:lpstr>'79. Distrib by source'!Print_Area</vt:lpstr>
      <vt:lpstr>'80.-96. Amounts per FTE'!Print_Area</vt:lpstr>
      <vt:lpstr>'Amounts Pivot Table'!Print_Area</vt:lpstr>
      <vt:lpstr>'Distrib pivot table'!Print_Area</vt:lpstr>
      <vt:lpstr>'SFA Data for Highlights'!Print_Area</vt:lpstr>
      <vt:lpstr>'78. Distrib by purpose (detail)'!Print_Titles</vt:lpstr>
      <vt:lpstr>'Amounts Pivot Table'!Print_Titles</vt:lpstr>
      <vt:lpstr>'Distrib pivot table'!Print_Titles</vt:lpstr>
    </vt:vector>
  </TitlesOfParts>
  <Company>College of Education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eafgrad1</dc:creator>
  <cp:lastModifiedBy>jmarks</cp:lastModifiedBy>
  <cp:lastPrinted>2010-02-08T15:22:21Z</cp:lastPrinted>
  <dcterms:created xsi:type="dcterms:W3CDTF">1997-12-15T16:34:08Z</dcterms:created>
  <dcterms:modified xsi:type="dcterms:W3CDTF">2010-11-18T21:46:33Z</dcterms:modified>
</cp:coreProperties>
</file>